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hidePivotFieldList="1" defaultThemeVersion="166925"/>
  <xr:revisionPtr revIDLastSave="155" documentId="8_{9E523E09-AEBB-44D1-B505-E182E76B66AC}" xr6:coauthVersionLast="47" xr6:coauthVersionMax="47" xr10:uidLastSave="{16D33111-2D8B-4013-8D71-F9E29F4952B4}"/>
  <bookViews>
    <workbookView xWindow="-110" yWindow="-110" windowWidth="19420" windowHeight="10300" tabRatio="860" xr2:uid="{D36C235E-2873-4351-B5B1-9186C5D3A685}"/>
  </bookViews>
  <sheets>
    <sheet name="Cover Page" sheetId="120" r:id="rId1"/>
    <sheet name="ReadMe" sheetId="17" r:id="rId2"/>
    <sheet name="TRI and DMR OES Summary" sheetId="114" r:id="rId3"/>
    <sheet name="Total Annual Releases" sheetId="68" r:id="rId4"/>
    <sheet name="Facility Water Discharges" sheetId="117" r:id="rId5"/>
    <sheet name="Facility Summary_Water" sheetId="116" r:id="rId6"/>
    <sheet name="Processed Non-zero DMR Data" sheetId="115" r:id="rId7"/>
    <sheet name="Processed Non-zero TRI Data" sheetId="73" r:id="rId8"/>
    <sheet name="Off-site Locations" sheetId="83" r:id="rId9"/>
    <sheet name="Raw TRI Data" sheetId="101" r:id="rId10"/>
    <sheet name="Raw Non-zero DMR Data" sheetId="100" r:id="rId11"/>
    <sheet name="Form A Recent Reporting" sheetId="112" r:id="rId12"/>
    <sheet name="COU.OES Summary" sheetId="97" r:id="rId13"/>
    <sheet name="NAICS OES crosswalk" sheetId="104" r:id="rId14"/>
    <sheet name="2017 - 2022 NAICS" sheetId="16" r:id="rId15"/>
    <sheet name="TRI Crosswalk codes" sheetId="103" r:id="rId16"/>
    <sheet name="2017 SIC to NAICS" sheetId="13" r:id="rId17"/>
  </sheets>
  <definedNames>
    <definedName name="_2017NEI_Nonpoint_TSCA_Chem_List">#REF!</definedName>
    <definedName name="_2017NEI_tsca_chemicals_wSCCdetail_Query">#REF!</definedName>
    <definedName name="_AtRisk_SimSetting_AutomaticResultsDisplayMode" localSheetId="13" hidden="1">2</definedName>
    <definedName name="_AtRisk_SimSetting_AutomaticResultsDisplayMode" localSheetId="15" hidden="1">2</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localSheetId="13" hidden="1">10</definedName>
    <definedName name="_AtRisk_SimSetting_ConvergenceTestingPeriod" localSheetId="15" hidden="1">10</definedName>
    <definedName name="_AtRisk_SimSetting_ConvergenceTestingPeriod" hidden="1">100</definedName>
    <definedName name="_AtRisk_SimSetting_ConvergenceTolerance" localSheetId="13" hidden="1">0.01</definedName>
    <definedName name="_AtRisk_SimSetting_ConvergenceTolerance" localSheetId="15" hidden="1">0.01</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localSheetId="13" hidden="1">1</definedName>
    <definedName name="_AtRisk_SimSetting_MacroRecalculationBehavior" localSheetId="15" hidden="1">1</definedName>
    <definedName name="_AtRisk_SimSetting_MacroRecalculationBehavior" hidden="1">0</definedName>
    <definedName name="_AtRisk_SimSetting_MaxAutoIterations" hidden="1">50000</definedName>
    <definedName name="_AtRisk_SimSetting_MultipleCPUCount" localSheetId="13" hidden="1">8</definedName>
    <definedName name="_AtRisk_SimSetting_MultipleCPUCount" localSheetId="15" hidden="1">8</definedName>
    <definedName name="_AtRisk_SimSetting_MultipleCPUCount" hidden="1">-1</definedName>
    <definedName name="_AtRisk_SimSetting_MultipleCPUManualCount" hidden="1">8</definedName>
    <definedName name="_AtRisk_SimSetting_MultipleCPUMode" localSheetId="13" hidden="1">2</definedName>
    <definedName name="_AtRisk_SimSetting_MultipleCPUMode" localSheetId="15" hidden="1">2</definedName>
    <definedName name="_AtRisk_SimSetting_MultipleCPUMode" hidden="1">1</definedName>
    <definedName name="_AtRisk_SimSetting_MultipleCPUModeV8" localSheetId="13" hidden="1">2</definedName>
    <definedName name="_AtRisk_SimSetting_MultipleCPUModeV8" localSheetId="15" hidden="1">2</definedName>
    <definedName name="_AtRisk_SimSetting_MultipleCPUModeV8" hidden="1">1</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4" hidden="1">'2017 - 2022 NAICS'!$A$1:$K$1153</definedName>
    <definedName name="_xlnm._FilterDatabase" localSheetId="16" hidden="1">'2017 SIC to NAICS'!$A$1:$D$2169</definedName>
    <definedName name="_xlnm._FilterDatabase" localSheetId="12" hidden="1">'COU.OES Summary'!$A$1:$F$11</definedName>
    <definedName name="_xlnm._FilterDatabase" localSheetId="5" hidden="1">'Facility Summary_Water'!$A$1:$P$330</definedName>
    <definedName name="_xlnm._FilterDatabase" localSheetId="4" hidden="1">'Facility Water Discharges'!$A$3:$AR$332</definedName>
    <definedName name="_xlnm._FilterDatabase" localSheetId="11" hidden="1">'Form A Recent Reporting'!$B$1:$M$49</definedName>
    <definedName name="_xlnm._FilterDatabase" localSheetId="13" hidden="1">'NAICS OES crosswalk'!$A$1:$D$22</definedName>
    <definedName name="_xlnm._FilterDatabase" localSheetId="8" hidden="1">'Off-site Locations'!$A$1:$S$140</definedName>
    <definedName name="_xlnm._FilterDatabase" localSheetId="6" hidden="1">'Processed Non-zero DMR Data'!$A$1:$X$978</definedName>
    <definedName name="_xlnm._FilterDatabase" localSheetId="7" hidden="1">'Processed Non-zero TRI Data'!$A$1:$W$1600</definedName>
    <definedName name="_xlnm._FilterDatabase" localSheetId="10" hidden="1">'Raw Non-zero DMR Data'!$A$1:$Y$1120</definedName>
    <definedName name="_xlnm._FilterDatabase" localSheetId="9" hidden="1">'Raw TRI Data'!$A$1:$AB$661</definedName>
    <definedName name="_xlnm._FilterDatabase" localSheetId="1" hidden="1">ReadMe!$A$1:$B$12</definedName>
    <definedName name="_xlnm._FilterDatabase" localSheetId="3" hidden="1">'Total Annual Releases'!$A$1:$H$15</definedName>
    <definedName name="_xlnm._FilterDatabase" localSheetId="2" hidden="1">'TRI and DMR OES Summary'!$A$1:$J$18</definedName>
    <definedName name="_xlnm._FilterDatabase" localSheetId="15" hidden="1">'TRI Crosswalk codes'!$A$1:$E$54</definedName>
    <definedName name="AT">#REF!</definedName>
    <definedName name="AT_50th_non_cancer">#REF!</definedName>
    <definedName name="AT_50th_non_cancer_DC">#REF!</definedName>
    <definedName name="AT_95th_non_cancer">#REF!</definedName>
    <definedName name="AT_95th_non_cancer_DC">#REF!</definedName>
    <definedName name="AT_AC">#REF!</definedName>
    <definedName name="AT_AC_DC">#REF!</definedName>
    <definedName name="AT_ADC_high">#REF!</definedName>
    <definedName name="AT_ADC_mid">#REF!</definedName>
    <definedName name="AT_cancer">#REF!</definedName>
    <definedName name="AT_cancer_DC">#REF!</definedName>
    <definedName name="AT_LADC">#REF!</definedName>
    <definedName name="AWD">#REF!</definedName>
    <definedName name="AWD_DC_50th">#REF!</definedName>
    <definedName name="AWD_DC_95th">#REF!</definedName>
    <definedName name="CASRN">#REF!</definedName>
    <definedName name="ED">#REF!</definedName>
    <definedName name="ED_AC">#REF!</definedName>
    <definedName name="ED_AC_DC">#REF!</definedName>
    <definedName name="ED_chronic">#REF!</definedName>
    <definedName name="ED_chronic_DC">#REF!</definedName>
    <definedName name="EF">#REF!</definedName>
    <definedName name="EG">#REF!</definedName>
    <definedName name="Pal_Workbook_GUID" hidden="1">"SK39RLEDQA2L46YW8H5SUKN3"</definedName>
    <definedName name="RiskAfterRecalcMacro" localSheetId="13" hidden="1">"'PERC_Dry Cleaner Model_4.9.2019.xlsm'!RK4Solver.RK4Solver"</definedName>
    <definedName name="RiskAfterRecalcMacro" localSheetId="15" hidden="1">"'PERC_Dry Cleaner Model_4.9.2019.xlsm'!RK4Solver.RK4Solver"</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localSheetId="13" hidden="1">FALSE</definedName>
    <definedName name="RiskMultipleCPUSupportEnabled" localSheetId="15" hidden="1">FALSE</definedName>
    <definedName name="RiskMultipleCPUSupportEnabled" hidden="1">TRUE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localSheetId="13" hidden="1">FALSE</definedName>
    <definedName name="RiskUseMultipleCPUs" localSheetId="15" hidden="1">FALSE</definedName>
    <definedName name="RiskUseMultipleCPUs" hidden="1">TRUE</definedName>
    <definedName name="what">#REF!</definedName>
    <definedName name="WY_50th">#REF!</definedName>
    <definedName name="WY_50th_DC">#REF!</definedName>
    <definedName name="WY_95th">#REF!</definedName>
    <definedName name="WY_95th_DC">#REF!</definedName>
    <definedName name="WY_high">#REF!</definedName>
    <definedName name="WY_m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14" l="1" a="1"/>
  <c r="H17" i="114" s="1"/>
  <c r="G17" i="114" a="1"/>
  <c r="G17" i="114" s="1"/>
  <c r="L332" i="117"/>
  <c r="L331" i="117"/>
  <c r="L330" i="117"/>
  <c r="L329" i="117"/>
  <c r="L328" i="117"/>
  <c r="L327" i="117"/>
  <c r="L326" i="117"/>
  <c r="L325" i="117"/>
  <c r="L324" i="117"/>
  <c r="L323" i="117"/>
  <c r="L322" i="117"/>
  <c r="L321" i="117"/>
  <c r="L320" i="117"/>
  <c r="L319" i="117"/>
  <c r="L318" i="117"/>
  <c r="L317" i="117"/>
  <c r="L316" i="117"/>
  <c r="L315" i="117"/>
  <c r="L314" i="117"/>
  <c r="L313" i="117"/>
  <c r="L312" i="117"/>
  <c r="L311" i="117"/>
  <c r="L310" i="117"/>
  <c r="L309" i="117"/>
  <c r="L308" i="117"/>
  <c r="L307" i="117"/>
  <c r="L306" i="117"/>
  <c r="L305" i="117"/>
  <c r="L304" i="117"/>
  <c r="L303" i="117"/>
  <c r="L302" i="117"/>
  <c r="L301" i="117"/>
  <c r="L300" i="117"/>
  <c r="L299" i="117"/>
  <c r="L298" i="117"/>
  <c r="L297" i="117"/>
  <c r="L296" i="117"/>
  <c r="L295" i="117"/>
  <c r="L294" i="117"/>
  <c r="L293" i="117"/>
  <c r="L292" i="117"/>
  <c r="L291" i="117"/>
  <c r="L290" i="117"/>
  <c r="L289" i="117"/>
  <c r="L288" i="117"/>
  <c r="L287" i="117"/>
  <c r="L286" i="117"/>
  <c r="L285" i="117"/>
  <c r="L284" i="117"/>
  <c r="L283" i="117"/>
  <c r="L282" i="117"/>
  <c r="L281" i="117"/>
  <c r="L280" i="117"/>
  <c r="L279" i="117"/>
  <c r="L278" i="117"/>
  <c r="L277" i="117"/>
  <c r="L276" i="117"/>
  <c r="L275" i="117"/>
  <c r="L274" i="117"/>
  <c r="L273" i="117"/>
  <c r="L272" i="117"/>
  <c r="L271" i="117"/>
  <c r="L270" i="117"/>
  <c r="L269" i="117"/>
  <c r="L268" i="117"/>
  <c r="L267" i="117"/>
  <c r="L266" i="117"/>
  <c r="L265" i="117"/>
  <c r="L264" i="117"/>
  <c r="L263" i="117"/>
  <c r="L262" i="117"/>
  <c r="L261" i="117"/>
  <c r="L260" i="117"/>
  <c r="L259" i="117"/>
  <c r="L258" i="117"/>
  <c r="L257" i="117"/>
  <c r="L256" i="117"/>
  <c r="L255" i="117"/>
  <c r="L254" i="117"/>
  <c r="L253" i="117"/>
  <c r="L252" i="117"/>
  <c r="L251" i="117"/>
  <c r="L250" i="117"/>
  <c r="L249" i="117"/>
  <c r="L248" i="117"/>
  <c r="L247" i="117"/>
  <c r="L246" i="117"/>
  <c r="L245" i="117"/>
  <c r="L244" i="117"/>
  <c r="L243" i="117"/>
  <c r="L242" i="117"/>
  <c r="L241" i="117"/>
  <c r="L240" i="117"/>
  <c r="L239" i="117"/>
  <c r="L238" i="117"/>
  <c r="L237" i="117"/>
  <c r="L236" i="117"/>
  <c r="L235" i="117"/>
  <c r="L234" i="117"/>
  <c r="L233" i="117"/>
  <c r="L232" i="117"/>
  <c r="L231" i="117"/>
  <c r="L230" i="117"/>
  <c r="L229" i="117"/>
  <c r="L228" i="117"/>
  <c r="L227" i="117"/>
  <c r="L226" i="117"/>
  <c r="L225" i="117"/>
  <c r="L224" i="117"/>
  <c r="L223" i="117"/>
  <c r="L222" i="117"/>
  <c r="L221" i="117"/>
  <c r="L220" i="117"/>
  <c r="L219" i="117"/>
  <c r="L218" i="117"/>
  <c r="L217" i="117"/>
  <c r="L216" i="117"/>
  <c r="L215" i="117"/>
  <c r="L214" i="117"/>
  <c r="L213" i="117"/>
  <c r="L212" i="117"/>
  <c r="L211" i="117"/>
  <c r="L210" i="117"/>
  <c r="L209" i="117"/>
  <c r="L208" i="117"/>
  <c r="L207" i="117"/>
  <c r="L206" i="117"/>
  <c r="L205" i="117"/>
  <c r="L204" i="117"/>
  <c r="L203" i="117"/>
  <c r="L202" i="117"/>
  <c r="L201" i="117"/>
  <c r="L200" i="117"/>
  <c r="L199" i="117"/>
  <c r="L198" i="117"/>
  <c r="L197" i="117"/>
  <c r="L196" i="117"/>
  <c r="L195" i="117"/>
  <c r="L194" i="117"/>
  <c r="L193" i="117"/>
  <c r="L192" i="117"/>
  <c r="L191" i="117"/>
  <c r="L190" i="117"/>
  <c r="L189" i="117"/>
  <c r="L188" i="117"/>
  <c r="L187" i="117"/>
  <c r="L186" i="117"/>
  <c r="L185" i="117"/>
  <c r="L184" i="117"/>
  <c r="L183" i="117"/>
  <c r="L182" i="117"/>
  <c r="L181" i="117"/>
  <c r="L180" i="117"/>
  <c r="L179" i="117"/>
  <c r="L178" i="117"/>
  <c r="L177" i="117"/>
  <c r="L176" i="117"/>
  <c r="L175" i="117"/>
  <c r="L174" i="117"/>
  <c r="L173" i="117"/>
  <c r="L172" i="117"/>
  <c r="L171" i="117"/>
  <c r="L170" i="117"/>
  <c r="L169" i="117"/>
  <c r="L168" i="117"/>
  <c r="L167" i="117"/>
  <c r="L166" i="117"/>
  <c r="L165" i="117"/>
  <c r="L164" i="117"/>
  <c r="L163" i="117"/>
  <c r="L162" i="117"/>
  <c r="L161" i="117"/>
  <c r="L160" i="117"/>
  <c r="L159" i="117"/>
  <c r="L158" i="117"/>
  <c r="L157" i="117"/>
  <c r="L156" i="117"/>
  <c r="L155" i="117"/>
  <c r="L154" i="117"/>
  <c r="L153" i="117"/>
  <c r="L152" i="117"/>
  <c r="L151" i="117"/>
  <c r="L150" i="117"/>
  <c r="L149" i="117"/>
  <c r="L148" i="117"/>
  <c r="L147" i="117"/>
  <c r="L146" i="117"/>
  <c r="L145" i="117"/>
  <c r="L144" i="117"/>
  <c r="L143" i="117"/>
  <c r="L142" i="117"/>
  <c r="L141" i="117"/>
  <c r="L140" i="117"/>
  <c r="L139" i="117"/>
  <c r="L138" i="117"/>
  <c r="L137" i="117"/>
  <c r="L136" i="117"/>
  <c r="L135" i="117"/>
  <c r="L134" i="117"/>
  <c r="L133" i="117"/>
  <c r="L132" i="117"/>
  <c r="L131" i="117"/>
  <c r="L130" i="117"/>
  <c r="L129" i="117"/>
  <c r="L128" i="117"/>
  <c r="L127" i="117"/>
  <c r="L126" i="117"/>
  <c r="L125" i="117"/>
  <c r="L124" i="117"/>
  <c r="L123" i="117"/>
  <c r="L122" i="117"/>
  <c r="L121" i="117"/>
  <c r="L120" i="117"/>
  <c r="L119" i="117"/>
  <c r="L118" i="117"/>
  <c r="L117" i="117"/>
  <c r="L116" i="117"/>
  <c r="L115" i="117"/>
  <c r="L114" i="117"/>
  <c r="L113" i="117"/>
  <c r="L112" i="117"/>
  <c r="L111" i="117"/>
  <c r="L110" i="117"/>
  <c r="L109" i="117"/>
  <c r="L108" i="117"/>
  <c r="L107" i="117"/>
  <c r="L106" i="117"/>
  <c r="L105" i="117"/>
  <c r="L104" i="117"/>
  <c r="L103" i="117"/>
  <c r="L102" i="117"/>
  <c r="L101" i="117"/>
  <c r="L100" i="117"/>
  <c r="L99" i="117"/>
  <c r="L98" i="117"/>
  <c r="L97" i="117"/>
  <c r="L96" i="117"/>
  <c r="L95" i="117"/>
  <c r="L94" i="117"/>
  <c r="L93" i="117"/>
  <c r="L92" i="117"/>
  <c r="L91" i="117"/>
  <c r="L90" i="117"/>
  <c r="L89" i="117"/>
  <c r="L88" i="117"/>
  <c r="L87" i="117"/>
  <c r="L86" i="117"/>
  <c r="L85" i="117"/>
  <c r="L84" i="117"/>
  <c r="L83" i="117"/>
  <c r="L82" i="117"/>
  <c r="L81" i="117"/>
  <c r="L80" i="117"/>
  <c r="L79" i="117"/>
  <c r="L78" i="117"/>
  <c r="L77" i="117"/>
  <c r="L76" i="117"/>
  <c r="L75" i="117"/>
  <c r="L74" i="117"/>
  <c r="L73" i="117"/>
  <c r="L72" i="117"/>
  <c r="L71" i="117"/>
  <c r="L70" i="117"/>
  <c r="L69" i="117"/>
  <c r="L68" i="117"/>
  <c r="L67" i="117"/>
  <c r="L66" i="117"/>
  <c r="L65" i="117"/>
  <c r="L64" i="117"/>
  <c r="L63" i="117"/>
  <c r="L62" i="117"/>
  <c r="L61" i="117"/>
  <c r="L60" i="117"/>
  <c r="L59" i="117"/>
  <c r="L58" i="117"/>
  <c r="L57" i="117"/>
  <c r="L56" i="117"/>
  <c r="L55" i="117"/>
  <c r="L54" i="117"/>
  <c r="L53" i="117"/>
  <c r="L52" i="117"/>
  <c r="L51" i="117"/>
  <c r="L50" i="117"/>
  <c r="L49" i="117"/>
  <c r="L48" i="117"/>
  <c r="L47" i="117"/>
  <c r="L46" i="117"/>
  <c r="L45" i="117"/>
  <c r="L44" i="117"/>
  <c r="L43" i="117"/>
  <c r="L42" i="117"/>
  <c r="L41" i="117"/>
  <c r="L40" i="117"/>
  <c r="L39" i="117"/>
  <c r="L38" i="117"/>
  <c r="L37" i="117"/>
  <c r="L36" i="117"/>
  <c r="L35" i="117"/>
  <c r="L34" i="117"/>
  <c r="L33" i="117"/>
  <c r="L32" i="117"/>
  <c r="L31" i="117"/>
  <c r="L30" i="117"/>
  <c r="L29" i="117"/>
  <c r="L28" i="117"/>
  <c r="L27" i="117"/>
  <c r="L26" i="117"/>
  <c r="L25" i="117"/>
  <c r="L24" i="117"/>
  <c r="L23" i="117"/>
  <c r="L22" i="117"/>
  <c r="L21" i="117"/>
  <c r="L20" i="117"/>
  <c r="L19" i="117"/>
  <c r="L18" i="117"/>
  <c r="L17" i="117"/>
  <c r="L16" i="117"/>
  <c r="L15" i="117"/>
  <c r="L14" i="117"/>
  <c r="L13" i="117"/>
  <c r="L12" i="117"/>
  <c r="L11" i="117"/>
  <c r="L10" i="117"/>
  <c r="L9" i="117"/>
  <c r="L8" i="117"/>
  <c r="L7" i="117"/>
  <c r="L6" i="117"/>
  <c r="L5" i="117"/>
  <c r="L4" i="117"/>
  <c r="K332" i="117"/>
  <c r="K331" i="117"/>
  <c r="K330" i="117"/>
  <c r="K329" i="117"/>
  <c r="K328" i="117"/>
  <c r="K327" i="117"/>
  <c r="K326" i="117"/>
  <c r="K325" i="117"/>
  <c r="K324" i="117"/>
  <c r="K323" i="117"/>
  <c r="K322" i="117"/>
  <c r="K321" i="117"/>
  <c r="K320" i="117"/>
  <c r="K319" i="117"/>
  <c r="K318" i="117"/>
  <c r="K317" i="117"/>
  <c r="K316" i="117"/>
  <c r="K315" i="117"/>
  <c r="K314" i="117"/>
  <c r="K313" i="117"/>
  <c r="K312" i="117"/>
  <c r="K311" i="117"/>
  <c r="K310" i="117"/>
  <c r="K309" i="117"/>
  <c r="K308" i="117"/>
  <c r="K307" i="117"/>
  <c r="K306" i="117"/>
  <c r="K305" i="117"/>
  <c r="K304" i="117"/>
  <c r="K303" i="117"/>
  <c r="K302" i="117"/>
  <c r="K301" i="117"/>
  <c r="K300" i="117"/>
  <c r="K299" i="117"/>
  <c r="K298" i="117"/>
  <c r="K297" i="117"/>
  <c r="K296" i="117"/>
  <c r="K295" i="117"/>
  <c r="K294" i="117"/>
  <c r="K293" i="117"/>
  <c r="K292" i="117"/>
  <c r="K291" i="117"/>
  <c r="K290" i="117"/>
  <c r="K289" i="117"/>
  <c r="K288" i="117"/>
  <c r="K287" i="117"/>
  <c r="K286" i="117"/>
  <c r="K285" i="117"/>
  <c r="K284" i="117"/>
  <c r="K283" i="117"/>
  <c r="K282" i="117"/>
  <c r="K281" i="117"/>
  <c r="K280" i="117"/>
  <c r="K279" i="117"/>
  <c r="K278" i="117"/>
  <c r="K277" i="117"/>
  <c r="K276" i="117"/>
  <c r="K275" i="117"/>
  <c r="K274" i="117"/>
  <c r="K273" i="117"/>
  <c r="K272" i="117"/>
  <c r="K271" i="117"/>
  <c r="K270" i="117"/>
  <c r="K269" i="117"/>
  <c r="K268" i="117"/>
  <c r="K267" i="117"/>
  <c r="K266" i="117"/>
  <c r="K265" i="117"/>
  <c r="K264" i="117"/>
  <c r="K263" i="117"/>
  <c r="K262" i="117"/>
  <c r="K261" i="117"/>
  <c r="K260" i="117"/>
  <c r="K259" i="117"/>
  <c r="K258" i="117"/>
  <c r="K257" i="117"/>
  <c r="K256" i="117"/>
  <c r="K255" i="117"/>
  <c r="K254" i="117"/>
  <c r="K253" i="117"/>
  <c r="K252" i="117"/>
  <c r="K251" i="117"/>
  <c r="K250" i="117"/>
  <c r="K249" i="117"/>
  <c r="K248" i="117"/>
  <c r="K247" i="117"/>
  <c r="K246" i="117"/>
  <c r="K245" i="117"/>
  <c r="K244" i="117"/>
  <c r="K243" i="117"/>
  <c r="K242" i="117"/>
  <c r="K241" i="117"/>
  <c r="K240" i="117"/>
  <c r="K239" i="117"/>
  <c r="K238" i="117"/>
  <c r="K237" i="117"/>
  <c r="K236" i="117"/>
  <c r="K235" i="117"/>
  <c r="K234" i="117"/>
  <c r="K233" i="117"/>
  <c r="K232" i="117"/>
  <c r="K231" i="117"/>
  <c r="K230" i="117"/>
  <c r="K229" i="117"/>
  <c r="K228" i="117"/>
  <c r="K227" i="117"/>
  <c r="K226" i="117"/>
  <c r="K225" i="117"/>
  <c r="K224" i="117"/>
  <c r="K223" i="117"/>
  <c r="K222" i="117"/>
  <c r="K221" i="117"/>
  <c r="K220" i="117"/>
  <c r="K219" i="117"/>
  <c r="K218" i="117"/>
  <c r="K217" i="117"/>
  <c r="K216" i="117"/>
  <c r="K215" i="117"/>
  <c r="K214" i="117"/>
  <c r="K213" i="117"/>
  <c r="K212" i="117"/>
  <c r="K211" i="117"/>
  <c r="K210" i="117"/>
  <c r="K209" i="117"/>
  <c r="K208" i="117"/>
  <c r="K207" i="117"/>
  <c r="K206" i="117"/>
  <c r="K205" i="117"/>
  <c r="K204" i="117"/>
  <c r="K203" i="117"/>
  <c r="K202" i="117"/>
  <c r="K201" i="117"/>
  <c r="K200" i="117"/>
  <c r="K199" i="117"/>
  <c r="K198" i="117"/>
  <c r="K197" i="117"/>
  <c r="K196" i="117"/>
  <c r="K195" i="117"/>
  <c r="K194" i="117"/>
  <c r="K193" i="117"/>
  <c r="K192" i="117"/>
  <c r="K191" i="117"/>
  <c r="K190" i="117"/>
  <c r="K189" i="117"/>
  <c r="K188" i="117"/>
  <c r="K187" i="117"/>
  <c r="K186" i="117"/>
  <c r="K185" i="117"/>
  <c r="K184" i="117"/>
  <c r="K183" i="117"/>
  <c r="K182" i="117"/>
  <c r="K181" i="117"/>
  <c r="K180" i="117"/>
  <c r="K179" i="117"/>
  <c r="K178" i="117"/>
  <c r="K177" i="117"/>
  <c r="K176" i="117"/>
  <c r="K175" i="117"/>
  <c r="K174" i="117"/>
  <c r="K173" i="117"/>
  <c r="K172" i="117"/>
  <c r="K171" i="117"/>
  <c r="K170" i="117"/>
  <c r="K169" i="117"/>
  <c r="K168" i="117"/>
  <c r="K167" i="117"/>
  <c r="K166" i="117"/>
  <c r="K165" i="117"/>
  <c r="K164" i="117"/>
  <c r="K163" i="117"/>
  <c r="K162" i="117"/>
  <c r="K161" i="117"/>
  <c r="K160" i="117"/>
  <c r="K159" i="117"/>
  <c r="K158" i="117"/>
  <c r="K157" i="117"/>
  <c r="K156" i="117"/>
  <c r="K155" i="117"/>
  <c r="K154" i="117"/>
  <c r="K153" i="117"/>
  <c r="K152" i="117"/>
  <c r="K151" i="117"/>
  <c r="K150" i="117"/>
  <c r="K149" i="117"/>
  <c r="K148" i="117"/>
  <c r="K147" i="117"/>
  <c r="K146" i="117"/>
  <c r="K145" i="117"/>
  <c r="K144" i="117"/>
  <c r="K143" i="117"/>
  <c r="K142" i="117"/>
  <c r="K141" i="117"/>
  <c r="K140" i="117"/>
  <c r="K139" i="117"/>
  <c r="K138" i="117"/>
  <c r="K137" i="117"/>
  <c r="K136" i="117"/>
  <c r="K135" i="117"/>
  <c r="K134" i="117"/>
  <c r="K133" i="117"/>
  <c r="K132" i="117"/>
  <c r="K131" i="117"/>
  <c r="K130" i="117"/>
  <c r="K129" i="117"/>
  <c r="K128" i="117"/>
  <c r="K127" i="117"/>
  <c r="K126" i="117"/>
  <c r="K125" i="117"/>
  <c r="K124" i="117"/>
  <c r="K123" i="117"/>
  <c r="K122" i="117"/>
  <c r="K121" i="117"/>
  <c r="K120" i="117"/>
  <c r="K119" i="117"/>
  <c r="K118" i="117"/>
  <c r="K117" i="117"/>
  <c r="K116" i="117"/>
  <c r="K115" i="117"/>
  <c r="K114" i="117"/>
  <c r="K113" i="117"/>
  <c r="K112" i="117"/>
  <c r="K111" i="117"/>
  <c r="K110" i="117"/>
  <c r="K109" i="117"/>
  <c r="K108" i="117"/>
  <c r="K107" i="117"/>
  <c r="K106" i="117"/>
  <c r="K105" i="117"/>
  <c r="K104" i="117"/>
  <c r="K103" i="117"/>
  <c r="K102" i="117"/>
  <c r="K101" i="117"/>
  <c r="K100" i="117"/>
  <c r="K99" i="117"/>
  <c r="K98" i="117"/>
  <c r="K97" i="117"/>
  <c r="K96" i="117"/>
  <c r="K95" i="117"/>
  <c r="K94" i="117"/>
  <c r="K93" i="117"/>
  <c r="K92" i="117"/>
  <c r="K91" i="117"/>
  <c r="K90" i="117"/>
  <c r="K89" i="117"/>
  <c r="K88" i="117"/>
  <c r="K87" i="117"/>
  <c r="K86" i="117"/>
  <c r="K85" i="117"/>
  <c r="K84" i="117"/>
  <c r="K83" i="117"/>
  <c r="K82" i="117"/>
  <c r="K81" i="117"/>
  <c r="K80" i="117"/>
  <c r="K79" i="117"/>
  <c r="K78" i="117"/>
  <c r="K77" i="117"/>
  <c r="K76" i="117"/>
  <c r="K75" i="117"/>
  <c r="K74" i="117"/>
  <c r="K73" i="117"/>
  <c r="K72" i="117"/>
  <c r="K71" i="117"/>
  <c r="K70" i="117"/>
  <c r="K69" i="117"/>
  <c r="K68" i="117"/>
  <c r="K67" i="117"/>
  <c r="K66" i="117"/>
  <c r="K65" i="117"/>
  <c r="K64" i="117"/>
  <c r="K63" i="117"/>
  <c r="K62" i="117"/>
  <c r="K61" i="117"/>
  <c r="K60" i="117"/>
  <c r="K59" i="117"/>
  <c r="K58" i="117"/>
  <c r="K57" i="117"/>
  <c r="K56" i="117"/>
  <c r="K55" i="117"/>
  <c r="K54" i="117"/>
  <c r="K53" i="117"/>
  <c r="K52" i="117"/>
  <c r="K51" i="117"/>
  <c r="K50" i="117"/>
  <c r="K49" i="117"/>
  <c r="K48" i="117"/>
  <c r="K47" i="117"/>
  <c r="K46" i="117"/>
  <c r="K45" i="117"/>
  <c r="K44" i="117"/>
  <c r="K43" i="117"/>
  <c r="K42" i="117"/>
  <c r="K41" i="117"/>
  <c r="K40" i="117"/>
  <c r="K39" i="117"/>
  <c r="K38" i="117"/>
  <c r="K37" i="117"/>
  <c r="K36" i="117"/>
  <c r="K35" i="117"/>
  <c r="K34" i="117"/>
  <c r="K33" i="117"/>
  <c r="K32" i="117"/>
  <c r="K31" i="117"/>
  <c r="K30" i="117"/>
  <c r="K29" i="117"/>
  <c r="K28" i="117"/>
  <c r="K27" i="117"/>
  <c r="K26" i="117"/>
  <c r="K25" i="117"/>
  <c r="K24" i="117"/>
  <c r="K23" i="117"/>
  <c r="K22" i="117"/>
  <c r="K21" i="117"/>
  <c r="K20" i="117"/>
  <c r="K19" i="117"/>
  <c r="K18" i="117"/>
  <c r="K17" i="117"/>
  <c r="K16" i="117"/>
  <c r="K15" i="117"/>
  <c r="K14" i="117"/>
  <c r="K13" i="117"/>
  <c r="K12" i="117"/>
  <c r="K11" i="117"/>
  <c r="K10" i="117"/>
  <c r="K9" i="117"/>
  <c r="K8" i="117"/>
  <c r="K7" i="117"/>
  <c r="K6" i="117"/>
  <c r="K5" i="117"/>
  <c r="K4" i="117"/>
  <c r="J332" i="117"/>
  <c r="J331" i="117"/>
  <c r="J330" i="117"/>
  <c r="J329" i="117"/>
  <c r="J328" i="117"/>
  <c r="J327" i="117"/>
  <c r="J326" i="117"/>
  <c r="J325" i="117"/>
  <c r="J324" i="117"/>
  <c r="J323" i="117"/>
  <c r="J322" i="117"/>
  <c r="J321" i="117"/>
  <c r="J320" i="117"/>
  <c r="J319" i="117"/>
  <c r="J318" i="117"/>
  <c r="J317" i="117"/>
  <c r="J316" i="117"/>
  <c r="J315" i="117"/>
  <c r="J314" i="117"/>
  <c r="J313" i="117"/>
  <c r="J312" i="117"/>
  <c r="J311" i="117"/>
  <c r="J310" i="117"/>
  <c r="J309" i="117"/>
  <c r="J308" i="117"/>
  <c r="J307" i="117"/>
  <c r="J306" i="117"/>
  <c r="J305" i="117"/>
  <c r="J304" i="117"/>
  <c r="J303" i="117"/>
  <c r="J302" i="117"/>
  <c r="J301" i="117"/>
  <c r="J300" i="117"/>
  <c r="J299" i="117"/>
  <c r="J298" i="117"/>
  <c r="J297" i="117"/>
  <c r="J296" i="117"/>
  <c r="J295" i="117"/>
  <c r="J294" i="117"/>
  <c r="J293" i="117"/>
  <c r="J292" i="117"/>
  <c r="J291" i="117"/>
  <c r="J290" i="117"/>
  <c r="J289" i="117"/>
  <c r="J288" i="117"/>
  <c r="J287" i="117"/>
  <c r="J286" i="117"/>
  <c r="J285" i="117"/>
  <c r="J284" i="117"/>
  <c r="J283" i="117"/>
  <c r="J282" i="117"/>
  <c r="J281" i="117"/>
  <c r="J280" i="117"/>
  <c r="J279" i="117"/>
  <c r="J278" i="117"/>
  <c r="J277" i="117"/>
  <c r="J276" i="117"/>
  <c r="J275" i="117"/>
  <c r="J274" i="117"/>
  <c r="J273" i="117"/>
  <c r="J272" i="117"/>
  <c r="J271" i="117"/>
  <c r="J270" i="117"/>
  <c r="J269" i="117"/>
  <c r="J268" i="117"/>
  <c r="J267" i="117"/>
  <c r="J266" i="117"/>
  <c r="J265" i="117"/>
  <c r="J264" i="117"/>
  <c r="J263" i="117"/>
  <c r="J262" i="117"/>
  <c r="J261" i="117"/>
  <c r="J260" i="117"/>
  <c r="J259" i="117"/>
  <c r="J258" i="117"/>
  <c r="J257" i="117"/>
  <c r="J256" i="117"/>
  <c r="J255" i="117"/>
  <c r="J254" i="117"/>
  <c r="J253" i="117"/>
  <c r="J252" i="117"/>
  <c r="J251" i="117"/>
  <c r="J250" i="117"/>
  <c r="J249" i="117"/>
  <c r="J248" i="117"/>
  <c r="J247" i="117"/>
  <c r="J246" i="117"/>
  <c r="J245" i="117"/>
  <c r="J244" i="117"/>
  <c r="J243" i="117"/>
  <c r="J242" i="117"/>
  <c r="J241" i="117"/>
  <c r="J240" i="117"/>
  <c r="J239" i="117"/>
  <c r="J238" i="117"/>
  <c r="J237" i="117"/>
  <c r="J236" i="117"/>
  <c r="J235" i="117"/>
  <c r="J234" i="117"/>
  <c r="J233" i="117"/>
  <c r="J232" i="117"/>
  <c r="J231" i="117"/>
  <c r="J230" i="117"/>
  <c r="J229" i="117"/>
  <c r="J228" i="117"/>
  <c r="J227" i="117"/>
  <c r="J226" i="117"/>
  <c r="J225" i="117"/>
  <c r="J224" i="117"/>
  <c r="J223" i="117"/>
  <c r="J222" i="117"/>
  <c r="J221" i="117"/>
  <c r="J220" i="117"/>
  <c r="J219" i="117"/>
  <c r="J218" i="117"/>
  <c r="J217" i="117"/>
  <c r="J216" i="117"/>
  <c r="J215" i="117"/>
  <c r="J214" i="117"/>
  <c r="J213" i="117"/>
  <c r="J212" i="117"/>
  <c r="J211" i="117"/>
  <c r="J210" i="117"/>
  <c r="J209" i="117"/>
  <c r="J208" i="117"/>
  <c r="J207" i="117"/>
  <c r="J206" i="117"/>
  <c r="J205" i="117"/>
  <c r="J204" i="117"/>
  <c r="J203" i="117"/>
  <c r="J202" i="117"/>
  <c r="J201" i="117"/>
  <c r="J200" i="117"/>
  <c r="J199" i="117"/>
  <c r="J198" i="117"/>
  <c r="J197" i="117"/>
  <c r="J196" i="117"/>
  <c r="J195" i="117"/>
  <c r="J194" i="117"/>
  <c r="J193" i="117"/>
  <c r="J192" i="117"/>
  <c r="J191" i="117"/>
  <c r="J190" i="117"/>
  <c r="J189" i="117"/>
  <c r="J188" i="117"/>
  <c r="J187" i="117"/>
  <c r="J186" i="117"/>
  <c r="J185" i="117"/>
  <c r="J184" i="117"/>
  <c r="J183" i="117"/>
  <c r="J182" i="117"/>
  <c r="J181" i="117"/>
  <c r="J180" i="117"/>
  <c r="J179" i="117"/>
  <c r="J178" i="117"/>
  <c r="J177" i="117"/>
  <c r="J176" i="117"/>
  <c r="J175" i="117"/>
  <c r="J174" i="117"/>
  <c r="J173" i="117"/>
  <c r="J172" i="117"/>
  <c r="J171" i="117"/>
  <c r="J170" i="117"/>
  <c r="J169" i="117"/>
  <c r="J168" i="117"/>
  <c r="J167" i="117"/>
  <c r="J166" i="117"/>
  <c r="J165" i="117"/>
  <c r="J164" i="117"/>
  <c r="J163" i="117"/>
  <c r="J162" i="117"/>
  <c r="J161" i="117"/>
  <c r="J160" i="117"/>
  <c r="J159" i="117"/>
  <c r="J158" i="117"/>
  <c r="J157" i="117"/>
  <c r="J156" i="117"/>
  <c r="J155" i="117"/>
  <c r="J154" i="117"/>
  <c r="J153" i="117"/>
  <c r="J152" i="117"/>
  <c r="J151" i="117"/>
  <c r="J150" i="117"/>
  <c r="J149" i="117"/>
  <c r="J148" i="117"/>
  <c r="J147" i="117"/>
  <c r="J146" i="117"/>
  <c r="J145" i="117"/>
  <c r="J144" i="117"/>
  <c r="J143" i="117"/>
  <c r="J142" i="117"/>
  <c r="J141" i="117"/>
  <c r="J140" i="117"/>
  <c r="J139" i="117"/>
  <c r="J138" i="117"/>
  <c r="J137" i="117"/>
  <c r="J136" i="117"/>
  <c r="J135" i="117"/>
  <c r="J134" i="117"/>
  <c r="J133" i="117"/>
  <c r="J132" i="117"/>
  <c r="J131" i="117"/>
  <c r="J130" i="117"/>
  <c r="J129" i="117"/>
  <c r="J128" i="117"/>
  <c r="J127" i="117"/>
  <c r="J126" i="117"/>
  <c r="J125" i="117"/>
  <c r="J124" i="117"/>
  <c r="J123" i="117"/>
  <c r="J122" i="117"/>
  <c r="J121" i="117"/>
  <c r="J120" i="117"/>
  <c r="J119" i="117"/>
  <c r="J118" i="117"/>
  <c r="J117" i="117"/>
  <c r="J116" i="117"/>
  <c r="J115" i="117"/>
  <c r="J114" i="117"/>
  <c r="J113" i="117"/>
  <c r="J112" i="117"/>
  <c r="J111" i="117"/>
  <c r="J110" i="117"/>
  <c r="J109" i="117"/>
  <c r="J108" i="117"/>
  <c r="J107" i="117"/>
  <c r="J106" i="117"/>
  <c r="J105" i="117"/>
  <c r="J104" i="117"/>
  <c r="J103" i="117"/>
  <c r="J102" i="117"/>
  <c r="J101" i="117"/>
  <c r="J100" i="117"/>
  <c r="J99" i="117"/>
  <c r="J98" i="117"/>
  <c r="J97" i="117"/>
  <c r="J96" i="117"/>
  <c r="J95" i="117"/>
  <c r="J94" i="117"/>
  <c r="J93" i="117"/>
  <c r="J92" i="117"/>
  <c r="J91" i="117"/>
  <c r="J90" i="117"/>
  <c r="J89" i="117"/>
  <c r="J88" i="117"/>
  <c r="J87" i="117"/>
  <c r="J86" i="117"/>
  <c r="J85" i="117"/>
  <c r="J84" i="117"/>
  <c r="J83" i="117"/>
  <c r="J82" i="117"/>
  <c r="J81" i="117"/>
  <c r="J80" i="117"/>
  <c r="J79" i="117"/>
  <c r="J78" i="117"/>
  <c r="J77" i="117"/>
  <c r="J76" i="117"/>
  <c r="J75" i="117"/>
  <c r="J74" i="117"/>
  <c r="J73" i="117"/>
  <c r="J72" i="117"/>
  <c r="J71" i="117"/>
  <c r="J70" i="117"/>
  <c r="J69" i="117"/>
  <c r="J68" i="117"/>
  <c r="J67" i="117"/>
  <c r="J66" i="117"/>
  <c r="J65" i="117"/>
  <c r="J64" i="117"/>
  <c r="J63" i="117"/>
  <c r="J62" i="117"/>
  <c r="J61" i="117"/>
  <c r="J60" i="117"/>
  <c r="J59" i="117"/>
  <c r="J58" i="117"/>
  <c r="J57" i="117"/>
  <c r="J56" i="117"/>
  <c r="J55" i="117"/>
  <c r="J54" i="117"/>
  <c r="J53" i="117"/>
  <c r="J52" i="117"/>
  <c r="J51" i="117"/>
  <c r="J50" i="117"/>
  <c r="J49" i="117"/>
  <c r="J48" i="117"/>
  <c r="J47" i="117"/>
  <c r="J46" i="117"/>
  <c r="J45" i="117"/>
  <c r="J44" i="117"/>
  <c r="J43" i="117"/>
  <c r="J42" i="117"/>
  <c r="J41" i="117"/>
  <c r="J40" i="117"/>
  <c r="J39" i="117"/>
  <c r="J38" i="117"/>
  <c r="J37" i="117"/>
  <c r="J36" i="117"/>
  <c r="J35" i="117"/>
  <c r="J34" i="117"/>
  <c r="J33" i="117"/>
  <c r="J32" i="117"/>
  <c r="J31" i="117"/>
  <c r="J30" i="117"/>
  <c r="J29" i="117"/>
  <c r="J28" i="117"/>
  <c r="J27" i="117"/>
  <c r="J26" i="117"/>
  <c r="J25" i="117"/>
  <c r="J24" i="117"/>
  <c r="J23" i="117"/>
  <c r="J22" i="117"/>
  <c r="J21" i="117"/>
  <c r="J20" i="117"/>
  <c r="J19" i="117"/>
  <c r="J18" i="117"/>
  <c r="J17" i="117"/>
  <c r="J16" i="117"/>
  <c r="J15" i="117"/>
  <c r="J14" i="117"/>
  <c r="J13" i="117"/>
  <c r="J12" i="117"/>
  <c r="J11" i="117"/>
  <c r="J10" i="117"/>
  <c r="J9" i="117"/>
  <c r="J8" i="117"/>
  <c r="J7" i="117"/>
  <c r="J6" i="117"/>
  <c r="J5" i="117"/>
  <c r="J4" i="117"/>
  <c r="T232" i="115"/>
  <c r="S232" i="115"/>
  <c r="T229" i="115"/>
  <c r="S229" i="115"/>
  <c r="T231" i="115"/>
  <c r="S231" i="115"/>
  <c r="T230" i="115"/>
  <c r="S230" i="115"/>
  <c r="T42" i="115"/>
  <c r="S42" i="115"/>
  <c r="T133" i="115"/>
  <c r="S133" i="115"/>
  <c r="T132" i="115"/>
  <c r="S132" i="115"/>
  <c r="T555" i="115"/>
  <c r="S555" i="115"/>
  <c r="T554" i="115"/>
  <c r="S554" i="115"/>
  <c r="T552" i="115"/>
  <c r="S552" i="115"/>
  <c r="T551" i="115"/>
  <c r="S551" i="115"/>
  <c r="T553" i="115"/>
  <c r="S553" i="115"/>
  <c r="T714" i="115"/>
  <c r="S714" i="115"/>
  <c r="T712" i="115"/>
  <c r="S712" i="115"/>
  <c r="T713" i="115"/>
  <c r="S713" i="115"/>
  <c r="T437" i="115"/>
  <c r="S437" i="115"/>
  <c r="T438" i="115"/>
  <c r="S438" i="115"/>
  <c r="T439" i="115"/>
  <c r="S439" i="115"/>
  <c r="T440" i="115"/>
  <c r="S440" i="115"/>
  <c r="T353" i="115"/>
  <c r="S353" i="115"/>
  <c r="T351" i="115"/>
  <c r="S351" i="115"/>
  <c r="T352" i="115"/>
  <c r="S352" i="115"/>
  <c r="T445" i="115"/>
  <c r="S445" i="115"/>
  <c r="T447" i="115"/>
  <c r="S447" i="115"/>
  <c r="T444" i="115"/>
  <c r="S444" i="115"/>
  <c r="T446" i="115"/>
  <c r="S446" i="115"/>
  <c r="T27" i="115"/>
  <c r="S27" i="115"/>
  <c r="T602" i="115"/>
  <c r="S602" i="115"/>
  <c r="T48" i="115"/>
  <c r="S48" i="115"/>
  <c r="T26" i="115"/>
  <c r="S26" i="115"/>
  <c r="T436" i="115"/>
  <c r="S436" i="115"/>
  <c r="T118" i="115"/>
  <c r="S118" i="115"/>
  <c r="T117" i="115"/>
  <c r="S117" i="115"/>
  <c r="T597" i="115"/>
  <c r="S597" i="115"/>
  <c r="T863" i="115"/>
  <c r="S863" i="115"/>
  <c r="T864" i="115"/>
  <c r="S864" i="115"/>
  <c r="T836" i="115"/>
  <c r="S836" i="115"/>
  <c r="T834" i="115"/>
  <c r="S834" i="115"/>
  <c r="T835" i="115"/>
  <c r="S835" i="115"/>
  <c r="T608" i="115"/>
  <c r="S608" i="115"/>
  <c r="T609" i="115"/>
  <c r="S609" i="115"/>
  <c r="T607" i="115"/>
  <c r="S607" i="115"/>
  <c r="T933" i="115"/>
  <c r="S933" i="115"/>
  <c r="T932" i="115"/>
  <c r="S932" i="115"/>
  <c r="T931" i="115"/>
  <c r="S931" i="115"/>
  <c r="T934" i="115"/>
  <c r="S934" i="115"/>
  <c r="T935" i="115"/>
  <c r="S935" i="115"/>
  <c r="T206" i="115"/>
  <c r="S206" i="115"/>
  <c r="T204" i="115"/>
  <c r="S204" i="115"/>
  <c r="T203" i="115"/>
  <c r="S203" i="115"/>
  <c r="T205" i="115"/>
  <c r="S205" i="115"/>
  <c r="T535" i="115"/>
  <c r="S535" i="115"/>
  <c r="T536" i="115"/>
  <c r="S536" i="115"/>
  <c r="T537" i="115"/>
  <c r="S537" i="115"/>
  <c r="T905" i="115"/>
  <c r="S905" i="115"/>
  <c r="T904" i="115"/>
  <c r="S904" i="115"/>
  <c r="T908" i="115"/>
  <c r="S908" i="115"/>
  <c r="T907" i="115"/>
  <c r="S907" i="115"/>
  <c r="T906" i="115"/>
  <c r="S906" i="115"/>
  <c r="T130" i="115"/>
  <c r="S130" i="115"/>
  <c r="T131" i="115"/>
  <c r="S131" i="115"/>
  <c r="T746" i="115"/>
  <c r="S746" i="115"/>
  <c r="T745" i="115"/>
  <c r="S745" i="115"/>
  <c r="T969" i="115"/>
  <c r="S969" i="115"/>
  <c r="T148" i="115"/>
  <c r="S148" i="115"/>
  <c r="T287" i="115"/>
  <c r="S287" i="115"/>
  <c r="T538" i="115"/>
  <c r="S538" i="115"/>
  <c r="T539" i="115"/>
  <c r="S539" i="115"/>
  <c r="T540" i="115"/>
  <c r="S540" i="115"/>
  <c r="T4" i="115"/>
  <c r="S4" i="115"/>
  <c r="T3" i="115"/>
  <c r="S3" i="115"/>
  <c r="T5" i="115"/>
  <c r="S5" i="115"/>
  <c r="T6" i="115"/>
  <c r="S6" i="115"/>
  <c r="T9" i="115"/>
  <c r="S9" i="115"/>
  <c r="T315" i="115"/>
  <c r="S315" i="115"/>
  <c r="T314" i="115"/>
  <c r="S314" i="115"/>
  <c r="T313" i="115"/>
  <c r="S313" i="115"/>
  <c r="T311" i="115"/>
  <c r="S311" i="115"/>
  <c r="T312" i="115"/>
  <c r="S312" i="115"/>
  <c r="T108" i="115"/>
  <c r="S108" i="115"/>
  <c r="T215" i="115"/>
  <c r="S215" i="115"/>
  <c r="T217" i="115"/>
  <c r="S217" i="115"/>
  <c r="T218" i="115"/>
  <c r="S218" i="115"/>
  <c r="T216" i="115"/>
  <c r="S216" i="115"/>
  <c r="T29" i="115"/>
  <c r="S29" i="115"/>
  <c r="T2" i="115"/>
  <c r="S2" i="115"/>
  <c r="T30" i="115"/>
  <c r="S30" i="115"/>
  <c r="T28" i="115"/>
  <c r="S28" i="115"/>
  <c r="T8" i="115"/>
  <c r="S8" i="115"/>
  <c r="T628" i="115"/>
  <c r="S628" i="115"/>
  <c r="T630" i="115"/>
  <c r="S630" i="115"/>
  <c r="T631" i="115"/>
  <c r="S631" i="115"/>
  <c r="T629" i="115"/>
  <c r="S629" i="115"/>
  <c r="T627" i="115"/>
  <c r="S627" i="115"/>
  <c r="T811" i="115"/>
  <c r="S811" i="115"/>
  <c r="T810" i="115"/>
  <c r="S810" i="115"/>
  <c r="T809" i="115"/>
  <c r="S809" i="115"/>
  <c r="T807" i="115"/>
  <c r="S807" i="115"/>
  <c r="T808" i="115"/>
  <c r="S808" i="115"/>
  <c r="T949" i="115"/>
  <c r="S949" i="115"/>
  <c r="T948" i="115"/>
  <c r="S948" i="115"/>
  <c r="T947" i="115"/>
  <c r="S947" i="115"/>
  <c r="T945" i="115"/>
  <c r="S945" i="115"/>
  <c r="T946" i="115"/>
  <c r="S946" i="115"/>
  <c r="T708" i="115"/>
  <c r="S708" i="115"/>
  <c r="T709" i="115"/>
  <c r="S709" i="115"/>
  <c r="T710" i="115"/>
  <c r="S710" i="115"/>
  <c r="T520" i="115"/>
  <c r="S520" i="115"/>
  <c r="T522" i="115"/>
  <c r="S522" i="115"/>
  <c r="T521" i="115"/>
  <c r="S521" i="115"/>
  <c r="T182" i="115"/>
  <c r="S182" i="115"/>
  <c r="T729" i="115"/>
  <c r="S729" i="115"/>
  <c r="T730" i="115"/>
  <c r="S730" i="115"/>
  <c r="T727" i="115"/>
  <c r="S727" i="115"/>
  <c r="T728" i="115"/>
  <c r="S728" i="115"/>
  <c r="T731" i="115"/>
  <c r="S731" i="115"/>
  <c r="T914" i="115"/>
  <c r="S914" i="115"/>
  <c r="T917" i="115"/>
  <c r="S917" i="115"/>
  <c r="T918" i="115"/>
  <c r="S918" i="115"/>
  <c r="T915" i="115"/>
  <c r="S915" i="115"/>
  <c r="T916" i="115"/>
  <c r="S916" i="115"/>
  <c r="T56" i="115"/>
  <c r="S56" i="115"/>
  <c r="T58" i="115"/>
  <c r="S58" i="115"/>
  <c r="T57" i="115"/>
  <c r="S57" i="115"/>
  <c r="T55" i="115"/>
  <c r="S55" i="115"/>
  <c r="T498" i="115"/>
  <c r="S498" i="115"/>
  <c r="T496" i="115"/>
  <c r="S496" i="115"/>
  <c r="T495" i="115"/>
  <c r="S495" i="115"/>
  <c r="T497" i="115"/>
  <c r="S497" i="115"/>
  <c r="T499" i="115"/>
  <c r="S499" i="115"/>
  <c r="T105" i="115"/>
  <c r="S105" i="115"/>
  <c r="T104" i="115"/>
  <c r="S104" i="115"/>
  <c r="T743" i="115"/>
  <c r="S743" i="115"/>
  <c r="T744" i="115"/>
  <c r="S744" i="115"/>
  <c r="T87" i="115"/>
  <c r="S87" i="115"/>
  <c r="T86" i="115"/>
  <c r="S86" i="115"/>
  <c r="T85" i="115"/>
  <c r="S85" i="115"/>
  <c r="T469" i="115"/>
  <c r="S469" i="115"/>
  <c r="T468" i="115"/>
  <c r="S468" i="115"/>
  <c r="T467" i="115"/>
  <c r="S467" i="115"/>
  <c r="T466" i="115"/>
  <c r="S466" i="115"/>
  <c r="T455" i="115"/>
  <c r="S455" i="115"/>
  <c r="T454" i="115"/>
  <c r="S454" i="115"/>
  <c r="T453" i="115"/>
  <c r="S453" i="115"/>
  <c r="T452" i="115"/>
  <c r="S452" i="115"/>
  <c r="T451" i="115"/>
  <c r="S451" i="115"/>
  <c r="T475" i="115"/>
  <c r="S475" i="115"/>
  <c r="T474" i="115"/>
  <c r="S474" i="115"/>
  <c r="T556" i="115"/>
  <c r="S556" i="115"/>
  <c r="T557" i="115"/>
  <c r="S557" i="115"/>
  <c r="T567" i="115"/>
  <c r="S567" i="115"/>
  <c r="T566" i="115"/>
  <c r="S566" i="115"/>
  <c r="T362" i="115"/>
  <c r="S362" i="115"/>
  <c r="T577" i="115"/>
  <c r="S577" i="115"/>
  <c r="T576" i="115"/>
  <c r="S576" i="115"/>
  <c r="T578" i="115"/>
  <c r="S578" i="115"/>
  <c r="T226" i="115"/>
  <c r="S226" i="115"/>
  <c r="T227" i="115"/>
  <c r="S227" i="115"/>
  <c r="T228" i="115"/>
  <c r="S228" i="115"/>
  <c r="T225" i="115"/>
  <c r="S225" i="115"/>
  <c r="T224" i="115"/>
  <c r="S224" i="115"/>
  <c r="T682" i="115"/>
  <c r="S682" i="115"/>
  <c r="T683" i="115"/>
  <c r="S683" i="115"/>
  <c r="T685" i="115"/>
  <c r="S685" i="115"/>
  <c r="T686" i="115"/>
  <c r="S686" i="115"/>
  <c r="T684" i="115"/>
  <c r="S684" i="115"/>
  <c r="T865" i="115"/>
  <c r="S865" i="115"/>
  <c r="T845" i="115"/>
  <c r="S845" i="115"/>
  <c r="T846" i="115"/>
  <c r="S846" i="115"/>
  <c r="T847" i="115"/>
  <c r="S847" i="115"/>
  <c r="T844" i="115"/>
  <c r="S844" i="115"/>
  <c r="T848" i="115"/>
  <c r="S848" i="115"/>
  <c r="T694" i="115"/>
  <c r="S694" i="115"/>
  <c r="T695" i="115"/>
  <c r="S695" i="115"/>
  <c r="T696" i="115"/>
  <c r="S696" i="115"/>
  <c r="T692" i="115"/>
  <c r="S692" i="115"/>
  <c r="T693" i="115"/>
  <c r="S693" i="115"/>
  <c r="T653" i="115"/>
  <c r="S653" i="115"/>
  <c r="T654" i="115"/>
  <c r="S654" i="115"/>
  <c r="T655" i="115"/>
  <c r="S655" i="115"/>
  <c r="T656" i="115"/>
  <c r="S656" i="115"/>
  <c r="T976" i="115"/>
  <c r="S976" i="115"/>
  <c r="T711" i="115"/>
  <c r="S711" i="115"/>
  <c r="T345" i="115"/>
  <c r="S345" i="115"/>
  <c r="T346" i="115"/>
  <c r="S346" i="115"/>
  <c r="T344" i="115"/>
  <c r="S344" i="115"/>
  <c r="T817" i="115"/>
  <c r="S817" i="115"/>
  <c r="T818" i="115"/>
  <c r="S818" i="115"/>
  <c r="T870" i="115"/>
  <c r="S870" i="115"/>
  <c r="T869" i="115"/>
  <c r="S869" i="115"/>
  <c r="T868" i="115"/>
  <c r="S868" i="115"/>
  <c r="T116" i="115"/>
  <c r="S116" i="115"/>
  <c r="T619" i="115"/>
  <c r="S619" i="115"/>
  <c r="T621" i="115"/>
  <c r="S621" i="115"/>
  <c r="T620" i="115"/>
  <c r="S620" i="115"/>
  <c r="T851" i="115"/>
  <c r="S851" i="115"/>
  <c r="T853" i="115"/>
  <c r="S853" i="115"/>
  <c r="T852" i="115"/>
  <c r="S852" i="115"/>
  <c r="T850" i="115"/>
  <c r="S850" i="115"/>
  <c r="T849" i="115"/>
  <c r="S849" i="115"/>
  <c r="T7" i="115"/>
  <c r="S7" i="115"/>
  <c r="T121" i="115"/>
  <c r="S121" i="115"/>
  <c r="T122" i="115"/>
  <c r="S122" i="115"/>
  <c r="T120" i="115"/>
  <c r="S120" i="115"/>
  <c r="T123" i="115"/>
  <c r="S123" i="115"/>
  <c r="T201" i="115"/>
  <c r="S201" i="115"/>
  <c r="T202" i="115"/>
  <c r="S202" i="115"/>
  <c r="T257" i="115"/>
  <c r="S257" i="115"/>
  <c r="T256" i="115"/>
  <c r="S256" i="115"/>
  <c r="T254" i="115"/>
  <c r="S254" i="115"/>
  <c r="T255" i="115"/>
  <c r="S255" i="115"/>
  <c r="T253" i="115"/>
  <c r="S253" i="115"/>
  <c r="T75" i="115"/>
  <c r="S75" i="115"/>
  <c r="T74" i="115"/>
  <c r="S74" i="115"/>
  <c r="T77" i="115"/>
  <c r="S77" i="115"/>
  <c r="T78" i="115"/>
  <c r="S78" i="115"/>
  <c r="T76" i="115"/>
  <c r="S76" i="115"/>
  <c r="T282" i="115"/>
  <c r="S282" i="115"/>
  <c r="T283" i="115"/>
  <c r="S283" i="115"/>
  <c r="T279" i="115"/>
  <c r="S279" i="115"/>
  <c r="T281" i="115"/>
  <c r="S281" i="115"/>
  <c r="T280" i="115"/>
  <c r="S280" i="115"/>
  <c r="T292" i="115"/>
  <c r="S292" i="115"/>
  <c r="T290" i="115"/>
  <c r="S290" i="115"/>
  <c r="T291" i="115"/>
  <c r="S291" i="115"/>
  <c r="T289" i="115"/>
  <c r="S289" i="115"/>
  <c r="T288" i="115"/>
  <c r="S288" i="115"/>
  <c r="T372" i="115"/>
  <c r="S372" i="115"/>
  <c r="T371" i="115"/>
  <c r="S371" i="115"/>
  <c r="T832" i="115"/>
  <c r="S832" i="115"/>
  <c r="T829" i="115"/>
  <c r="S829" i="115"/>
  <c r="T830" i="115"/>
  <c r="S830" i="115"/>
  <c r="T831" i="115"/>
  <c r="S831" i="115"/>
  <c r="T833" i="115"/>
  <c r="S833" i="115"/>
  <c r="T930" i="115"/>
  <c r="S930" i="115"/>
  <c r="T927" i="115"/>
  <c r="S927" i="115"/>
  <c r="T929" i="115"/>
  <c r="S929" i="115"/>
  <c r="T928" i="115"/>
  <c r="S928" i="115"/>
  <c r="T926" i="115"/>
  <c r="S926" i="115"/>
  <c r="T587" i="115"/>
  <c r="S587" i="115"/>
  <c r="T588" i="115"/>
  <c r="S588" i="115"/>
  <c r="T589" i="115"/>
  <c r="S589" i="115"/>
  <c r="T591" i="115"/>
  <c r="S591" i="115"/>
  <c r="T590" i="115"/>
  <c r="S590" i="115"/>
  <c r="T507" i="115"/>
  <c r="S507" i="115"/>
  <c r="T504" i="115"/>
  <c r="S504" i="115"/>
  <c r="T506" i="115"/>
  <c r="S506" i="115"/>
  <c r="T505" i="115"/>
  <c r="S505" i="115"/>
  <c r="T508" i="115"/>
  <c r="S508" i="115"/>
  <c r="T413" i="115"/>
  <c r="S413" i="115"/>
  <c r="T412" i="115"/>
  <c r="S412" i="115"/>
  <c r="T435" i="115"/>
  <c r="S435" i="115"/>
  <c r="T434" i="115"/>
  <c r="S434" i="115"/>
  <c r="T157" i="115"/>
  <c r="S157" i="115"/>
  <c r="T158" i="115"/>
  <c r="S158" i="115"/>
  <c r="T160" i="115"/>
  <c r="S160" i="115"/>
  <c r="T159" i="115"/>
  <c r="S159" i="115"/>
  <c r="T161" i="115"/>
  <c r="S161" i="115"/>
  <c r="T549" i="115"/>
  <c r="S549" i="115"/>
  <c r="T548" i="115"/>
  <c r="S548" i="115"/>
  <c r="T547" i="115"/>
  <c r="S547" i="115"/>
  <c r="T546" i="115"/>
  <c r="S546" i="115"/>
  <c r="T550" i="115"/>
  <c r="S550" i="115"/>
  <c r="T799" i="115"/>
  <c r="S799" i="115"/>
  <c r="T796" i="115"/>
  <c r="S796" i="115"/>
  <c r="T797" i="115"/>
  <c r="S797" i="115"/>
  <c r="T798" i="115"/>
  <c r="S798" i="115"/>
  <c r="T800" i="115"/>
  <c r="S800" i="115"/>
  <c r="T738" i="115"/>
  <c r="S738" i="115"/>
  <c r="T741" i="115"/>
  <c r="S741" i="115"/>
  <c r="T740" i="115"/>
  <c r="S740" i="115"/>
  <c r="T739" i="115"/>
  <c r="S739" i="115"/>
  <c r="T742" i="115"/>
  <c r="S742" i="115"/>
  <c r="T359" i="115"/>
  <c r="S359" i="115"/>
  <c r="T265" i="115"/>
  <c r="S265" i="115"/>
  <c r="T262" i="115"/>
  <c r="S262" i="115"/>
  <c r="T263" i="115"/>
  <c r="S263" i="115"/>
  <c r="T261" i="115"/>
  <c r="S261" i="115"/>
  <c r="T264" i="115"/>
  <c r="S264" i="115"/>
  <c r="T318" i="115"/>
  <c r="S318" i="115"/>
  <c r="T319" i="115"/>
  <c r="S319" i="115"/>
  <c r="T317" i="115"/>
  <c r="S317" i="115"/>
  <c r="T477" i="115"/>
  <c r="S477" i="115"/>
  <c r="T479" i="115"/>
  <c r="S479" i="115"/>
  <c r="T478" i="115"/>
  <c r="S478" i="115"/>
  <c r="T476" i="115"/>
  <c r="S476" i="115"/>
  <c r="T913" i="115"/>
  <c r="S913" i="115"/>
  <c r="T912" i="115"/>
  <c r="S912" i="115"/>
  <c r="T911" i="115"/>
  <c r="S911" i="115"/>
  <c r="T910" i="115"/>
  <c r="S910" i="115"/>
  <c r="T909" i="115"/>
  <c r="S909" i="115"/>
  <c r="T246" i="115"/>
  <c r="S246" i="115"/>
  <c r="T244" i="115"/>
  <c r="S244" i="115"/>
  <c r="T245" i="115"/>
  <c r="S245" i="115"/>
  <c r="T247" i="115"/>
  <c r="S247" i="115"/>
  <c r="T959" i="115"/>
  <c r="S959" i="115"/>
  <c r="T958" i="115"/>
  <c r="S958" i="115"/>
  <c r="T957" i="115"/>
  <c r="S957" i="115"/>
  <c r="T960" i="115"/>
  <c r="S960" i="115"/>
  <c r="T961" i="115"/>
  <c r="S961" i="115"/>
  <c r="T334" i="115"/>
  <c r="S334" i="115"/>
  <c r="T333" i="115"/>
  <c r="S333" i="115"/>
  <c r="T332" i="115"/>
  <c r="S332" i="115"/>
  <c r="T570" i="115"/>
  <c r="S570" i="115"/>
  <c r="T573" i="115"/>
  <c r="S573" i="115"/>
  <c r="T571" i="115"/>
  <c r="S571" i="115"/>
  <c r="T569" i="115"/>
  <c r="S569" i="115"/>
  <c r="T572" i="115"/>
  <c r="S572" i="115"/>
  <c r="T634" i="115"/>
  <c r="S634" i="115"/>
  <c r="T635" i="115"/>
  <c r="S635" i="115"/>
  <c r="T632" i="115"/>
  <c r="S632" i="115"/>
  <c r="T636" i="115"/>
  <c r="S636" i="115"/>
  <c r="T633" i="115"/>
  <c r="S633" i="115"/>
  <c r="T691" i="115"/>
  <c r="S691" i="115"/>
  <c r="T689" i="115"/>
  <c r="S689" i="115"/>
  <c r="T687" i="115"/>
  <c r="S687" i="115"/>
  <c r="T688" i="115"/>
  <c r="S688" i="115"/>
  <c r="T690" i="115"/>
  <c r="S690" i="115"/>
  <c r="T770" i="115"/>
  <c r="S770" i="115"/>
  <c r="T769" i="115"/>
  <c r="S769" i="115"/>
  <c r="T768" i="115"/>
  <c r="S768" i="115"/>
  <c r="T393" i="115"/>
  <c r="S393" i="115"/>
  <c r="T392" i="115"/>
  <c r="S392" i="115"/>
  <c r="T142" i="115"/>
  <c r="S142" i="115"/>
  <c r="T335" i="115"/>
  <c r="S335" i="115"/>
  <c r="T337" i="115"/>
  <c r="S337" i="115"/>
  <c r="T336" i="115"/>
  <c r="S336" i="115"/>
  <c r="T338" i="115"/>
  <c r="S338" i="115"/>
  <c r="T272" i="115"/>
  <c r="S272" i="115"/>
  <c r="T270" i="115"/>
  <c r="S270" i="115"/>
  <c r="T271" i="115"/>
  <c r="S271" i="115"/>
  <c r="T273" i="115"/>
  <c r="S273" i="115"/>
  <c r="T381" i="115"/>
  <c r="S381" i="115"/>
  <c r="T382" i="115"/>
  <c r="S382" i="115"/>
  <c r="T380" i="115"/>
  <c r="S380" i="115"/>
  <c r="T378" i="115"/>
  <c r="S378" i="115"/>
  <c r="T379" i="115"/>
  <c r="S379" i="115"/>
  <c r="T443" i="115"/>
  <c r="S443" i="115"/>
  <c r="T442" i="115"/>
  <c r="S442" i="115"/>
  <c r="T441" i="115"/>
  <c r="S441" i="115"/>
  <c r="T430" i="115"/>
  <c r="S430" i="115"/>
  <c r="T429" i="115"/>
  <c r="S429" i="115"/>
  <c r="T431" i="115"/>
  <c r="S431" i="115"/>
  <c r="T456" i="115"/>
  <c r="S456" i="115"/>
  <c r="T45" i="115"/>
  <c r="S45" i="115"/>
  <c r="T25" i="115"/>
  <c r="S25" i="115"/>
  <c r="T44" i="115"/>
  <c r="S44" i="115"/>
  <c r="T238" i="115"/>
  <c r="S238" i="115"/>
  <c r="T234" i="115"/>
  <c r="S234" i="115"/>
  <c r="T235" i="115"/>
  <c r="S235" i="115"/>
  <c r="T237" i="115"/>
  <c r="S237" i="115"/>
  <c r="T236" i="115"/>
  <c r="S236" i="115"/>
  <c r="T424" i="115"/>
  <c r="S424" i="115"/>
  <c r="T425" i="115"/>
  <c r="S425" i="115"/>
  <c r="T423" i="115"/>
  <c r="S423" i="115"/>
  <c r="T309" i="115"/>
  <c r="S309" i="115"/>
  <c r="T310" i="115"/>
  <c r="S310" i="115"/>
  <c r="T715" i="115"/>
  <c r="S715" i="115"/>
  <c r="T903" i="115"/>
  <c r="S903" i="115"/>
  <c r="T963" i="115"/>
  <c r="S963" i="115"/>
  <c r="T964" i="115"/>
  <c r="S964" i="115"/>
  <c r="T150" i="115"/>
  <c r="S150" i="115"/>
  <c r="T139" i="115"/>
  <c r="S139" i="115"/>
  <c r="T140" i="115"/>
  <c r="S140" i="115"/>
  <c r="T219" i="115"/>
  <c r="S219" i="115"/>
  <c r="T465" i="115"/>
  <c r="S465" i="115"/>
  <c r="T464" i="115"/>
  <c r="S464" i="115"/>
  <c r="T462" i="115"/>
  <c r="S462" i="115"/>
  <c r="T461" i="115"/>
  <c r="S461" i="115"/>
  <c r="T463" i="115"/>
  <c r="S463" i="115"/>
  <c r="T417" i="115"/>
  <c r="S417" i="115"/>
  <c r="T418" i="115"/>
  <c r="S418" i="115"/>
  <c r="T416" i="115"/>
  <c r="S416" i="115"/>
  <c r="T47" i="115"/>
  <c r="S47" i="115"/>
  <c r="T308" i="115"/>
  <c r="S308" i="115"/>
  <c r="T307" i="115"/>
  <c r="S307" i="115"/>
  <c r="T306" i="115"/>
  <c r="S306" i="115"/>
  <c r="T365" i="115"/>
  <c r="S365" i="115"/>
  <c r="T366" i="115"/>
  <c r="S366" i="115"/>
  <c r="T81" i="115"/>
  <c r="S81" i="115"/>
  <c r="T83" i="115"/>
  <c r="S83" i="115"/>
  <c r="T79" i="115"/>
  <c r="S79" i="115"/>
  <c r="T80" i="115"/>
  <c r="S80" i="115"/>
  <c r="T82" i="115"/>
  <c r="S82" i="115"/>
  <c r="T899" i="115"/>
  <c r="S899" i="115"/>
  <c r="T901" i="115"/>
  <c r="S901" i="115"/>
  <c r="T902" i="115"/>
  <c r="S902" i="115"/>
  <c r="T900" i="115"/>
  <c r="S900" i="115"/>
  <c r="T791" i="115"/>
  <c r="S791" i="115"/>
  <c r="T792" i="115"/>
  <c r="S792" i="115"/>
  <c r="T793" i="115"/>
  <c r="S793" i="115"/>
  <c r="T794" i="115"/>
  <c r="S794" i="115"/>
  <c r="T795" i="115"/>
  <c r="S795" i="115"/>
  <c r="T867" i="115"/>
  <c r="S867" i="115"/>
  <c r="T641" i="115"/>
  <c r="S641" i="115"/>
  <c r="T639" i="115"/>
  <c r="S639" i="115"/>
  <c r="T640" i="115"/>
  <c r="S640" i="115"/>
  <c r="T638" i="115"/>
  <c r="S638" i="115"/>
  <c r="T642" i="115"/>
  <c r="S642" i="115"/>
  <c r="T897" i="115"/>
  <c r="S897" i="115"/>
  <c r="T894" i="115"/>
  <c r="S894" i="115"/>
  <c r="T895" i="115"/>
  <c r="S895" i="115"/>
  <c r="T896" i="115"/>
  <c r="S896" i="115"/>
  <c r="T898" i="115"/>
  <c r="S898" i="115"/>
  <c r="T953" i="115"/>
  <c r="S953" i="115"/>
  <c r="T952" i="115"/>
  <c r="S952" i="115"/>
  <c r="T951" i="115"/>
  <c r="S951" i="115"/>
  <c r="T543" i="115"/>
  <c r="S543" i="115"/>
  <c r="T544" i="115"/>
  <c r="S544" i="115"/>
  <c r="T541" i="115"/>
  <c r="S541" i="115"/>
  <c r="T545" i="115"/>
  <c r="S545" i="115"/>
  <c r="T542" i="115"/>
  <c r="S542" i="115"/>
  <c r="T180" i="115"/>
  <c r="S180" i="115"/>
  <c r="T177" i="115"/>
  <c r="S177" i="115"/>
  <c r="T178" i="115"/>
  <c r="S178" i="115"/>
  <c r="T181" i="115"/>
  <c r="S181" i="115"/>
  <c r="T179" i="115"/>
  <c r="S179" i="115"/>
  <c r="T60" i="115"/>
  <c r="S60" i="115"/>
  <c r="T62" i="115"/>
  <c r="S62" i="115"/>
  <c r="T61" i="115"/>
  <c r="S61" i="115"/>
  <c r="T63" i="115"/>
  <c r="S63" i="115"/>
  <c r="T59" i="115"/>
  <c r="S59" i="115"/>
  <c r="T286" i="115"/>
  <c r="S286" i="115"/>
  <c r="T720" i="115"/>
  <c r="S720" i="115"/>
  <c r="T719" i="115"/>
  <c r="S719" i="115"/>
  <c r="T718" i="115"/>
  <c r="S718" i="115"/>
  <c r="T721" i="115"/>
  <c r="S721" i="115"/>
  <c r="T141" i="115"/>
  <c r="S141" i="115"/>
  <c r="T356" i="115"/>
  <c r="S356" i="115"/>
  <c r="T355" i="115"/>
  <c r="S355" i="115"/>
  <c r="T354" i="115"/>
  <c r="S354" i="115"/>
  <c r="T147" i="115"/>
  <c r="S147" i="115"/>
  <c r="T523" i="115"/>
  <c r="S523" i="115"/>
  <c r="T527" i="115"/>
  <c r="S527" i="115"/>
  <c r="T524" i="115"/>
  <c r="S524" i="115"/>
  <c r="T525" i="115"/>
  <c r="S525" i="115"/>
  <c r="T526" i="115"/>
  <c r="S526" i="115"/>
  <c r="T401" i="115"/>
  <c r="S401" i="115"/>
  <c r="T399" i="115"/>
  <c r="S399" i="115"/>
  <c r="T400" i="115"/>
  <c r="S400" i="115"/>
  <c r="T974" i="115"/>
  <c r="S974" i="115"/>
  <c r="T975" i="115"/>
  <c r="S975" i="115"/>
  <c r="T973" i="115"/>
  <c r="S973" i="115"/>
  <c r="T972" i="115"/>
  <c r="S972" i="115"/>
  <c r="T494" i="115"/>
  <c r="S494" i="115"/>
  <c r="T305" i="115"/>
  <c r="S305" i="115"/>
  <c r="T304" i="115"/>
  <c r="S304" i="115"/>
  <c r="T119" i="115"/>
  <c r="S119" i="115"/>
  <c r="T109" i="115"/>
  <c r="S109" i="115"/>
  <c r="T110" i="115"/>
  <c r="S110" i="115"/>
  <c r="T783" i="115"/>
  <c r="S783" i="115"/>
  <c r="T785" i="115"/>
  <c r="S785" i="115"/>
  <c r="T784" i="115"/>
  <c r="S784" i="115"/>
  <c r="T395" i="115"/>
  <c r="S395" i="115"/>
  <c r="T394" i="115"/>
  <c r="S394" i="115"/>
  <c r="T396" i="115"/>
  <c r="S396" i="115"/>
  <c r="T397" i="115"/>
  <c r="S397" i="115"/>
  <c r="T398" i="115"/>
  <c r="S398" i="115"/>
  <c r="T64" i="115"/>
  <c r="S64" i="115"/>
  <c r="T66" i="115"/>
  <c r="S66" i="115"/>
  <c r="T65" i="115"/>
  <c r="S65" i="115"/>
  <c r="T733" i="115"/>
  <c r="S733" i="115"/>
  <c r="T732" i="115"/>
  <c r="S732" i="115"/>
  <c r="T188" i="115"/>
  <c r="S188" i="115"/>
  <c r="T293" i="115"/>
  <c r="S293" i="115"/>
  <c r="T883" i="115"/>
  <c r="S883" i="115"/>
  <c r="T364" i="115"/>
  <c r="S364" i="115"/>
  <c r="T363" i="115"/>
  <c r="S363" i="115"/>
  <c r="T492" i="115"/>
  <c r="S492" i="115"/>
  <c r="T491" i="115"/>
  <c r="S491" i="115"/>
  <c r="T488" i="115"/>
  <c r="S488" i="115"/>
  <c r="T489" i="115"/>
  <c r="S489" i="115"/>
  <c r="T490" i="115"/>
  <c r="S490" i="115"/>
  <c r="T350" i="115"/>
  <c r="S350" i="115"/>
  <c r="T580" i="115"/>
  <c r="S580" i="115"/>
  <c r="T583" i="115"/>
  <c r="S583" i="115"/>
  <c r="T582" i="115"/>
  <c r="S582" i="115"/>
  <c r="T581" i="115"/>
  <c r="S581" i="115"/>
  <c r="T579" i="115"/>
  <c r="S579" i="115"/>
  <c r="T889" i="115"/>
  <c r="S889" i="115"/>
  <c r="T892" i="115"/>
  <c r="S892" i="115"/>
  <c r="T891" i="115"/>
  <c r="S891" i="115"/>
  <c r="T890" i="115"/>
  <c r="S890" i="115"/>
  <c r="T214" i="115"/>
  <c r="S214" i="115"/>
  <c r="T787" i="115"/>
  <c r="S787" i="115"/>
  <c r="T786" i="115"/>
  <c r="S786" i="115"/>
  <c r="T790" i="115"/>
  <c r="S790" i="115"/>
  <c r="T789" i="115"/>
  <c r="S789" i="115"/>
  <c r="T788" i="115"/>
  <c r="S788" i="115"/>
  <c r="T414" i="115"/>
  <c r="S414" i="115"/>
  <c r="T415" i="115"/>
  <c r="S415" i="115"/>
  <c r="T877" i="115"/>
  <c r="S877" i="115"/>
  <c r="T925" i="115"/>
  <c r="S925" i="115"/>
  <c r="T923" i="115"/>
  <c r="S923" i="115"/>
  <c r="T924" i="115"/>
  <c r="S924" i="115"/>
  <c r="T921" i="115"/>
  <c r="S921" i="115"/>
  <c r="T922" i="115"/>
  <c r="S922" i="115"/>
  <c r="T138" i="115"/>
  <c r="S138" i="115"/>
  <c r="T278" i="115"/>
  <c r="S278" i="115"/>
  <c r="T277" i="115"/>
  <c r="S277" i="115"/>
  <c r="T274" i="115"/>
  <c r="S274" i="115"/>
  <c r="T275" i="115"/>
  <c r="S275" i="115"/>
  <c r="T276" i="115"/>
  <c r="S276" i="115"/>
  <c r="T858" i="115"/>
  <c r="S858" i="115"/>
  <c r="T855" i="115"/>
  <c r="S855" i="115"/>
  <c r="T857" i="115"/>
  <c r="S857" i="115"/>
  <c r="T856" i="115"/>
  <c r="S856" i="115"/>
  <c r="T854" i="115"/>
  <c r="S854" i="115"/>
  <c r="T340" i="115"/>
  <c r="S340" i="115"/>
  <c r="T339" i="115"/>
  <c r="S339" i="115"/>
  <c r="T192" i="115"/>
  <c r="S192" i="115"/>
  <c r="T194" i="115"/>
  <c r="S194" i="115"/>
  <c r="T195" i="115"/>
  <c r="S195" i="115"/>
  <c r="T191" i="115"/>
  <c r="S191" i="115"/>
  <c r="T193" i="115"/>
  <c r="S193" i="115"/>
  <c r="T879" i="115"/>
  <c r="S879" i="115"/>
  <c r="T779" i="115"/>
  <c r="S779" i="115"/>
  <c r="T778" i="115"/>
  <c r="S778" i="115"/>
  <c r="T782" i="115"/>
  <c r="S782" i="115"/>
  <c r="T781" i="115"/>
  <c r="S781" i="115"/>
  <c r="T780" i="115"/>
  <c r="S780" i="115"/>
  <c r="T241" i="115"/>
  <c r="S241" i="115"/>
  <c r="T240" i="115"/>
  <c r="S240" i="115"/>
  <c r="T239" i="115"/>
  <c r="S239" i="115"/>
  <c r="T943" i="115"/>
  <c r="S943" i="115"/>
  <c r="T944" i="115"/>
  <c r="S944" i="115"/>
  <c r="T942" i="115"/>
  <c r="S942" i="115"/>
  <c r="T32" i="115"/>
  <c r="S32" i="115"/>
  <c r="T16" i="115"/>
  <c r="S16" i="115"/>
  <c r="T33" i="115"/>
  <c r="S33" i="115"/>
  <c r="T18" i="115"/>
  <c r="S18" i="115"/>
  <c r="T20" i="115"/>
  <c r="S20" i="115"/>
  <c r="T19" i="115"/>
  <c r="S19" i="115"/>
  <c r="T17" i="115"/>
  <c r="S17" i="115"/>
  <c r="T233" i="115"/>
  <c r="S233" i="115"/>
  <c r="T12" i="115"/>
  <c r="S12" i="115"/>
  <c r="T14" i="115"/>
  <c r="S14" i="115"/>
  <c r="T11" i="115"/>
  <c r="S11" i="115"/>
  <c r="T13" i="115"/>
  <c r="S13" i="115"/>
  <c r="T15" i="115"/>
  <c r="S15" i="115"/>
  <c r="T92" i="115"/>
  <c r="S92" i="115"/>
  <c r="T91" i="115"/>
  <c r="S91" i="115"/>
  <c r="T93" i="115"/>
  <c r="S93" i="115"/>
  <c r="T878" i="115"/>
  <c r="S878" i="115"/>
  <c r="T89" i="115"/>
  <c r="S89" i="115"/>
  <c r="T88" i="115"/>
  <c r="S88" i="115"/>
  <c r="T734" i="115"/>
  <c r="S734" i="115"/>
  <c r="T736" i="115"/>
  <c r="S736" i="115"/>
  <c r="T737" i="115"/>
  <c r="S737" i="115"/>
  <c r="T735" i="115"/>
  <c r="S735" i="115"/>
  <c r="T376" i="115"/>
  <c r="S376" i="115"/>
  <c r="T375" i="115"/>
  <c r="S375" i="115"/>
  <c r="T377" i="115"/>
  <c r="S377" i="115"/>
  <c r="T757" i="115"/>
  <c r="S757" i="115"/>
  <c r="T754" i="115"/>
  <c r="S754" i="115"/>
  <c r="T755" i="115"/>
  <c r="S755" i="115"/>
  <c r="T756" i="115"/>
  <c r="S756" i="115"/>
  <c r="T753" i="115"/>
  <c r="S753" i="115"/>
  <c r="T207" i="115"/>
  <c r="S207" i="115"/>
  <c r="T458" i="115"/>
  <c r="S458" i="115"/>
  <c r="T457" i="115"/>
  <c r="S457" i="115"/>
  <c r="T460" i="115"/>
  <c r="S460" i="115"/>
  <c r="T459" i="115"/>
  <c r="S459" i="115"/>
  <c r="T509" i="115"/>
  <c r="S509" i="115"/>
  <c r="T321" i="115"/>
  <c r="S321" i="115"/>
  <c r="T323" i="115"/>
  <c r="S323" i="115"/>
  <c r="T320" i="115"/>
  <c r="S320" i="115"/>
  <c r="T322" i="115"/>
  <c r="S322" i="115"/>
  <c r="T259" i="115"/>
  <c r="S259" i="115"/>
  <c r="T260" i="115"/>
  <c r="S260" i="115"/>
  <c r="T258" i="115"/>
  <c r="S258" i="115"/>
  <c r="T503" i="115"/>
  <c r="S503" i="115"/>
  <c r="T502" i="115"/>
  <c r="S502" i="115"/>
  <c r="T662" i="115"/>
  <c r="S662" i="115"/>
  <c r="T666" i="115"/>
  <c r="S666" i="115"/>
  <c r="T664" i="115"/>
  <c r="S664" i="115"/>
  <c r="T665" i="115"/>
  <c r="S665" i="115"/>
  <c r="T663" i="115"/>
  <c r="S663" i="115"/>
  <c r="T249" i="115"/>
  <c r="S249" i="115"/>
  <c r="T250" i="115"/>
  <c r="S250" i="115"/>
  <c r="T252" i="115"/>
  <c r="S252" i="115"/>
  <c r="T248" i="115"/>
  <c r="S248" i="115"/>
  <c r="T251" i="115"/>
  <c r="S251" i="115"/>
  <c r="T209" i="115"/>
  <c r="S209" i="115"/>
  <c r="T210" i="115"/>
  <c r="S210" i="115"/>
  <c r="T208" i="115"/>
  <c r="S208" i="115"/>
  <c r="T348" i="115"/>
  <c r="S348" i="115"/>
  <c r="T347" i="115"/>
  <c r="S347" i="115"/>
  <c r="T124" i="115"/>
  <c r="S124" i="115"/>
  <c r="T125" i="115"/>
  <c r="S125" i="115"/>
  <c r="T114" i="115"/>
  <c r="S114" i="115"/>
  <c r="T113" i="115"/>
  <c r="S113" i="115"/>
  <c r="T172" i="115"/>
  <c r="S172" i="115"/>
  <c r="T173" i="115"/>
  <c r="S173" i="115"/>
  <c r="T374" i="115"/>
  <c r="S374" i="115"/>
  <c r="T373" i="115"/>
  <c r="S373" i="115"/>
  <c r="T358" i="115"/>
  <c r="S358" i="115"/>
  <c r="T357" i="115"/>
  <c r="S357" i="115"/>
  <c r="T615" i="115"/>
  <c r="S615" i="115"/>
  <c r="T618" i="115"/>
  <c r="S618" i="115"/>
  <c r="T614" i="115"/>
  <c r="S614" i="115"/>
  <c r="T617" i="115"/>
  <c r="S617" i="115"/>
  <c r="T616" i="115"/>
  <c r="S616" i="115"/>
  <c r="T487" i="115"/>
  <c r="S487" i="115"/>
  <c r="T486" i="115"/>
  <c r="S486" i="115"/>
  <c r="T485" i="115"/>
  <c r="S485" i="115"/>
  <c r="T483" i="115"/>
  <c r="S483" i="115"/>
  <c r="T484" i="115"/>
  <c r="S484" i="115"/>
  <c r="T592" i="115"/>
  <c r="S592" i="115"/>
  <c r="T595" i="115"/>
  <c r="S595" i="115"/>
  <c r="T596" i="115"/>
  <c r="S596" i="115"/>
  <c r="T593" i="115"/>
  <c r="S593" i="115"/>
  <c r="T594" i="115"/>
  <c r="S594" i="115"/>
  <c r="T717" i="115"/>
  <c r="S717" i="115"/>
  <c r="T68" i="115"/>
  <c r="S68" i="115"/>
  <c r="T67" i="115"/>
  <c r="S67" i="115"/>
  <c r="T69" i="115"/>
  <c r="S69" i="115"/>
  <c r="T70" i="115"/>
  <c r="S70" i="115"/>
  <c r="T71" i="115"/>
  <c r="S71" i="115"/>
  <c r="T295" i="115"/>
  <c r="S295" i="115"/>
  <c r="T296" i="115"/>
  <c r="S296" i="115"/>
  <c r="T294" i="115"/>
  <c r="S294" i="115"/>
  <c r="T391" i="115"/>
  <c r="S391" i="115"/>
  <c r="T390" i="115"/>
  <c r="S390" i="115"/>
  <c r="T285" i="115"/>
  <c r="S285" i="115"/>
  <c r="T284" i="115"/>
  <c r="S284" i="115"/>
  <c r="T772" i="115"/>
  <c r="S772" i="115"/>
  <c r="T771" i="115"/>
  <c r="S771" i="115"/>
  <c r="T679" i="115"/>
  <c r="S679" i="115"/>
  <c r="T677" i="115"/>
  <c r="S677" i="115"/>
  <c r="T681" i="115"/>
  <c r="S681" i="115"/>
  <c r="T678" i="115"/>
  <c r="S678" i="115"/>
  <c r="T680" i="115"/>
  <c r="S680" i="115"/>
  <c r="T98" i="115"/>
  <c r="S98" i="115"/>
  <c r="T96" i="115"/>
  <c r="S96" i="115"/>
  <c r="T95" i="115"/>
  <c r="S95" i="115"/>
  <c r="T97" i="115"/>
  <c r="S97" i="115"/>
  <c r="T94" i="115"/>
  <c r="S94" i="115"/>
  <c r="T128" i="115"/>
  <c r="S128" i="115"/>
  <c r="T129" i="115"/>
  <c r="S129" i="115"/>
  <c r="T127" i="115"/>
  <c r="S127" i="115"/>
  <c r="T126" i="115"/>
  <c r="S126" i="115"/>
  <c r="T324" i="115"/>
  <c r="S324" i="115"/>
  <c r="T187" i="115"/>
  <c r="S187" i="115"/>
  <c r="T186" i="115"/>
  <c r="S186" i="115"/>
  <c r="T185" i="115"/>
  <c r="S185" i="115"/>
  <c r="T183" i="115"/>
  <c r="S183" i="115"/>
  <c r="T184" i="115"/>
  <c r="S184" i="115"/>
  <c r="T970" i="115"/>
  <c r="S970" i="115"/>
  <c r="T938" i="115"/>
  <c r="S938" i="115"/>
  <c r="T939" i="115"/>
  <c r="S939" i="115"/>
  <c r="T196" i="115"/>
  <c r="S196" i="115"/>
  <c r="T197" i="115"/>
  <c r="S197" i="115"/>
  <c r="T843" i="115"/>
  <c r="S843" i="115"/>
  <c r="T842" i="115"/>
  <c r="S842" i="115"/>
  <c r="T704" i="115"/>
  <c r="S704" i="115"/>
  <c r="T705" i="115"/>
  <c r="S705" i="115"/>
  <c r="T700" i="115"/>
  <c r="S700" i="115"/>
  <c r="T703" i="115"/>
  <c r="S703" i="115"/>
  <c r="T702" i="115"/>
  <c r="S702" i="115"/>
  <c r="T701" i="115"/>
  <c r="S701" i="115"/>
  <c r="T699" i="115"/>
  <c r="S699" i="115"/>
  <c r="T49" i="115"/>
  <c r="S49" i="115"/>
  <c r="T698" i="115"/>
  <c r="S698" i="115"/>
  <c r="T697" i="115"/>
  <c r="S697" i="115"/>
  <c r="T599" i="115"/>
  <c r="S599" i="115"/>
  <c r="T559" i="115"/>
  <c r="S559" i="115"/>
  <c r="T560" i="115"/>
  <c r="S560" i="115"/>
  <c r="T558" i="115"/>
  <c r="S558" i="115"/>
  <c r="T411" i="115"/>
  <c r="S411" i="115"/>
  <c r="T408" i="115"/>
  <c r="S408" i="115"/>
  <c r="T409" i="115"/>
  <c r="S409" i="115"/>
  <c r="T410" i="115"/>
  <c r="S410" i="115"/>
  <c r="T407" i="115"/>
  <c r="S407" i="115"/>
  <c r="T301" i="115"/>
  <c r="S301" i="115"/>
  <c r="T302" i="115"/>
  <c r="S302" i="115"/>
  <c r="T303" i="115"/>
  <c r="S303" i="115"/>
  <c r="T660" i="115"/>
  <c r="S660" i="115"/>
  <c r="T661" i="115"/>
  <c r="S661" i="115"/>
  <c r="T657" i="115"/>
  <c r="S657" i="115"/>
  <c r="T658" i="115"/>
  <c r="S658" i="115"/>
  <c r="T659" i="115"/>
  <c r="S659" i="115"/>
  <c r="T965" i="115"/>
  <c r="S965" i="115"/>
  <c r="T966" i="115"/>
  <c r="S966" i="115"/>
  <c r="T871" i="115"/>
  <c r="S871" i="115"/>
  <c r="T873" i="115"/>
  <c r="S873" i="115"/>
  <c r="T872" i="115"/>
  <c r="S872" i="115"/>
  <c r="T432" i="115"/>
  <c r="S432" i="115"/>
  <c r="T716" i="115"/>
  <c r="S716" i="115"/>
  <c r="T10" i="115"/>
  <c r="S10" i="115"/>
  <c r="T40" i="115"/>
  <c r="S40" i="115"/>
  <c r="T39" i="115"/>
  <c r="S39" i="115"/>
  <c r="T38" i="115"/>
  <c r="S38" i="115"/>
  <c r="T37" i="115"/>
  <c r="S37" i="115"/>
  <c r="T41" i="115"/>
  <c r="S41" i="115"/>
  <c r="T220" i="115"/>
  <c r="S220" i="115"/>
  <c r="T223" i="115"/>
  <c r="S223" i="115"/>
  <c r="T222" i="115"/>
  <c r="S222" i="115"/>
  <c r="T221" i="115"/>
  <c r="S221" i="115"/>
  <c r="T450" i="115"/>
  <c r="S450" i="115"/>
  <c r="T448" i="115"/>
  <c r="S448" i="115"/>
  <c r="T449" i="115"/>
  <c r="S449" i="115"/>
  <c r="T707" i="115"/>
  <c r="S707" i="115"/>
  <c r="T343" i="115"/>
  <c r="S343" i="115"/>
  <c r="T342" i="115"/>
  <c r="S342" i="115"/>
  <c r="T341" i="115"/>
  <c r="S341" i="115"/>
  <c r="T724" i="115"/>
  <c r="S724" i="115"/>
  <c r="T722" i="115"/>
  <c r="S722" i="115"/>
  <c r="T723" i="115"/>
  <c r="S723" i="115"/>
  <c r="T725" i="115"/>
  <c r="S725" i="115"/>
  <c r="T726" i="115"/>
  <c r="S726" i="115"/>
  <c r="T761" i="115"/>
  <c r="S761" i="115"/>
  <c r="T759" i="115"/>
  <c r="S759" i="115"/>
  <c r="T760" i="115"/>
  <c r="S760" i="115"/>
  <c r="T762" i="115"/>
  <c r="S762" i="115"/>
  <c r="T758" i="115"/>
  <c r="S758" i="115"/>
  <c r="T515" i="115"/>
  <c r="S515" i="115"/>
  <c r="T517" i="115"/>
  <c r="S517" i="115"/>
  <c r="T519" i="115"/>
  <c r="S519" i="115"/>
  <c r="T518" i="115"/>
  <c r="S518" i="115"/>
  <c r="T516" i="115"/>
  <c r="S516" i="115"/>
  <c r="T35" i="115"/>
  <c r="S35" i="115"/>
  <c r="T34" i="115"/>
  <c r="S34" i="115"/>
  <c r="T36" i="115"/>
  <c r="S36" i="115"/>
  <c r="T598" i="115"/>
  <c r="S598" i="115"/>
  <c r="T584" i="115"/>
  <c r="S584" i="115"/>
  <c r="T586" i="115"/>
  <c r="S586" i="115"/>
  <c r="T585" i="115"/>
  <c r="S585" i="115"/>
  <c r="T568" i="115"/>
  <c r="S568" i="115"/>
  <c r="T349" i="115"/>
  <c r="S349" i="115"/>
  <c r="T880" i="115"/>
  <c r="S880" i="115"/>
  <c r="T881" i="115"/>
  <c r="S881" i="115"/>
  <c r="T882" i="115"/>
  <c r="S882" i="115"/>
  <c r="T31" i="115"/>
  <c r="S31" i="115"/>
  <c r="T90" i="115"/>
  <c r="S90" i="115"/>
  <c r="T874" i="115"/>
  <c r="S874" i="115"/>
  <c r="T84" i="115"/>
  <c r="S84" i="115"/>
  <c r="T422" i="115"/>
  <c r="S422" i="115"/>
  <c r="T919" i="115"/>
  <c r="S919" i="115"/>
  <c r="T920" i="115"/>
  <c r="S920" i="115"/>
  <c r="T514" i="115"/>
  <c r="S514" i="115"/>
  <c r="T512" i="115"/>
  <c r="S512" i="115"/>
  <c r="T510" i="115"/>
  <c r="S510" i="115"/>
  <c r="T511" i="115"/>
  <c r="S511" i="115"/>
  <c r="T513" i="115"/>
  <c r="S513" i="115"/>
  <c r="T859" i="115"/>
  <c r="S859" i="115"/>
  <c r="T862" i="115"/>
  <c r="S862" i="115"/>
  <c r="T860" i="115"/>
  <c r="S860" i="115"/>
  <c r="T861" i="115"/>
  <c r="S861" i="115"/>
  <c r="T46" i="115"/>
  <c r="S46" i="115"/>
  <c r="T827" i="115"/>
  <c r="S827" i="115"/>
  <c r="T826" i="115"/>
  <c r="S826" i="115"/>
  <c r="T825" i="115"/>
  <c r="S825" i="115"/>
  <c r="T828" i="115"/>
  <c r="S828" i="115"/>
  <c r="T824" i="115"/>
  <c r="S824" i="115"/>
  <c r="T134" i="115"/>
  <c r="S134" i="115"/>
  <c r="T387" i="115"/>
  <c r="S387" i="115"/>
  <c r="T386" i="115"/>
  <c r="S386" i="115"/>
  <c r="T385" i="115"/>
  <c r="S385" i="115"/>
  <c r="T384" i="115"/>
  <c r="S384" i="115"/>
  <c r="T383" i="115"/>
  <c r="S383" i="115"/>
  <c r="T645" i="115"/>
  <c r="S645" i="115"/>
  <c r="T643" i="115"/>
  <c r="S643" i="115"/>
  <c r="T647" i="115"/>
  <c r="S647" i="115"/>
  <c r="T644" i="115"/>
  <c r="S644" i="115"/>
  <c r="T646" i="115"/>
  <c r="S646" i="115"/>
  <c r="T171" i="115"/>
  <c r="S171" i="115"/>
  <c r="T170" i="115"/>
  <c r="S170" i="115"/>
  <c r="T198" i="115"/>
  <c r="S198" i="115"/>
  <c r="T200" i="115"/>
  <c r="S200" i="115"/>
  <c r="T199" i="115"/>
  <c r="S199" i="115"/>
  <c r="T152" i="115"/>
  <c r="S152" i="115"/>
  <c r="T370" i="115"/>
  <c r="S370" i="115"/>
  <c r="T369" i="115"/>
  <c r="S369" i="115"/>
  <c r="T368" i="115"/>
  <c r="S368" i="115"/>
  <c r="T801" i="115"/>
  <c r="S801" i="115"/>
  <c r="T427" i="115"/>
  <c r="S427" i="115"/>
  <c r="T426" i="115"/>
  <c r="S426" i="115"/>
  <c r="T428" i="115"/>
  <c r="S428" i="115"/>
  <c r="T501" i="115"/>
  <c r="S501" i="115"/>
  <c r="T111" i="115"/>
  <c r="S111" i="115"/>
  <c r="T149" i="115"/>
  <c r="S149" i="115"/>
  <c r="T962" i="115"/>
  <c r="S962" i="115"/>
  <c r="T106" i="115"/>
  <c r="S106" i="115"/>
  <c r="T107" i="115"/>
  <c r="S107" i="115"/>
  <c r="T841" i="115"/>
  <c r="S841" i="115"/>
  <c r="T839" i="115"/>
  <c r="S839" i="115"/>
  <c r="T838" i="115"/>
  <c r="S838" i="115"/>
  <c r="T837" i="115"/>
  <c r="S837" i="115"/>
  <c r="T840" i="115"/>
  <c r="S840" i="115"/>
  <c r="T145" i="115"/>
  <c r="S145" i="115"/>
  <c r="T534" i="115"/>
  <c r="S534" i="115"/>
  <c r="T533" i="115"/>
  <c r="S533" i="115"/>
  <c r="T532" i="115"/>
  <c r="S532" i="115"/>
  <c r="T176" i="115"/>
  <c r="S176" i="115"/>
  <c r="T174" i="115"/>
  <c r="S174" i="115"/>
  <c r="T175" i="115"/>
  <c r="S175" i="115"/>
  <c r="T137" i="115"/>
  <c r="S137" i="115"/>
  <c r="T331" i="115"/>
  <c r="S331" i="115"/>
  <c r="T330" i="115"/>
  <c r="S330" i="115"/>
  <c r="T329" i="115"/>
  <c r="S329" i="115"/>
  <c r="T103" i="115"/>
  <c r="S103" i="115"/>
  <c r="T135" i="115"/>
  <c r="S135" i="115"/>
  <c r="T136" i="115"/>
  <c r="S136" i="115"/>
  <c r="T888" i="115"/>
  <c r="S888" i="115"/>
  <c r="T884" i="115"/>
  <c r="S884" i="115"/>
  <c r="T886" i="115"/>
  <c r="S886" i="115"/>
  <c r="T885" i="115"/>
  <c r="S885" i="115"/>
  <c r="T887" i="115"/>
  <c r="S887" i="115"/>
  <c r="T146" i="115"/>
  <c r="S146" i="115"/>
  <c r="T562" i="115"/>
  <c r="S562" i="115"/>
  <c r="T565" i="115"/>
  <c r="S565" i="115"/>
  <c r="T561" i="115"/>
  <c r="S561" i="115"/>
  <c r="T563" i="115"/>
  <c r="S563" i="115"/>
  <c r="T564" i="115"/>
  <c r="S564" i="115"/>
  <c r="T775" i="115"/>
  <c r="S775" i="115"/>
  <c r="T777" i="115"/>
  <c r="S777" i="115"/>
  <c r="T774" i="115"/>
  <c r="S774" i="115"/>
  <c r="T776" i="115"/>
  <c r="S776" i="115"/>
  <c r="T773" i="115"/>
  <c r="S773" i="115"/>
  <c r="T243" i="115"/>
  <c r="S243" i="115"/>
  <c r="T242" i="115"/>
  <c r="S242" i="115"/>
  <c r="T650" i="115"/>
  <c r="S650" i="115"/>
  <c r="T649" i="115"/>
  <c r="S649" i="115"/>
  <c r="T648" i="115"/>
  <c r="S648" i="115"/>
  <c r="T652" i="115"/>
  <c r="S652" i="115"/>
  <c r="T651" i="115"/>
  <c r="S651" i="115"/>
  <c r="T667" i="115"/>
  <c r="S667" i="115"/>
  <c r="T671" i="115"/>
  <c r="S671" i="115"/>
  <c r="T668" i="115"/>
  <c r="S668" i="115"/>
  <c r="T670" i="115"/>
  <c r="S670" i="115"/>
  <c r="T669" i="115"/>
  <c r="S669" i="115"/>
  <c r="T600" i="115"/>
  <c r="S600" i="115"/>
  <c r="T601" i="115"/>
  <c r="S601" i="115"/>
  <c r="T328" i="115"/>
  <c r="S328" i="115"/>
  <c r="T327" i="115"/>
  <c r="S327" i="115"/>
  <c r="T326" i="115"/>
  <c r="S326" i="115"/>
  <c r="T325" i="115"/>
  <c r="S325" i="115"/>
  <c r="T406" i="115"/>
  <c r="S406" i="115"/>
  <c r="T405" i="115"/>
  <c r="S405" i="115"/>
  <c r="T404" i="115"/>
  <c r="S404" i="115"/>
  <c r="T403" i="115"/>
  <c r="S403" i="115"/>
  <c r="T402" i="115"/>
  <c r="S402" i="115"/>
  <c r="T22" i="115"/>
  <c r="S22" i="115"/>
  <c r="T21" i="115"/>
  <c r="S21" i="115"/>
  <c r="T23" i="115"/>
  <c r="S23" i="115"/>
  <c r="T421" i="115"/>
  <c r="S421" i="115"/>
  <c r="T420" i="115"/>
  <c r="S420" i="115"/>
  <c r="T419" i="115"/>
  <c r="S419" i="115"/>
  <c r="T751" i="115"/>
  <c r="S751" i="115"/>
  <c r="T750" i="115"/>
  <c r="S750" i="115"/>
  <c r="T752" i="115"/>
  <c r="S752" i="115"/>
  <c r="T73" i="115"/>
  <c r="S73" i="115"/>
  <c r="T72" i="115"/>
  <c r="S72" i="115"/>
  <c r="T367" i="115"/>
  <c r="S367" i="115"/>
  <c r="T626" i="115"/>
  <c r="S626" i="115"/>
  <c r="T624" i="115"/>
  <c r="S624" i="115"/>
  <c r="T625" i="115"/>
  <c r="S625" i="115"/>
  <c r="T623" i="115"/>
  <c r="S623" i="115"/>
  <c r="T622" i="115"/>
  <c r="S622" i="115"/>
  <c r="T153" i="115"/>
  <c r="S153" i="115"/>
  <c r="T155" i="115"/>
  <c r="S155" i="115"/>
  <c r="T156" i="115"/>
  <c r="S156" i="115"/>
  <c r="T154" i="115"/>
  <c r="S154" i="115"/>
  <c r="T169" i="115"/>
  <c r="S169" i="115"/>
  <c r="T168" i="115"/>
  <c r="S168" i="115"/>
  <c r="T167" i="115"/>
  <c r="S167" i="115"/>
  <c r="T166" i="115"/>
  <c r="S166" i="115"/>
  <c r="T165" i="115"/>
  <c r="S165" i="115"/>
  <c r="T51" i="115"/>
  <c r="S51" i="115"/>
  <c r="T53" i="115"/>
  <c r="S53" i="115"/>
  <c r="T54" i="115"/>
  <c r="S54" i="115"/>
  <c r="T50" i="115"/>
  <c r="S50" i="115"/>
  <c r="T52" i="115"/>
  <c r="S52" i="115"/>
  <c r="T575" i="115"/>
  <c r="S575" i="115"/>
  <c r="T574" i="115"/>
  <c r="S574" i="115"/>
  <c r="T819" i="115"/>
  <c r="S819" i="115"/>
  <c r="T820" i="115"/>
  <c r="S820" i="115"/>
  <c r="T821" i="115"/>
  <c r="S821" i="115"/>
  <c r="T823" i="115"/>
  <c r="S823" i="115"/>
  <c r="T822" i="115"/>
  <c r="S822" i="115"/>
  <c r="T115" i="115"/>
  <c r="S115" i="115"/>
  <c r="T360" i="115"/>
  <c r="S360" i="115"/>
  <c r="T361" i="115"/>
  <c r="S361" i="115"/>
  <c r="T112" i="115"/>
  <c r="S112" i="115"/>
  <c r="T610" i="115"/>
  <c r="S610" i="115"/>
  <c r="T612" i="115"/>
  <c r="S612" i="115"/>
  <c r="T613" i="115"/>
  <c r="S613" i="115"/>
  <c r="T611" i="115"/>
  <c r="S611" i="115"/>
  <c r="T151" i="115"/>
  <c r="S151" i="115"/>
  <c r="T893" i="115"/>
  <c r="S893" i="115"/>
  <c r="T530" i="115"/>
  <c r="S530" i="115"/>
  <c r="T529" i="115"/>
  <c r="S529" i="115"/>
  <c r="T528" i="115"/>
  <c r="S528" i="115"/>
  <c r="T531" i="115"/>
  <c r="S531" i="115"/>
  <c r="T804" i="115"/>
  <c r="S804" i="115"/>
  <c r="T803" i="115"/>
  <c r="S803" i="115"/>
  <c r="T802" i="115"/>
  <c r="S802" i="115"/>
  <c r="T806" i="115"/>
  <c r="S806" i="115"/>
  <c r="T805" i="115"/>
  <c r="S805" i="115"/>
  <c r="T493" i="115"/>
  <c r="S493" i="115"/>
  <c r="T812" i="115"/>
  <c r="S812" i="115"/>
  <c r="T816" i="115"/>
  <c r="S816" i="115"/>
  <c r="T814" i="115"/>
  <c r="S814" i="115"/>
  <c r="T813" i="115"/>
  <c r="S813" i="115"/>
  <c r="T815" i="115"/>
  <c r="S815" i="115"/>
  <c r="T388" i="115"/>
  <c r="S388" i="115"/>
  <c r="T389" i="115"/>
  <c r="S389" i="115"/>
  <c r="T470" i="115"/>
  <c r="S470" i="115"/>
  <c r="T473" i="115"/>
  <c r="S473" i="115"/>
  <c r="T472" i="115"/>
  <c r="S472" i="115"/>
  <c r="T471" i="115"/>
  <c r="S471" i="115"/>
  <c r="T297" i="115"/>
  <c r="S297" i="115"/>
  <c r="T299" i="115"/>
  <c r="S299" i="115"/>
  <c r="T298" i="115"/>
  <c r="S298" i="115"/>
  <c r="T144" i="115"/>
  <c r="S144" i="115"/>
  <c r="T143" i="115"/>
  <c r="S143" i="115"/>
  <c r="T164" i="115"/>
  <c r="S164" i="115"/>
  <c r="T163" i="115"/>
  <c r="S163" i="115"/>
  <c r="T162" i="115"/>
  <c r="S162" i="115"/>
  <c r="T977" i="115"/>
  <c r="S977" i="115"/>
  <c r="T978" i="115"/>
  <c r="S978" i="115"/>
  <c r="T604" i="115"/>
  <c r="S604" i="115"/>
  <c r="T605" i="115"/>
  <c r="S605" i="115"/>
  <c r="T603" i="115"/>
  <c r="S603" i="115"/>
  <c r="T606" i="115"/>
  <c r="S606" i="115"/>
  <c r="T433" i="115"/>
  <c r="S433" i="115"/>
  <c r="T101" i="115"/>
  <c r="S101" i="115"/>
  <c r="T102" i="115"/>
  <c r="S102" i="115"/>
  <c r="T99" i="115"/>
  <c r="S99" i="115"/>
  <c r="T100" i="115"/>
  <c r="S100" i="115"/>
  <c r="T24" i="115"/>
  <c r="S24" i="115"/>
  <c r="T269" i="115"/>
  <c r="S269" i="115"/>
  <c r="T268" i="115"/>
  <c r="S268" i="115"/>
  <c r="T267" i="115"/>
  <c r="S267" i="115"/>
  <c r="T43" i="115"/>
  <c r="S43" i="115"/>
  <c r="T266" i="115"/>
  <c r="S266" i="115"/>
  <c r="T875" i="115"/>
  <c r="S875" i="115"/>
  <c r="T876" i="115"/>
  <c r="S876" i="115"/>
  <c r="T637" i="115"/>
  <c r="S637" i="115"/>
  <c r="T300" i="115"/>
  <c r="S300" i="115"/>
  <c r="T316" i="115"/>
  <c r="S316" i="115"/>
  <c r="T706" i="115"/>
  <c r="S706" i="115"/>
  <c r="T763" i="115"/>
  <c r="S763" i="115"/>
  <c r="T766" i="115"/>
  <c r="S766" i="115"/>
  <c r="T767" i="115"/>
  <c r="S767" i="115"/>
  <c r="T765" i="115"/>
  <c r="S765" i="115"/>
  <c r="T764" i="115"/>
  <c r="S764" i="115"/>
  <c r="T940" i="115"/>
  <c r="S940" i="115"/>
  <c r="T941" i="115"/>
  <c r="S941" i="115"/>
  <c r="T481" i="115"/>
  <c r="S481" i="115"/>
  <c r="T480" i="115"/>
  <c r="S480" i="115"/>
  <c r="T482" i="115"/>
  <c r="S482" i="115"/>
  <c r="T971" i="115"/>
  <c r="S971" i="115"/>
  <c r="T212" i="115"/>
  <c r="S212" i="115"/>
  <c r="T211" i="115"/>
  <c r="S211" i="115"/>
  <c r="T213" i="115"/>
  <c r="S213" i="115"/>
  <c r="T749" i="115"/>
  <c r="S749" i="115"/>
  <c r="T748" i="115"/>
  <c r="S748" i="115"/>
  <c r="T747" i="115"/>
  <c r="S747" i="115"/>
  <c r="T956" i="115"/>
  <c r="S956" i="115"/>
  <c r="T950" i="115"/>
  <c r="S950" i="115"/>
  <c r="T866" i="115"/>
  <c r="S866" i="115"/>
  <c r="T672" i="115"/>
  <c r="S672" i="115"/>
  <c r="T675" i="115"/>
  <c r="S675" i="115"/>
  <c r="T676" i="115"/>
  <c r="S676" i="115"/>
  <c r="T673" i="115"/>
  <c r="S673" i="115"/>
  <c r="T674" i="115"/>
  <c r="S674" i="115"/>
  <c r="T936" i="115"/>
  <c r="S936" i="115"/>
  <c r="T937" i="115"/>
  <c r="S937" i="115"/>
  <c r="T968" i="115"/>
  <c r="S968" i="115"/>
  <c r="T954" i="115"/>
  <c r="S954" i="115"/>
  <c r="T955" i="115"/>
  <c r="S955" i="115"/>
  <c r="T189" i="115"/>
  <c r="S189" i="115"/>
  <c r="T190" i="115"/>
  <c r="S190" i="115"/>
  <c r="T967" i="115"/>
  <c r="S967" i="115"/>
  <c r="T500" i="115"/>
  <c r="S500" i="115"/>
  <c r="J253" i="116" l="1"/>
  <c r="J48" i="116"/>
  <c r="J194" i="116"/>
  <c r="J104" i="116"/>
  <c r="J90" i="116"/>
  <c r="J203" i="116"/>
  <c r="J51" i="116"/>
  <c r="J146" i="116"/>
  <c r="J309" i="116"/>
  <c r="J289" i="116"/>
  <c r="J165" i="116"/>
  <c r="J20" i="116"/>
  <c r="J191" i="116"/>
  <c r="J195" i="116"/>
  <c r="J76" i="116"/>
  <c r="J291" i="116"/>
  <c r="J277" i="116"/>
  <c r="J35" i="116"/>
  <c r="J176" i="116"/>
  <c r="J119" i="116"/>
  <c r="J152" i="116"/>
  <c r="J29" i="116"/>
  <c r="J181" i="116"/>
  <c r="J105" i="116"/>
  <c r="J79" i="116"/>
  <c r="J200" i="116"/>
  <c r="J108" i="116"/>
  <c r="J177" i="116"/>
  <c r="J128" i="116"/>
  <c r="J212" i="116"/>
  <c r="J113" i="116"/>
  <c r="J26" i="116"/>
  <c r="J74" i="116"/>
  <c r="J99" i="116"/>
  <c r="J326" i="116"/>
  <c r="J313" i="116"/>
  <c r="H7" i="114" a="1"/>
  <c r="H7" i="114" s="1"/>
  <c r="G7" i="114" a="1"/>
  <c r="G7" i="114" s="1"/>
  <c r="D7" i="114"/>
  <c r="H6" i="114" a="1"/>
  <c r="H6" i="114" s="1"/>
  <c r="G6" i="114" a="1"/>
  <c r="G6" i="114" s="1"/>
  <c r="D6" i="114"/>
  <c r="Y1120" i="100"/>
  <c r="Y1119" i="100"/>
  <c r="Y1118" i="100"/>
  <c r="Y1117" i="100"/>
  <c r="Y1116" i="100"/>
  <c r="Y1115" i="100"/>
  <c r="Y1114" i="100"/>
  <c r="Y1113" i="100"/>
  <c r="Y1112" i="100"/>
  <c r="Y1111" i="100"/>
  <c r="Y1110" i="100"/>
  <c r="Y1109" i="100"/>
  <c r="Y1108" i="100"/>
  <c r="Y1107" i="100"/>
  <c r="Y1106" i="100"/>
  <c r="Y1105" i="100"/>
  <c r="Y1104" i="100"/>
  <c r="Y1103" i="100"/>
  <c r="Y1102" i="100"/>
  <c r="Y1101" i="100"/>
  <c r="Y1100" i="100"/>
  <c r="Y1099" i="100"/>
  <c r="Y1098" i="100"/>
  <c r="Y1097" i="100"/>
  <c r="Y1096" i="100"/>
  <c r="Y1095" i="100"/>
  <c r="Y1094" i="100"/>
  <c r="Y1093" i="100"/>
  <c r="Y1092" i="100"/>
  <c r="Y1091" i="100"/>
  <c r="Y1090" i="100"/>
  <c r="Y1089" i="100"/>
  <c r="Y1088" i="100"/>
  <c r="Y1087" i="100"/>
  <c r="Y1086" i="100"/>
  <c r="Y1085" i="100"/>
  <c r="Y1084" i="100"/>
  <c r="Y1083" i="100"/>
  <c r="Y1082" i="100"/>
  <c r="Y1081" i="100"/>
  <c r="Y1080" i="100"/>
  <c r="Y1079" i="100"/>
  <c r="Y1078" i="100"/>
  <c r="Y1077" i="100"/>
  <c r="Y1076" i="100"/>
  <c r="Y1075" i="100"/>
  <c r="Y1074" i="100"/>
  <c r="Y1073" i="100"/>
  <c r="Y1072" i="100"/>
  <c r="Y1071" i="100"/>
  <c r="Y1070" i="100"/>
  <c r="Y1069" i="100"/>
  <c r="Y1068" i="100"/>
  <c r="Y1067" i="100"/>
  <c r="Y1066" i="100"/>
  <c r="Y1065" i="100"/>
  <c r="Y1064" i="100"/>
  <c r="Y1063" i="100"/>
  <c r="Y1062" i="100"/>
  <c r="Y1061" i="100"/>
  <c r="Y1060" i="100"/>
  <c r="Y1059" i="100"/>
  <c r="Y1058" i="100"/>
  <c r="Y1057" i="100"/>
  <c r="Y1056" i="100"/>
  <c r="Y1055" i="100"/>
  <c r="Y1054" i="100"/>
  <c r="Y1053" i="100"/>
  <c r="Y1052" i="100"/>
  <c r="Y1051" i="100"/>
  <c r="Y1050" i="100"/>
  <c r="Y1049" i="100"/>
  <c r="Y1048" i="100"/>
  <c r="Y1047" i="100"/>
  <c r="Y1046" i="100"/>
  <c r="Y1045" i="100"/>
  <c r="Y1044" i="100"/>
  <c r="Y1043" i="100"/>
  <c r="Y1042" i="100"/>
  <c r="Y1041" i="100"/>
  <c r="Y1040" i="100"/>
  <c r="Y1039" i="100"/>
  <c r="Y1038" i="100"/>
  <c r="Y1037" i="100"/>
  <c r="Y1036" i="100"/>
  <c r="Y1035" i="100"/>
  <c r="Y1034" i="100"/>
  <c r="Y1033" i="100"/>
  <c r="Y1032" i="100"/>
  <c r="Y1031" i="100"/>
  <c r="Y1030" i="100"/>
  <c r="Y1029" i="100"/>
  <c r="Y1028" i="100"/>
  <c r="Y1027" i="100"/>
  <c r="Y1026" i="100"/>
  <c r="Y1025" i="100"/>
  <c r="Y1024" i="100"/>
  <c r="Y1023" i="100"/>
  <c r="Y1022" i="100"/>
  <c r="Y1021" i="100"/>
  <c r="Y1020" i="100"/>
  <c r="Y1019" i="100"/>
  <c r="Y1018" i="100"/>
  <c r="Y1017" i="100"/>
  <c r="Y1016" i="100"/>
  <c r="Y1015" i="100"/>
  <c r="Y1014" i="100"/>
  <c r="Y1013" i="100"/>
  <c r="Y1012" i="100"/>
  <c r="Y1011" i="100"/>
  <c r="Y1010" i="100"/>
  <c r="Y1009" i="100"/>
  <c r="Y1008" i="100"/>
  <c r="Y1007" i="100"/>
  <c r="Y1006" i="100"/>
  <c r="Y1005" i="100"/>
  <c r="Y1004" i="100"/>
  <c r="Y1003" i="100"/>
  <c r="Y1002" i="100"/>
  <c r="Y1001" i="100"/>
  <c r="Y1000" i="100"/>
  <c r="Y999" i="100"/>
  <c r="Y998" i="100"/>
  <c r="Y997" i="100"/>
  <c r="Y996" i="100"/>
  <c r="Y995" i="100"/>
  <c r="Y994" i="100"/>
  <c r="Y993" i="100"/>
  <c r="Y992" i="100"/>
  <c r="Y991" i="100"/>
  <c r="Y990" i="100"/>
  <c r="Y989" i="100"/>
  <c r="Y988" i="100"/>
  <c r="Y987" i="100"/>
  <c r="Y986" i="100"/>
  <c r="Y985" i="100"/>
  <c r="Y984" i="100"/>
  <c r="Y983" i="100"/>
  <c r="Y982" i="100"/>
  <c r="Y981" i="100"/>
  <c r="Y980" i="100"/>
  <c r="Y979" i="100"/>
  <c r="Y978" i="100"/>
  <c r="Y977" i="100"/>
  <c r="Y976" i="100"/>
  <c r="Y975" i="100"/>
  <c r="Y974" i="100"/>
  <c r="Y973" i="100"/>
  <c r="Y972" i="100"/>
  <c r="Y971" i="100"/>
  <c r="Y970" i="100"/>
  <c r="Y969" i="100"/>
  <c r="Y968" i="100"/>
  <c r="Y967" i="100"/>
  <c r="Y966" i="100"/>
  <c r="Y965" i="100"/>
  <c r="Y964" i="100"/>
  <c r="Y963" i="100"/>
  <c r="Y962" i="100"/>
  <c r="Y961" i="100"/>
  <c r="Y960" i="100"/>
  <c r="Y959" i="100"/>
  <c r="Y958" i="100"/>
  <c r="Y957" i="100"/>
  <c r="Y956" i="100"/>
  <c r="Y955" i="100"/>
  <c r="Y954" i="100"/>
  <c r="Y953" i="100"/>
  <c r="Y952" i="100"/>
  <c r="Y951" i="100"/>
  <c r="Y950" i="100"/>
  <c r="Y949" i="100"/>
  <c r="Y948" i="100"/>
  <c r="Y947" i="100"/>
  <c r="Y946" i="100"/>
  <c r="Y945" i="100"/>
  <c r="Y944" i="100"/>
  <c r="Y943" i="100"/>
  <c r="Y942" i="100"/>
  <c r="Y941" i="100"/>
  <c r="Y940" i="100"/>
  <c r="Y939" i="100"/>
  <c r="Y938" i="100"/>
  <c r="Y937" i="100"/>
  <c r="Y936" i="100"/>
  <c r="Y935" i="100"/>
  <c r="Y934" i="100"/>
  <c r="Y933" i="100"/>
  <c r="Y932" i="100"/>
  <c r="Y931" i="100"/>
  <c r="Y930" i="100"/>
  <c r="Y929" i="100"/>
  <c r="Y928" i="100"/>
  <c r="Y927" i="100"/>
  <c r="Y926" i="100"/>
  <c r="Y925" i="100"/>
  <c r="Y924" i="100"/>
  <c r="Y923" i="100"/>
  <c r="Y922" i="100"/>
  <c r="Y921" i="100"/>
  <c r="Y920" i="100"/>
  <c r="Y919" i="100"/>
  <c r="Y918" i="100"/>
  <c r="Y917" i="100"/>
  <c r="Y916" i="100"/>
  <c r="Y915" i="100"/>
  <c r="Y914" i="100"/>
  <c r="Y913" i="100"/>
  <c r="Y912" i="100"/>
  <c r="Y911" i="100"/>
  <c r="Y910" i="100"/>
  <c r="Y909" i="100"/>
  <c r="Y908" i="100"/>
  <c r="Y907" i="100"/>
  <c r="Y906" i="100"/>
  <c r="Y905" i="100"/>
  <c r="Y904" i="100"/>
  <c r="Y903" i="100"/>
  <c r="Y902" i="100"/>
  <c r="Y901" i="100"/>
  <c r="Y900" i="100"/>
  <c r="Y899" i="100"/>
  <c r="Y898" i="100"/>
  <c r="Y897" i="100"/>
  <c r="Y896" i="100"/>
  <c r="Y895" i="100"/>
  <c r="Y894" i="100"/>
  <c r="Y893" i="100"/>
  <c r="Y892" i="100"/>
  <c r="Y891" i="100"/>
  <c r="Y890" i="100"/>
  <c r="Y889" i="100"/>
  <c r="Y888" i="100"/>
  <c r="Y887" i="100"/>
  <c r="Y886" i="100"/>
  <c r="Y885" i="100"/>
  <c r="Y884" i="100"/>
  <c r="Y883" i="100"/>
  <c r="Y882" i="100"/>
  <c r="Y881" i="100"/>
  <c r="Y880" i="100"/>
  <c r="Y879" i="100"/>
  <c r="Y878" i="100"/>
  <c r="Y877" i="100"/>
  <c r="Y876" i="100"/>
  <c r="Y875" i="100"/>
  <c r="Y874" i="100"/>
  <c r="Y873" i="100"/>
  <c r="Y872" i="100"/>
  <c r="Y871" i="100"/>
  <c r="Y870" i="100"/>
  <c r="Y869" i="100"/>
  <c r="Y868" i="100"/>
  <c r="Y867" i="100"/>
  <c r="Y866" i="100"/>
  <c r="Y865" i="100"/>
  <c r="Y864" i="100"/>
  <c r="Y863" i="100"/>
  <c r="Y862" i="100"/>
  <c r="Y861" i="100"/>
  <c r="Y860" i="100"/>
  <c r="Y859" i="100"/>
  <c r="Y858" i="100"/>
  <c r="Y857" i="100"/>
  <c r="Y856" i="100"/>
  <c r="Y855" i="100"/>
  <c r="Y854" i="100"/>
  <c r="Y853" i="100"/>
  <c r="Y852" i="100"/>
  <c r="Y851" i="100"/>
  <c r="Y850" i="100"/>
  <c r="Y849" i="100"/>
  <c r="Y848" i="100"/>
  <c r="Y847" i="100"/>
  <c r="Y846" i="100"/>
  <c r="Y845" i="100"/>
  <c r="Y844" i="100"/>
  <c r="Y843" i="100"/>
  <c r="Y842" i="100"/>
  <c r="Y841" i="100"/>
  <c r="Y840" i="100"/>
  <c r="Y839" i="100"/>
  <c r="Y838" i="100"/>
  <c r="Y837" i="100"/>
  <c r="Y836" i="100"/>
  <c r="Y835" i="100"/>
  <c r="Y834" i="100"/>
  <c r="Y833" i="100"/>
  <c r="Y832" i="100"/>
  <c r="Y831" i="100"/>
  <c r="Y830" i="100"/>
  <c r="Y829" i="100"/>
  <c r="Y828" i="100"/>
  <c r="Y827" i="100"/>
  <c r="Y826" i="100"/>
  <c r="Y825" i="100"/>
  <c r="Y824" i="100"/>
  <c r="Y823" i="100"/>
  <c r="Y822" i="100"/>
  <c r="Y821" i="100"/>
  <c r="Y820" i="100"/>
  <c r="Y819" i="100"/>
  <c r="Y818" i="100"/>
  <c r="Y817" i="100"/>
  <c r="Y816" i="100"/>
  <c r="Y815" i="100"/>
  <c r="Y814" i="100"/>
  <c r="Y813" i="100"/>
  <c r="Y812" i="100"/>
  <c r="Y811" i="100"/>
  <c r="Y810" i="100"/>
  <c r="Y809" i="100"/>
  <c r="Y808" i="100"/>
  <c r="Y807" i="100"/>
  <c r="Y806" i="100"/>
  <c r="Y805" i="100"/>
  <c r="Y804" i="100"/>
  <c r="Y803" i="100"/>
  <c r="Y802" i="100"/>
  <c r="Y801" i="100"/>
  <c r="Y800" i="100"/>
  <c r="Y799" i="100"/>
  <c r="Y798" i="100"/>
  <c r="Y797" i="100"/>
  <c r="Y796" i="100"/>
  <c r="Y795" i="100"/>
  <c r="Y794" i="100"/>
  <c r="Y793" i="100"/>
  <c r="Y792" i="100"/>
  <c r="Y791" i="100"/>
  <c r="Y790" i="100"/>
  <c r="Y789" i="100"/>
  <c r="Y788" i="100"/>
  <c r="Y787" i="100"/>
  <c r="Y786" i="100"/>
  <c r="Y785" i="100"/>
  <c r="Y784" i="100"/>
  <c r="Y783" i="100"/>
  <c r="Y782" i="100"/>
  <c r="Y781" i="100"/>
  <c r="Y780" i="100"/>
  <c r="Y779" i="100"/>
  <c r="Y778" i="100"/>
  <c r="Y777" i="100"/>
  <c r="Y776" i="100"/>
  <c r="Y775" i="100"/>
  <c r="Y774" i="100"/>
  <c r="Y773" i="100"/>
  <c r="Y772" i="100"/>
  <c r="Y771" i="100"/>
  <c r="Y770" i="100"/>
  <c r="Y769" i="100"/>
  <c r="Y768" i="100"/>
  <c r="Y767" i="100"/>
  <c r="Y766" i="100"/>
  <c r="Y765" i="100"/>
  <c r="Y764" i="100"/>
  <c r="Y763" i="100"/>
  <c r="Y762" i="100"/>
  <c r="Y761" i="100"/>
  <c r="Y760" i="100"/>
  <c r="Y759" i="100"/>
  <c r="Y758" i="100"/>
  <c r="Y757" i="100"/>
  <c r="Y756" i="100"/>
  <c r="Y755" i="100"/>
  <c r="Y754" i="100"/>
  <c r="Y753" i="100"/>
  <c r="Y752" i="100"/>
  <c r="Y751" i="100"/>
  <c r="Y750" i="100"/>
  <c r="Y749" i="100"/>
  <c r="Y748" i="100"/>
  <c r="Y747" i="100"/>
  <c r="Y746" i="100"/>
  <c r="Y745" i="100"/>
  <c r="Y744" i="100"/>
  <c r="Y743" i="100"/>
  <c r="Y742" i="100"/>
  <c r="Y741" i="100"/>
  <c r="Y740" i="100"/>
  <c r="Y739" i="100"/>
  <c r="Y738" i="100"/>
  <c r="Y737" i="100"/>
  <c r="Y736" i="100"/>
  <c r="Y735" i="100"/>
  <c r="Y734" i="100"/>
  <c r="Y733" i="100"/>
  <c r="Y732" i="100"/>
  <c r="Y731" i="100"/>
  <c r="Y730" i="100"/>
  <c r="Y729" i="100"/>
  <c r="Y728" i="100"/>
  <c r="Y727" i="100"/>
  <c r="Y726" i="100"/>
  <c r="Y725" i="100"/>
  <c r="Y724" i="100"/>
  <c r="Y723" i="100"/>
  <c r="Y722" i="100"/>
  <c r="Y721" i="100"/>
  <c r="Y720" i="100"/>
  <c r="Y719" i="100"/>
  <c r="Y718" i="100"/>
  <c r="Y717" i="100"/>
  <c r="Y716" i="100"/>
  <c r="Y715" i="100"/>
  <c r="Y714" i="100"/>
  <c r="Y713" i="100"/>
  <c r="Y712" i="100"/>
  <c r="Y711" i="100"/>
  <c r="Y710" i="100"/>
  <c r="Y709" i="100"/>
  <c r="Y708" i="100"/>
  <c r="Y707" i="100"/>
  <c r="Y706" i="100"/>
  <c r="Y705" i="100"/>
  <c r="Y704" i="100"/>
  <c r="Y703" i="100"/>
  <c r="Y702" i="100"/>
  <c r="Y701" i="100"/>
  <c r="Y700" i="100"/>
  <c r="Y699" i="100"/>
  <c r="Y698" i="100"/>
  <c r="Y697" i="100"/>
  <c r="Y696" i="100"/>
  <c r="Y695" i="100"/>
  <c r="Y694" i="100"/>
  <c r="Y693" i="100"/>
  <c r="Y692" i="100"/>
  <c r="Y691" i="100"/>
  <c r="Y690" i="100"/>
  <c r="Y689" i="100"/>
  <c r="Y688" i="100"/>
  <c r="Y687" i="100"/>
  <c r="Y686" i="100"/>
  <c r="Y685" i="100"/>
  <c r="Y684" i="100"/>
  <c r="Y683" i="100"/>
  <c r="Y682" i="100"/>
  <c r="Y681" i="100"/>
  <c r="Y680" i="100"/>
  <c r="Y679" i="100"/>
  <c r="Y678" i="100"/>
  <c r="Y677" i="100"/>
  <c r="Y676" i="100"/>
  <c r="Y675" i="100"/>
  <c r="Y674" i="100"/>
  <c r="Y673" i="100"/>
  <c r="Y672" i="100"/>
  <c r="Y671" i="100"/>
  <c r="Y670" i="100"/>
  <c r="Y669" i="100"/>
  <c r="Y668" i="100"/>
  <c r="Y667" i="100"/>
  <c r="Y666" i="100"/>
  <c r="Y665" i="100"/>
  <c r="Y664" i="100"/>
  <c r="Y663" i="100"/>
  <c r="Y662" i="100"/>
  <c r="Y661" i="100"/>
  <c r="Y660" i="100"/>
  <c r="Y659" i="100"/>
  <c r="Y658" i="100"/>
  <c r="Y657" i="100"/>
  <c r="Y656" i="100"/>
  <c r="Y655" i="100"/>
  <c r="Y654" i="100"/>
  <c r="Y653" i="100"/>
  <c r="Y652" i="100"/>
  <c r="Y651" i="100"/>
  <c r="Y650" i="100"/>
  <c r="Y649" i="100"/>
  <c r="Y648" i="100"/>
  <c r="Y647" i="100"/>
  <c r="Y646" i="100"/>
  <c r="Y645" i="100"/>
  <c r="Y644" i="100"/>
  <c r="Y643" i="100"/>
  <c r="Y642" i="100"/>
  <c r="Y641" i="100"/>
  <c r="Y640" i="100"/>
  <c r="Y639" i="100"/>
  <c r="Y638" i="100"/>
  <c r="Y637" i="100"/>
  <c r="Y636" i="100"/>
  <c r="Y635" i="100"/>
  <c r="Y634" i="100"/>
  <c r="Y633" i="100"/>
  <c r="Y632" i="100"/>
  <c r="Y631" i="100"/>
  <c r="Y630" i="100"/>
  <c r="Y629" i="100"/>
  <c r="Y628" i="100"/>
  <c r="Y627" i="100"/>
  <c r="Y626" i="100"/>
  <c r="Y625" i="100"/>
  <c r="Y624" i="100"/>
  <c r="Y623" i="100"/>
  <c r="Y622" i="100"/>
  <c r="Y621" i="100"/>
  <c r="Y620" i="100"/>
  <c r="Y619" i="100"/>
  <c r="Y618" i="100"/>
  <c r="Y617" i="100"/>
  <c r="Y616" i="100"/>
  <c r="Y615" i="100"/>
  <c r="Y614" i="100"/>
  <c r="Y613" i="100"/>
  <c r="Y612" i="100"/>
  <c r="Y611" i="100"/>
  <c r="Y610" i="100"/>
  <c r="Y609" i="100"/>
  <c r="Y608" i="100"/>
  <c r="Y607" i="100"/>
  <c r="Y606" i="100"/>
  <c r="Y605" i="100"/>
  <c r="Y604" i="100"/>
  <c r="Y603" i="100"/>
  <c r="Y602" i="100"/>
  <c r="Y601" i="100"/>
  <c r="Y600" i="100"/>
  <c r="Y599" i="100"/>
  <c r="Y598" i="100"/>
  <c r="Y597" i="100"/>
  <c r="Y596" i="100"/>
  <c r="Y595" i="100"/>
  <c r="Y594" i="100"/>
  <c r="Y593" i="100"/>
  <c r="Y592" i="100"/>
  <c r="Y591" i="100"/>
  <c r="Y590" i="100"/>
  <c r="Y589" i="100"/>
  <c r="Y588" i="100"/>
  <c r="Y587" i="100"/>
  <c r="Y586" i="100"/>
  <c r="Y585" i="100"/>
  <c r="Y584" i="100"/>
  <c r="Y583" i="100"/>
  <c r="Y582" i="100"/>
  <c r="Y581" i="100"/>
  <c r="Y580" i="100"/>
  <c r="Y579" i="100"/>
  <c r="Y578" i="100"/>
  <c r="Y577" i="100"/>
  <c r="Y576" i="100"/>
  <c r="Y575" i="100"/>
  <c r="Y574" i="100"/>
  <c r="Y573" i="100"/>
  <c r="Y572" i="100"/>
  <c r="Y571" i="100"/>
  <c r="Y570" i="100"/>
  <c r="Y569" i="100"/>
  <c r="Y568" i="100"/>
  <c r="Y567" i="100"/>
  <c r="Y566" i="100"/>
  <c r="Y565" i="100"/>
  <c r="Y564" i="100"/>
  <c r="Y563" i="100"/>
  <c r="Y562" i="100"/>
  <c r="Y561" i="100"/>
  <c r="Y560" i="100"/>
  <c r="Y559" i="100"/>
  <c r="Y558" i="100"/>
  <c r="Y557" i="100"/>
  <c r="Y556" i="100"/>
  <c r="Y555" i="100"/>
  <c r="Y554" i="100"/>
  <c r="Y553" i="100"/>
  <c r="Y552" i="100"/>
  <c r="Y551" i="100"/>
  <c r="Y550" i="100"/>
  <c r="Y549" i="100"/>
  <c r="Y548" i="100"/>
  <c r="Y547" i="100"/>
  <c r="Y546" i="100"/>
  <c r="Y545" i="100"/>
  <c r="Y544" i="100"/>
  <c r="Y543" i="100"/>
  <c r="Y542" i="100"/>
  <c r="Y541" i="100"/>
  <c r="Y540" i="100"/>
  <c r="Y539" i="100"/>
  <c r="Y538" i="100"/>
  <c r="Y537" i="100"/>
  <c r="Y536" i="100"/>
  <c r="Y535" i="100"/>
  <c r="Y534" i="100"/>
  <c r="Y533" i="100"/>
  <c r="Y532" i="100"/>
  <c r="Y531" i="100"/>
  <c r="Y530" i="100"/>
  <c r="Y529" i="100"/>
  <c r="Y528" i="100"/>
  <c r="Y527" i="100"/>
  <c r="Y526" i="100"/>
  <c r="Y525" i="100"/>
  <c r="Y524" i="100"/>
  <c r="Y523" i="100"/>
  <c r="Y522" i="100"/>
  <c r="Y521" i="100"/>
  <c r="Y520" i="100"/>
  <c r="Y519" i="100"/>
  <c r="Y518" i="100"/>
  <c r="Y517" i="100"/>
  <c r="Y516" i="100"/>
  <c r="Y515" i="100"/>
  <c r="Y514" i="100"/>
  <c r="Y513" i="100"/>
  <c r="Y512" i="100"/>
  <c r="Y511" i="100"/>
  <c r="Y510" i="100"/>
  <c r="Y509" i="100"/>
  <c r="Y508" i="100"/>
  <c r="Y507" i="100"/>
  <c r="Y506" i="100"/>
  <c r="Y505" i="100"/>
  <c r="Y504" i="100"/>
  <c r="Y503" i="100"/>
  <c r="Y502" i="100"/>
  <c r="Y501" i="100"/>
  <c r="Y500" i="100"/>
  <c r="Y499" i="100"/>
  <c r="Y498" i="100"/>
  <c r="Y497" i="100"/>
  <c r="Y496" i="100"/>
  <c r="Y495" i="100"/>
  <c r="Y494" i="100"/>
  <c r="Y493" i="100"/>
  <c r="Y492" i="100"/>
  <c r="Y491" i="100"/>
  <c r="Y490" i="100"/>
  <c r="Y489" i="100"/>
  <c r="Y488" i="100"/>
  <c r="Y487" i="100"/>
  <c r="Y486" i="100"/>
  <c r="Y485" i="100"/>
  <c r="Y484" i="100"/>
  <c r="Y483" i="100"/>
  <c r="Y482" i="100"/>
  <c r="Y481" i="100"/>
  <c r="Y480" i="100"/>
  <c r="Y479" i="100"/>
  <c r="Y478" i="100"/>
  <c r="Y477" i="100"/>
  <c r="Y476" i="100"/>
  <c r="Y475" i="100"/>
  <c r="Y474" i="100"/>
  <c r="Y473" i="100"/>
  <c r="Y472" i="100"/>
  <c r="Y471" i="100"/>
  <c r="Y470" i="100"/>
  <c r="Y469" i="100"/>
  <c r="Y468" i="100"/>
  <c r="Y467" i="100"/>
  <c r="Y466" i="100"/>
  <c r="Y465" i="100"/>
  <c r="Y464" i="100"/>
  <c r="Y463" i="100"/>
  <c r="Y462" i="100"/>
  <c r="Y461" i="100"/>
  <c r="Y460" i="100"/>
  <c r="Y459" i="100"/>
  <c r="Y458" i="100"/>
  <c r="Y457" i="100"/>
  <c r="Y456" i="100"/>
  <c r="Y455" i="100"/>
  <c r="Y454" i="100"/>
  <c r="Y453" i="100"/>
  <c r="Y452" i="100"/>
  <c r="Y451" i="100"/>
  <c r="Y450" i="100"/>
  <c r="Y449" i="100"/>
  <c r="Y448" i="100"/>
  <c r="Y447" i="100"/>
  <c r="Y446" i="100"/>
  <c r="Y445" i="100"/>
  <c r="Y444" i="100"/>
  <c r="Y443" i="100"/>
  <c r="Y442" i="100"/>
  <c r="Y441" i="100"/>
  <c r="Y440" i="100"/>
  <c r="Y439" i="100"/>
  <c r="Y438" i="100"/>
  <c r="Y437" i="100"/>
  <c r="Y436" i="100"/>
  <c r="Y435" i="100"/>
  <c r="Y434" i="100"/>
  <c r="Y433" i="100"/>
  <c r="Y432" i="100"/>
  <c r="Y431" i="100"/>
  <c r="Y430" i="100"/>
  <c r="Y429" i="100"/>
  <c r="Y428" i="100"/>
  <c r="Y427" i="100"/>
  <c r="Y426" i="100"/>
  <c r="Y425" i="100"/>
  <c r="Y424" i="100"/>
  <c r="Y423" i="100"/>
  <c r="Y422" i="100"/>
  <c r="Y421" i="100"/>
  <c r="Y420" i="100"/>
  <c r="Y419" i="100"/>
  <c r="Y418" i="100"/>
  <c r="Y417" i="100"/>
  <c r="Y416" i="100"/>
  <c r="Y415" i="100"/>
  <c r="Y414" i="100"/>
  <c r="Y413" i="100"/>
  <c r="Y412" i="100"/>
  <c r="Y411" i="100"/>
  <c r="Y410" i="100"/>
  <c r="Y409" i="100"/>
  <c r="Y408" i="100"/>
  <c r="Y407" i="100"/>
  <c r="Y406" i="100"/>
  <c r="Y405" i="100"/>
  <c r="Y404" i="100"/>
  <c r="Y403" i="100"/>
  <c r="Y402" i="100"/>
  <c r="Y401" i="100"/>
  <c r="Y400" i="100"/>
  <c r="Y399" i="100"/>
  <c r="Y398" i="100"/>
  <c r="Y397" i="100"/>
  <c r="Y396" i="100"/>
  <c r="Y395" i="100"/>
  <c r="Y394" i="100"/>
  <c r="Y393" i="100"/>
  <c r="Y392" i="100"/>
  <c r="Y391" i="100"/>
  <c r="Y390" i="100"/>
  <c r="Y389" i="100"/>
  <c r="Y388" i="100"/>
  <c r="Y387" i="100"/>
  <c r="Y386" i="100"/>
  <c r="Y385" i="100"/>
  <c r="Y384" i="100"/>
  <c r="Y383" i="100"/>
  <c r="Y382" i="100"/>
  <c r="Y381" i="100"/>
  <c r="Y380" i="100"/>
  <c r="Y379" i="100"/>
  <c r="Y378" i="100"/>
  <c r="Y377" i="100"/>
  <c r="Y376" i="100"/>
  <c r="Y375" i="100"/>
  <c r="Y374" i="100"/>
  <c r="Y373" i="100"/>
  <c r="Y372" i="100"/>
  <c r="Y371" i="100"/>
  <c r="Y370" i="100"/>
  <c r="Y369" i="100"/>
  <c r="Y368" i="100"/>
  <c r="Y367" i="100"/>
  <c r="Y366" i="100"/>
  <c r="Y365" i="100"/>
  <c r="Y364" i="100"/>
  <c r="Y363" i="100"/>
  <c r="Y362" i="100"/>
  <c r="Y361" i="100"/>
  <c r="Y360" i="100"/>
  <c r="Y359" i="100"/>
  <c r="Y358" i="100"/>
  <c r="Y357" i="100"/>
  <c r="Y356" i="100"/>
  <c r="Y355" i="100"/>
  <c r="Y354" i="100"/>
  <c r="Y353" i="100"/>
  <c r="Y352" i="100"/>
  <c r="Y351" i="100"/>
  <c r="Y350" i="100"/>
  <c r="Y349" i="100"/>
  <c r="Y348" i="100"/>
  <c r="Y347" i="100"/>
  <c r="Y346" i="100"/>
  <c r="Y345" i="100"/>
  <c r="Y344" i="100"/>
  <c r="Y343" i="100"/>
  <c r="Y342" i="100"/>
  <c r="Y341" i="100"/>
  <c r="Y340" i="100"/>
  <c r="Y339" i="100"/>
  <c r="Y338" i="100"/>
  <c r="Y337" i="100"/>
  <c r="Y336" i="100"/>
  <c r="Y335" i="100"/>
  <c r="Y334" i="100"/>
  <c r="Y333" i="100"/>
  <c r="Y332" i="100"/>
  <c r="Y331" i="100"/>
  <c r="Y330" i="100"/>
  <c r="Y329" i="100"/>
  <c r="Y328" i="100"/>
  <c r="Y327" i="100"/>
  <c r="Y326" i="100"/>
  <c r="Y325" i="100"/>
  <c r="Y324" i="100"/>
  <c r="Y323" i="100"/>
  <c r="Y322" i="100"/>
  <c r="Y321" i="100"/>
  <c r="Y320" i="100"/>
  <c r="Y319" i="100"/>
  <c r="Y318" i="100"/>
  <c r="Y317" i="100"/>
  <c r="Y316" i="100"/>
  <c r="Y315" i="100"/>
  <c r="Y314" i="100"/>
  <c r="Y313" i="100"/>
  <c r="Y312" i="100"/>
  <c r="Y311" i="100"/>
  <c r="Y310" i="100"/>
  <c r="Y309" i="100"/>
  <c r="Y308" i="100"/>
  <c r="Y307" i="100"/>
  <c r="Y306" i="100"/>
  <c r="Y305" i="100"/>
  <c r="Y304" i="100"/>
  <c r="Y303" i="100"/>
  <c r="Y302" i="100"/>
  <c r="Y301" i="100"/>
  <c r="Y300" i="100"/>
  <c r="Y299" i="100"/>
  <c r="Y298" i="100"/>
  <c r="Y297" i="100"/>
  <c r="Y296" i="100"/>
  <c r="Y295" i="100"/>
  <c r="Y294" i="100"/>
  <c r="Y293" i="100"/>
  <c r="Y292" i="100"/>
  <c r="Y291" i="100"/>
  <c r="Y290" i="100"/>
  <c r="Y289" i="100"/>
  <c r="Y288" i="100"/>
  <c r="Y287" i="100"/>
  <c r="Y286" i="100"/>
  <c r="Y285" i="100"/>
  <c r="Y284" i="100"/>
  <c r="Y283" i="100"/>
  <c r="Y282" i="100"/>
  <c r="Y281" i="100"/>
  <c r="Y280" i="100"/>
  <c r="Y279" i="100"/>
  <c r="Y278" i="100"/>
  <c r="Y277" i="100"/>
  <c r="Y276" i="100"/>
  <c r="Y275" i="100"/>
  <c r="Y274" i="100"/>
  <c r="Y273" i="100"/>
  <c r="Y272" i="100"/>
  <c r="Y271" i="100"/>
  <c r="Y270" i="100"/>
  <c r="Y269" i="100"/>
  <c r="Y268" i="100"/>
  <c r="Y267" i="100"/>
  <c r="Y266" i="100"/>
  <c r="Y265" i="100"/>
  <c r="Y264" i="100"/>
  <c r="Y263" i="100"/>
  <c r="Y262" i="100"/>
  <c r="Y261" i="100"/>
  <c r="Y260" i="100"/>
  <c r="Y259" i="100"/>
  <c r="Y258" i="100"/>
  <c r="Y257" i="100"/>
  <c r="Y256" i="100"/>
  <c r="Y255" i="100"/>
  <c r="Y254" i="100"/>
  <c r="Y253" i="100"/>
  <c r="Y252" i="100"/>
  <c r="Y251" i="100"/>
  <c r="Y250" i="100"/>
  <c r="Y249" i="100"/>
  <c r="Y248" i="100"/>
  <c r="Y247" i="100"/>
  <c r="Y246" i="100"/>
  <c r="Y245" i="100"/>
  <c r="Y244" i="100"/>
  <c r="Y243" i="100"/>
  <c r="Y242" i="100"/>
  <c r="Y241" i="100"/>
  <c r="Y240" i="100"/>
  <c r="Y239" i="100"/>
  <c r="Y238" i="100"/>
  <c r="Y237" i="100"/>
  <c r="Y236" i="100"/>
  <c r="Y235" i="100"/>
  <c r="Y234" i="100"/>
  <c r="Y233" i="100"/>
  <c r="Y232" i="100"/>
  <c r="Y231" i="100"/>
  <c r="Y230" i="100"/>
  <c r="Y229" i="100"/>
  <c r="Y228" i="100"/>
  <c r="Y227" i="100"/>
  <c r="Y226" i="100"/>
  <c r="Y225" i="100"/>
  <c r="Y224" i="100"/>
  <c r="Y223" i="100"/>
  <c r="Y222" i="100"/>
  <c r="Y221" i="100"/>
  <c r="Y220" i="100"/>
  <c r="Y219" i="100"/>
  <c r="Y218" i="100"/>
  <c r="Y217" i="100"/>
  <c r="Y216" i="100"/>
  <c r="Y215" i="100"/>
  <c r="Y214" i="100"/>
  <c r="Y213" i="100"/>
  <c r="Y212" i="100"/>
  <c r="Y211" i="100"/>
  <c r="Y210" i="100"/>
  <c r="Y209" i="100"/>
  <c r="Y208" i="100"/>
  <c r="Y207" i="100"/>
  <c r="Y206" i="100"/>
  <c r="Y205" i="100"/>
  <c r="Y204" i="100"/>
  <c r="Y203" i="100"/>
  <c r="Y202" i="100"/>
  <c r="Y201" i="100"/>
  <c r="Y200" i="100"/>
  <c r="Y199" i="100"/>
  <c r="Y198" i="100"/>
  <c r="Y197" i="100"/>
  <c r="Y196" i="100"/>
  <c r="Y195" i="100"/>
  <c r="Y194" i="100"/>
  <c r="Y193" i="100"/>
  <c r="Y192" i="100"/>
  <c r="Y191" i="100"/>
  <c r="Y190" i="100"/>
  <c r="Y189" i="100"/>
  <c r="Y188" i="100"/>
  <c r="Y187" i="100"/>
  <c r="Y186" i="100"/>
  <c r="Y185" i="100"/>
  <c r="Y184" i="100"/>
  <c r="Y183" i="100"/>
  <c r="Y182" i="100"/>
  <c r="Y181" i="100"/>
  <c r="Y180" i="100"/>
  <c r="Y179" i="100"/>
  <c r="Y178" i="100"/>
  <c r="Y177" i="100"/>
  <c r="Y176" i="100"/>
  <c r="Y175" i="100"/>
  <c r="Y174" i="100"/>
  <c r="Y173" i="100"/>
  <c r="Y172" i="100"/>
  <c r="Y171" i="100"/>
  <c r="Y170" i="100"/>
  <c r="Y169" i="100"/>
  <c r="Y168" i="100"/>
  <c r="Y167" i="100"/>
  <c r="Y166" i="100"/>
  <c r="Y165" i="100"/>
  <c r="Y164" i="100"/>
  <c r="Y163" i="100"/>
  <c r="Y162" i="100"/>
  <c r="Y161" i="100"/>
  <c r="Y160" i="100"/>
  <c r="Y159" i="100"/>
  <c r="Y158" i="100"/>
  <c r="Y157" i="100"/>
  <c r="Y156" i="100"/>
  <c r="Y155" i="100"/>
  <c r="Y154" i="100"/>
  <c r="Y153" i="100"/>
  <c r="Y152" i="100"/>
  <c r="Y151" i="100"/>
  <c r="Y150" i="100"/>
  <c r="Y149" i="100"/>
  <c r="Y148" i="100"/>
  <c r="Y147" i="100"/>
  <c r="Y146" i="100"/>
  <c r="Y145" i="100"/>
  <c r="Y144" i="100"/>
  <c r="Y143" i="100"/>
  <c r="Y142" i="100"/>
  <c r="Y141" i="100"/>
  <c r="Y140" i="100"/>
  <c r="Y139" i="100"/>
  <c r="Y138" i="100"/>
  <c r="Y137" i="100"/>
  <c r="Y136" i="100"/>
  <c r="Y135" i="100"/>
  <c r="Y134" i="100"/>
  <c r="Y133" i="100"/>
  <c r="Y132" i="100"/>
  <c r="Y131" i="100"/>
  <c r="Y130" i="100"/>
  <c r="Y129" i="100"/>
  <c r="Y128" i="100"/>
  <c r="Y127" i="100"/>
  <c r="Y126" i="100"/>
  <c r="Y125" i="100"/>
  <c r="Y124" i="100"/>
  <c r="Y123" i="100"/>
  <c r="Y122" i="100"/>
  <c r="Y121" i="100"/>
  <c r="Y120" i="100"/>
  <c r="Y119" i="100"/>
  <c r="Y118" i="100"/>
  <c r="Y117" i="100"/>
  <c r="Y116" i="100"/>
  <c r="Y115" i="100"/>
  <c r="Y114" i="100"/>
  <c r="Y113" i="100"/>
  <c r="Y112" i="100"/>
  <c r="Y111" i="100"/>
  <c r="Y110" i="100"/>
  <c r="Y109" i="100"/>
  <c r="Y108" i="100"/>
  <c r="Y107" i="100"/>
  <c r="Y106" i="100"/>
  <c r="Y105" i="100"/>
  <c r="Y104" i="100"/>
  <c r="Y103" i="100"/>
  <c r="Y102" i="100"/>
  <c r="Y101" i="100"/>
  <c r="Y100" i="100"/>
  <c r="Y99" i="100"/>
  <c r="Y98" i="100"/>
  <c r="Y97" i="100"/>
  <c r="Y96" i="100"/>
  <c r="Y95" i="100"/>
  <c r="Y94" i="100"/>
  <c r="Y93" i="100"/>
  <c r="Y92" i="100"/>
  <c r="Y91" i="100"/>
  <c r="Y90" i="100"/>
  <c r="Y89" i="100"/>
  <c r="Y88" i="100"/>
  <c r="Y87" i="100"/>
  <c r="Y86" i="100"/>
  <c r="Y85" i="100"/>
  <c r="Y84" i="100"/>
  <c r="Y83" i="100"/>
  <c r="Y82" i="100"/>
  <c r="Y81" i="100"/>
  <c r="Y80" i="100"/>
  <c r="Y79" i="100"/>
  <c r="Y78" i="100"/>
  <c r="Y77" i="100"/>
  <c r="Y76" i="100"/>
  <c r="Y75" i="100"/>
  <c r="Y74" i="100"/>
  <c r="Y73" i="100"/>
  <c r="Y72" i="100"/>
  <c r="Y71" i="100"/>
  <c r="Y70" i="100"/>
  <c r="Y69" i="100"/>
  <c r="Y68" i="100"/>
  <c r="Y67" i="100"/>
  <c r="Y66" i="100"/>
  <c r="Y65" i="100"/>
  <c r="Y64" i="100"/>
  <c r="Y63" i="100"/>
  <c r="Y62" i="100"/>
  <c r="Y61" i="100"/>
  <c r="Y60" i="100"/>
  <c r="Y59" i="100"/>
  <c r="Y58" i="100"/>
  <c r="Y57" i="100"/>
  <c r="Y56" i="100"/>
  <c r="Y55" i="100"/>
  <c r="Y54" i="100"/>
  <c r="Y53" i="100"/>
  <c r="Y52" i="100"/>
  <c r="Y51" i="100"/>
  <c r="Y50" i="100"/>
  <c r="Y49" i="100"/>
  <c r="Y48" i="100"/>
  <c r="Y47" i="100"/>
  <c r="Y46" i="100"/>
  <c r="Y45" i="100"/>
  <c r="Y44" i="100"/>
  <c r="Y43" i="100"/>
  <c r="Y42" i="100"/>
  <c r="Y41" i="100"/>
  <c r="Y40" i="100"/>
  <c r="Y39" i="100"/>
  <c r="Y38" i="100"/>
  <c r="Y37" i="100"/>
  <c r="Y36" i="100"/>
  <c r="Y35" i="100"/>
  <c r="Y34" i="100"/>
  <c r="Y33" i="100"/>
  <c r="Y32" i="100"/>
  <c r="Y31" i="100"/>
  <c r="Y30" i="100"/>
  <c r="Y29" i="100"/>
  <c r="Y28" i="100"/>
  <c r="Y27" i="100"/>
  <c r="Y26" i="100"/>
  <c r="Y25" i="100"/>
  <c r="Y24" i="100"/>
  <c r="Y23" i="100"/>
  <c r="Y22" i="100"/>
  <c r="Y21" i="100"/>
  <c r="Y20" i="100"/>
  <c r="Y19" i="100"/>
  <c r="Y18" i="100"/>
  <c r="Y17" i="100"/>
  <c r="Y16" i="100"/>
  <c r="Y15" i="100"/>
  <c r="Y14" i="100"/>
  <c r="Y13" i="100"/>
  <c r="Y12" i="100"/>
  <c r="Y11" i="100"/>
  <c r="Y10" i="100"/>
  <c r="Y9" i="100"/>
  <c r="Y8" i="100"/>
  <c r="Y7" i="100"/>
  <c r="Y6" i="100"/>
  <c r="Y5" i="100"/>
  <c r="Y4" i="100"/>
  <c r="Y3" i="100"/>
  <c r="Y2" i="100"/>
  <c r="C11" i="114"/>
  <c r="AP332" i="117"/>
  <c r="AN332" i="117"/>
  <c r="AN332" i="117" a="1"/>
  <c r="AL332" i="117" a="1"/>
  <c r="AL332" i="117" s="1"/>
  <c r="AI332" i="117"/>
  <c r="AG332" i="117" a="1"/>
  <c r="AG332" i="117" s="1"/>
  <c r="AE332" i="117" a="1"/>
  <c r="AE332" i="117" s="1"/>
  <c r="AB332" i="117"/>
  <c r="O332" i="117" s="1"/>
  <c r="Z332" i="117"/>
  <c r="Z332" i="117" a="1"/>
  <c r="X332" i="117" a="1"/>
  <c r="X332" i="117" s="1"/>
  <c r="U332" i="117"/>
  <c r="W332" i="117" s="1" a="1"/>
  <c r="W332" i="117" s="1"/>
  <c r="S332" i="117" a="1"/>
  <c r="S332" i="117" s="1"/>
  <c r="Q332" i="117" a="1"/>
  <c r="Q332" i="117" s="1"/>
  <c r="P332" i="117"/>
  <c r="M332" i="117"/>
  <c r="D332" i="117"/>
  <c r="N332" i="117" s="1"/>
  <c r="AO332" i="117" s="1"/>
  <c r="B332" i="117"/>
  <c r="AR332" i="117" s="1" a="1"/>
  <c r="AR332" i="117" s="1"/>
  <c r="AP331" i="117"/>
  <c r="AN331" i="117" a="1"/>
  <c r="AN331" i="117" s="1"/>
  <c r="AL331" i="117" a="1"/>
  <c r="AL331" i="117" s="1"/>
  <c r="AI331" i="117"/>
  <c r="AG331" i="117" a="1"/>
  <c r="AG331" i="117" s="1"/>
  <c r="AE331" i="117" a="1"/>
  <c r="AE331" i="117" s="1"/>
  <c r="AB331" i="117"/>
  <c r="O331" i="117" s="1"/>
  <c r="Z331" i="117" a="1"/>
  <c r="Z331" i="117" s="1"/>
  <c r="X331" i="117" a="1"/>
  <c r="X331" i="117" s="1"/>
  <c r="U331" i="117"/>
  <c r="P331" i="117" s="1"/>
  <c r="S331" i="117" a="1"/>
  <c r="S331" i="117" s="1"/>
  <c r="Q331" i="117" a="1"/>
  <c r="Q331" i="117" s="1"/>
  <c r="M331" i="117"/>
  <c r="D331" i="117"/>
  <c r="N331" i="117" s="1"/>
  <c r="B331" i="117"/>
  <c r="AK331" i="117" s="1" a="1"/>
  <c r="AK331" i="117" s="1"/>
  <c r="AP330" i="117"/>
  <c r="AN330" i="117" a="1"/>
  <c r="AN330" i="117" s="1"/>
  <c r="AL330" i="117"/>
  <c r="AL330" i="117" a="1"/>
  <c r="AI330" i="117"/>
  <c r="AG330" i="117" a="1"/>
  <c r="AG330" i="117" s="1"/>
  <c r="AE330" i="117" a="1"/>
  <c r="AE330" i="117" s="1"/>
  <c r="AB330" i="117"/>
  <c r="Z330" i="117" a="1"/>
  <c r="Z330" i="117" s="1"/>
  <c r="X330" i="117" a="1"/>
  <c r="X330" i="117" s="1"/>
  <c r="U330" i="117"/>
  <c r="P330" i="117" s="1"/>
  <c r="S330" i="117" a="1"/>
  <c r="S330" i="117" s="1"/>
  <c r="Q330" i="117" a="1"/>
  <c r="Q330" i="117" s="1"/>
  <c r="O330" i="117"/>
  <c r="M330" i="117"/>
  <c r="D330" i="117"/>
  <c r="C330" i="117" s="1"/>
  <c r="B330" i="117"/>
  <c r="AD330" i="117" s="1" a="1"/>
  <c r="AD330" i="117" s="1"/>
  <c r="AP329" i="117"/>
  <c r="AN329" i="117" a="1"/>
  <c r="AN329" i="117" s="1"/>
  <c r="AL329" i="117" a="1"/>
  <c r="AL329" i="117" s="1"/>
  <c r="AI329" i="117"/>
  <c r="AG329" i="117" a="1"/>
  <c r="AG329" i="117" s="1"/>
  <c r="AE329" i="117" a="1"/>
  <c r="AE329" i="117" s="1"/>
  <c r="AB329" i="117"/>
  <c r="Z329" i="117" a="1"/>
  <c r="Z329" i="117" s="1"/>
  <c r="X329" i="117" a="1"/>
  <c r="X329" i="117" s="1"/>
  <c r="U329" i="117"/>
  <c r="W329" i="117" s="1" a="1"/>
  <c r="W329" i="117" s="1"/>
  <c r="S329" i="117" a="1"/>
  <c r="S329" i="117" s="1"/>
  <c r="Q329" i="117" a="1"/>
  <c r="Q329" i="117" s="1"/>
  <c r="M329" i="117"/>
  <c r="D329" i="117"/>
  <c r="N329" i="117" s="1"/>
  <c r="B329" i="117"/>
  <c r="AP328" i="117"/>
  <c r="AN328" i="117" a="1"/>
  <c r="AN328" i="117" s="1"/>
  <c r="AL328" i="117" a="1"/>
  <c r="AL328" i="117" s="1"/>
  <c r="AI328" i="117"/>
  <c r="AG328" i="117" a="1"/>
  <c r="AG328" i="117" s="1"/>
  <c r="AE328" i="117" a="1"/>
  <c r="AE328" i="117" s="1"/>
  <c r="AB328" i="117"/>
  <c r="Z328" i="117" a="1"/>
  <c r="Z328" i="117" s="1"/>
  <c r="X328" i="117" a="1"/>
  <c r="X328" i="117" s="1"/>
  <c r="U328" i="117"/>
  <c r="P328" i="117" s="1"/>
  <c r="S328" i="117" a="1"/>
  <c r="S328" i="117" s="1"/>
  <c r="Q328" i="117" a="1"/>
  <c r="Q328" i="117" s="1"/>
  <c r="M328" i="117"/>
  <c r="D328" i="117"/>
  <c r="B328" i="117"/>
  <c r="AD328" i="117" s="1" a="1"/>
  <c r="AD328" i="117" s="1"/>
  <c r="AP327" i="117"/>
  <c r="AR327" i="117" s="1" a="1"/>
  <c r="AR327" i="117" s="1"/>
  <c r="AN327" i="117" a="1"/>
  <c r="AN327" i="117" s="1"/>
  <c r="AL327" i="117" a="1"/>
  <c r="AL327" i="117" s="1"/>
  <c r="AI327" i="117"/>
  <c r="AG327" i="117" a="1"/>
  <c r="AG327" i="117" s="1"/>
  <c r="AE327" i="117" a="1"/>
  <c r="AE327" i="117" s="1"/>
  <c r="AB327" i="117"/>
  <c r="Z327" i="117" a="1"/>
  <c r="Z327" i="117" s="1"/>
  <c r="X327" i="117" a="1"/>
  <c r="X327" i="117" s="1"/>
  <c r="U327" i="117"/>
  <c r="W327" i="117" s="1" a="1"/>
  <c r="W327" i="117" s="1"/>
  <c r="S327" i="117" a="1"/>
  <c r="S327" i="117" s="1"/>
  <c r="Q327" i="117" a="1"/>
  <c r="Q327" i="117" s="1"/>
  <c r="M327" i="117"/>
  <c r="D327" i="117"/>
  <c r="B327" i="117"/>
  <c r="AK327" i="117" s="1" a="1"/>
  <c r="AK327" i="117" s="1"/>
  <c r="AP326" i="117"/>
  <c r="AN326" i="117"/>
  <c r="AN326" i="117" a="1"/>
  <c r="AL326" i="117" a="1"/>
  <c r="AL326" i="117" s="1"/>
  <c r="AI326" i="117"/>
  <c r="AG326" i="117" a="1"/>
  <c r="AG326" i="117" s="1"/>
  <c r="AE326" i="117" a="1"/>
  <c r="AE326" i="117" s="1"/>
  <c r="AB326" i="117"/>
  <c r="O326" i="117" s="1"/>
  <c r="Z326" i="117"/>
  <c r="Z326" i="117" a="1"/>
  <c r="X326" i="117" a="1"/>
  <c r="X326" i="117" s="1"/>
  <c r="U326" i="117"/>
  <c r="W326" i="117" s="1" a="1"/>
  <c r="W326" i="117" s="1"/>
  <c r="S326" i="117" a="1"/>
  <c r="S326" i="117" s="1"/>
  <c r="Q326" i="117" a="1"/>
  <c r="Q326" i="117" s="1"/>
  <c r="M326" i="117"/>
  <c r="D326" i="117"/>
  <c r="B326" i="117"/>
  <c r="AP325" i="117"/>
  <c r="AN325" i="117"/>
  <c r="AN325" i="117" a="1"/>
  <c r="AL325" i="117" a="1"/>
  <c r="AL325" i="117" s="1"/>
  <c r="AI325" i="117"/>
  <c r="AG325" i="117" a="1"/>
  <c r="AG325" i="117" s="1"/>
  <c r="AE325" i="117" a="1"/>
  <c r="AE325" i="117" s="1"/>
  <c r="AB325" i="117"/>
  <c r="Z325" i="117"/>
  <c r="Z325" i="117" a="1"/>
  <c r="X325" i="117" a="1"/>
  <c r="X325" i="117" s="1"/>
  <c r="U325" i="117"/>
  <c r="W325" i="117" s="1" a="1"/>
  <c r="W325" i="117" s="1"/>
  <c r="S325" i="117" a="1"/>
  <c r="S325" i="117" s="1"/>
  <c r="Q325" i="117" a="1"/>
  <c r="Q325" i="117" s="1"/>
  <c r="M325" i="117"/>
  <c r="D325" i="117"/>
  <c r="B325" i="117"/>
  <c r="AK325" i="117" s="1" a="1"/>
  <c r="AK325" i="117" s="1"/>
  <c r="AP324" i="117"/>
  <c r="AN324" i="117"/>
  <c r="AN324" i="117" a="1"/>
  <c r="AL324" i="117" a="1"/>
  <c r="AL324" i="117" s="1"/>
  <c r="AI324" i="117"/>
  <c r="AG324" i="117"/>
  <c r="AG324" i="117" a="1"/>
  <c r="AE324" i="117" a="1"/>
  <c r="AE324" i="117" s="1"/>
  <c r="AB324" i="117"/>
  <c r="Z324" i="117"/>
  <c r="Z324" i="117" a="1"/>
  <c r="X324" i="117" a="1"/>
  <c r="X324" i="117" s="1"/>
  <c r="U324" i="117"/>
  <c r="W324" i="117" s="1" a="1"/>
  <c r="W324" i="117" s="1"/>
  <c r="S324" i="117" a="1"/>
  <c r="S324" i="117" s="1"/>
  <c r="Q324" i="117" a="1"/>
  <c r="Q324" i="117" s="1"/>
  <c r="M324" i="117"/>
  <c r="D324" i="117"/>
  <c r="B324" i="117"/>
  <c r="AK324" i="117" s="1" a="1"/>
  <c r="AK324" i="117" s="1"/>
  <c r="AP323" i="117"/>
  <c r="AN323" i="117" a="1"/>
  <c r="AN323" i="117" s="1"/>
  <c r="AL323" i="117" a="1"/>
  <c r="AL323" i="117" s="1"/>
  <c r="AI323" i="117"/>
  <c r="AG323" i="117" a="1"/>
  <c r="AG323" i="117" s="1"/>
  <c r="AE323" i="117" a="1"/>
  <c r="AE323" i="117" s="1"/>
  <c r="AB323" i="117"/>
  <c r="Z323" i="117"/>
  <c r="Z323" i="117" a="1"/>
  <c r="X323" i="117" a="1"/>
  <c r="X323" i="117" s="1"/>
  <c r="U323" i="117"/>
  <c r="S323" i="117" a="1"/>
  <c r="S323" i="117" s="1"/>
  <c r="Q323" i="117" a="1"/>
  <c r="Q323" i="117" s="1"/>
  <c r="M323" i="117"/>
  <c r="D323" i="117"/>
  <c r="B323" i="117"/>
  <c r="AR323" i="117" s="1" a="1"/>
  <c r="AR323" i="117" s="1"/>
  <c r="AP322" i="117"/>
  <c r="AN322" i="117"/>
  <c r="AN322" i="117" a="1"/>
  <c r="AL322" i="117" a="1"/>
  <c r="AL322" i="117" s="1"/>
  <c r="AI322" i="117"/>
  <c r="AG322" i="117"/>
  <c r="AG322" i="117" a="1"/>
  <c r="AE322" i="117" a="1"/>
  <c r="AE322" i="117" s="1"/>
  <c r="AB322" i="117"/>
  <c r="Z322" i="117" a="1"/>
  <c r="Z322" i="117" s="1"/>
  <c r="X322" i="117" a="1"/>
  <c r="X322" i="117" s="1"/>
  <c r="U322" i="117"/>
  <c r="S322" i="117" a="1"/>
  <c r="S322" i="117" s="1"/>
  <c r="Q322" i="117" a="1"/>
  <c r="Q322" i="117" s="1"/>
  <c r="M322" i="117"/>
  <c r="D322" i="117"/>
  <c r="B322" i="117"/>
  <c r="AP321" i="117"/>
  <c r="AR321" i="117" s="1" a="1"/>
  <c r="AR321" i="117" s="1"/>
  <c r="AN321" i="117" a="1"/>
  <c r="AN321" i="117" s="1"/>
  <c r="AL321" i="117" a="1"/>
  <c r="AL321" i="117" s="1"/>
  <c r="AI321" i="117"/>
  <c r="AG321" i="117"/>
  <c r="AG321" i="117" a="1"/>
  <c r="AE321" i="117" a="1"/>
  <c r="AE321" i="117" s="1"/>
  <c r="AD321" i="117" a="1"/>
  <c r="AD321" i="117" s="1"/>
  <c r="AB321" i="117"/>
  <c r="Z321" i="117" a="1"/>
  <c r="Z321" i="117" s="1"/>
  <c r="X321" i="117" a="1"/>
  <c r="X321" i="117" s="1"/>
  <c r="U321" i="117"/>
  <c r="S321" i="117" a="1"/>
  <c r="S321" i="117" s="1"/>
  <c r="Q321" i="117" a="1"/>
  <c r="Q321" i="117" s="1"/>
  <c r="M321" i="117"/>
  <c r="D321" i="117"/>
  <c r="B321" i="117"/>
  <c r="AP320" i="117"/>
  <c r="O320" i="117" s="1"/>
  <c r="AN320" i="117" a="1"/>
  <c r="AN320" i="117" s="1"/>
  <c r="AL320" i="117" a="1"/>
  <c r="AL320" i="117" s="1"/>
  <c r="AI320" i="117"/>
  <c r="AG320" i="117"/>
  <c r="AG320" i="117" a="1"/>
  <c r="AE320" i="117" a="1"/>
  <c r="AE320" i="117" s="1"/>
  <c r="AD320" i="117" a="1"/>
  <c r="AD320" i="117" s="1"/>
  <c r="AB320" i="117"/>
  <c r="Z320" i="117" a="1"/>
  <c r="Z320" i="117" s="1"/>
  <c r="X320" i="117" a="1"/>
  <c r="X320" i="117" s="1"/>
  <c r="U320" i="117"/>
  <c r="S320" i="117" a="1"/>
  <c r="S320" i="117" s="1"/>
  <c r="Q320" i="117" a="1"/>
  <c r="Q320" i="117" s="1"/>
  <c r="M320" i="117"/>
  <c r="D320" i="117"/>
  <c r="B320" i="117"/>
  <c r="AR319" i="117" a="1"/>
  <c r="AR319" i="117" s="1"/>
  <c r="AP319" i="117"/>
  <c r="AN319" i="117"/>
  <c r="AN319" i="117" a="1"/>
  <c r="AL319" i="117" a="1"/>
  <c r="AL319" i="117" s="1"/>
  <c r="AI319" i="117"/>
  <c r="O319" i="117" s="1"/>
  <c r="AG319" i="117"/>
  <c r="AG319" i="117" a="1"/>
  <c r="AE319" i="117" a="1"/>
  <c r="AE319" i="117" s="1"/>
  <c r="AB319" i="117"/>
  <c r="Z319" i="117" a="1"/>
  <c r="Z319" i="117" s="1"/>
  <c r="X319" i="117" a="1"/>
  <c r="X319" i="117" s="1"/>
  <c r="U319" i="117"/>
  <c r="W319" i="117" s="1" a="1"/>
  <c r="W319" i="117" s="1"/>
  <c r="S319" i="117" a="1"/>
  <c r="S319" i="117" s="1"/>
  <c r="Q319" i="117" a="1"/>
  <c r="Q319" i="117" s="1"/>
  <c r="M319" i="117"/>
  <c r="D319" i="117"/>
  <c r="B319" i="117"/>
  <c r="AR318" i="117" a="1"/>
  <c r="AR318" i="117" s="1"/>
  <c r="AP318" i="117"/>
  <c r="AN318" i="117"/>
  <c r="AN318" i="117" a="1"/>
  <c r="AL318" i="117" a="1"/>
  <c r="AL318" i="117" s="1"/>
  <c r="AI318" i="117"/>
  <c r="AG318" i="117"/>
  <c r="AG318" i="117" a="1"/>
  <c r="AE318" i="117" a="1"/>
  <c r="AE318" i="117" s="1"/>
  <c r="AB318" i="117"/>
  <c r="Z318" i="117" a="1"/>
  <c r="Z318" i="117" s="1"/>
  <c r="X318" i="117" a="1"/>
  <c r="X318" i="117" s="1"/>
  <c r="U318" i="117"/>
  <c r="S318" i="117" a="1"/>
  <c r="S318" i="117" s="1"/>
  <c r="Q318" i="117" a="1"/>
  <c r="Q318" i="117" s="1"/>
  <c r="M318" i="117"/>
  <c r="D318" i="117"/>
  <c r="B318" i="117"/>
  <c r="AR317" i="117" a="1"/>
  <c r="AR317" i="117" s="1"/>
  <c r="AP317" i="117"/>
  <c r="AN317" i="117"/>
  <c r="AN317" i="117" a="1"/>
  <c r="AL317" i="117" a="1"/>
  <c r="AL317" i="117" s="1"/>
  <c r="AI317" i="117"/>
  <c r="AG317" i="117"/>
  <c r="AG317" i="117" a="1"/>
  <c r="AE317" i="117" a="1"/>
  <c r="AE317" i="117" s="1"/>
  <c r="AB317" i="117"/>
  <c r="Z317" i="117" a="1"/>
  <c r="Z317" i="117" s="1"/>
  <c r="X317" i="117" a="1"/>
  <c r="X317" i="117" s="1"/>
  <c r="U317" i="117"/>
  <c r="S317" i="117" a="1"/>
  <c r="S317" i="117" s="1"/>
  <c r="Q317" i="117" a="1"/>
  <c r="Q317" i="117" s="1"/>
  <c r="M317" i="117"/>
  <c r="D317" i="117"/>
  <c r="B317" i="117"/>
  <c r="AD317" i="117" s="1" a="1"/>
  <c r="AD317" i="117" s="1"/>
  <c r="AP316" i="117"/>
  <c r="AN316" i="117"/>
  <c r="AN316" i="117" a="1"/>
  <c r="AL316" i="117" a="1"/>
  <c r="AL316" i="117" s="1"/>
  <c r="AI316" i="117"/>
  <c r="AG316" i="117"/>
  <c r="AG316" i="117" a="1"/>
  <c r="AE316" i="117" a="1"/>
  <c r="AE316" i="117" s="1"/>
  <c r="AD316" i="117" a="1"/>
  <c r="AD316" i="117" s="1"/>
  <c r="AB316" i="117"/>
  <c r="Z316" i="117" a="1"/>
  <c r="Z316" i="117" s="1"/>
  <c r="X316" i="117" a="1"/>
  <c r="X316" i="117" s="1"/>
  <c r="U316" i="117"/>
  <c r="W316" i="117" s="1" a="1"/>
  <c r="W316" i="117" s="1"/>
  <c r="S316" i="117" a="1"/>
  <c r="S316" i="117" s="1"/>
  <c r="Q316" i="117" a="1"/>
  <c r="Q316" i="117" s="1"/>
  <c r="M316" i="117"/>
  <c r="D316" i="117"/>
  <c r="B316" i="117"/>
  <c r="AP315" i="117"/>
  <c r="AN315" i="117"/>
  <c r="AN315" i="117" a="1"/>
  <c r="AL315" i="117" a="1"/>
  <c r="AL315" i="117" s="1"/>
  <c r="AI315" i="117"/>
  <c r="AG315" i="117"/>
  <c r="AG315" i="117" a="1"/>
  <c r="AE315" i="117" a="1"/>
  <c r="AE315" i="117" s="1"/>
  <c r="AB315" i="117"/>
  <c r="Z315" i="117" a="1"/>
  <c r="Z315" i="117" s="1"/>
  <c r="X315" i="117" a="1"/>
  <c r="X315" i="117" s="1"/>
  <c r="U315" i="117"/>
  <c r="P315" i="117" s="1"/>
  <c r="S315" i="117" a="1"/>
  <c r="S315" i="117" s="1"/>
  <c r="Q315" i="117" a="1"/>
  <c r="Q315" i="117" s="1"/>
  <c r="M315" i="117"/>
  <c r="D315" i="117"/>
  <c r="B315" i="117"/>
  <c r="AD315" i="117" s="1" a="1"/>
  <c r="AD315" i="117" s="1"/>
  <c r="AP314" i="117"/>
  <c r="AN314" i="117" a="1"/>
  <c r="AN314" i="117" s="1"/>
  <c r="AL314" i="117" a="1"/>
  <c r="AL314" i="117" s="1"/>
  <c r="AI314" i="117"/>
  <c r="AG314" i="117" a="1"/>
  <c r="AG314" i="117" s="1"/>
  <c r="AE314" i="117"/>
  <c r="AE314" i="117" a="1"/>
  <c r="AB314" i="117"/>
  <c r="Z314" i="117" a="1"/>
  <c r="Z314" i="117" s="1"/>
  <c r="X314" i="117" a="1"/>
  <c r="X314" i="117" s="1"/>
  <c r="U314" i="117"/>
  <c r="S314" i="117" a="1"/>
  <c r="S314" i="117" s="1"/>
  <c r="Q314" i="117" a="1"/>
  <c r="Q314" i="117" s="1"/>
  <c r="M314" i="117"/>
  <c r="D314" i="117"/>
  <c r="B314" i="117"/>
  <c r="AK314" i="117" s="1" a="1"/>
  <c r="AK314" i="117" s="1"/>
  <c r="AP313" i="117"/>
  <c r="AN313" i="117" a="1"/>
  <c r="AN313" i="117" s="1"/>
  <c r="AL313" i="117" a="1"/>
  <c r="AL313" i="117" s="1"/>
  <c r="AI313" i="117"/>
  <c r="AG313" i="117" a="1"/>
  <c r="AG313" i="117" s="1"/>
  <c r="AE313" i="117" a="1"/>
  <c r="AE313" i="117" s="1"/>
  <c r="AB313" i="117"/>
  <c r="Z313" i="117"/>
  <c r="Z313" i="117" a="1"/>
  <c r="X313" i="117" a="1"/>
  <c r="X313" i="117" s="1"/>
  <c r="U313" i="117"/>
  <c r="S313" i="117" a="1"/>
  <c r="S313" i="117" s="1"/>
  <c r="Q313" i="117" a="1"/>
  <c r="Q313" i="117" s="1"/>
  <c r="M313" i="117"/>
  <c r="D313" i="117"/>
  <c r="N313" i="117" s="1"/>
  <c r="B313" i="117"/>
  <c r="AP312" i="117"/>
  <c r="AN312" i="117" a="1"/>
  <c r="AN312" i="117" s="1"/>
  <c r="AL312" i="117"/>
  <c r="AL312" i="117" a="1"/>
  <c r="AI312" i="117"/>
  <c r="AG312" i="117" a="1"/>
  <c r="AG312" i="117" s="1"/>
  <c r="AE312" i="117" a="1"/>
  <c r="AE312" i="117" s="1"/>
  <c r="AB312" i="117"/>
  <c r="Z312" i="117" a="1"/>
  <c r="Z312" i="117" s="1"/>
  <c r="X312" i="117" a="1"/>
  <c r="X312" i="117" s="1"/>
  <c r="U312" i="117"/>
  <c r="W312" i="117" s="1" a="1"/>
  <c r="W312" i="117" s="1"/>
  <c r="S312" i="117" a="1"/>
  <c r="S312" i="117" s="1"/>
  <c r="Q312" i="117" a="1"/>
  <c r="Q312" i="117" s="1"/>
  <c r="M312" i="117"/>
  <c r="D312" i="117"/>
  <c r="B312" i="117"/>
  <c r="AP311" i="117"/>
  <c r="AN311" i="117" a="1"/>
  <c r="AN311" i="117" s="1"/>
  <c r="AL311" i="117" a="1"/>
  <c r="AL311" i="117" s="1"/>
  <c r="AI311" i="117"/>
  <c r="AG311" i="117" a="1"/>
  <c r="AG311" i="117" s="1"/>
  <c r="AE311" i="117" a="1"/>
  <c r="AE311" i="117" s="1"/>
  <c r="AB311" i="117"/>
  <c r="Z311" i="117"/>
  <c r="Z311" i="117" a="1"/>
  <c r="X311" i="117" a="1"/>
  <c r="X311" i="117" s="1"/>
  <c r="U311" i="117"/>
  <c r="P311" i="117" s="1"/>
  <c r="S311" i="117" a="1"/>
  <c r="S311" i="117" s="1"/>
  <c r="Q311" i="117" a="1"/>
  <c r="Q311" i="117" s="1"/>
  <c r="M311" i="117"/>
  <c r="D311" i="117"/>
  <c r="N311" i="117" s="1"/>
  <c r="B311" i="117"/>
  <c r="AR311" i="117" s="1" a="1"/>
  <c r="AR311" i="117" s="1"/>
  <c r="AP310" i="117"/>
  <c r="AN310" i="117"/>
  <c r="AN310" i="117" a="1"/>
  <c r="AL310" i="117" a="1"/>
  <c r="AL310" i="117" s="1"/>
  <c r="AI310" i="117"/>
  <c r="AG310" i="117" a="1"/>
  <c r="AG310" i="117" s="1"/>
  <c r="AE310" i="117" a="1"/>
  <c r="AE310" i="117" s="1"/>
  <c r="AB310" i="117"/>
  <c r="Z310" i="117" a="1"/>
  <c r="Z310" i="117" s="1"/>
  <c r="X310" i="117" a="1"/>
  <c r="X310" i="117" s="1"/>
  <c r="U310" i="117"/>
  <c r="P310" i="117" s="1"/>
  <c r="S310" i="117" a="1"/>
  <c r="S310" i="117" s="1"/>
  <c r="Q310" i="117" a="1"/>
  <c r="Q310" i="117" s="1"/>
  <c r="M310" i="117"/>
  <c r="D310" i="117"/>
  <c r="N310" i="117" s="1"/>
  <c r="B310" i="117"/>
  <c r="AD310" i="117" s="1" a="1"/>
  <c r="AD310" i="117" s="1"/>
  <c r="AP309" i="117"/>
  <c r="O309" i="117" s="1"/>
  <c r="AN309" i="117"/>
  <c r="AN309" i="117" a="1"/>
  <c r="AL309" i="117" a="1"/>
  <c r="AL309" i="117" s="1"/>
  <c r="AI309" i="117"/>
  <c r="AG309" i="117"/>
  <c r="AG309" i="117" a="1"/>
  <c r="AE309" i="117" a="1"/>
  <c r="AE309" i="117" s="1"/>
  <c r="AB309" i="117"/>
  <c r="Z309" i="117" a="1"/>
  <c r="Z309" i="117" s="1"/>
  <c r="X309" i="117"/>
  <c r="X309" i="117" a="1"/>
  <c r="U309" i="117"/>
  <c r="P309" i="117" s="1"/>
  <c r="S309" i="117" a="1"/>
  <c r="S309" i="117" s="1"/>
  <c r="Q309" i="117" a="1"/>
  <c r="Q309" i="117" s="1"/>
  <c r="M309" i="117"/>
  <c r="D309" i="117"/>
  <c r="B309" i="117"/>
  <c r="AR309" i="117" s="1" a="1"/>
  <c r="AR309" i="117" s="1"/>
  <c r="AP308" i="117"/>
  <c r="AN308" i="117" a="1"/>
  <c r="AN308" i="117" s="1"/>
  <c r="AL308" i="117" a="1"/>
  <c r="AL308" i="117" s="1"/>
  <c r="AI308" i="117"/>
  <c r="AG308" i="117"/>
  <c r="AG308" i="117" a="1"/>
  <c r="AE308" i="117" a="1"/>
  <c r="AE308" i="117" s="1"/>
  <c r="AB308" i="117"/>
  <c r="Z308" i="117" a="1"/>
  <c r="Z308" i="117" s="1"/>
  <c r="X308" i="117" a="1"/>
  <c r="X308" i="117" s="1"/>
  <c r="U308" i="117"/>
  <c r="S308" i="117" a="1"/>
  <c r="S308" i="117" s="1"/>
  <c r="Q308" i="117" a="1"/>
  <c r="Q308" i="117" s="1"/>
  <c r="M308" i="117"/>
  <c r="D308" i="117"/>
  <c r="N308" i="117" s="1"/>
  <c r="B308" i="117"/>
  <c r="AK308" i="117" s="1" a="1"/>
  <c r="AK308" i="117" s="1"/>
  <c r="AP307" i="117"/>
  <c r="AN307" i="117" a="1"/>
  <c r="AN307" i="117" s="1"/>
  <c r="AL307" i="117" a="1"/>
  <c r="AL307" i="117" s="1"/>
  <c r="AI307" i="117"/>
  <c r="AG307" i="117" a="1"/>
  <c r="AG307" i="117" s="1"/>
  <c r="AE307" i="117" a="1"/>
  <c r="AE307" i="117" s="1"/>
  <c r="AB307" i="117"/>
  <c r="Z307" i="117" a="1"/>
  <c r="Z307" i="117" s="1"/>
  <c r="X307" i="117" a="1"/>
  <c r="X307" i="117" s="1"/>
  <c r="U307" i="117"/>
  <c r="W307" i="117" s="1" a="1"/>
  <c r="W307" i="117" s="1"/>
  <c r="S307" i="117" a="1"/>
  <c r="S307" i="117" s="1"/>
  <c r="Q307" i="117" a="1"/>
  <c r="Q307" i="117" s="1"/>
  <c r="M307" i="117"/>
  <c r="D307" i="117"/>
  <c r="N307" i="117" s="1"/>
  <c r="B307" i="117"/>
  <c r="AR307" i="117" s="1" a="1"/>
  <c r="AR307" i="117" s="1"/>
  <c r="AP306" i="117"/>
  <c r="AN306" i="117" a="1"/>
  <c r="AN306" i="117" s="1"/>
  <c r="AL306" i="117"/>
  <c r="AL306" i="117" a="1"/>
  <c r="AI306" i="117"/>
  <c r="AG306" i="117"/>
  <c r="AG306" i="117" a="1"/>
  <c r="AE306" i="117" a="1"/>
  <c r="AE306" i="117" s="1"/>
  <c r="AD306" i="117" a="1"/>
  <c r="AD306" i="117" s="1"/>
  <c r="AB306" i="117"/>
  <c r="Z306" i="117" a="1"/>
  <c r="Z306" i="117" s="1"/>
  <c r="X306" i="117" a="1"/>
  <c r="X306" i="117" s="1"/>
  <c r="U306" i="117"/>
  <c r="S306" i="117" a="1"/>
  <c r="S306" i="117" s="1"/>
  <c r="Q306" i="117" a="1"/>
  <c r="Q306" i="117" s="1"/>
  <c r="M306" i="117"/>
  <c r="D306" i="117"/>
  <c r="N306" i="117" s="1"/>
  <c r="B306" i="117"/>
  <c r="AP305" i="117"/>
  <c r="AN305" i="117"/>
  <c r="AN305" i="117" a="1"/>
  <c r="AL305" i="117"/>
  <c r="AL305" i="117" a="1"/>
  <c r="AI305" i="117"/>
  <c r="AG305" i="117"/>
  <c r="AG305" i="117" a="1"/>
  <c r="AE305" i="117" a="1"/>
  <c r="AE305" i="117" s="1"/>
  <c r="AB305" i="117"/>
  <c r="Z305" i="117" a="1"/>
  <c r="Z305" i="117" s="1"/>
  <c r="X305" i="117" a="1"/>
  <c r="X305" i="117" s="1"/>
  <c r="U305" i="117"/>
  <c r="P305" i="117" s="1"/>
  <c r="S305" i="117" a="1"/>
  <c r="S305" i="117" s="1"/>
  <c r="Q305" i="117" a="1"/>
  <c r="Q305" i="117" s="1"/>
  <c r="M305" i="117"/>
  <c r="D305" i="117"/>
  <c r="N305" i="117" s="1"/>
  <c r="B305" i="117"/>
  <c r="AK305" i="117" s="1" a="1"/>
  <c r="AK305" i="117" s="1"/>
  <c r="AP304" i="117"/>
  <c r="AN304" i="117"/>
  <c r="AN304" i="117" a="1"/>
  <c r="AL304" i="117" a="1"/>
  <c r="AL304" i="117" s="1"/>
  <c r="AI304" i="117"/>
  <c r="O304" i="117" s="1"/>
  <c r="AG304" i="117" a="1"/>
  <c r="AG304" i="117" s="1"/>
  <c r="AE304" i="117" a="1"/>
  <c r="AE304" i="117" s="1"/>
  <c r="AB304" i="117"/>
  <c r="Z304" i="117" a="1"/>
  <c r="Z304" i="117" s="1"/>
  <c r="X304" i="117" a="1"/>
  <c r="X304" i="117" s="1"/>
  <c r="U304" i="117"/>
  <c r="S304" i="117" a="1"/>
  <c r="S304" i="117" s="1"/>
  <c r="Q304" i="117" a="1"/>
  <c r="Q304" i="117" s="1"/>
  <c r="M304" i="117"/>
  <c r="D304" i="117"/>
  <c r="C304" i="117" s="1"/>
  <c r="B304" i="117"/>
  <c r="AR304" i="117" s="1" a="1"/>
  <c r="AR304" i="117" s="1"/>
  <c r="AP303" i="117"/>
  <c r="AN303" i="117"/>
  <c r="AN303" i="117" a="1"/>
  <c r="AL303" i="117" a="1"/>
  <c r="AL303" i="117" s="1"/>
  <c r="AI303" i="117"/>
  <c r="AG303" i="117" a="1"/>
  <c r="AG303" i="117" s="1"/>
  <c r="AE303" i="117"/>
  <c r="AE303" i="117" a="1"/>
  <c r="AB303" i="117"/>
  <c r="O303" i="117" s="1"/>
  <c r="Z303" i="117" a="1"/>
  <c r="Z303" i="117" s="1"/>
  <c r="X303" i="117" a="1"/>
  <c r="X303" i="117" s="1"/>
  <c r="U303" i="117"/>
  <c r="P303" i="117" s="1"/>
  <c r="S303" i="117" a="1"/>
  <c r="S303" i="117" s="1"/>
  <c r="Q303" i="117" a="1"/>
  <c r="Q303" i="117" s="1"/>
  <c r="M303" i="117"/>
  <c r="D303" i="117"/>
  <c r="B303" i="117"/>
  <c r="AD303" i="117" s="1" a="1"/>
  <c r="AD303" i="117" s="1"/>
  <c r="AP302" i="117"/>
  <c r="AN302" i="117" a="1"/>
  <c r="AN302" i="117" s="1"/>
  <c r="AL302" i="117"/>
  <c r="AL302" i="117" a="1"/>
  <c r="AI302" i="117"/>
  <c r="AG302" i="117" a="1"/>
  <c r="AG302" i="117" s="1"/>
  <c r="AE302" i="117" a="1"/>
  <c r="AE302" i="117" s="1"/>
  <c r="AB302" i="117"/>
  <c r="Z302" i="117"/>
  <c r="Z302" i="117" a="1"/>
  <c r="X302" i="117" a="1"/>
  <c r="X302" i="117" s="1"/>
  <c r="U302" i="117"/>
  <c r="W302" i="117" s="1" a="1"/>
  <c r="W302" i="117" s="1"/>
  <c r="S302" i="117" a="1"/>
  <c r="S302" i="117" s="1"/>
  <c r="Q302" i="117" a="1"/>
  <c r="Q302" i="117" s="1"/>
  <c r="O302" i="117"/>
  <c r="M302" i="117"/>
  <c r="D302" i="117"/>
  <c r="C302" i="117" s="1"/>
  <c r="B302" i="117"/>
  <c r="AD302" i="117" s="1" a="1"/>
  <c r="AD302" i="117" s="1"/>
  <c r="AP301" i="117"/>
  <c r="AN301" i="117" a="1"/>
  <c r="AN301" i="117" s="1"/>
  <c r="AL301" i="117" a="1"/>
  <c r="AL301" i="117" s="1"/>
  <c r="AI301" i="117"/>
  <c r="AG301" i="117" a="1"/>
  <c r="AG301" i="117" s="1"/>
  <c r="AE301" i="117" a="1"/>
  <c r="AE301" i="117" s="1"/>
  <c r="AB301" i="117"/>
  <c r="O301" i="117" s="1"/>
  <c r="Z301" i="117"/>
  <c r="Z301" i="117" a="1"/>
  <c r="X301" i="117" a="1"/>
  <c r="X301" i="117" s="1"/>
  <c r="U301" i="117"/>
  <c r="S301" i="117" a="1"/>
  <c r="S301" i="117" s="1"/>
  <c r="Q301" i="117" a="1"/>
  <c r="Q301" i="117" s="1"/>
  <c r="M301" i="117"/>
  <c r="D301" i="117"/>
  <c r="C301" i="117" s="1"/>
  <c r="B301" i="117"/>
  <c r="AK301" i="117" s="1" a="1"/>
  <c r="AK301" i="117" s="1"/>
  <c r="AP300" i="117"/>
  <c r="AN300" i="117"/>
  <c r="AN300" i="117" a="1"/>
  <c r="AL300" i="117" a="1"/>
  <c r="AL300" i="117" s="1"/>
  <c r="AI300" i="117"/>
  <c r="AG300" i="117" a="1"/>
  <c r="AG300" i="117" s="1"/>
  <c r="AE300" i="117" a="1"/>
  <c r="AE300" i="117" s="1"/>
  <c r="AB300" i="117"/>
  <c r="Z300" i="117"/>
  <c r="Z300" i="117" a="1"/>
  <c r="X300" i="117" a="1"/>
  <c r="X300" i="117" s="1"/>
  <c r="U300" i="117"/>
  <c r="S300" i="117" a="1"/>
  <c r="S300" i="117" s="1"/>
  <c r="Q300" i="117" a="1"/>
  <c r="Q300" i="117" s="1"/>
  <c r="M300" i="117"/>
  <c r="D300" i="117"/>
  <c r="N300" i="117" s="1"/>
  <c r="B300" i="117"/>
  <c r="AD300" i="117" s="1" a="1"/>
  <c r="AD300" i="117" s="1"/>
  <c r="AR299" i="117" a="1"/>
  <c r="AR299" i="117" s="1"/>
  <c r="AP299" i="117"/>
  <c r="AN299" i="117" a="1"/>
  <c r="AN299" i="117" s="1"/>
  <c r="AL299" i="117" a="1"/>
  <c r="AL299" i="117" s="1"/>
  <c r="AI299" i="117"/>
  <c r="AG299" i="117"/>
  <c r="AG299" i="117" a="1"/>
  <c r="AE299" i="117"/>
  <c r="AE299" i="117" a="1"/>
  <c r="AB299" i="117"/>
  <c r="Z299" i="117" a="1"/>
  <c r="Z299" i="117" s="1"/>
  <c r="X299" i="117" a="1"/>
  <c r="X299" i="117" s="1"/>
  <c r="U299" i="117"/>
  <c r="P299" i="117" s="1"/>
  <c r="S299" i="117" a="1"/>
  <c r="S299" i="117" s="1"/>
  <c r="Q299" i="117" a="1"/>
  <c r="Q299" i="117" s="1"/>
  <c r="M299" i="117"/>
  <c r="D299" i="117"/>
  <c r="N299" i="117" s="1"/>
  <c r="B299" i="117"/>
  <c r="AD299" i="117" s="1" a="1"/>
  <c r="AD299" i="117" s="1"/>
  <c r="AP298" i="117"/>
  <c r="AN298" i="117" a="1"/>
  <c r="AN298" i="117" s="1"/>
  <c r="AL298" i="117"/>
  <c r="AL298" i="117" a="1"/>
  <c r="AI298" i="117"/>
  <c r="AG298" i="117" a="1"/>
  <c r="AG298" i="117" s="1"/>
  <c r="AE298" i="117" a="1"/>
  <c r="AE298" i="117" s="1"/>
  <c r="AB298" i="117"/>
  <c r="Z298" i="117" a="1"/>
  <c r="Z298" i="117" s="1"/>
  <c r="X298" i="117"/>
  <c r="X298" i="117" a="1"/>
  <c r="U298" i="117"/>
  <c r="P298" i="117" s="1"/>
  <c r="S298" i="117" a="1"/>
  <c r="S298" i="117" s="1"/>
  <c r="Q298" i="117" a="1"/>
  <c r="Q298" i="117" s="1"/>
  <c r="M298" i="117"/>
  <c r="D298" i="117"/>
  <c r="C298" i="117" s="1"/>
  <c r="B298" i="117"/>
  <c r="AK298" i="117" s="1" a="1"/>
  <c r="AK298" i="117" s="1"/>
  <c r="AP297" i="117"/>
  <c r="AN297" i="117" a="1"/>
  <c r="AN297" i="117" s="1"/>
  <c r="AL297" i="117"/>
  <c r="AL297" i="117" a="1"/>
  <c r="AI297" i="117"/>
  <c r="AG297" i="117" a="1"/>
  <c r="AG297" i="117" s="1"/>
  <c r="AE297" i="117"/>
  <c r="AE297" i="117" a="1"/>
  <c r="AB297" i="117"/>
  <c r="Z297" i="117"/>
  <c r="Z297" i="117" a="1"/>
  <c r="X297" i="117"/>
  <c r="X297" i="117" a="1"/>
  <c r="U297" i="117"/>
  <c r="W297" i="117" s="1" a="1"/>
  <c r="W297" i="117" s="1"/>
  <c r="S297" i="117" a="1"/>
  <c r="S297" i="117" s="1"/>
  <c r="Q297" i="117" a="1"/>
  <c r="Q297" i="117" s="1"/>
  <c r="M297" i="117"/>
  <c r="D297" i="117"/>
  <c r="B297" i="117"/>
  <c r="AR297" i="117" s="1" a="1"/>
  <c r="AR297" i="117" s="1"/>
  <c r="AP296" i="117"/>
  <c r="AN296" i="117"/>
  <c r="AN296" i="117" a="1"/>
  <c r="AL296" i="117"/>
  <c r="AL296" i="117" a="1"/>
  <c r="AI296" i="117"/>
  <c r="AG296" i="117" a="1"/>
  <c r="AG296" i="117" s="1"/>
  <c r="AE296" i="117" a="1"/>
  <c r="AE296" i="117" s="1"/>
  <c r="AD296" i="117" a="1"/>
  <c r="AD296" i="117" s="1"/>
  <c r="AB296" i="117"/>
  <c r="Z296" i="117" a="1"/>
  <c r="Z296" i="117" s="1"/>
  <c r="X296" i="117" a="1"/>
  <c r="X296" i="117" s="1"/>
  <c r="U296" i="117"/>
  <c r="W296" i="117" s="1" a="1"/>
  <c r="W296" i="117" s="1"/>
  <c r="S296" i="117" a="1"/>
  <c r="S296" i="117" s="1"/>
  <c r="Q296" i="117" a="1"/>
  <c r="Q296" i="117" s="1"/>
  <c r="M296" i="117"/>
  <c r="D296" i="117"/>
  <c r="N296" i="117" s="1"/>
  <c r="B296" i="117"/>
  <c r="AR296" i="117" s="1" a="1"/>
  <c r="AR296" i="117" s="1"/>
  <c r="AP295" i="117"/>
  <c r="AN295" i="117" a="1"/>
  <c r="AN295" i="117" s="1"/>
  <c r="AL295" i="117" a="1"/>
  <c r="AL295" i="117" s="1"/>
  <c r="AI295" i="117"/>
  <c r="AG295" i="117" a="1"/>
  <c r="AG295" i="117" s="1"/>
  <c r="AE295" i="117" a="1"/>
  <c r="AE295" i="117" s="1"/>
  <c r="AB295" i="117"/>
  <c r="Z295" i="117"/>
  <c r="Z295" i="117" a="1"/>
  <c r="X295" i="117" a="1"/>
  <c r="X295" i="117" s="1"/>
  <c r="U295" i="117"/>
  <c r="P295" i="117" s="1"/>
  <c r="S295" i="117" a="1"/>
  <c r="S295" i="117" s="1"/>
  <c r="Q295" i="117" a="1"/>
  <c r="Q295" i="117" s="1"/>
  <c r="M295" i="117"/>
  <c r="D295" i="117"/>
  <c r="C295" i="117" s="1"/>
  <c r="B295" i="117"/>
  <c r="AP294" i="117"/>
  <c r="O294" i="117" s="1"/>
  <c r="AN294" i="117" a="1"/>
  <c r="AN294" i="117" s="1"/>
  <c r="AL294" i="117"/>
  <c r="AL294" i="117" a="1"/>
  <c r="AI294" i="117"/>
  <c r="AG294" i="117"/>
  <c r="AG294" i="117" a="1"/>
  <c r="AE294" i="117" a="1"/>
  <c r="AE294" i="117" s="1"/>
  <c r="AB294" i="117"/>
  <c r="Z294" i="117" a="1"/>
  <c r="Z294" i="117" s="1"/>
  <c r="X294" i="117" a="1"/>
  <c r="X294" i="117" s="1"/>
  <c r="U294" i="117"/>
  <c r="P294" i="117" s="1"/>
  <c r="S294" i="117" a="1"/>
  <c r="S294" i="117" s="1"/>
  <c r="Q294" i="117" a="1"/>
  <c r="Q294" i="117" s="1"/>
  <c r="M294" i="117"/>
  <c r="D294" i="117"/>
  <c r="C294" i="117" s="1"/>
  <c r="B294" i="117"/>
  <c r="AP293" i="117"/>
  <c r="O293" i="117" s="1"/>
  <c r="AN293" i="117" a="1"/>
  <c r="AN293" i="117" s="1"/>
  <c r="AL293" i="117" a="1"/>
  <c r="AL293" i="117" s="1"/>
  <c r="AI293" i="117"/>
  <c r="AG293" i="117" a="1"/>
  <c r="AG293" i="117" s="1"/>
  <c r="AE293" i="117" a="1"/>
  <c r="AE293" i="117" s="1"/>
  <c r="AB293" i="117"/>
  <c r="Z293" i="117" a="1"/>
  <c r="Z293" i="117" s="1"/>
  <c r="X293" i="117"/>
  <c r="X293" i="117" a="1"/>
  <c r="U293" i="117"/>
  <c r="P293" i="117" s="1"/>
  <c r="S293" i="117" a="1"/>
  <c r="S293" i="117" s="1"/>
  <c r="Q293" i="117" a="1"/>
  <c r="Q293" i="117" s="1"/>
  <c r="M293" i="117"/>
  <c r="D293" i="117"/>
  <c r="C293" i="117" s="1"/>
  <c r="B293" i="117"/>
  <c r="AR293" i="117" s="1" a="1"/>
  <c r="AR293" i="117" s="1"/>
  <c r="AP292" i="117"/>
  <c r="AN292" i="117"/>
  <c r="AN292" i="117" a="1"/>
  <c r="AL292" i="117"/>
  <c r="AL292" i="117" a="1"/>
  <c r="AI292" i="117"/>
  <c r="O292" i="117" s="1"/>
  <c r="AG292" i="117"/>
  <c r="AG292" i="117" a="1"/>
  <c r="AE292" i="117" a="1"/>
  <c r="AE292" i="117" s="1"/>
  <c r="AB292" i="117"/>
  <c r="Z292" i="117" a="1"/>
  <c r="Z292" i="117" s="1"/>
  <c r="X292" i="117"/>
  <c r="X292" i="117" a="1"/>
  <c r="U292" i="117"/>
  <c r="P292" i="117" s="1"/>
  <c r="S292" i="117" a="1"/>
  <c r="S292" i="117" s="1"/>
  <c r="Q292" i="117" a="1"/>
  <c r="Q292" i="117" s="1"/>
  <c r="M292" i="117"/>
  <c r="D292" i="117"/>
  <c r="N292" i="117" s="1"/>
  <c r="B292" i="117"/>
  <c r="AP291" i="117"/>
  <c r="AN291" i="117" a="1"/>
  <c r="AN291" i="117" s="1"/>
  <c r="AL291" i="117" a="1"/>
  <c r="AL291" i="117" s="1"/>
  <c r="AI291" i="117"/>
  <c r="AG291" i="117"/>
  <c r="AG291" i="117" a="1"/>
  <c r="AE291" i="117" a="1"/>
  <c r="AE291" i="117" s="1"/>
  <c r="AD291" i="117" a="1"/>
  <c r="AD291" i="117" s="1"/>
  <c r="AB291" i="117"/>
  <c r="Z291" i="117" a="1"/>
  <c r="Z291" i="117" s="1"/>
  <c r="X291" i="117" a="1"/>
  <c r="X291" i="117" s="1"/>
  <c r="U291" i="117"/>
  <c r="S291" i="117" a="1"/>
  <c r="S291" i="117" s="1"/>
  <c r="Q291" i="117" a="1"/>
  <c r="Q291" i="117" s="1"/>
  <c r="M291" i="117"/>
  <c r="D291" i="117"/>
  <c r="N291" i="117" s="1"/>
  <c r="B291" i="117"/>
  <c r="AP290" i="117"/>
  <c r="AN290" i="117" a="1"/>
  <c r="AN290" i="117" s="1"/>
  <c r="AL290" i="117" a="1"/>
  <c r="AL290" i="117" s="1"/>
  <c r="AI290" i="117"/>
  <c r="AG290" i="117"/>
  <c r="AG290" i="117" a="1"/>
  <c r="AE290" i="117" a="1"/>
  <c r="AE290" i="117" s="1"/>
  <c r="AB290" i="117"/>
  <c r="Z290" i="117" a="1"/>
  <c r="Z290" i="117" s="1"/>
  <c r="X290" i="117" a="1"/>
  <c r="X290" i="117" s="1"/>
  <c r="U290" i="117"/>
  <c r="W290" i="117" s="1" a="1"/>
  <c r="W290" i="117" s="1"/>
  <c r="S290" i="117" a="1"/>
  <c r="S290" i="117" s="1"/>
  <c r="Q290" i="117" a="1"/>
  <c r="Q290" i="117" s="1"/>
  <c r="M290" i="117"/>
  <c r="D290" i="117"/>
  <c r="B290" i="117"/>
  <c r="AR290" i="117" s="1" a="1"/>
  <c r="AR290" i="117" s="1"/>
  <c r="AP289" i="117"/>
  <c r="AN289" i="117"/>
  <c r="AN289" i="117" a="1"/>
  <c r="AL289" i="117" a="1"/>
  <c r="AL289" i="117" s="1"/>
  <c r="AI289" i="117"/>
  <c r="AG289" i="117"/>
  <c r="AG289" i="117" a="1"/>
  <c r="AE289" i="117" a="1"/>
  <c r="AE289" i="117" s="1"/>
  <c r="AB289" i="117"/>
  <c r="Z289" i="117" a="1"/>
  <c r="Z289" i="117" s="1"/>
  <c r="X289" i="117" a="1"/>
  <c r="X289" i="117" s="1"/>
  <c r="U289" i="117"/>
  <c r="P289" i="117" s="1"/>
  <c r="S289" i="117" a="1"/>
  <c r="S289" i="117" s="1"/>
  <c r="Q289" i="117" a="1"/>
  <c r="Q289" i="117" s="1"/>
  <c r="M289" i="117"/>
  <c r="D289" i="117"/>
  <c r="C289" i="117" s="1"/>
  <c r="B289" i="117"/>
  <c r="AP288" i="117"/>
  <c r="AN288" i="117" a="1"/>
  <c r="AN288" i="117" s="1"/>
  <c r="AL288" i="117" a="1"/>
  <c r="AL288" i="117" s="1"/>
  <c r="AI288" i="117"/>
  <c r="AK288" i="117" s="1" a="1"/>
  <c r="AK288" i="117" s="1"/>
  <c r="AG288" i="117" a="1"/>
  <c r="AG288" i="117" s="1"/>
  <c r="AE288" i="117" a="1"/>
  <c r="AE288" i="117" s="1"/>
  <c r="AD288" i="117"/>
  <c r="AB288" i="117"/>
  <c r="Z288" i="117" a="1"/>
  <c r="Z288" i="117" s="1"/>
  <c r="X288" i="117" a="1"/>
  <c r="X288" i="117" s="1"/>
  <c r="U288" i="117"/>
  <c r="S288" i="117" a="1"/>
  <c r="S288" i="117" s="1"/>
  <c r="Q288" i="117" a="1"/>
  <c r="Q288" i="117" s="1"/>
  <c r="M288" i="117"/>
  <c r="D288" i="117"/>
  <c r="B288" i="117"/>
  <c r="AD288" i="117" s="1" a="1"/>
  <c r="AP287" i="117"/>
  <c r="O287" i="117" s="1"/>
  <c r="AN287" i="117" a="1"/>
  <c r="AN287" i="117" s="1"/>
  <c r="AL287" i="117" a="1"/>
  <c r="AL287" i="117" s="1"/>
  <c r="AI287" i="117"/>
  <c r="AG287" i="117"/>
  <c r="AG287" i="117" a="1"/>
  <c r="AE287" i="117" a="1"/>
  <c r="AE287" i="117" s="1"/>
  <c r="AD287" i="117" a="1"/>
  <c r="AD287" i="117" s="1"/>
  <c r="AB287" i="117"/>
  <c r="Z287" i="117" a="1"/>
  <c r="Z287" i="117" s="1"/>
  <c r="X287" i="117" a="1"/>
  <c r="X287" i="117" s="1"/>
  <c r="U287" i="117"/>
  <c r="P287" i="117" s="1"/>
  <c r="S287" i="117" a="1"/>
  <c r="S287" i="117" s="1"/>
  <c r="Q287" i="117" a="1"/>
  <c r="Q287" i="117" s="1"/>
  <c r="M287" i="117"/>
  <c r="D287" i="117"/>
  <c r="C287" i="117" s="1"/>
  <c r="B287" i="117"/>
  <c r="AR287" i="117" s="1" a="1"/>
  <c r="AR287" i="117" s="1"/>
  <c r="AP286" i="117"/>
  <c r="AN286" i="117"/>
  <c r="AN286" i="117" a="1"/>
  <c r="AL286" i="117" a="1"/>
  <c r="AL286" i="117" s="1"/>
  <c r="AI286" i="117"/>
  <c r="AG286" i="117"/>
  <c r="AG286" i="117" a="1"/>
  <c r="AE286" i="117" a="1"/>
  <c r="AE286" i="117" s="1"/>
  <c r="AD286" i="117" a="1"/>
  <c r="AD286" i="117" s="1"/>
  <c r="AB286" i="117"/>
  <c r="Z286" i="117" a="1"/>
  <c r="Z286" i="117" s="1"/>
  <c r="X286" i="117" a="1"/>
  <c r="X286" i="117" s="1"/>
  <c r="U286" i="117"/>
  <c r="P286" i="117" s="1"/>
  <c r="S286" i="117" a="1"/>
  <c r="S286" i="117" s="1"/>
  <c r="Q286" i="117" a="1"/>
  <c r="Q286" i="117" s="1"/>
  <c r="M286" i="117"/>
  <c r="D286" i="117"/>
  <c r="N286" i="117" s="1"/>
  <c r="B286" i="117"/>
  <c r="AP285" i="117"/>
  <c r="AN285" i="117"/>
  <c r="AN285" i="117" a="1"/>
  <c r="AL285" i="117"/>
  <c r="AL285" i="117" a="1"/>
  <c r="AI285" i="117"/>
  <c r="AG285" i="117" a="1"/>
  <c r="AG285" i="117" s="1"/>
  <c r="AE285" i="117" a="1"/>
  <c r="AE285" i="117" s="1"/>
  <c r="AB285" i="117"/>
  <c r="Z285" i="117" a="1"/>
  <c r="Z285" i="117" s="1"/>
  <c r="X285" i="117" a="1"/>
  <c r="X285" i="117" s="1"/>
  <c r="U285" i="117"/>
  <c r="P285" i="117" s="1"/>
  <c r="S285" i="117" a="1"/>
  <c r="S285" i="117" s="1"/>
  <c r="Q285" i="117" a="1"/>
  <c r="Q285" i="117" s="1"/>
  <c r="O285" i="117"/>
  <c r="M285" i="117"/>
  <c r="D285" i="117"/>
  <c r="N285" i="117" s="1"/>
  <c r="AQ285" i="117" s="1"/>
  <c r="B285" i="117"/>
  <c r="AK285" i="117" s="1" a="1"/>
  <c r="AK285" i="117" s="1"/>
  <c r="AP284" i="117"/>
  <c r="AN284" i="117" a="1"/>
  <c r="AN284" i="117" s="1"/>
  <c r="AL284" i="117"/>
  <c r="AL284" i="117" a="1"/>
  <c r="AI284" i="117"/>
  <c r="AG284" i="117" a="1"/>
  <c r="AG284" i="117" s="1"/>
  <c r="AE284" i="117" a="1"/>
  <c r="AE284" i="117" s="1"/>
  <c r="AB284" i="117"/>
  <c r="Z284" i="117"/>
  <c r="Z284" i="117" a="1"/>
  <c r="X284" i="117" a="1"/>
  <c r="X284" i="117" s="1"/>
  <c r="U284" i="117"/>
  <c r="P284" i="117" s="1"/>
  <c r="S284" i="117" a="1"/>
  <c r="S284" i="117" s="1"/>
  <c r="Q284" i="117" a="1"/>
  <c r="Q284" i="117" s="1"/>
  <c r="M284" i="117"/>
  <c r="D284" i="117"/>
  <c r="C284" i="117" s="1"/>
  <c r="B284" i="117"/>
  <c r="AP283" i="117"/>
  <c r="AR283" i="117" s="1" a="1"/>
  <c r="AR283" i="117" s="1"/>
  <c r="AN283" i="117"/>
  <c r="AN283" i="117" a="1"/>
  <c r="AL283" i="117" a="1"/>
  <c r="AL283" i="117" s="1"/>
  <c r="AI283" i="117"/>
  <c r="AG283" i="117"/>
  <c r="AG283" i="117" a="1"/>
  <c r="AE283" i="117" a="1"/>
  <c r="AE283" i="117" s="1"/>
  <c r="AD283" i="117" a="1"/>
  <c r="AD283" i="117" s="1"/>
  <c r="AB283" i="117"/>
  <c r="Z283" i="117" a="1"/>
  <c r="Z283" i="117" s="1"/>
  <c r="X283" i="117"/>
  <c r="X283" i="117" a="1"/>
  <c r="U283" i="117"/>
  <c r="P283" i="117" s="1"/>
  <c r="S283" i="117" a="1"/>
  <c r="S283" i="117" s="1"/>
  <c r="Q283" i="117" a="1"/>
  <c r="Q283" i="117" s="1"/>
  <c r="M283" i="117"/>
  <c r="D283" i="117"/>
  <c r="B283" i="117"/>
  <c r="AP282" i="117"/>
  <c r="AR282" i="117" s="1" a="1"/>
  <c r="AR282" i="117" s="1"/>
  <c r="AN282" i="117" a="1"/>
  <c r="AN282" i="117" s="1"/>
  <c r="AL282" i="117"/>
  <c r="AL282" i="117" a="1"/>
  <c r="AI282" i="117"/>
  <c r="AG282" i="117" a="1"/>
  <c r="AG282" i="117" s="1"/>
  <c r="AE282" i="117"/>
  <c r="AE282" i="117" a="1"/>
  <c r="AB282" i="117"/>
  <c r="Z282" i="117" a="1"/>
  <c r="Z282" i="117" s="1"/>
  <c r="X282" i="117" a="1"/>
  <c r="X282" i="117" s="1"/>
  <c r="U282" i="117"/>
  <c r="P282" i="117" s="1"/>
  <c r="S282" i="117" a="1"/>
  <c r="S282" i="117" s="1"/>
  <c r="Q282" i="117" a="1"/>
  <c r="Q282" i="117" s="1"/>
  <c r="M282" i="117"/>
  <c r="D282" i="117"/>
  <c r="C282" i="117" s="1"/>
  <c r="B282" i="117"/>
  <c r="AP281" i="117"/>
  <c r="AN281" i="117" a="1"/>
  <c r="AN281" i="117" s="1"/>
  <c r="AL281" i="117" a="1"/>
  <c r="AL281" i="117" s="1"/>
  <c r="AI281" i="117"/>
  <c r="AG281" i="117" a="1"/>
  <c r="AG281" i="117" s="1"/>
  <c r="AE281" i="117" a="1"/>
  <c r="AE281" i="117" s="1"/>
  <c r="AB281" i="117"/>
  <c r="Z281" i="117"/>
  <c r="Z281" i="117" a="1"/>
  <c r="X281" i="117" a="1"/>
  <c r="X281" i="117" s="1"/>
  <c r="U281" i="117"/>
  <c r="W281" i="117" s="1" a="1"/>
  <c r="W281" i="117" s="1"/>
  <c r="S281" i="117" a="1"/>
  <c r="S281" i="117" s="1"/>
  <c r="Q281" i="117" a="1"/>
  <c r="Q281" i="117" s="1"/>
  <c r="M281" i="117"/>
  <c r="D281" i="117"/>
  <c r="N281" i="117" s="1"/>
  <c r="B281" i="117"/>
  <c r="AD281" i="117" s="1" a="1"/>
  <c r="AD281" i="117" s="1"/>
  <c r="AP280" i="117"/>
  <c r="AN280" i="117"/>
  <c r="AN280" i="117" a="1"/>
  <c r="AL280" i="117" a="1"/>
  <c r="AL280" i="117" s="1"/>
  <c r="AI280" i="117"/>
  <c r="AG280" i="117"/>
  <c r="AG280" i="117" a="1"/>
  <c r="AE280" i="117" a="1"/>
  <c r="AE280" i="117" s="1"/>
  <c r="AB280" i="117"/>
  <c r="Z280" i="117" a="1"/>
  <c r="Z280" i="117" s="1"/>
  <c r="X280" i="117" a="1"/>
  <c r="X280" i="117" s="1"/>
  <c r="U280" i="117"/>
  <c r="W280" i="117" s="1" a="1"/>
  <c r="W280" i="117" s="1"/>
  <c r="S280" i="117" a="1"/>
  <c r="S280" i="117" s="1"/>
  <c r="Q280" i="117" a="1"/>
  <c r="Q280" i="117" s="1"/>
  <c r="M280" i="117"/>
  <c r="D280" i="117"/>
  <c r="B280" i="117"/>
  <c r="AD280" i="117" s="1" a="1"/>
  <c r="AD280" i="117" s="1"/>
  <c r="AP279" i="117"/>
  <c r="AN279" i="117" a="1"/>
  <c r="AN279" i="117" s="1"/>
  <c r="AL279" i="117"/>
  <c r="AL279" i="117" a="1"/>
  <c r="AI279" i="117"/>
  <c r="AG279" i="117"/>
  <c r="AG279" i="117" a="1"/>
  <c r="AE279" i="117" a="1"/>
  <c r="AE279" i="117" s="1"/>
  <c r="AD279" i="117" a="1"/>
  <c r="AD279" i="117" s="1"/>
  <c r="AB279" i="117"/>
  <c r="Z279" i="117"/>
  <c r="Z279" i="117" a="1"/>
  <c r="X279" i="117" a="1"/>
  <c r="X279" i="117" s="1"/>
  <c r="U279" i="117"/>
  <c r="P279" i="117" s="1"/>
  <c r="S279" i="117" a="1"/>
  <c r="S279" i="117" s="1"/>
  <c r="Q279" i="117" a="1"/>
  <c r="Q279" i="117" s="1"/>
  <c r="M279" i="117"/>
  <c r="D279" i="117"/>
  <c r="C279" i="117" s="1"/>
  <c r="B279" i="117"/>
  <c r="AP278" i="117"/>
  <c r="AN278" i="117" a="1"/>
  <c r="AN278" i="117" s="1"/>
  <c r="AL278" i="117"/>
  <c r="AL278" i="117" a="1"/>
  <c r="AI278" i="117"/>
  <c r="AG278" i="117" a="1"/>
  <c r="AG278" i="117" s="1"/>
  <c r="AE278" i="117" a="1"/>
  <c r="AE278" i="117" s="1"/>
  <c r="AB278" i="117"/>
  <c r="Z278" i="117" a="1"/>
  <c r="Z278" i="117" s="1"/>
  <c r="X278" i="117"/>
  <c r="X278" i="117" a="1"/>
  <c r="U278" i="117"/>
  <c r="P278" i="117" s="1"/>
  <c r="S278" i="117" a="1"/>
  <c r="S278" i="117" s="1"/>
  <c r="Q278" i="117" a="1"/>
  <c r="Q278" i="117" s="1"/>
  <c r="M278" i="117"/>
  <c r="D278" i="117"/>
  <c r="N278" i="117" s="1"/>
  <c r="B278" i="117"/>
  <c r="AP277" i="117"/>
  <c r="AN277" i="117"/>
  <c r="AN277" i="117" a="1"/>
  <c r="AL277" i="117" a="1"/>
  <c r="AL277" i="117" s="1"/>
  <c r="AK277" i="117" a="1"/>
  <c r="AK277" i="117" s="1"/>
  <c r="AI277" i="117"/>
  <c r="AG277" i="117" a="1"/>
  <c r="AG277" i="117" s="1"/>
  <c r="AE277" i="117" a="1"/>
  <c r="AE277" i="117" s="1"/>
  <c r="AB277" i="117"/>
  <c r="Z277" i="117"/>
  <c r="Z277" i="117" a="1"/>
  <c r="X277" i="117" a="1"/>
  <c r="X277" i="117" s="1"/>
  <c r="U277" i="117"/>
  <c r="P277" i="117" s="1"/>
  <c r="S277" i="117" a="1"/>
  <c r="S277" i="117" s="1"/>
  <c r="Q277" i="117" a="1"/>
  <c r="Q277" i="117" s="1"/>
  <c r="O277" i="117"/>
  <c r="M277" i="117"/>
  <c r="D277" i="117"/>
  <c r="C277" i="117" s="1"/>
  <c r="B277" i="117"/>
  <c r="AR277" i="117" s="1" a="1"/>
  <c r="AR277" i="117" s="1"/>
  <c r="AP276" i="117"/>
  <c r="AN276" i="117" a="1"/>
  <c r="AN276" i="117" s="1"/>
  <c r="AL276" i="117" a="1"/>
  <c r="AL276" i="117" s="1"/>
  <c r="AI276" i="117"/>
  <c r="AG276" i="117"/>
  <c r="AG276" i="117" a="1"/>
  <c r="AE276" i="117" a="1"/>
  <c r="AE276" i="117" s="1"/>
  <c r="AB276" i="117"/>
  <c r="Z276" i="117" a="1"/>
  <c r="Z276" i="117" s="1"/>
  <c r="X276" i="117"/>
  <c r="X276" i="117" a="1"/>
  <c r="U276" i="117"/>
  <c r="P276" i="117" s="1"/>
  <c r="S276" i="117" a="1"/>
  <c r="S276" i="117" s="1"/>
  <c r="Q276" i="117" a="1"/>
  <c r="Q276" i="117" s="1"/>
  <c r="M276" i="117"/>
  <c r="D276" i="117"/>
  <c r="N276" i="117" s="1"/>
  <c r="B276" i="117"/>
  <c r="AP275" i="117"/>
  <c r="AN275" i="117" a="1"/>
  <c r="AN275" i="117" s="1"/>
  <c r="AL275" i="117" a="1"/>
  <c r="AL275" i="117" s="1"/>
  <c r="AI275" i="117"/>
  <c r="AG275" i="117" a="1"/>
  <c r="AG275" i="117" s="1"/>
  <c r="AE275" i="117" a="1"/>
  <c r="AE275" i="117" s="1"/>
  <c r="AB275" i="117"/>
  <c r="O275" i="117" s="1"/>
  <c r="Z275" i="117" a="1"/>
  <c r="Z275" i="117" s="1"/>
  <c r="X275" i="117" a="1"/>
  <c r="X275" i="117" s="1"/>
  <c r="U275" i="117"/>
  <c r="P275" i="117" s="1"/>
  <c r="S275" i="117" a="1"/>
  <c r="S275" i="117" s="1"/>
  <c r="Q275" i="117" a="1"/>
  <c r="Q275" i="117" s="1"/>
  <c r="M275" i="117"/>
  <c r="D275" i="117"/>
  <c r="N275" i="117" s="1"/>
  <c r="B275" i="117"/>
  <c r="AK275" i="117" s="1" a="1"/>
  <c r="AK275" i="117" s="1"/>
  <c r="AP274" i="117"/>
  <c r="AN274" i="117"/>
  <c r="AN274" i="117" a="1"/>
  <c r="AL274" i="117"/>
  <c r="AL274" i="117" a="1"/>
  <c r="AI274" i="117"/>
  <c r="AG274" i="117" a="1"/>
  <c r="AG274" i="117" s="1"/>
  <c r="AE274" i="117" a="1"/>
  <c r="AE274" i="117" s="1"/>
  <c r="AB274" i="117"/>
  <c r="Z274" i="117" a="1"/>
  <c r="Z274" i="117" s="1"/>
  <c r="X274" i="117" a="1"/>
  <c r="X274" i="117" s="1"/>
  <c r="U274" i="117"/>
  <c r="W274" i="117" s="1" a="1"/>
  <c r="W274" i="117" s="1"/>
  <c r="S274" i="117" a="1"/>
  <c r="S274" i="117" s="1"/>
  <c r="Q274" i="117" a="1"/>
  <c r="Q274" i="117" s="1"/>
  <c r="M274" i="117"/>
  <c r="D274" i="117"/>
  <c r="N274" i="117" s="1"/>
  <c r="B274" i="117"/>
  <c r="AR273" i="117"/>
  <c r="AP273" i="117"/>
  <c r="AN273" i="117" a="1"/>
  <c r="AN273" i="117" s="1"/>
  <c r="AL273" i="117" a="1"/>
  <c r="AL273" i="117" s="1"/>
  <c r="AI273" i="117"/>
  <c r="AG273" i="117"/>
  <c r="AG273" i="117" a="1"/>
  <c r="AE273" i="117" a="1"/>
  <c r="AE273" i="117" s="1"/>
  <c r="AD273" i="117" a="1"/>
  <c r="AD273" i="117" s="1"/>
  <c r="AB273" i="117"/>
  <c r="Z273" i="117" a="1"/>
  <c r="Z273" i="117" s="1"/>
  <c r="X273" i="117" a="1"/>
  <c r="X273" i="117" s="1"/>
  <c r="U273" i="117"/>
  <c r="P273" i="117" s="1"/>
  <c r="S273" i="117" a="1"/>
  <c r="S273" i="117" s="1"/>
  <c r="Q273" i="117" a="1"/>
  <c r="Q273" i="117" s="1"/>
  <c r="M273" i="117"/>
  <c r="D273" i="117"/>
  <c r="C273" i="117" s="1"/>
  <c r="B273" i="117"/>
  <c r="AR273" i="117" s="1" a="1"/>
  <c r="AP272" i="117"/>
  <c r="AN272" i="117" a="1"/>
  <c r="AN272" i="117" s="1"/>
  <c r="AL272" i="117" a="1"/>
  <c r="AL272" i="117" s="1"/>
  <c r="AI272" i="117"/>
  <c r="O272" i="117" s="1"/>
  <c r="AG272" i="117"/>
  <c r="AG272" i="117" a="1"/>
  <c r="AE272" i="117" a="1"/>
  <c r="AE272" i="117" s="1"/>
  <c r="AD272" i="117" a="1"/>
  <c r="AD272" i="117" s="1"/>
  <c r="AB272" i="117"/>
  <c r="Z272" i="117" a="1"/>
  <c r="Z272" i="117" s="1"/>
  <c r="X272" i="117" a="1"/>
  <c r="X272" i="117" s="1"/>
  <c r="U272" i="117"/>
  <c r="W272" i="117" s="1" a="1"/>
  <c r="W272" i="117" s="1"/>
  <c r="S272" i="117" a="1"/>
  <c r="S272" i="117" s="1"/>
  <c r="Q272" i="117" a="1"/>
  <c r="Q272" i="117" s="1"/>
  <c r="M272" i="117"/>
  <c r="D272" i="117"/>
  <c r="C272" i="117" s="1"/>
  <c r="B272" i="117"/>
  <c r="AP271" i="117"/>
  <c r="AN271" i="117" a="1"/>
  <c r="AN271" i="117" s="1"/>
  <c r="AL271" i="117" a="1"/>
  <c r="AL271" i="117" s="1"/>
  <c r="AI271" i="117"/>
  <c r="AG271" i="117" a="1"/>
  <c r="AG271" i="117" s="1"/>
  <c r="AE271" i="117" a="1"/>
  <c r="AE271" i="117" s="1"/>
  <c r="AD271" i="117" a="1"/>
  <c r="AD271" i="117" s="1"/>
  <c r="AB271" i="117"/>
  <c r="Z271" i="117"/>
  <c r="Z271" i="117" a="1"/>
  <c r="X271" i="117" a="1"/>
  <c r="X271" i="117" s="1"/>
  <c r="U271" i="117"/>
  <c r="P271" i="117" s="1"/>
  <c r="S271" i="117" a="1"/>
  <c r="S271" i="117" s="1"/>
  <c r="Q271" i="117" a="1"/>
  <c r="Q271" i="117" s="1"/>
  <c r="O271" i="117"/>
  <c r="M271" i="117"/>
  <c r="D271" i="117"/>
  <c r="B271" i="117"/>
  <c r="AK271" i="117" s="1" a="1"/>
  <c r="AK271" i="117" s="1"/>
  <c r="AP270" i="117"/>
  <c r="AN270" i="117" a="1"/>
  <c r="AN270" i="117" s="1"/>
  <c r="AL270" i="117" a="1"/>
  <c r="AL270" i="117" s="1"/>
  <c r="AI270" i="117"/>
  <c r="AG270" i="117" a="1"/>
  <c r="AG270" i="117" s="1"/>
  <c r="AE270" i="117" a="1"/>
  <c r="AE270" i="117" s="1"/>
  <c r="AB270" i="117"/>
  <c r="Z270" i="117" a="1"/>
  <c r="Z270" i="117" s="1"/>
  <c r="X270" i="117" a="1"/>
  <c r="X270" i="117" s="1"/>
  <c r="U270" i="117"/>
  <c r="S270" i="117" a="1"/>
  <c r="S270" i="117" s="1"/>
  <c r="Q270" i="117" a="1"/>
  <c r="Q270" i="117" s="1"/>
  <c r="M270" i="117"/>
  <c r="D270" i="117"/>
  <c r="N270" i="117" s="1"/>
  <c r="B270" i="117"/>
  <c r="AD270" i="117" s="1" a="1"/>
  <c r="AD270" i="117" s="1"/>
  <c r="AP269" i="117"/>
  <c r="AN269" i="117"/>
  <c r="AN269" i="117" a="1"/>
  <c r="AL269" i="117" a="1"/>
  <c r="AL269" i="117" s="1"/>
  <c r="AI269" i="117"/>
  <c r="AG269" i="117" a="1"/>
  <c r="AG269" i="117" s="1"/>
  <c r="AE269" i="117" a="1"/>
  <c r="AE269" i="117" s="1"/>
  <c r="AB269" i="117"/>
  <c r="Z269" i="117" a="1"/>
  <c r="Z269" i="117" s="1"/>
  <c r="X269" i="117" a="1"/>
  <c r="X269" i="117" s="1"/>
  <c r="U269" i="117"/>
  <c r="W269" i="117" s="1" a="1"/>
  <c r="W269" i="117" s="1"/>
  <c r="S269" i="117" a="1"/>
  <c r="S269" i="117" s="1"/>
  <c r="Q269" i="117" a="1"/>
  <c r="Q269" i="117" s="1"/>
  <c r="M269" i="117"/>
  <c r="D269" i="117"/>
  <c r="B269" i="117"/>
  <c r="AP268" i="117"/>
  <c r="AN268" i="117" a="1"/>
  <c r="AN268" i="117" s="1"/>
  <c r="AL268" i="117" a="1"/>
  <c r="AL268" i="117" s="1"/>
  <c r="AI268" i="117"/>
  <c r="AG268" i="117" a="1"/>
  <c r="AG268" i="117" s="1"/>
  <c r="AE268" i="117" a="1"/>
  <c r="AE268" i="117" s="1"/>
  <c r="AD268" i="117" a="1"/>
  <c r="AD268" i="117" s="1"/>
  <c r="AB268" i="117"/>
  <c r="Z268" i="117" a="1"/>
  <c r="Z268" i="117" s="1"/>
  <c r="X268" i="117" a="1"/>
  <c r="X268" i="117" s="1"/>
  <c r="U268" i="117"/>
  <c r="P268" i="117" s="1"/>
  <c r="S268" i="117" a="1"/>
  <c r="S268" i="117" s="1"/>
  <c r="Q268" i="117" a="1"/>
  <c r="Q268" i="117" s="1"/>
  <c r="M268" i="117"/>
  <c r="D268" i="117"/>
  <c r="B268" i="117"/>
  <c r="AR268" i="117" s="1" a="1"/>
  <c r="AR268" i="117" s="1"/>
  <c r="AP267" i="117"/>
  <c r="AN267" i="117" a="1"/>
  <c r="AN267" i="117" s="1"/>
  <c r="AL267" i="117"/>
  <c r="AL267" i="117" a="1"/>
  <c r="AI267" i="117"/>
  <c r="AG267" i="117" a="1"/>
  <c r="AG267" i="117" s="1"/>
  <c r="AE267" i="117" a="1"/>
  <c r="AE267" i="117" s="1"/>
  <c r="AB267" i="117"/>
  <c r="Z267" i="117"/>
  <c r="Z267" i="117" a="1"/>
  <c r="X267" i="117" a="1"/>
  <c r="X267" i="117" s="1"/>
  <c r="U267" i="117"/>
  <c r="S267" i="117" a="1"/>
  <c r="S267" i="117" s="1"/>
  <c r="Q267" i="117" a="1"/>
  <c r="Q267" i="117" s="1"/>
  <c r="M267" i="117"/>
  <c r="D267" i="117"/>
  <c r="C267" i="117" s="1"/>
  <c r="B267" i="117"/>
  <c r="AR267" i="117" s="1" a="1"/>
  <c r="AR267" i="117" s="1"/>
  <c r="AP266" i="117"/>
  <c r="AN266" i="117"/>
  <c r="AN266" i="117" a="1"/>
  <c r="AL266" i="117" a="1"/>
  <c r="AL266" i="117" s="1"/>
  <c r="AI266" i="117"/>
  <c r="AG266" i="117"/>
  <c r="AG266" i="117" a="1"/>
  <c r="AE266" i="117"/>
  <c r="AE266" i="117" a="1"/>
  <c r="AB266" i="117"/>
  <c r="Z266" i="117"/>
  <c r="Z266" i="117" a="1"/>
  <c r="X266" i="117" a="1"/>
  <c r="X266" i="117" s="1"/>
  <c r="U266" i="117"/>
  <c r="P266" i="117" s="1"/>
  <c r="S266" i="117" a="1"/>
  <c r="S266" i="117" s="1"/>
  <c r="Q266" i="117" a="1"/>
  <c r="Q266" i="117" s="1"/>
  <c r="M266" i="117"/>
  <c r="D266" i="117"/>
  <c r="C266" i="117" s="1"/>
  <c r="B266" i="117"/>
  <c r="AR265" i="117" a="1"/>
  <c r="AR265" i="117" s="1"/>
  <c r="AP265" i="117"/>
  <c r="AN265" i="117" a="1"/>
  <c r="AN265" i="117" s="1"/>
  <c r="AL265" i="117" a="1"/>
  <c r="AL265" i="117" s="1"/>
  <c r="AI265" i="117"/>
  <c r="AG265" i="117" a="1"/>
  <c r="AG265" i="117" s="1"/>
  <c r="AE265" i="117" a="1"/>
  <c r="AE265" i="117" s="1"/>
  <c r="AB265" i="117"/>
  <c r="Z265" i="117" a="1"/>
  <c r="Z265" i="117" s="1"/>
  <c r="X265" i="117" a="1"/>
  <c r="X265" i="117" s="1"/>
  <c r="U265" i="117"/>
  <c r="P265" i="117" s="1"/>
  <c r="S265" i="117" a="1"/>
  <c r="S265" i="117" s="1"/>
  <c r="Q265" i="117" a="1"/>
  <c r="Q265" i="117" s="1"/>
  <c r="M265" i="117"/>
  <c r="D265" i="117"/>
  <c r="N265" i="117" s="1"/>
  <c r="B265" i="117"/>
  <c r="AD265" i="117" s="1" a="1"/>
  <c r="AD265" i="117" s="1"/>
  <c r="AP264" i="117"/>
  <c r="AN264" i="117" a="1"/>
  <c r="AN264" i="117" s="1"/>
  <c r="AL264" i="117" a="1"/>
  <c r="AL264" i="117" s="1"/>
  <c r="AK264" i="117" a="1"/>
  <c r="AK264" i="117" s="1"/>
  <c r="AI264" i="117"/>
  <c r="AG264" i="117" a="1"/>
  <c r="AG264" i="117" s="1"/>
  <c r="AE264" i="117" a="1"/>
  <c r="AE264" i="117" s="1"/>
  <c r="AB264" i="117"/>
  <c r="Z264" i="117"/>
  <c r="Z264" i="117" a="1"/>
  <c r="X264" i="117" a="1"/>
  <c r="X264" i="117" s="1"/>
  <c r="U264" i="117"/>
  <c r="S264" i="117" a="1"/>
  <c r="S264" i="117" s="1"/>
  <c r="Q264" i="117" a="1"/>
  <c r="Q264" i="117" s="1"/>
  <c r="M264" i="117"/>
  <c r="D264" i="117"/>
  <c r="N264" i="117" s="1"/>
  <c r="B264" i="117"/>
  <c r="AD264" i="117" s="1" a="1"/>
  <c r="AD264" i="117" s="1"/>
  <c r="AP263" i="117"/>
  <c r="AN263" i="117" a="1"/>
  <c r="AN263" i="117" s="1"/>
  <c r="AL263" i="117" a="1"/>
  <c r="AL263" i="117" s="1"/>
  <c r="AI263" i="117"/>
  <c r="AG263" i="117"/>
  <c r="AG263" i="117" a="1"/>
  <c r="AE263" i="117" a="1"/>
  <c r="AE263" i="117" s="1"/>
  <c r="AB263" i="117"/>
  <c r="Z263" i="117" a="1"/>
  <c r="Z263" i="117" s="1"/>
  <c r="X263" i="117"/>
  <c r="X263" i="117" a="1"/>
  <c r="U263" i="117"/>
  <c r="W263" i="117" s="1" a="1"/>
  <c r="W263" i="117" s="1"/>
  <c r="S263" i="117" a="1"/>
  <c r="S263" i="117" s="1"/>
  <c r="Q263" i="117" a="1"/>
  <c r="Q263" i="117" s="1"/>
  <c r="M263" i="117"/>
  <c r="D263" i="117"/>
  <c r="B263" i="117"/>
  <c r="AP262" i="117"/>
  <c r="AN262" i="117" a="1"/>
  <c r="AN262" i="117" s="1"/>
  <c r="AL262" i="117" a="1"/>
  <c r="AL262" i="117" s="1"/>
  <c r="AK262" i="117" a="1"/>
  <c r="AK262" i="117" s="1"/>
  <c r="AI262" i="117"/>
  <c r="AG262" i="117" a="1"/>
  <c r="AG262" i="117" s="1"/>
  <c r="AE262" i="117" a="1"/>
  <c r="AE262" i="117" s="1"/>
  <c r="AB262" i="117"/>
  <c r="O262" i="117" s="1"/>
  <c r="Z262" i="117" a="1"/>
  <c r="Z262" i="117" s="1"/>
  <c r="X262" i="117" a="1"/>
  <c r="X262" i="117" s="1"/>
  <c r="U262" i="117"/>
  <c r="P262" i="117" s="1"/>
  <c r="S262" i="117" a="1"/>
  <c r="S262" i="117" s="1"/>
  <c r="Q262" i="117" a="1"/>
  <c r="Q262" i="117" s="1"/>
  <c r="M262" i="117"/>
  <c r="D262" i="117"/>
  <c r="B262" i="117"/>
  <c r="AR262" i="117" s="1" a="1"/>
  <c r="AR262" i="117" s="1"/>
  <c r="AR261" i="117" a="1"/>
  <c r="AR261" i="117" s="1"/>
  <c r="AP261" i="117"/>
  <c r="AN261" i="117" a="1"/>
  <c r="AN261" i="117" s="1"/>
  <c r="AL261" i="117" a="1"/>
  <c r="AL261" i="117" s="1"/>
  <c r="AI261" i="117"/>
  <c r="AG261" i="117" a="1"/>
  <c r="AG261" i="117" s="1"/>
  <c r="AE261" i="117" a="1"/>
  <c r="AE261" i="117" s="1"/>
  <c r="AB261" i="117"/>
  <c r="Z261" i="117"/>
  <c r="Z261" i="117" a="1"/>
  <c r="X261" i="117" a="1"/>
  <c r="X261" i="117" s="1"/>
  <c r="U261" i="117"/>
  <c r="W261" i="117" s="1" a="1"/>
  <c r="W261" i="117" s="1"/>
  <c r="S261" i="117" a="1"/>
  <c r="S261" i="117" s="1"/>
  <c r="Q261" i="117" a="1"/>
  <c r="Q261" i="117" s="1"/>
  <c r="M261" i="117"/>
  <c r="D261" i="117"/>
  <c r="N261" i="117" s="1"/>
  <c r="B261" i="117"/>
  <c r="AP260" i="117"/>
  <c r="AN260" i="117"/>
  <c r="AN260" i="117" a="1"/>
  <c r="AL260" i="117" a="1"/>
  <c r="AL260" i="117" s="1"/>
  <c r="AI260" i="117"/>
  <c r="AG260" i="117" a="1"/>
  <c r="AG260" i="117" s="1"/>
  <c r="AE260" i="117" a="1"/>
  <c r="AE260" i="117" s="1"/>
  <c r="AB260" i="117"/>
  <c r="Z260" i="117"/>
  <c r="Z260" i="117" a="1"/>
  <c r="X260" i="117" a="1"/>
  <c r="X260" i="117" s="1"/>
  <c r="U260" i="117"/>
  <c r="S260" i="117" a="1"/>
  <c r="S260" i="117" s="1"/>
  <c r="Q260" i="117" a="1"/>
  <c r="Q260" i="117" s="1"/>
  <c r="M260" i="117"/>
  <c r="D260" i="117"/>
  <c r="B260" i="117"/>
  <c r="AD260" i="117" s="1" a="1"/>
  <c r="AD260" i="117" s="1"/>
  <c r="AP259" i="117"/>
  <c r="AN259" i="117"/>
  <c r="AN259" i="117" a="1"/>
  <c r="AL259" i="117" a="1"/>
  <c r="AL259" i="117" s="1"/>
  <c r="AI259" i="117"/>
  <c r="AG259" i="117"/>
  <c r="AG259" i="117" a="1"/>
  <c r="AE259" i="117" a="1"/>
  <c r="AE259" i="117" s="1"/>
  <c r="AB259" i="117"/>
  <c r="Z259" i="117"/>
  <c r="Z259" i="117" a="1"/>
  <c r="X259" i="117" a="1"/>
  <c r="X259" i="117" s="1"/>
  <c r="U259" i="117"/>
  <c r="S259" i="117" a="1"/>
  <c r="S259" i="117" s="1"/>
  <c r="Q259" i="117" a="1"/>
  <c r="Q259" i="117" s="1"/>
  <c r="M259" i="117"/>
  <c r="D259" i="117"/>
  <c r="N259" i="117" s="1"/>
  <c r="AF259" i="117" s="1"/>
  <c r="B259" i="117"/>
  <c r="AP258" i="117"/>
  <c r="AN258" i="117" a="1"/>
  <c r="AN258" i="117" s="1"/>
  <c r="AL258" i="117" a="1"/>
  <c r="AL258" i="117" s="1"/>
  <c r="AI258" i="117"/>
  <c r="AG258" i="117"/>
  <c r="AG258" i="117" a="1"/>
  <c r="AE258" i="117" a="1"/>
  <c r="AE258" i="117" s="1"/>
  <c r="AB258" i="117"/>
  <c r="Z258" i="117" a="1"/>
  <c r="Z258" i="117" s="1"/>
  <c r="X258" i="117" a="1"/>
  <c r="X258" i="117" s="1"/>
  <c r="U258" i="117"/>
  <c r="S258" i="117" a="1"/>
  <c r="S258" i="117" s="1"/>
  <c r="Q258" i="117" a="1"/>
  <c r="Q258" i="117" s="1"/>
  <c r="M258" i="117"/>
  <c r="D258" i="117"/>
  <c r="B258" i="117"/>
  <c r="AD258" i="117" s="1" a="1"/>
  <c r="AD258" i="117" s="1"/>
  <c r="AP257" i="117"/>
  <c r="AN257" i="117" a="1"/>
  <c r="AN257" i="117" s="1"/>
  <c r="AL257" i="117" a="1"/>
  <c r="AL257" i="117" s="1"/>
  <c r="AI257" i="117"/>
  <c r="AG257" i="117" a="1"/>
  <c r="AG257" i="117" s="1"/>
  <c r="AE257" i="117" a="1"/>
  <c r="AE257" i="117" s="1"/>
  <c r="AB257" i="117"/>
  <c r="Z257" i="117"/>
  <c r="Z257" i="117" a="1"/>
  <c r="X257" i="117"/>
  <c r="X257" i="117" a="1"/>
  <c r="U257" i="117"/>
  <c r="W257" i="117" s="1" a="1"/>
  <c r="W257" i="117" s="1"/>
  <c r="S257" i="117" a="1"/>
  <c r="S257" i="117" s="1"/>
  <c r="Q257" i="117" a="1"/>
  <c r="Q257" i="117" s="1"/>
  <c r="M257" i="117"/>
  <c r="D257" i="117"/>
  <c r="N257" i="117" s="1"/>
  <c r="B257" i="117"/>
  <c r="AP256" i="117"/>
  <c r="AN256" i="117" a="1"/>
  <c r="AN256" i="117" s="1"/>
  <c r="AL256" i="117" a="1"/>
  <c r="AL256" i="117" s="1"/>
  <c r="AI256" i="117"/>
  <c r="AK256" i="117" s="1" a="1"/>
  <c r="AK256" i="117" s="1"/>
  <c r="AG256" i="117"/>
  <c r="AG256" i="117" a="1"/>
  <c r="AE256" i="117" a="1"/>
  <c r="AE256" i="117" s="1"/>
  <c r="AB256" i="117"/>
  <c r="Z256" i="117"/>
  <c r="Z256" i="117" a="1"/>
  <c r="X256" i="117" a="1"/>
  <c r="X256" i="117" s="1"/>
  <c r="U256" i="117"/>
  <c r="P256" i="117" s="1"/>
  <c r="S256" i="117" a="1"/>
  <c r="S256" i="117" s="1"/>
  <c r="Q256" i="117" a="1"/>
  <c r="Q256" i="117" s="1"/>
  <c r="M256" i="117"/>
  <c r="D256" i="117"/>
  <c r="C256" i="117" s="1"/>
  <c r="B256" i="117"/>
  <c r="AR256" i="117" s="1" a="1"/>
  <c r="AR256" i="117" s="1"/>
  <c r="AP255" i="117"/>
  <c r="AN255" i="117" a="1"/>
  <c r="AN255" i="117" s="1"/>
  <c r="AL255" i="117" a="1"/>
  <c r="AL255" i="117" s="1"/>
  <c r="AI255" i="117"/>
  <c r="AG255" i="117"/>
  <c r="AG255" i="117" a="1"/>
  <c r="AE255" i="117" a="1"/>
  <c r="AE255" i="117" s="1"/>
  <c r="AB255" i="117"/>
  <c r="Z255" i="117" a="1"/>
  <c r="Z255" i="117" s="1"/>
  <c r="X255" i="117" a="1"/>
  <c r="X255" i="117" s="1"/>
  <c r="U255" i="117"/>
  <c r="W255" i="117" s="1" a="1"/>
  <c r="W255" i="117" s="1"/>
  <c r="S255" i="117" a="1"/>
  <c r="S255" i="117" s="1"/>
  <c r="Q255" i="117" a="1"/>
  <c r="Q255" i="117" s="1"/>
  <c r="M255" i="117"/>
  <c r="D255" i="117"/>
  <c r="B255" i="117"/>
  <c r="AK255" i="117" s="1" a="1"/>
  <c r="AK255" i="117" s="1"/>
  <c r="AP254" i="117"/>
  <c r="AN254" i="117" a="1"/>
  <c r="AN254" i="117" s="1"/>
  <c r="AL254" i="117"/>
  <c r="AL254" i="117" a="1"/>
  <c r="AI254" i="117"/>
  <c r="AG254" i="117"/>
  <c r="AG254" i="117" a="1"/>
  <c r="AE254" i="117" a="1"/>
  <c r="AE254" i="117" s="1"/>
  <c r="AB254" i="117"/>
  <c r="Z254" i="117" a="1"/>
  <c r="Z254" i="117" s="1"/>
  <c r="X254" i="117" a="1"/>
  <c r="X254" i="117" s="1"/>
  <c r="U254" i="117"/>
  <c r="W254" i="117" s="1" a="1"/>
  <c r="W254" i="117" s="1"/>
  <c r="S254" i="117" a="1"/>
  <c r="S254" i="117" s="1"/>
  <c r="Q254" i="117" a="1"/>
  <c r="Q254" i="117" s="1"/>
  <c r="M254" i="117"/>
  <c r="D254" i="117"/>
  <c r="C254" i="117" s="1"/>
  <c r="B254" i="117"/>
  <c r="AP253" i="117"/>
  <c r="AN253" i="117" a="1"/>
  <c r="AN253" i="117" s="1"/>
  <c r="AL253" i="117" a="1"/>
  <c r="AL253" i="117" s="1"/>
  <c r="AI253" i="117"/>
  <c r="AG253" i="117" a="1"/>
  <c r="AG253" i="117" s="1"/>
  <c r="AE253" i="117" a="1"/>
  <c r="AE253" i="117" s="1"/>
  <c r="AB253" i="117"/>
  <c r="Z253" i="117" a="1"/>
  <c r="Z253" i="117" s="1"/>
  <c r="X253" i="117" a="1"/>
  <c r="X253" i="117" s="1"/>
  <c r="U253" i="117"/>
  <c r="P253" i="117" s="1"/>
  <c r="S253" i="117" a="1"/>
  <c r="S253" i="117" s="1"/>
  <c r="Q253" i="117" a="1"/>
  <c r="Q253" i="117" s="1"/>
  <c r="O253" i="117"/>
  <c r="M253" i="117"/>
  <c r="D253" i="117"/>
  <c r="C253" i="117" s="1"/>
  <c r="B253" i="117"/>
  <c r="AD253" i="117" s="1" a="1"/>
  <c r="AD253" i="117" s="1"/>
  <c r="AP252" i="117"/>
  <c r="AN252" i="117" a="1"/>
  <c r="AN252" i="117" s="1"/>
  <c r="AL252" i="117" a="1"/>
  <c r="AL252" i="117" s="1"/>
  <c r="AI252" i="117"/>
  <c r="O252" i="117" s="1"/>
  <c r="AG252" i="117" a="1"/>
  <c r="AG252" i="117" s="1"/>
  <c r="AE252" i="117" a="1"/>
  <c r="AE252" i="117" s="1"/>
  <c r="AB252" i="117"/>
  <c r="Z252" i="117" a="1"/>
  <c r="Z252" i="117" s="1"/>
  <c r="X252" i="117" a="1"/>
  <c r="X252" i="117" s="1"/>
  <c r="U252" i="117"/>
  <c r="P252" i="117" s="1"/>
  <c r="S252" i="117" a="1"/>
  <c r="S252" i="117" s="1"/>
  <c r="Q252" i="117" a="1"/>
  <c r="Q252" i="117" s="1"/>
  <c r="M252" i="117"/>
  <c r="D252" i="117"/>
  <c r="B252" i="117"/>
  <c r="AK252" i="117" s="1" a="1"/>
  <c r="AK252" i="117" s="1"/>
  <c r="AP251" i="117"/>
  <c r="O251" i="117" s="1"/>
  <c r="AN251" i="117" a="1"/>
  <c r="AN251" i="117" s="1"/>
  <c r="AL251" i="117" a="1"/>
  <c r="AL251" i="117" s="1"/>
  <c r="AI251" i="117"/>
  <c r="AG251" i="117"/>
  <c r="AG251" i="117" a="1"/>
  <c r="AE251" i="117" a="1"/>
  <c r="AE251" i="117" s="1"/>
  <c r="AB251" i="117"/>
  <c r="Z251" i="117" a="1"/>
  <c r="Z251" i="117" s="1"/>
  <c r="X251" i="117" a="1"/>
  <c r="X251" i="117" s="1"/>
  <c r="U251" i="117"/>
  <c r="P251" i="117" s="1"/>
  <c r="S251" i="117" a="1"/>
  <c r="S251" i="117" s="1"/>
  <c r="Q251" i="117" a="1"/>
  <c r="Q251" i="117" s="1"/>
  <c r="M251" i="117"/>
  <c r="D251" i="117"/>
  <c r="B251" i="117"/>
  <c r="AR251" i="117" s="1" a="1"/>
  <c r="AR251" i="117" s="1"/>
  <c r="AP250" i="117"/>
  <c r="AN250" i="117" a="1"/>
  <c r="AN250" i="117" s="1"/>
  <c r="AL250" i="117" a="1"/>
  <c r="AL250" i="117" s="1"/>
  <c r="AI250" i="117"/>
  <c r="AG250" i="117" a="1"/>
  <c r="AG250" i="117" s="1"/>
  <c r="AE250" i="117" a="1"/>
  <c r="AE250" i="117" s="1"/>
  <c r="AB250" i="117"/>
  <c r="Z250" i="117" a="1"/>
  <c r="Z250" i="117" s="1"/>
  <c r="X250" i="117" a="1"/>
  <c r="X250" i="117" s="1"/>
  <c r="U250" i="117"/>
  <c r="P250" i="117" s="1"/>
  <c r="S250" i="117" a="1"/>
  <c r="S250" i="117" s="1"/>
  <c r="Q250" i="117" a="1"/>
  <c r="Q250" i="117" s="1"/>
  <c r="M250" i="117"/>
  <c r="D250" i="117"/>
  <c r="C250" i="117" s="1"/>
  <c r="B250" i="117"/>
  <c r="AD250" i="117" s="1" a="1"/>
  <c r="AD250" i="117" s="1"/>
  <c r="AP249" i="117"/>
  <c r="AN249" i="117"/>
  <c r="AN249" i="117" a="1"/>
  <c r="AL249" i="117" a="1"/>
  <c r="AL249" i="117" s="1"/>
  <c r="AI249" i="117"/>
  <c r="AK249" i="117" s="1" a="1"/>
  <c r="AK249" i="117" s="1"/>
  <c r="AG249" i="117" a="1"/>
  <c r="AG249" i="117" s="1"/>
  <c r="AE249" i="117" a="1"/>
  <c r="AE249" i="117" s="1"/>
  <c r="AB249" i="117"/>
  <c r="Z249" i="117" a="1"/>
  <c r="Z249" i="117" s="1"/>
  <c r="X249" i="117" a="1"/>
  <c r="X249" i="117" s="1"/>
  <c r="U249" i="117"/>
  <c r="P249" i="117" s="1"/>
  <c r="S249" i="117" a="1"/>
  <c r="S249" i="117" s="1"/>
  <c r="Q249" i="117" a="1"/>
  <c r="Q249" i="117" s="1"/>
  <c r="M249" i="117"/>
  <c r="D249" i="117"/>
  <c r="C249" i="117" s="1"/>
  <c r="B249" i="117"/>
  <c r="AP248" i="117"/>
  <c r="AN248" i="117"/>
  <c r="AN248" i="117" a="1"/>
  <c r="AL248" i="117" a="1"/>
  <c r="AL248" i="117" s="1"/>
  <c r="AI248" i="117"/>
  <c r="AG248" i="117" a="1"/>
  <c r="AG248" i="117" s="1"/>
  <c r="AE248" i="117" a="1"/>
  <c r="AE248" i="117" s="1"/>
  <c r="AB248" i="117"/>
  <c r="Z248" i="117"/>
  <c r="Z248" i="117" a="1"/>
  <c r="X248" i="117" a="1"/>
  <c r="X248" i="117" s="1"/>
  <c r="U248" i="117"/>
  <c r="P248" i="117" s="1"/>
  <c r="S248" i="117" a="1"/>
  <c r="S248" i="117" s="1"/>
  <c r="Q248" i="117" a="1"/>
  <c r="Q248" i="117" s="1"/>
  <c r="M248" i="117"/>
  <c r="D248" i="117"/>
  <c r="N248" i="117" s="1"/>
  <c r="B248" i="117"/>
  <c r="AD248" i="117" s="1" a="1"/>
  <c r="AD248" i="117" s="1"/>
  <c r="AP247" i="117"/>
  <c r="AN247" i="117" a="1"/>
  <c r="AN247" i="117" s="1"/>
  <c r="AL247" i="117" a="1"/>
  <c r="AL247" i="117" s="1"/>
  <c r="AI247" i="117"/>
  <c r="AG247" i="117" a="1"/>
  <c r="AG247" i="117" s="1"/>
  <c r="AE247" i="117" a="1"/>
  <c r="AE247" i="117" s="1"/>
  <c r="AB247" i="117"/>
  <c r="Z247" i="117" a="1"/>
  <c r="Z247" i="117" s="1"/>
  <c r="X247" i="117" a="1"/>
  <c r="X247" i="117" s="1"/>
  <c r="U247" i="117"/>
  <c r="S247" i="117" a="1"/>
  <c r="S247" i="117" s="1"/>
  <c r="Q247" i="117" a="1"/>
  <c r="Q247" i="117" s="1"/>
  <c r="O247" i="117"/>
  <c r="M247" i="117"/>
  <c r="D247" i="117"/>
  <c r="N247" i="117" s="1"/>
  <c r="B247" i="117"/>
  <c r="AK247" i="117" s="1" a="1"/>
  <c r="AK247" i="117" s="1"/>
  <c r="AP246" i="117"/>
  <c r="AN246" i="117"/>
  <c r="AN246" i="117" a="1"/>
  <c r="AL246" i="117" a="1"/>
  <c r="AL246" i="117" s="1"/>
  <c r="AI246" i="117"/>
  <c r="AK246" i="117" s="1" a="1"/>
  <c r="AK246" i="117" s="1"/>
  <c r="AG246" i="117" a="1"/>
  <c r="AG246" i="117" s="1"/>
  <c r="AE246" i="117" a="1"/>
  <c r="AE246" i="117" s="1"/>
  <c r="AD246" i="117" a="1"/>
  <c r="AD246" i="117" s="1"/>
  <c r="AB246" i="117"/>
  <c r="Z246" i="117" a="1"/>
  <c r="Z246" i="117" s="1"/>
  <c r="X246" i="117" a="1"/>
  <c r="X246" i="117" s="1"/>
  <c r="U246" i="117"/>
  <c r="S246" i="117" a="1"/>
  <c r="S246" i="117" s="1"/>
  <c r="Q246" i="117" a="1"/>
  <c r="Q246" i="117" s="1"/>
  <c r="M246" i="117"/>
  <c r="D246" i="117"/>
  <c r="B246" i="117"/>
  <c r="AR246" i="117" s="1" a="1"/>
  <c r="AR246" i="117" s="1"/>
  <c r="AP245" i="117"/>
  <c r="AN245" i="117"/>
  <c r="AN245" i="117" a="1"/>
  <c r="AL245" i="117"/>
  <c r="AL245" i="117" a="1"/>
  <c r="AI245" i="117"/>
  <c r="AG245" i="117" a="1"/>
  <c r="AG245" i="117" s="1"/>
  <c r="AE245" i="117" a="1"/>
  <c r="AE245" i="117" s="1"/>
  <c r="AB245" i="117"/>
  <c r="Z245" i="117" a="1"/>
  <c r="Z245" i="117" s="1"/>
  <c r="X245" i="117" a="1"/>
  <c r="X245" i="117" s="1"/>
  <c r="U245" i="117"/>
  <c r="P245" i="117" s="1"/>
  <c r="S245" i="117" a="1"/>
  <c r="S245" i="117" s="1"/>
  <c r="Q245" i="117" a="1"/>
  <c r="Q245" i="117" s="1"/>
  <c r="M245" i="117"/>
  <c r="D245" i="117"/>
  <c r="C245" i="117" s="1"/>
  <c r="B245" i="117"/>
  <c r="AP244" i="117"/>
  <c r="AN244" i="117" a="1"/>
  <c r="AN244" i="117" s="1"/>
  <c r="AL244" i="117" a="1"/>
  <c r="AL244" i="117" s="1"/>
  <c r="AI244" i="117"/>
  <c r="AG244" i="117" a="1"/>
  <c r="AG244" i="117" s="1"/>
  <c r="AE244" i="117"/>
  <c r="AE244" i="117" a="1"/>
  <c r="AB244" i="117"/>
  <c r="O244" i="117" s="1"/>
  <c r="Z244" i="117" a="1"/>
  <c r="Z244" i="117" s="1"/>
  <c r="X244" i="117" a="1"/>
  <c r="X244" i="117" s="1"/>
  <c r="U244" i="117"/>
  <c r="P244" i="117" s="1"/>
  <c r="S244" i="117" a="1"/>
  <c r="S244" i="117" s="1"/>
  <c r="Q244" i="117" a="1"/>
  <c r="Q244" i="117" s="1"/>
  <c r="M244" i="117"/>
  <c r="D244" i="117"/>
  <c r="C244" i="117" s="1"/>
  <c r="B244" i="117"/>
  <c r="AP243" i="117"/>
  <c r="AN243" i="117" a="1"/>
  <c r="AN243" i="117" s="1"/>
  <c r="AL243" i="117" a="1"/>
  <c r="AL243" i="117" s="1"/>
  <c r="AI243" i="117"/>
  <c r="AG243" i="117" a="1"/>
  <c r="AG243" i="117" s="1"/>
  <c r="AE243" i="117"/>
  <c r="AE243" i="117" a="1"/>
  <c r="AB243" i="117"/>
  <c r="Z243" i="117" a="1"/>
  <c r="Z243" i="117" s="1"/>
  <c r="X243" i="117" a="1"/>
  <c r="X243" i="117" s="1"/>
  <c r="U243" i="117"/>
  <c r="S243" i="117" a="1"/>
  <c r="S243" i="117" s="1"/>
  <c r="Q243" i="117" a="1"/>
  <c r="Q243" i="117" s="1"/>
  <c r="M243" i="117"/>
  <c r="D243" i="117"/>
  <c r="N243" i="117" s="1"/>
  <c r="B243" i="117"/>
  <c r="AP242" i="117"/>
  <c r="AN242" i="117" a="1"/>
  <c r="AN242" i="117" s="1"/>
  <c r="AL242" i="117"/>
  <c r="AL242" i="117" a="1"/>
  <c r="AI242" i="117"/>
  <c r="AG242" i="117" a="1"/>
  <c r="AG242" i="117" s="1"/>
  <c r="AE242" i="117" a="1"/>
  <c r="AE242" i="117" s="1"/>
  <c r="AB242" i="117"/>
  <c r="Z242" i="117" a="1"/>
  <c r="Z242" i="117" s="1"/>
  <c r="X242" i="117"/>
  <c r="X242" i="117" a="1"/>
  <c r="U242" i="117"/>
  <c r="P242" i="117" s="1"/>
  <c r="S242" i="117" a="1"/>
  <c r="S242" i="117" s="1"/>
  <c r="Q242" i="117" a="1"/>
  <c r="Q242" i="117" s="1"/>
  <c r="M242" i="117"/>
  <c r="D242" i="117"/>
  <c r="N242" i="117" s="1"/>
  <c r="B242" i="117"/>
  <c r="AD242" i="117" s="1" a="1"/>
  <c r="AD242" i="117" s="1"/>
  <c r="AP241" i="117"/>
  <c r="AN241" i="117" a="1"/>
  <c r="AN241" i="117" s="1"/>
  <c r="AL241" i="117" a="1"/>
  <c r="AL241" i="117" s="1"/>
  <c r="AI241" i="117"/>
  <c r="O241" i="117" s="1"/>
  <c r="AG241" i="117" a="1"/>
  <c r="AG241" i="117" s="1"/>
  <c r="AE241" i="117" a="1"/>
  <c r="AE241" i="117" s="1"/>
  <c r="AD241" i="117"/>
  <c r="AB241" i="117"/>
  <c r="Z241" i="117"/>
  <c r="Z241" i="117" a="1"/>
  <c r="X241" i="117" a="1"/>
  <c r="X241" i="117" s="1"/>
  <c r="U241" i="117"/>
  <c r="S241" i="117" a="1"/>
  <c r="S241" i="117" s="1"/>
  <c r="Q241" i="117" a="1"/>
  <c r="Q241" i="117" s="1"/>
  <c r="M241" i="117"/>
  <c r="D241" i="117"/>
  <c r="B241" i="117"/>
  <c r="AD241" i="117" s="1" a="1"/>
  <c r="AP240" i="117"/>
  <c r="AN240" i="117" a="1"/>
  <c r="AN240" i="117" s="1"/>
  <c r="AL240" i="117" a="1"/>
  <c r="AL240" i="117" s="1"/>
  <c r="AI240" i="117"/>
  <c r="AG240" i="117" a="1"/>
  <c r="AG240" i="117" s="1"/>
  <c r="AE240" i="117" a="1"/>
  <c r="AE240" i="117" s="1"/>
  <c r="AB240" i="117"/>
  <c r="Z240" i="117"/>
  <c r="Z240" i="117" a="1"/>
  <c r="X240" i="117" a="1"/>
  <c r="X240" i="117" s="1"/>
  <c r="U240" i="117"/>
  <c r="P240" i="117" s="1"/>
  <c r="S240" i="117" a="1"/>
  <c r="S240" i="117" s="1"/>
  <c r="Q240" i="117" a="1"/>
  <c r="Q240" i="117" s="1"/>
  <c r="M240" i="117"/>
  <c r="D240" i="117"/>
  <c r="C240" i="117" s="1"/>
  <c r="B240" i="117"/>
  <c r="AD240" i="117" s="1" a="1"/>
  <c r="AD240" i="117" s="1"/>
  <c r="AP239" i="117"/>
  <c r="AN239" i="117" a="1"/>
  <c r="AN239" i="117" s="1"/>
  <c r="AL239" i="117"/>
  <c r="AL239" i="117" a="1"/>
  <c r="AI239" i="117"/>
  <c r="AG239" i="117" a="1"/>
  <c r="AG239" i="117" s="1"/>
  <c r="AE239" i="117" a="1"/>
  <c r="AE239" i="117" s="1"/>
  <c r="AB239" i="117"/>
  <c r="Z239" i="117" a="1"/>
  <c r="Z239" i="117" s="1"/>
  <c r="X239" i="117" a="1"/>
  <c r="X239" i="117" s="1"/>
  <c r="U239" i="117"/>
  <c r="W239" i="117" s="1" a="1"/>
  <c r="W239" i="117" s="1"/>
  <c r="S239" i="117" a="1"/>
  <c r="S239" i="117" s="1"/>
  <c r="Q239" i="117" a="1"/>
  <c r="Q239" i="117" s="1"/>
  <c r="M239" i="117"/>
  <c r="D239" i="117"/>
  <c r="C239" i="117" s="1"/>
  <c r="B239" i="117"/>
  <c r="AP238" i="117"/>
  <c r="AN238" i="117" a="1"/>
  <c r="AN238" i="117" s="1"/>
  <c r="AL238" i="117"/>
  <c r="AL238" i="117" a="1"/>
  <c r="AK238" i="117" a="1"/>
  <c r="AK238" i="117" s="1"/>
  <c r="AI238" i="117"/>
  <c r="AG238" i="117" a="1"/>
  <c r="AG238" i="117" s="1"/>
  <c r="AE238" i="117" a="1"/>
  <c r="AE238" i="117" s="1"/>
  <c r="AB238" i="117"/>
  <c r="Z238" i="117"/>
  <c r="Z238" i="117" a="1"/>
  <c r="X238" i="117" a="1"/>
  <c r="X238" i="117" s="1"/>
  <c r="U238" i="117"/>
  <c r="P238" i="117" s="1"/>
  <c r="S238" i="117" a="1"/>
  <c r="S238" i="117" s="1"/>
  <c r="Q238" i="117" a="1"/>
  <c r="Q238" i="117" s="1"/>
  <c r="M238" i="117"/>
  <c r="D238" i="117"/>
  <c r="C238" i="117" s="1"/>
  <c r="B238" i="117"/>
  <c r="AD238" i="117" s="1" a="1"/>
  <c r="AD238" i="117" s="1"/>
  <c r="AR237" i="117" a="1"/>
  <c r="AR237" i="117" s="1"/>
  <c r="AP237" i="117"/>
  <c r="AN237" i="117"/>
  <c r="AN237" i="117" a="1"/>
  <c r="AL237" i="117" a="1"/>
  <c r="AL237" i="117" s="1"/>
  <c r="AI237" i="117"/>
  <c r="AG237" i="117" a="1"/>
  <c r="AG237" i="117" s="1"/>
  <c r="AE237" i="117"/>
  <c r="AE237" i="117" a="1"/>
  <c r="AB237" i="117"/>
  <c r="Z237" i="117" a="1"/>
  <c r="Z237" i="117" s="1"/>
  <c r="X237" i="117" a="1"/>
  <c r="X237" i="117" s="1"/>
  <c r="U237" i="117"/>
  <c r="W237" i="117" s="1" a="1"/>
  <c r="W237" i="117" s="1"/>
  <c r="S237" i="117" a="1"/>
  <c r="S237" i="117" s="1"/>
  <c r="Q237" i="117" a="1"/>
  <c r="Q237" i="117" s="1"/>
  <c r="O237" i="117"/>
  <c r="M237" i="117"/>
  <c r="D237" i="117"/>
  <c r="N237" i="117" s="1"/>
  <c r="AC237" i="117" s="1"/>
  <c r="B237" i="117"/>
  <c r="AK237" i="117" s="1" a="1"/>
  <c r="AK237" i="117" s="1"/>
  <c r="AR236" i="117" a="1"/>
  <c r="AR236" i="117" s="1"/>
  <c r="AP236" i="117"/>
  <c r="AN236" i="117" a="1"/>
  <c r="AN236" i="117" s="1"/>
  <c r="AL236" i="117" a="1"/>
  <c r="AL236" i="117" s="1"/>
  <c r="AI236" i="117"/>
  <c r="O236" i="117" s="1"/>
  <c r="AG236" i="117" a="1"/>
  <c r="AG236" i="117" s="1"/>
  <c r="AE236" i="117" a="1"/>
  <c r="AE236" i="117" s="1"/>
  <c r="AB236" i="117"/>
  <c r="Z236" i="117"/>
  <c r="Z236" i="117" a="1"/>
  <c r="X236" i="117" a="1"/>
  <c r="X236" i="117" s="1"/>
  <c r="U236" i="117"/>
  <c r="P236" i="117" s="1"/>
  <c r="S236" i="117" a="1"/>
  <c r="S236" i="117" s="1"/>
  <c r="Q236" i="117" a="1"/>
  <c r="Q236" i="117" s="1"/>
  <c r="M236" i="117"/>
  <c r="D236" i="117"/>
  <c r="N236" i="117" s="1"/>
  <c r="B236" i="117"/>
  <c r="AD236" i="117" s="1" a="1"/>
  <c r="AD236" i="117" s="1"/>
  <c r="AP235" i="117"/>
  <c r="O235" i="117" s="1"/>
  <c r="AN235" i="117" a="1"/>
  <c r="AN235" i="117" s="1"/>
  <c r="AL235" i="117" a="1"/>
  <c r="AL235" i="117" s="1"/>
  <c r="AI235" i="117"/>
  <c r="AG235" i="117" a="1"/>
  <c r="AG235" i="117" s="1"/>
  <c r="AE235" i="117" a="1"/>
  <c r="AE235" i="117" s="1"/>
  <c r="AB235" i="117"/>
  <c r="Z235" i="117" a="1"/>
  <c r="Z235" i="117" s="1"/>
  <c r="X235" i="117" a="1"/>
  <c r="X235" i="117" s="1"/>
  <c r="U235" i="117"/>
  <c r="W235" i="117" s="1" a="1"/>
  <c r="W235" i="117" s="1"/>
  <c r="S235" i="117" a="1"/>
  <c r="S235" i="117" s="1"/>
  <c r="Q235" i="117" a="1"/>
  <c r="Q235" i="117" s="1"/>
  <c r="M235" i="117"/>
  <c r="D235" i="117"/>
  <c r="C235" i="117" s="1"/>
  <c r="B235" i="117"/>
  <c r="AD235" i="117" s="1" a="1"/>
  <c r="AD235" i="117" s="1"/>
  <c r="AP234" i="117"/>
  <c r="AN234" i="117" a="1"/>
  <c r="AN234" i="117" s="1"/>
  <c r="AL234" i="117"/>
  <c r="AL234" i="117" a="1"/>
  <c r="AI234" i="117"/>
  <c r="AG234" i="117" a="1"/>
  <c r="AG234" i="117" s="1"/>
  <c r="AE234" i="117" a="1"/>
  <c r="AE234" i="117" s="1"/>
  <c r="AB234" i="117"/>
  <c r="Z234" i="117" a="1"/>
  <c r="Z234" i="117" s="1"/>
  <c r="X234" i="117" a="1"/>
  <c r="X234" i="117" s="1"/>
  <c r="U234" i="117"/>
  <c r="P234" i="117" s="1"/>
  <c r="S234" i="117" a="1"/>
  <c r="S234" i="117" s="1"/>
  <c r="Q234" i="117" a="1"/>
  <c r="Q234" i="117" s="1"/>
  <c r="M234" i="117"/>
  <c r="D234" i="117"/>
  <c r="N234" i="117" s="1"/>
  <c r="B234" i="117"/>
  <c r="AP233" i="117"/>
  <c r="AN233" i="117" a="1"/>
  <c r="AN233" i="117" s="1"/>
  <c r="AL233" i="117" a="1"/>
  <c r="AL233" i="117" s="1"/>
  <c r="AI233" i="117"/>
  <c r="AG233" i="117" a="1"/>
  <c r="AG233" i="117" s="1"/>
  <c r="AE233" i="117" a="1"/>
  <c r="AE233" i="117" s="1"/>
  <c r="AB233" i="117"/>
  <c r="Z233" i="117" a="1"/>
  <c r="Z233" i="117" s="1"/>
  <c r="X233" i="117" a="1"/>
  <c r="X233" i="117" s="1"/>
  <c r="U233" i="117"/>
  <c r="P233" i="117" s="1"/>
  <c r="S233" i="117" a="1"/>
  <c r="S233" i="117" s="1"/>
  <c r="Q233" i="117" a="1"/>
  <c r="Q233" i="117" s="1"/>
  <c r="M233" i="117"/>
  <c r="D233" i="117"/>
  <c r="C233" i="117" s="1"/>
  <c r="B233" i="117"/>
  <c r="AD233" i="117" s="1" a="1"/>
  <c r="AD233" i="117" s="1"/>
  <c r="AP232" i="117"/>
  <c r="AN232" i="117" a="1"/>
  <c r="AN232" i="117" s="1"/>
  <c r="AL232" i="117" a="1"/>
  <c r="AL232" i="117" s="1"/>
  <c r="AI232" i="117"/>
  <c r="AG232" i="117" a="1"/>
  <c r="AG232" i="117" s="1"/>
  <c r="AE232" i="117" a="1"/>
  <c r="AE232" i="117" s="1"/>
  <c r="AB232" i="117"/>
  <c r="O232" i="117" s="1"/>
  <c r="Z232" i="117" a="1"/>
  <c r="Z232" i="117" s="1"/>
  <c r="X232" i="117" a="1"/>
  <c r="X232" i="117" s="1"/>
  <c r="U232" i="117"/>
  <c r="P232" i="117" s="1"/>
  <c r="S232" i="117" a="1"/>
  <c r="S232" i="117" s="1"/>
  <c r="Q232" i="117" a="1"/>
  <c r="Q232" i="117" s="1"/>
  <c r="M232" i="117"/>
  <c r="D232" i="117"/>
  <c r="B232" i="117"/>
  <c r="AD232" i="117" s="1" a="1"/>
  <c r="AD232" i="117" s="1"/>
  <c r="AR231" i="117" a="1"/>
  <c r="AR231" i="117" s="1"/>
  <c r="AP231" i="117"/>
  <c r="AN231" i="117" a="1"/>
  <c r="AN231" i="117" s="1"/>
  <c r="AL231" i="117" a="1"/>
  <c r="AL231" i="117" s="1"/>
  <c r="AI231" i="117"/>
  <c r="AG231" i="117" a="1"/>
  <c r="AG231" i="117" s="1"/>
  <c r="AE231" i="117" a="1"/>
  <c r="AE231" i="117" s="1"/>
  <c r="AB231" i="117"/>
  <c r="Z231" i="117"/>
  <c r="Z231" i="117" a="1"/>
  <c r="X231" i="117" a="1"/>
  <c r="X231" i="117" s="1"/>
  <c r="U231" i="117"/>
  <c r="S231" i="117" a="1"/>
  <c r="S231" i="117" s="1"/>
  <c r="Q231" i="117" a="1"/>
  <c r="Q231" i="117" s="1"/>
  <c r="M231" i="117"/>
  <c r="D231" i="117"/>
  <c r="B231" i="117"/>
  <c r="AD231" i="117" s="1" a="1"/>
  <c r="AD231" i="117" s="1"/>
  <c r="AP230" i="117"/>
  <c r="AN230" i="117" a="1"/>
  <c r="AN230" i="117" s="1"/>
  <c r="AL230" i="117" a="1"/>
  <c r="AL230" i="117" s="1"/>
  <c r="AI230" i="117"/>
  <c r="AG230" i="117" a="1"/>
  <c r="AG230" i="117" s="1"/>
  <c r="AE230" i="117" a="1"/>
  <c r="AE230" i="117" s="1"/>
  <c r="AB230" i="117"/>
  <c r="Z230" i="117" a="1"/>
  <c r="Z230" i="117" s="1"/>
  <c r="X230" i="117" a="1"/>
  <c r="X230" i="117" s="1"/>
  <c r="U230" i="117"/>
  <c r="P230" i="117" s="1"/>
  <c r="S230" i="117" a="1"/>
  <c r="S230" i="117" s="1"/>
  <c r="Q230" i="117" a="1"/>
  <c r="Q230" i="117" s="1"/>
  <c r="M230" i="117"/>
  <c r="D230" i="117"/>
  <c r="N230" i="117" s="1"/>
  <c r="B230" i="117"/>
  <c r="AP229" i="117"/>
  <c r="AR229" i="117" s="1" a="1"/>
  <c r="AR229" i="117" s="1"/>
  <c r="AN229" i="117" a="1"/>
  <c r="AN229" i="117" s="1"/>
  <c r="AL229" i="117" a="1"/>
  <c r="AL229" i="117" s="1"/>
  <c r="AI229" i="117"/>
  <c r="AG229" i="117"/>
  <c r="AG229" i="117" a="1"/>
  <c r="AE229" i="117"/>
  <c r="AE229" i="117" a="1"/>
  <c r="AB229" i="117"/>
  <c r="Z229" i="117" a="1"/>
  <c r="Z229" i="117" s="1"/>
  <c r="X229" i="117" a="1"/>
  <c r="X229" i="117" s="1"/>
  <c r="U229" i="117"/>
  <c r="P229" i="117" s="1"/>
  <c r="S229" i="117" a="1"/>
  <c r="S229" i="117" s="1"/>
  <c r="Q229" i="117" a="1"/>
  <c r="Q229" i="117" s="1"/>
  <c r="M229" i="117"/>
  <c r="D229" i="117"/>
  <c r="C229" i="117" s="1"/>
  <c r="B229" i="117"/>
  <c r="AD229" i="117" s="1" a="1"/>
  <c r="AD229" i="117" s="1"/>
  <c r="AP228" i="117"/>
  <c r="AN228" i="117" a="1"/>
  <c r="AN228" i="117" s="1"/>
  <c r="AL228" i="117" a="1"/>
  <c r="AL228" i="117" s="1"/>
  <c r="AI228" i="117"/>
  <c r="AG228" i="117" a="1"/>
  <c r="AG228" i="117" s="1"/>
  <c r="AE228" i="117" a="1"/>
  <c r="AE228" i="117" s="1"/>
  <c r="AB228" i="117"/>
  <c r="Z228" i="117"/>
  <c r="Z228" i="117" a="1"/>
  <c r="X228" i="117" a="1"/>
  <c r="X228" i="117" s="1"/>
  <c r="U228" i="117"/>
  <c r="W228" i="117" s="1" a="1"/>
  <c r="W228" i="117" s="1"/>
  <c r="S228" i="117" a="1"/>
  <c r="S228" i="117" s="1"/>
  <c r="Q228" i="117" a="1"/>
  <c r="Q228" i="117" s="1"/>
  <c r="M228" i="117"/>
  <c r="D228" i="117"/>
  <c r="C228" i="117" s="1"/>
  <c r="B228" i="117"/>
  <c r="AD228" i="117" s="1" a="1"/>
  <c r="AD228" i="117" s="1"/>
  <c r="AR227" i="117" a="1"/>
  <c r="AR227" i="117" s="1"/>
  <c r="AP227" i="117"/>
  <c r="AN227" i="117" a="1"/>
  <c r="AN227" i="117" s="1"/>
  <c r="AL227" i="117" a="1"/>
  <c r="AL227" i="117" s="1"/>
  <c r="AI227" i="117"/>
  <c r="AG227" i="117" a="1"/>
  <c r="AG227" i="117" s="1"/>
  <c r="AE227" i="117"/>
  <c r="AE227" i="117" a="1"/>
  <c r="AB227" i="117"/>
  <c r="Z227" i="117" a="1"/>
  <c r="Z227" i="117" s="1"/>
  <c r="X227" i="117" a="1"/>
  <c r="X227" i="117" s="1"/>
  <c r="U227" i="117"/>
  <c r="W227" i="117" s="1" a="1"/>
  <c r="W227" i="117" s="1"/>
  <c r="S227" i="117" a="1"/>
  <c r="S227" i="117" s="1"/>
  <c r="Q227" i="117" a="1"/>
  <c r="Q227" i="117" s="1"/>
  <c r="M227" i="117"/>
  <c r="D227" i="117"/>
  <c r="B227" i="117"/>
  <c r="AD227" i="117" s="1" a="1"/>
  <c r="AD227" i="117" s="1"/>
  <c r="AP226" i="117"/>
  <c r="AN226" i="117" a="1"/>
  <c r="AN226" i="117" s="1"/>
  <c r="AL226" i="117" a="1"/>
  <c r="AL226" i="117" s="1"/>
  <c r="AI226" i="117"/>
  <c r="AG226" i="117" a="1"/>
  <c r="AG226" i="117" s="1"/>
  <c r="AE226" i="117" a="1"/>
  <c r="AE226" i="117" s="1"/>
  <c r="AB226" i="117"/>
  <c r="Z226" i="117" a="1"/>
  <c r="Z226" i="117" s="1"/>
  <c r="X226" i="117" a="1"/>
  <c r="X226" i="117" s="1"/>
  <c r="U226" i="117"/>
  <c r="W226" i="117" s="1" a="1"/>
  <c r="W226" i="117" s="1"/>
  <c r="S226" i="117" a="1"/>
  <c r="S226" i="117" s="1"/>
  <c r="Q226" i="117" a="1"/>
  <c r="Q226" i="117" s="1"/>
  <c r="M226" i="117"/>
  <c r="D226" i="117"/>
  <c r="B226" i="117"/>
  <c r="AD226" i="117" s="1" a="1"/>
  <c r="AD226" i="117" s="1"/>
  <c r="AP225" i="117"/>
  <c r="AN225" i="117" a="1"/>
  <c r="AN225" i="117" s="1"/>
  <c r="AL225" i="117" a="1"/>
  <c r="AL225" i="117" s="1"/>
  <c r="AI225" i="117"/>
  <c r="AG225" i="117" a="1"/>
  <c r="AG225" i="117" s="1"/>
  <c r="AE225" i="117" a="1"/>
  <c r="AE225" i="117" s="1"/>
  <c r="AB225" i="117"/>
  <c r="Z225" i="117"/>
  <c r="Z225" i="117" a="1"/>
  <c r="X225" i="117" a="1"/>
  <c r="X225" i="117" s="1"/>
  <c r="U225" i="117"/>
  <c r="S225" i="117" a="1"/>
  <c r="S225" i="117" s="1"/>
  <c r="Q225" i="117" a="1"/>
  <c r="Q225" i="117" s="1"/>
  <c r="M225" i="117"/>
  <c r="D225" i="117"/>
  <c r="C225" i="117" s="1"/>
  <c r="B225" i="117"/>
  <c r="AR225" i="117" s="1" a="1"/>
  <c r="AR225" i="117" s="1"/>
  <c r="AP224" i="117"/>
  <c r="AN224" i="117"/>
  <c r="AN224" i="117" a="1"/>
  <c r="AL224" i="117"/>
  <c r="AL224" i="117" a="1"/>
  <c r="AK224" i="117" a="1"/>
  <c r="AK224" i="117" s="1"/>
  <c r="AI224" i="117"/>
  <c r="AG224" i="117" a="1"/>
  <c r="AG224" i="117" s="1"/>
  <c r="AE224" i="117" a="1"/>
  <c r="AE224" i="117" s="1"/>
  <c r="AB224" i="117"/>
  <c r="O224" i="117" s="1"/>
  <c r="Z224" i="117" a="1"/>
  <c r="Z224" i="117" s="1"/>
  <c r="X224" i="117" a="1"/>
  <c r="X224" i="117" s="1"/>
  <c r="U224" i="117"/>
  <c r="S224" i="117" a="1"/>
  <c r="S224" i="117" s="1"/>
  <c r="Q224" i="117" a="1"/>
  <c r="Q224" i="117" s="1"/>
  <c r="M224" i="117"/>
  <c r="D224" i="117"/>
  <c r="B224" i="117"/>
  <c r="AD224" i="117" s="1" a="1"/>
  <c r="AD224" i="117" s="1"/>
  <c r="AP223" i="117"/>
  <c r="AN223" i="117" a="1"/>
  <c r="AN223" i="117" s="1"/>
  <c r="AL223" i="117" a="1"/>
  <c r="AL223" i="117" s="1"/>
  <c r="AI223" i="117"/>
  <c r="AG223" i="117"/>
  <c r="AG223" i="117" a="1"/>
  <c r="AE223" i="117" a="1"/>
  <c r="AE223" i="117" s="1"/>
  <c r="AD223" i="117" a="1"/>
  <c r="AD223" i="117" s="1"/>
  <c r="AB223" i="117"/>
  <c r="Z223" i="117"/>
  <c r="Z223" i="117" a="1"/>
  <c r="X223" i="117" a="1"/>
  <c r="X223" i="117" s="1"/>
  <c r="U223" i="117"/>
  <c r="P223" i="117" s="1"/>
  <c r="S223" i="117" a="1"/>
  <c r="S223" i="117" s="1"/>
  <c r="Q223" i="117" a="1"/>
  <c r="Q223" i="117" s="1"/>
  <c r="M223" i="117"/>
  <c r="D223" i="117"/>
  <c r="N223" i="117" s="1"/>
  <c r="B223" i="117"/>
  <c r="AK223" i="117" s="1" a="1"/>
  <c r="AK223" i="117" s="1"/>
  <c r="AP222" i="117"/>
  <c r="AN222" i="117"/>
  <c r="AN222" i="117" a="1"/>
  <c r="AL222" i="117"/>
  <c r="AL222" i="117" a="1"/>
  <c r="AI222" i="117"/>
  <c r="AG222" i="117" a="1"/>
  <c r="AG222" i="117" s="1"/>
  <c r="AE222" i="117" a="1"/>
  <c r="AE222" i="117" s="1"/>
  <c r="AB222" i="117"/>
  <c r="Z222" i="117" a="1"/>
  <c r="Z222" i="117" s="1"/>
  <c r="X222" i="117" a="1"/>
  <c r="X222" i="117" s="1"/>
  <c r="U222" i="117"/>
  <c r="W222" i="117" s="1" a="1"/>
  <c r="W222" i="117" s="1"/>
  <c r="S222" i="117" a="1"/>
  <c r="S222" i="117" s="1"/>
  <c r="Q222" i="117" a="1"/>
  <c r="Q222" i="117" s="1"/>
  <c r="M222" i="117"/>
  <c r="D222" i="117"/>
  <c r="C222" i="117" s="1"/>
  <c r="B222" i="117"/>
  <c r="AD222" i="117" s="1" a="1"/>
  <c r="AD222" i="117" s="1"/>
  <c r="AP221" i="117"/>
  <c r="AN221" i="117"/>
  <c r="AN221" i="117" a="1"/>
  <c r="AL221" i="117" a="1"/>
  <c r="AL221" i="117" s="1"/>
  <c r="AK221" i="117" a="1"/>
  <c r="AK221" i="117" s="1"/>
  <c r="AI221" i="117"/>
  <c r="AG221" i="117" a="1"/>
  <c r="AG221" i="117" s="1"/>
  <c r="AE221" i="117" a="1"/>
  <c r="AE221" i="117" s="1"/>
  <c r="AD221" i="117" a="1"/>
  <c r="AD221" i="117" s="1"/>
  <c r="AB221" i="117"/>
  <c r="Z221" i="117" a="1"/>
  <c r="Z221" i="117" s="1"/>
  <c r="X221" i="117" a="1"/>
  <c r="X221" i="117" s="1"/>
  <c r="U221" i="117"/>
  <c r="P221" i="117" s="1"/>
  <c r="S221" i="117" a="1"/>
  <c r="S221" i="117" s="1"/>
  <c r="Q221" i="117" a="1"/>
  <c r="Q221" i="117" s="1"/>
  <c r="M221" i="117"/>
  <c r="D221" i="117"/>
  <c r="C221" i="117" s="1"/>
  <c r="B221" i="117"/>
  <c r="AP220" i="117"/>
  <c r="AN220" i="117" a="1"/>
  <c r="AN220" i="117" s="1"/>
  <c r="AL220" i="117"/>
  <c r="AL220" i="117" a="1"/>
  <c r="AI220" i="117"/>
  <c r="AG220" i="117"/>
  <c r="AG220" i="117" a="1"/>
  <c r="AE220" i="117" a="1"/>
  <c r="AE220" i="117" s="1"/>
  <c r="AB220" i="117"/>
  <c r="Z220" i="117" a="1"/>
  <c r="Z220" i="117" s="1"/>
  <c r="X220" i="117" a="1"/>
  <c r="X220" i="117" s="1"/>
  <c r="U220" i="117"/>
  <c r="P220" i="117" s="1"/>
  <c r="S220" i="117" a="1"/>
  <c r="S220" i="117" s="1"/>
  <c r="Q220" i="117" a="1"/>
  <c r="Q220" i="117" s="1"/>
  <c r="M220" i="117"/>
  <c r="D220" i="117"/>
  <c r="N220" i="117" s="1"/>
  <c r="AC220" i="117" s="1"/>
  <c r="B220" i="117"/>
  <c r="AP219" i="117"/>
  <c r="AN219" i="117" a="1"/>
  <c r="AN219" i="117" s="1"/>
  <c r="AL219" i="117" a="1"/>
  <c r="AL219" i="117" s="1"/>
  <c r="AI219" i="117"/>
  <c r="AG219" i="117" a="1"/>
  <c r="AG219" i="117" s="1"/>
  <c r="AE219" i="117" a="1"/>
  <c r="AE219" i="117" s="1"/>
  <c r="AB219" i="117"/>
  <c r="Z219" i="117" a="1"/>
  <c r="Z219" i="117" s="1"/>
  <c r="X219" i="117" a="1"/>
  <c r="X219" i="117" s="1"/>
  <c r="U219" i="117"/>
  <c r="P219" i="117" s="1"/>
  <c r="S219" i="117" a="1"/>
  <c r="S219" i="117" s="1"/>
  <c r="Q219" i="117" a="1"/>
  <c r="Q219" i="117" s="1"/>
  <c r="O219" i="117"/>
  <c r="M219" i="117"/>
  <c r="D219" i="117"/>
  <c r="C219" i="117" s="1"/>
  <c r="B219" i="117"/>
  <c r="AD219" i="117" s="1" a="1"/>
  <c r="AD219" i="117" s="1"/>
  <c r="AR218" i="117" a="1"/>
  <c r="AR218" i="117" s="1"/>
  <c r="AP218" i="117"/>
  <c r="AN218" i="117" a="1"/>
  <c r="AN218" i="117" s="1"/>
  <c r="AL218" i="117" a="1"/>
  <c r="AL218" i="117" s="1"/>
  <c r="AI218" i="117"/>
  <c r="AG218" i="117" a="1"/>
  <c r="AG218" i="117" s="1"/>
  <c r="AE218" i="117"/>
  <c r="AE218" i="117" a="1"/>
  <c r="AB218" i="117"/>
  <c r="Z218" i="117" a="1"/>
  <c r="Z218" i="117" s="1"/>
  <c r="X218" i="117" a="1"/>
  <c r="X218" i="117" s="1"/>
  <c r="U218" i="117"/>
  <c r="S218" i="117" a="1"/>
  <c r="S218" i="117" s="1"/>
  <c r="Q218" i="117" a="1"/>
  <c r="Q218" i="117" s="1"/>
  <c r="M218" i="117"/>
  <c r="D218" i="117"/>
  <c r="C218" i="117" s="1"/>
  <c r="B218" i="117"/>
  <c r="AD218" i="117" s="1" a="1"/>
  <c r="AD218" i="117" s="1"/>
  <c r="AP217" i="117"/>
  <c r="AN217" i="117"/>
  <c r="AN217" i="117" a="1"/>
  <c r="AL217" i="117" a="1"/>
  <c r="AL217" i="117" s="1"/>
  <c r="AI217" i="117"/>
  <c r="AK217" i="117" s="1" a="1"/>
  <c r="AK217" i="117" s="1"/>
  <c r="AG217" i="117" a="1"/>
  <c r="AG217" i="117" s="1"/>
  <c r="AE217" i="117" a="1"/>
  <c r="AE217" i="117" s="1"/>
  <c r="AB217" i="117"/>
  <c r="O217" i="117" s="1"/>
  <c r="Z217" i="117" a="1"/>
  <c r="Z217" i="117" s="1"/>
  <c r="X217" i="117" a="1"/>
  <c r="X217" i="117" s="1"/>
  <c r="U217" i="117"/>
  <c r="P217" i="117" s="1"/>
  <c r="S217" i="117" a="1"/>
  <c r="S217" i="117" s="1"/>
  <c r="Q217" i="117" a="1"/>
  <c r="Q217" i="117" s="1"/>
  <c r="M217" i="117"/>
  <c r="D217" i="117"/>
  <c r="B217" i="117"/>
  <c r="AD217" i="117" s="1" a="1"/>
  <c r="AD217" i="117" s="1"/>
  <c r="AP216" i="117"/>
  <c r="AN216" i="117" a="1"/>
  <c r="AN216" i="117" s="1"/>
  <c r="AL216" i="117" a="1"/>
  <c r="AL216" i="117" s="1"/>
  <c r="AI216" i="117"/>
  <c r="AG216" i="117" a="1"/>
  <c r="AG216" i="117" s="1"/>
  <c r="AE216" i="117" a="1"/>
  <c r="AE216" i="117" s="1"/>
  <c r="AB216" i="117"/>
  <c r="Z216" i="117" a="1"/>
  <c r="Z216" i="117" s="1"/>
  <c r="X216" i="117" a="1"/>
  <c r="X216" i="117" s="1"/>
  <c r="U216" i="117"/>
  <c r="S216" i="117" a="1"/>
  <c r="S216" i="117" s="1"/>
  <c r="Q216" i="117" a="1"/>
  <c r="Q216" i="117" s="1"/>
  <c r="M216" i="117"/>
  <c r="D216" i="117"/>
  <c r="C216" i="117" s="1"/>
  <c r="B216" i="117"/>
  <c r="AP215" i="117"/>
  <c r="AN215" i="117"/>
  <c r="AN215" i="117" a="1"/>
  <c r="AL215" i="117" a="1"/>
  <c r="AL215" i="117" s="1"/>
  <c r="AI215" i="117"/>
  <c r="AK215" i="117" s="1" a="1"/>
  <c r="AK215" i="117" s="1"/>
  <c r="AG215" i="117" a="1"/>
  <c r="AG215" i="117" s="1"/>
  <c r="AE215" i="117" a="1"/>
  <c r="AE215" i="117" s="1"/>
  <c r="AB215" i="117"/>
  <c r="Z215" i="117"/>
  <c r="Z215" i="117" a="1"/>
  <c r="X215" i="117" a="1"/>
  <c r="X215" i="117" s="1"/>
  <c r="U215" i="117"/>
  <c r="S215" i="117" a="1"/>
  <c r="S215" i="117" s="1"/>
  <c r="Q215" i="117" a="1"/>
  <c r="Q215" i="117" s="1"/>
  <c r="M215" i="117"/>
  <c r="D215" i="117"/>
  <c r="N215" i="117" s="1"/>
  <c r="AF215" i="117" s="1"/>
  <c r="B215" i="117"/>
  <c r="AD215" i="117" s="1" a="1"/>
  <c r="AD215" i="117" s="1"/>
  <c r="AP214" i="117"/>
  <c r="AN214" i="117"/>
  <c r="AN214" i="117" a="1"/>
  <c r="AL214" i="117" a="1"/>
  <c r="AL214" i="117" s="1"/>
  <c r="AI214" i="117"/>
  <c r="AG214" i="117" a="1"/>
  <c r="AG214" i="117" s="1"/>
  <c r="AE214" i="117" a="1"/>
  <c r="AE214" i="117" s="1"/>
  <c r="AB214" i="117"/>
  <c r="Z214" i="117" a="1"/>
  <c r="Z214" i="117" s="1"/>
  <c r="X214" i="117" a="1"/>
  <c r="X214" i="117" s="1"/>
  <c r="U214" i="117"/>
  <c r="P214" i="117" s="1"/>
  <c r="S214" i="117" a="1"/>
  <c r="S214" i="117" s="1"/>
  <c r="Q214" i="117" a="1"/>
  <c r="Q214" i="117" s="1"/>
  <c r="M214" i="117"/>
  <c r="D214" i="117"/>
  <c r="B214" i="117"/>
  <c r="AP213" i="117"/>
  <c r="AN213" i="117"/>
  <c r="AN213" i="117" a="1"/>
  <c r="AL213" i="117"/>
  <c r="AL213" i="117" a="1"/>
  <c r="AI213" i="117"/>
  <c r="O213" i="117" s="1"/>
  <c r="AG213" i="117" a="1"/>
  <c r="AG213" i="117" s="1"/>
  <c r="AE213" i="117" a="1"/>
  <c r="AE213" i="117" s="1"/>
  <c r="AB213" i="117"/>
  <c r="Z213" i="117"/>
  <c r="Z213" i="117" a="1"/>
  <c r="X213" i="117" a="1"/>
  <c r="X213" i="117" s="1"/>
  <c r="U213" i="117"/>
  <c r="S213" i="117" a="1"/>
  <c r="S213" i="117" s="1"/>
  <c r="Q213" i="117" a="1"/>
  <c r="Q213" i="117" s="1"/>
  <c r="M213" i="117"/>
  <c r="D213" i="117"/>
  <c r="B213" i="117"/>
  <c r="AR213" i="117" s="1" a="1"/>
  <c r="AR213" i="117" s="1"/>
  <c r="AP212" i="117"/>
  <c r="AN212" i="117" a="1"/>
  <c r="AN212" i="117" s="1"/>
  <c r="AL212" i="117" a="1"/>
  <c r="AL212" i="117" s="1"/>
  <c r="AI212" i="117"/>
  <c r="AG212" i="117" a="1"/>
  <c r="AG212" i="117" s="1"/>
  <c r="AE212" i="117" a="1"/>
  <c r="AE212" i="117" s="1"/>
  <c r="AB212" i="117"/>
  <c r="O212" i="117" s="1"/>
  <c r="Z212" i="117" a="1"/>
  <c r="Z212" i="117" s="1"/>
  <c r="X212" i="117" a="1"/>
  <c r="X212" i="117" s="1"/>
  <c r="U212" i="117"/>
  <c r="W212" i="117" s="1" a="1"/>
  <c r="W212" i="117" s="1"/>
  <c r="S212" i="117" a="1"/>
  <c r="S212" i="117" s="1"/>
  <c r="Q212" i="117" a="1"/>
  <c r="Q212" i="117" s="1"/>
  <c r="M212" i="117"/>
  <c r="D212" i="117"/>
  <c r="N212" i="117" s="1"/>
  <c r="B212" i="117"/>
  <c r="AK212" i="117" s="1" a="1"/>
  <c r="AK212" i="117" s="1"/>
  <c r="AP211" i="117"/>
  <c r="AN211" i="117" a="1"/>
  <c r="AN211" i="117" s="1"/>
  <c r="AL211" i="117" a="1"/>
  <c r="AL211" i="117" s="1"/>
  <c r="AI211" i="117"/>
  <c r="AG211" i="117" a="1"/>
  <c r="AG211" i="117" s="1"/>
  <c r="AE211" i="117" a="1"/>
  <c r="AE211" i="117" s="1"/>
  <c r="AB211" i="117"/>
  <c r="Z211" i="117" a="1"/>
  <c r="Z211" i="117" s="1"/>
  <c r="X211" i="117" a="1"/>
  <c r="X211" i="117" s="1"/>
  <c r="U211" i="117"/>
  <c r="W211" i="117" s="1" a="1"/>
  <c r="W211" i="117" s="1"/>
  <c r="S211" i="117" a="1"/>
  <c r="S211" i="117" s="1"/>
  <c r="Q211" i="117" a="1"/>
  <c r="Q211" i="117" s="1"/>
  <c r="M211" i="117"/>
  <c r="D211" i="117"/>
  <c r="B211" i="117"/>
  <c r="AP210" i="117"/>
  <c r="AN210" i="117" a="1"/>
  <c r="AN210" i="117" s="1"/>
  <c r="AL210" i="117" a="1"/>
  <c r="AL210" i="117" s="1"/>
  <c r="AK210" i="117"/>
  <c r="AI210" i="117"/>
  <c r="AG210" i="117" a="1"/>
  <c r="AG210" i="117" s="1"/>
  <c r="AE210" i="117" a="1"/>
  <c r="AE210" i="117" s="1"/>
  <c r="AD210" i="117" a="1"/>
  <c r="AD210" i="117" s="1"/>
  <c r="AB210" i="117"/>
  <c r="O210" i="117" s="1"/>
  <c r="Z210" i="117" a="1"/>
  <c r="Z210" i="117" s="1"/>
  <c r="X210" i="117" a="1"/>
  <c r="X210" i="117" s="1"/>
  <c r="U210" i="117"/>
  <c r="P210" i="117" s="1"/>
  <c r="S210" i="117" a="1"/>
  <c r="S210" i="117" s="1"/>
  <c r="Q210" i="117" a="1"/>
  <c r="Q210" i="117" s="1"/>
  <c r="M210" i="117"/>
  <c r="D210" i="117"/>
  <c r="N210" i="117" s="1"/>
  <c r="B210" i="117"/>
  <c r="AK210" i="117" s="1" a="1"/>
  <c r="AP209" i="117"/>
  <c r="AN209" i="117" a="1"/>
  <c r="AN209" i="117" s="1"/>
  <c r="AL209" i="117" a="1"/>
  <c r="AL209" i="117" s="1"/>
  <c r="AI209" i="117"/>
  <c r="AG209" i="117" a="1"/>
  <c r="AG209" i="117" s="1"/>
  <c r="AE209" i="117" a="1"/>
  <c r="AE209" i="117" s="1"/>
  <c r="AB209" i="117"/>
  <c r="Z209" i="117"/>
  <c r="Z209" i="117" a="1"/>
  <c r="X209" i="117" a="1"/>
  <c r="X209" i="117" s="1"/>
  <c r="U209" i="117"/>
  <c r="P209" i="117" s="1"/>
  <c r="S209" i="117" a="1"/>
  <c r="S209" i="117" s="1"/>
  <c r="Q209" i="117" a="1"/>
  <c r="Q209" i="117" s="1"/>
  <c r="M209" i="117"/>
  <c r="D209" i="117"/>
  <c r="B209" i="117"/>
  <c r="AK209" i="117" s="1" a="1"/>
  <c r="AK209" i="117" s="1"/>
  <c r="AP208" i="117"/>
  <c r="AN208" i="117" a="1"/>
  <c r="AN208" i="117" s="1"/>
  <c r="AL208" i="117" a="1"/>
  <c r="AL208" i="117" s="1"/>
  <c r="AI208" i="117"/>
  <c r="AG208" i="117" a="1"/>
  <c r="AG208" i="117" s="1"/>
  <c r="AE208" i="117" a="1"/>
  <c r="AE208" i="117" s="1"/>
  <c r="AB208" i="117"/>
  <c r="Z208" i="117" a="1"/>
  <c r="Z208" i="117" s="1"/>
  <c r="X208" i="117" a="1"/>
  <c r="X208" i="117" s="1"/>
  <c r="U208" i="117"/>
  <c r="P208" i="117" s="1"/>
  <c r="S208" i="117" a="1"/>
  <c r="S208" i="117" s="1"/>
  <c r="Q208" i="117" a="1"/>
  <c r="Q208" i="117" s="1"/>
  <c r="M208" i="117"/>
  <c r="D208" i="117"/>
  <c r="N208" i="117" s="1"/>
  <c r="B208" i="117"/>
  <c r="AD208" i="117" s="1" a="1"/>
  <c r="AD208" i="117" s="1"/>
  <c r="AP207" i="117"/>
  <c r="AN207" i="117" a="1"/>
  <c r="AN207" i="117" s="1"/>
  <c r="AL207" i="117" a="1"/>
  <c r="AL207" i="117" s="1"/>
  <c r="AI207" i="117"/>
  <c r="AG207" i="117" a="1"/>
  <c r="AG207" i="117" s="1"/>
  <c r="AE207" i="117" a="1"/>
  <c r="AE207" i="117" s="1"/>
  <c r="AB207" i="117"/>
  <c r="Z207" i="117" a="1"/>
  <c r="Z207" i="117" s="1"/>
  <c r="X207" i="117" a="1"/>
  <c r="X207" i="117" s="1"/>
  <c r="U207" i="117"/>
  <c r="P207" i="117" s="1"/>
  <c r="S207" i="117" a="1"/>
  <c r="S207" i="117" s="1"/>
  <c r="Q207" i="117" a="1"/>
  <c r="Q207" i="117" s="1"/>
  <c r="M207" i="117"/>
  <c r="D207" i="117"/>
  <c r="C207" i="117" s="1"/>
  <c r="B207" i="117"/>
  <c r="AD207" i="117" s="1" a="1"/>
  <c r="AD207" i="117" s="1"/>
  <c r="AP206" i="117"/>
  <c r="AN206" i="117" a="1"/>
  <c r="AN206" i="117" s="1"/>
  <c r="AL206" i="117" a="1"/>
  <c r="AL206" i="117" s="1"/>
  <c r="AI206" i="117"/>
  <c r="AG206" i="117" a="1"/>
  <c r="AG206" i="117" s="1"/>
  <c r="AE206" i="117" a="1"/>
  <c r="AE206" i="117" s="1"/>
  <c r="AB206" i="117"/>
  <c r="Z206" i="117" a="1"/>
  <c r="Z206" i="117" s="1"/>
  <c r="X206" i="117" a="1"/>
  <c r="X206" i="117" s="1"/>
  <c r="U206" i="117"/>
  <c r="W206" i="117" s="1" a="1"/>
  <c r="W206" i="117" s="1"/>
  <c r="S206" i="117" a="1"/>
  <c r="S206" i="117" s="1"/>
  <c r="Q206" i="117" a="1"/>
  <c r="Q206" i="117" s="1"/>
  <c r="M206" i="117"/>
  <c r="D206" i="117"/>
  <c r="B206" i="117"/>
  <c r="AP205" i="117"/>
  <c r="AN205" i="117" a="1"/>
  <c r="AN205" i="117" s="1"/>
  <c r="AL205" i="117" a="1"/>
  <c r="AL205" i="117" s="1"/>
  <c r="AI205" i="117"/>
  <c r="AG205" i="117" a="1"/>
  <c r="AG205" i="117" s="1"/>
  <c r="AE205" i="117" a="1"/>
  <c r="AE205" i="117" s="1"/>
  <c r="AB205" i="117"/>
  <c r="Z205" i="117" a="1"/>
  <c r="Z205" i="117" s="1"/>
  <c r="X205" i="117" a="1"/>
  <c r="X205" i="117" s="1"/>
  <c r="U205" i="117"/>
  <c r="S205" i="117" a="1"/>
  <c r="S205" i="117" s="1"/>
  <c r="Q205" i="117" a="1"/>
  <c r="Q205" i="117" s="1"/>
  <c r="M205" i="117"/>
  <c r="D205" i="117"/>
  <c r="N205" i="117" s="1"/>
  <c r="B205" i="117"/>
  <c r="AD205" i="117" s="1" a="1"/>
  <c r="AD205" i="117" s="1"/>
  <c r="AP204" i="117"/>
  <c r="AN204" i="117" a="1"/>
  <c r="AN204" i="117" s="1"/>
  <c r="AL204" i="117" a="1"/>
  <c r="AL204" i="117" s="1"/>
  <c r="AI204" i="117"/>
  <c r="AG204" i="117"/>
  <c r="AG204" i="117" a="1"/>
  <c r="AE204" i="117" a="1"/>
  <c r="AE204" i="117" s="1"/>
  <c r="AB204" i="117"/>
  <c r="Z204" i="117"/>
  <c r="Z204" i="117" a="1"/>
  <c r="X204" i="117"/>
  <c r="X204" i="117" a="1"/>
  <c r="U204" i="117"/>
  <c r="P204" i="117" s="1"/>
  <c r="S204" i="117" a="1"/>
  <c r="S204" i="117" s="1"/>
  <c r="Q204" i="117" a="1"/>
  <c r="Q204" i="117" s="1"/>
  <c r="M204" i="117"/>
  <c r="D204" i="117"/>
  <c r="N204" i="117" s="1"/>
  <c r="AF204" i="117" s="1"/>
  <c r="B204" i="117"/>
  <c r="AP203" i="117"/>
  <c r="AN203" i="117" a="1"/>
  <c r="AN203" i="117" s="1"/>
  <c r="AL203" i="117"/>
  <c r="AL203" i="117" a="1"/>
  <c r="AI203" i="117"/>
  <c r="AG203" i="117" a="1"/>
  <c r="AG203" i="117" s="1"/>
  <c r="AE203" i="117" a="1"/>
  <c r="AE203" i="117" s="1"/>
  <c r="AB203" i="117"/>
  <c r="Z203" i="117" a="1"/>
  <c r="Z203" i="117" s="1"/>
  <c r="X203" i="117" a="1"/>
  <c r="X203" i="117" s="1"/>
  <c r="U203" i="117"/>
  <c r="P203" i="117" s="1"/>
  <c r="S203" i="117" a="1"/>
  <c r="S203" i="117" s="1"/>
  <c r="Q203" i="117" a="1"/>
  <c r="Q203" i="117" s="1"/>
  <c r="M203" i="117"/>
  <c r="D203" i="117"/>
  <c r="N203" i="117" s="1"/>
  <c r="AC203" i="117" s="1"/>
  <c r="B203" i="117"/>
  <c r="AD203" i="117" s="1" a="1"/>
  <c r="AD203" i="117" s="1"/>
  <c r="AP202" i="117"/>
  <c r="AN202" i="117" a="1"/>
  <c r="AN202" i="117" s="1"/>
  <c r="AL202" i="117" a="1"/>
  <c r="AL202" i="117" s="1"/>
  <c r="AI202" i="117"/>
  <c r="AG202" i="117" a="1"/>
  <c r="AG202" i="117" s="1"/>
  <c r="AE202" i="117" a="1"/>
  <c r="AE202" i="117" s="1"/>
  <c r="AB202" i="117"/>
  <c r="Z202" i="117" a="1"/>
  <c r="Z202" i="117" s="1"/>
  <c r="X202" i="117" a="1"/>
  <c r="X202" i="117" s="1"/>
  <c r="U202" i="117"/>
  <c r="P202" i="117" s="1"/>
  <c r="S202" i="117" a="1"/>
  <c r="S202" i="117" s="1"/>
  <c r="Q202" i="117" a="1"/>
  <c r="Q202" i="117" s="1"/>
  <c r="M202" i="117"/>
  <c r="D202" i="117"/>
  <c r="C202" i="117" s="1"/>
  <c r="B202" i="117"/>
  <c r="AD202" i="117" s="1" a="1"/>
  <c r="AD202" i="117" s="1"/>
  <c r="AP201" i="117"/>
  <c r="AN201" i="117" a="1"/>
  <c r="AN201" i="117" s="1"/>
  <c r="AL201" i="117"/>
  <c r="AL201" i="117" a="1"/>
  <c r="AI201" i="117"/>
  <c r="AG201" i="117" a="1"/>
  <c r="AG201" i="117" s="1"/>
  <c r="AE201" i="117" a="1"/>
  <c r="AE201" i="117" s="1"/>
  <c r="AB201" i="117"/>
  <c r="Z201" i="117" a="1"/>
  <c r="Z201" i="117" s="1"/>
  <c r="X201" i="117" a="1"/>
  <c r="X201" i="117" s="1"/>
  <c r="U201" i="117"/>
  <c r="W201" i="117" s="1" a="1"/>
  <c r="W201" i="117" s="1"/>
  <c r="S201" i="117" a="1"/>
  <c r="S201" i="117" s="1"/>
  <c r="Q201" i="117" a="1"/>
  <c r="Q201" i="117" s="1"/>
  <c r="M201" i="117"/>
  <c r="D201" i="117"/>
  <c r="C201" i="117" s="1"/>
  <c r="B201" i="117"/>
  <c r="AD201" i="117" s="1" a="1"/>
  <c r="AD201" i="117" s="1"/>
  <c r="AP200" i="117"/>
  <c r="AN200" i="117"/>
  <c r="AN200" i="117" a="1"/>
  <c r="AL200" i="117" a="1"/>
  <c r="AL200" i="117" s="1"/>
  <c r="AI200" i="117"/>
  <c r="AG200" i="117" a="1"/>
  <c r="AG200" i="117" s="1"/>
  <c r="AE200" i="117" a="1"/>
  <c r="AE200" i="117" s="1"/>
  <c r="AB200" i="117"/>
  <c r="Z200" i="117"/>
  <c r="Z200" i="117" a="1"/>
  <c r="X200" i="117" a="1"/>
  <c r="X200" i="117" s="1"/>
  <c r="U200" i="117"/>
  <c r="W200" i="117" s="1" a="1"/>
  <c r="W200" i="117" s="1"/>
  <c r="S200" i="117" a="1"/>
  <c r="S200" i="117" s="1"/>
  <c r="Q200" i="117" a="1"/>
  <c r="Q200" i="117" s="1"/>
  <c r="M200" i="117"/>
  <c r="D200" i="117"/>
  <c r="B200" i="117"/>
  <c r="AR200" i="117" s="1" a="1"/>
  <c r="AR200" i="117" s="1"/>
  <c r="AP199" i="117"/>
  <c r="AN199" i="117" a="1"/>
  <c r="AN199" i="117" s="1"/>
  <c r="AL199" i="117" a="1"/>
  <c r="AL199" i="117" s="1"/>
  <c r="AI199" i="117"/>
  <c r="AG199" i="117" a="1"/>
  <c r="AG199" i="117" s="1"/>
  <c r="AE199" i="117" a="1"/>
  <c r="AE199" i="117" s="1"/>
  <c r="AB199" i="117"/>
  <c r="Z199" i="117" a="1"/>
  <c r="Z199" i="117" s="1"/>
  <c r="X199" i="117" a="1"/>
  <c r="X199" i="117" s="1"/>
  <c r="U199" i="117"/>
  <c r="P199" i="117" s="1"/>
  <c r="S199" i="117" a="1"/>
  <c r="S199" i="117" s="1"/>
  <c r="Q199" i="117" a="1"/>
  <c r="Q199" i="117" s="1"/>
  <c r="M199" i="117"/>
  <c r="D199" i="117"/>
  <c r="C199" i="117" s="1"/>
  <c r="B199" i="117"/>
  <c r="AP198" i="117"/>
  <c r="AN198" i="117" a="1"/>
  <c r="AN198" i="117" s="1"/>
  <c r="AL198" i="117" a="1"/>
  <c r="AL198" i="117" s="1"/>
  <c r="AI198" i="117"/>
  <c r="AG198" i="117" a="1"/>
  <c r="AG198" i="117" s="1"/>
  <c r="AE198" i="117" a="1"/>
  <c r="AE198" i="117" s="1"/>
  <c r="AB198" i="117"/>
  <c r="Z198" i="117" a="1"/>
  <c r="Z198" i="117" s="1"/>
  <c r="X198" i="117" a="1"/>
  <c r="X198" i="117" s="1"/>
  <c r="U198" i="117"/>
  <c r="S198" i="117" a="1"/>
  <c r="S198" i="117" s="1"/>
  <c r="Q198" i="117" a="1"/>
  <c r="Q198" i="117" s="1"/>
  <c r="M198" i="117"/>
  <c r="D198" i="117"/>
  <c r="B198" i="117"/>
  <c r="AP197" i="117"/>
  <c r="AN197" i="117" a="1"/>
  <c r="AN197" i="117" s="1"/>
  <c r="AL197" i="117" a="1"/>
  <c r="AL197" i="117" s="1"/>
  <c r="AI197" i="117"/>
  <c r="AG197" i="117" a="1"/>
  <c r="AG197" i="117" s="1"/>
  <c r="AE197" i="117" a="1"/>
  <c r="AE197" i="117" s="1"/>
  <c r="AB197" i="117"/>
  <c r="Z197" i="117" a="1"/>
  <c r="Z197" i="117" s="1"/>
  <c r="X197" i="117" a="1"/>
  <c r="X197" i="117" s="1"/>
  <c r="U197" i="117"/>
  <c r="S197" i="117" a="1"/>
  <c r="S197" i="117" s="1"/>
  <c r="Q197" i="117" a="1"/>
  <c r="Q197" i="117" s="1"/>
  <c r="M197" i="117"/>
  <c r="D197" i="117"/>
  <c r="B197" i="117"/>
  <c r="AD197" i="117" s="1" a="1"/>
  <c r="AD197" i="117" s="1"/>
  <c r="AR196" i="117" a="1"/>
  <c r="AR196" i="117" s="1"/>
  <c r="AP196" i="117"/>
  <c r="AN196" i="117" a="1"/>
  <c r="AN196" i="117" s="1"/>
  <c r="AL196" i="117" a="1"/>
  <c r="AL196" i="117" s="1"/>
  <c r="AI196" i="117"/>
  <c r="AG196" i="117" a="1"/>
  <c r="AG196" i="117" s="1"/>
  <c r="AE196" i="117" a="1"/>
  <c r="AE196" i="117" s="1"/>
  <c r="AD196" i="117" a="1"/>
  <c r="AD196" i="117" s="1"/>
  <c r="AB196" i="117"/>
  <c r="Z196" i="117" a="1"/>
  <c r="Z196" i="117" s="1"/>
  <c r="X196" i="117" a="1"/>
  <c r="X196" i="117" s="1"/>
  <c r="U196" i="117"/>
  <c r="P196" i="117" s="1"/>
  <c r="S196" i="117" a="1"/>
  <c r="S196" i="117" s="1"/>
  <c r="Q196" i="117" a="1"/>
  <c r="Q196" i="117" s="1"/>
  <c r="O196" i="117"/>
  <c r="M196" i="117"/>
  <c r="D196" i="117"/>
  <c r="C196" i="117" s="1"/>
  <c r="B196" i="117"/>
  <c r="AP195" i="117"/>
  <c r="AN195" i="117" a="1"/>
  <c r="AN195" i="117" s="1"/>
  <c r="AL195" i="117" a="1"/>
  <c r="AL195" i="117" s="1"/>
  <c r="AI195" i="117"/>
  <c r="AG195" i="117" a="1"/>
  <c r="AG195" i="117" s="1"/>
  <c r="AE195" i="117" a="1"/>
  <c r="AE195" i="117" s="1"/>
  <c r="AB195" i="117"/>
  <c r="Z195" i="117" a="1"/>
  <c r="Z195" i="117" s="1"/>
  <c r="X195" i="117"/>
  <c r="X195" i="117" a="1"/>
  <c r="U195" i="117"/>
  <c r="W195" i="117" s="1" a="1"/>
  <c r="W195" i="117" s="1"/>
  <c r="S195" i="117" a="1"/>
  <c r="S195" i="117" s="1"/>
  <c r="Q195" i="117" a="1"/>
  <c r="Q195" i="117" s="1"/>
  <c r="M195" i="117"/>
  <c r="D195" i="117"/>
  <c r="B195" i="117"/>
  <c r="AD195" i="117" s="1" a="1"/>
  <c r="AD195" i="117" s="1"/>
  <c r="AR194" i="117" a="1"/>
  <c r="AR194" i="117" s="1"/>
  <c r="AP194" i="117"/>
  <c r="AN194" i="117" a="1"/>
  <c r="AN194" i="117" s="1"/>
  <c r="AL194" i="117" a="1"/>
  <c r="AL194" i="117" s="1"/>
  <c r="AI194" i="117"/>
  <c r="AG194" i="117" a="1"/>
  <c r="AG194" i="117" s="1"/>
  <c r="AE194" i="117"/>
  <c r="AE194" i="117" a="1"/>
  <c r="AD194" i="117" a="1"/>
  <c r="AD194" i="117" s="1"/>
  <c r="AB194" i="117"/>
  <c r="O194" i="117" s="1"/>
  <c r="Z194" i="117" a="1"/>
  <c r="Z194" i="117" s="1"/>
  <c r="X194" i="117" a="1"/>
  <c r="X194" i="117" s="1"/>
  <c r="U194" i="117"/>
  <c r="W194" i="117" s="1" a="1"/>
  <c r="W194" i="117" s="1"/>
  <c r="S194" i="117" a="1"/>
  <c r="S194" i="117" s="1"/>
  <c r="Q194" i="117" a="1"/>
  <c r="Q194" i="117" s="1"/>
  <c r="M194" i="117"/>
  <c r="D194" i="117"/>
  <c r="N194" i="117" s="1"/>
  <c r="AM194" i="117" s="1"/>
  <c r="B194" i="117"/>
  <c r="AP193" i="117"/>
  <c r="AN193" i="117" a="1"/>
  <c r="AN193" i="117" s="1"/>
  <c r="AL193" i="117" a="1"/>
  <c r="AL193" i="117" s="1"/>
  <c r="AI193" i="117"/>
  <c r="AG193" i="117" a="1"/>
  <c r="AG193" i="117" s="1"/>
  <c r="AE193" i="117" a="1"/>
  <c r="AE193" i="117" s="1"/>
  <c r="AB193" i="117"/>
  <c r="Z193" i="117" a="1"/>
  <c r="Z193" i="117" s="1"/>
  <c r="X193" i="117" a="1"/>
  <c r="X193" i="117" s="1"/>
  <c r="U193" i="117"/>
  <c r="P193" i="117" s="1"/>
  <c r="S193" i="117" a="1"/>
  <c r="S193" i="117" s="1"/>
  <c r="Q193" i="117" a="1"/>
  <c r="Q193" i="117" s="1"/>
  <c r="M193" i="117"/>
  <c r="D193" i="117"/>
  <c r="C193" i="117" s="1"/>
  <c r="B193" i="117"/>
  <c r="AP192" i="117"/>
  <c r="O192" i="117" s="1"/>
  <c r="AN192" i="117"/>
  <c r="AN192" i="117" a="1"/>
  <c r="AL192" i="117" a="1"/>
  <c r="AL192" i="117" s="1"/>
  <c r="AI192" i="117"/>
  <c r="AG192" i="117" a="1"/>
  <c r="AG192" i="117" s="1"/>
  <c r="AE192" i="117" a="1"/>
  <c r="AE192" i="117" s="1"/>
  <c r="AD192" i="117" a="1"/>
  <c r="AD192" i="117" s="1"/>
  <c r="AB192" i="117"/>
  <c r="Z192" i="117" a="1"/>
  <c r="Z192" i="117" s="1"/>
  <c r="X192" i="117" a="1"/>
  <c r="X192" i="117" s="1"/>
  <c r="U192" i="117"/>
  <c r="S192" i="117" a="1"/>
  <c r="S192" i="117" s="1"/>
  <c r="Q192" i="117" a="1"/>
  <c r="Q192" i="117" s="1"/>
  <c r="M192" i="117"/>
  <c r="D192" i="117"/>
  <c r="B192" i="117"/>
  <c r="AK192" i="117" s="1" a="1"/>
  <c r="AK192" i="117" s="1"/>
  <c r="AP191" i="117"/>
  <c r="AN191" i="117" a="1"/>
  <c r="AN191" i="117" s="1"/>
  <c r="AL191" i="117" a="1"/>
  <c r="AL191" i="117" s="1"/>
  <c r="AI191" i="117"/>
  <c r="O191" i="117" s="1"/>
  <c r="AG191" i="117" a="1"/>
  <c r="AG191" i="117" s="1"/>
  <c r="AE191" i="117" a="1"/>
  <c r="AE191" i="117" s="1"/>
  <c r="AD191" i="117" a="1"/>
  <c r="AD191" i="117" s="1"/>
  <c r="AB191" i="117"/>
  <c r="Z191" i="117"/>
  <c r="Z191" i="117" a="1"/>
  <c r="X191" i="117" a="1"/>
  <c r="X191" i="117" s="1"/>
  <c r="U191" i="117"/>
  <c r="W191" i="117" s="1" a="1"/>
  <c r="W191" i="117" s="1"/>
  <c r="S191" i="117" a="1"/>
  <c r="S191" i="117" s="1"/>
  <c r="Q191" i="117" a="1"/>
  <c r="Q191" i="117" s="1"/>
  <c r="M191" i="117"/>
  <c r="D191" i="117"/>
  <c r="B191" i="117"/>
  <c r="AP190" i="117"/>
  <c r="AN190" i="117" a="1"/>
  <c r="AN190" i="117" s="1"/>
  <c r="AL190" i="117"/>
  <c r="AL190" i="117" a="1"/>
  <c r="AI190" i="117"/>
  <c r="AG190" i="117" a="1"/>
  <c r="AG190" i="117" s="1"/>
  <c r="AE190" i="117" a="1"/>
  <c r="AE190" i="117" s="1"/>
  <c r="AB190" i="117"/>
  <c r="Z190" i="117" a="1"/>
  <c r="Z190" i="117" s="1"/>
  <c r="X190" i="117" a="1"/>
  <c r="X190" i="117" s="1"/>
  <c r="U190" i="117"/>
  <c r="P190" i="117" s="1"/>
  <c r="S190" i="117" a="1"/>
  <c r="S190" i="117" s="1"/>
  <c r="Q190" i="117" a="1"/>
  <c r="Q190" i="117" s="1"/>
  <c r="M190" i="117"/>
  <c r="D190" i="117"/>
  <c r="B190" i="117"/>
  <c r="AD190" i="117" s="1" a="1"/>
  <c r="AD190" i="117" s="1"/>
  <c r="AP189" i="117"/>
  <c r="AN189" i="117" a="1"/>
  <c r="AN189" i="117" s="1"/>
  <c r="AL189" i="117" a="1"/>
  <c r="AL189" i="117" s="1"/>
  <c r="AI189" i="117"/>
  <c r="AG189" i="117"/>
  <c r="AG189" i="117" a="1"/>
  <c r="AE189" i="117" a="1"/>
  <c r="AE189" i="117" s="1"/>
  <c r="AB189" i="117"/>
  <c r="Z189" i="117" a="1"/>
  <c r="Z189" i="117" s="1"/>
  <c r="X189" i="117" a="1"/>
  <c r="X189" i="117" s="1"/>
  <c r="U189" i="117"/>
  <c r="S189" i="117" a="1"/>
  <c r="S189" i="117" s="1"/>
  <c r="Q189" i="117" a="1"/>
  <c r="Q189" i="117" s="1"/>
  <c r="M189" i="117"/>
  <c r="D189" i="117"/>
  <c r="C189" i="117" s="1"/>
  <c r="B189" i="117"/>
  <c r="AR189" i="117" s="1" a="1"/>
  <c r="AR189" i="117" s="1"/>
  <c r="AP188" i="117"/>
  <c r="AN188" i="117" a="1"/>
  <c r="AN188" i="117" s="1"/>
  <c r="AL188" i="117" a="1"/>
  <c r="AL188" i="117" s="1"/>
  <c r="AI188" i="117"/>
  <c r="AK188" i="117" s="1" a="1"/>
  <c r="AK188" i="117" s="1"/>
  <c r="AG188" i="117"/>
  <c r="AG188" i="117" a="1"/>
  <c r="AE188" i="117" a="1"/>
  <c r="AE188" i="117" s="1"/>
  <c r="AD188" i="117" a="1"/>
  <c r="AD188" i="117" s="1"/>
  <c r="AB188" i="117"/>
  <c r="Z188" i="117" a="1"/>
  <c r="Z188" i="117" s="1"/>
  <c r="X188" i="117" a="1"/>
  <c r="X188" i="117" s="1"/>
  <c r="U188" i="117"/>
  <c r="P188" i="117" s="1"/>
  <c r="S188" i="117" a="1"/>
  <c r="S188" i="117" s="1"/>
  <c r="Q188" i="117" a="1"/>
  <c r="Q188" i="117" s="1"/>
  <c r="M188" i="117"/>
  <c r="D188" i="117"/>
  <c r="B188" i="117"/>
  <c r="AP187" i="117"/>
  <c r="AN187" i="117" a="1"/>
  <c r="AN187" i="117" s="1"/>
  <c r="AL187" i="117" a="1"/>
  <c r="AL187" i="117" s="1"/>
  <c r="AI187" i="117"/>
  <c r="AG187" i="117" a="1"/>
  <c r="AG187" i="117" s="1"/>
  <c r="AE187" i="117" a="1"/>
  <c r="AE187" i="117" s="1"/>
  <c r="AB187" i="117"/>
  <c r="Z187" i="117" a="1"/>
  <c r="Z187" i="117" s="1"/>
  <c r="X187" i="117" a="1"/>
  <c r="X187" i="117" s="1"/>
  <c r="U187" i="117"/>
  <c r="P187" i="117" s="1"/>
  <c r="S187" i="117" a="1"/>
  <c r="S187" i="117" s="1"/>
  <c r="Q187" i="117" a="1"/>
  <c r="Q187" i="117" s="1"/>
  <c r="M187" i="117"/>
  <c r="D187" i="117"/>
  <c r="B187" i="117"/>
  <c r="AP186" i="117"/>
  <c r="AN186" i="117" a="1"/>
  <c r="AN186" i="117" s="1"/>
  <c r="AL186" i="117" a="1"/>
  <c r="AL186" i="117" s="1"/>
  <c r="AI186" i="117"/>
  <c r="AG186" i="117" a="1"/>
  <c r="AG186" i="117" s="1"/>
  <c r="AE186" i="117" a="1"/>
  <c r="AE186" i="117" s="1"/>
  <c r="AB186" i="117"/>
  <c r="Z186" i="117"/>
  <c r="Z186" i="117" a="1"/>
  <c r="X186" i="117" a="1"/>
  <c r="X186" i="117" s="1"/>
  <c r="U186" i="117"/>
  <c r="W186" i="117" s="1" a="1"/>
  <c r="W186" i="117" s="1"/>
  <c r="S186" i="117" a="1"/>
  <c r="S186" i="117" s="1"/>
  <c r="Q186" i="117" a="1"/>
  <c r="Q186" i="117" s="1"/>
  <c r="M186" i="117"/>
  <c r="D186" i="117"/>
  <c r="N186" i="117" s="1"/>
  <c r="B186" i="117"/>
  <c r="AP185" i="117"/>
  <c r="AN185" i="117" a="1"/>
  <c r="AN185" i="117" s="1"/>
  <c r="AL185" i="117" a="1"/>
  <c r="AL185" i="117" s="1"/>
  <c r="AI185" i="117"/>
  <c r="AG185" i="117" a="1"/>
  <c r="AG185" i="117" s="1"/>
  <c r="AE185" i="117" a="1"/>
  <c r="AE185" i="117" s="1"/>
  <c r="AB185" i="117"/>
  <c r="Z185" i="117" a="1"/>
  <c r="Z185" i="117" s="1"/>
  <c r="X185" i="117" a="1"/>
  <c r="X185" i="117" s="1"/>
  <c r="U185" i="117"/>
  <c r="W185" i="117" s="1" a="1"/>
  <c r="W185" i="117" s="1"/>
  <c r="S185" i="117" a="1"/>
  <c r="S185" i="117" s="1"/>
  <c r="Q185" i="117" a="1"/>
  <c r="Q185" i="117" s="1"/>
  <c r="M185" i="117"/>
  <c r="D185" i="117"/>
  <c r="B185" i="117"/>
  <c r="AP184" i="117"/>
  <c r="AN184" i="117" a="1"/>
  <c r="AN184" i="117" s="1"/>
  <c r="AL184" i="117" a="1"/>
  <c r="AL184" i="117" s="1"/>
  <c r="AI184" i="117"/>
  <c r="AG184" i="117" a="1"/>
  <c r="AG184" i="117" s="1"/>
  <c r="AE184" i="117" a="1"/>
  <c r="AE184" i="117" s="1"/>
  <c r="AB184" i="117"/>
  <c r="Z184" i="117"/>
  <c r="Z184" i="117" a="1"/>
  <c r="X184" i="117" a="1"/>
  <c r="X184" i="117" s="1"/>
  <c r="U184" i="117"/>
  <c r="P184" i="117" s="1"/>
  <c r="S184" i="117" a="1"/>
  <c r="S184" i="117" s="1"/>
  <c r="Q184" i="117" a="1"/>
  <c r="Q184" i="117" s="1"/>
  <c r="M184" i="117"/>
  <c r="D184" i="117"/>
  <c r="B184" i="117"/>
  <c r="AP183" i="117"/>
  <c r="AN183" i="117" a="1"/>
  <c r="AN183" i="117" s="1"/>
  <c r="AL183" i="117" a="1"/>
  <c r="AL183" i="117" s="1"/>
  <c r="AI183" i="117"/>
  <c r="AG183" i="117" a="1"/>
  <c r="AG183" i="117" s="1"/>
  <c r="AE183" i="117" a="1"/>
  <c r="AE183" i="117" s="1"/>
  <c r="AD183" i="117" a="1"/>
  <c r="AD183" i="117" s="1"/>
  <c r="AB183" i="117"/>
  <c r="Z183" i="117" a="1"/>
  <c r="Z183" i="117" s="1"/>
  <c r="X183" i="117" a="1"/>
  <c r="X183" i="117" s="1"/>
  <c r="U183" i="117"/>
  <c r="W183" i="117" s="1" a="1"/>
  <c r="W183" i="117" s="1"/>
  <c r="S183" i="117" a="1"/>
  <c r="S183" i="117" s="1"/>
  <c r="Q183" i="117" a="1"/>
  <c r="Q183" i="117" s="1"/>
  <c r="M183" i="117"/>
  <c r="D183" i="117"/>
  <c r="N183" i="117" s="1"/>
  <c r="B183" i="117"/>
  <c r="AP182" i="117"/>
  <c r="AN182" i="117" a="1"/>
  <c r="AN182" i="117" s="1"/>
  <c r="AL182" i="117" a="1"/>
  <c r="AL182" i="117" s="1"/>
  <c r="AI182" i="117"/>
  <c r="AG182" i="117" a="1"/>
  <c r="AG182" i="117" s="1"/>
  <c r="AE182" i="117" a="1"/>
  <c r="AE182" i="117" s="1"/>
  <c r="AB182" i="117"/>
  <c r="Z182" i="117" a="1"/>
  <c r="Z182" i="117" s="1"/>
  <c r="X182" i="117" a="1"/>
  <c r="X182" i="117" s="1"/>
  <c r="U182" i="117"/>
  <c r="P182" i="117" s="1"/>
  <c r="S182" i="117" a="1"/>
  <c r="S182" i="117" s="1"/>
  <c r="Q182" i="117" a="1"/>
  <c r="Q182" i="117" s="1"/>
  <c r="M182" i="117"/>
  <c r="D182" i="117"/>
  <c r="B182" i="117"/>
  <c r="AP181" i="117"/>
  <c r="AN181" i="117" a="1"/>
  <c r="AN181" i="117" s="1"/>
  <c r="AL181" i="117" a="1"/>
  <c r="AL181" i="117" s="1"/>
  <c r="AI181" i="117"/>
  <c r="AG181" i="117" a="1"/>
  <c r="AG181" i="117" s="1"/>
  <c r="AE181" i="117" a="1"/>
  <c r="AE181" i="117" s="1"/>
  <c r="AB181" i="117"/>
  <c r="Z181" i="117" a="1"/>
  <c r="Z181" i="117" s="1"/>
  <c r="X181" i="117" a="1"/>
  <c r="X181" i="117" s="1"/>
  <c r="U181" i="117"/>
  <c r="P181" i="117" s="1"/>
  <c r="S181" i="117" a="1"/>
  <c r="S181" i="117" s="1"/>
  <c r="Q181" i="117" a="1"/>
  <c r="Q181" i="117" s="1"/>
  <c r="M181" i="117"/>
  <c r="D181" i="117"/>
  <c r="B181" i="117"/>
  <c r="AD181" i="117" s="1" a="1"/>
  <c r="AD181" i="117" s="1"/>
  <c r="AP180" i="117"/>
  <c r="AN180" i="117" a="1"/>
  <c r="AN180" i="117" s="1"/>
  <c r="AL180" i="117" a="1"/>
  <c r="AL180" i="117" s="1"/>
  <c r="AI180" i="117"/>
  <c r="AG180" i="117" a="1"/>
  <c r="AG180" i="117" s="1"/>
  <c r="AE180" i="117" a="1"/>
  <c r="AE180" i="117" s="1"/>
  <c r="AB180" i="117"/>
  <c r="Z180" i="117" a="1"/>
  <c r="Z180" i="117" s="1"/>
  <c r="X180" i="117" a="1"/>
  <c r="X180" i="117" s="1"/>
  <c r="U180" i="117"/>
  <c r="W180" i="117" s="1" a="1"/>
  <c r="W180" i="117" s="1"/>
  <c r="S180" i="117" a="1"/>
  <c r="S180" i="117" s="1"/>
  <c r="Q180" i="117" a="1"/>
  <c r="Q180" i="117" s="1"/>
  <c r="M180" i="117"/>
  <c r="D180" i="117"/>
  <c r="C180" i="117" s="1"/>
  <c r="B180" i="117"/>
  <c r="AD180" i="117" s="1" a="1"/>
  <c r="AD180" i="117" s="1"/>
  <c r="AP179" i="117"/>
  <c r="AN179" i="117" a="1"/>
  <c r="AN179" i="117" s="1"/>
  <c r="AL179" i="117" a="1"/>
  <c r="AL179" i="117" s="1"/>
  <c r="AI179" i="117"/>
  <c r="AG179" i="117"/>
  <c r="AG179" i="117" a="1"/>
  <c r="AE179" i="117" a="1"/>
  <c r="AE179" i="117" s="1"/>
  <c r="AB179" i="117"/>
  <c r="Z179" i="117" a="1"/>
  <c r="Z179" i="117" s="1"/>
  <c r="X179" i="117" a="1"/>
  <c r="X179" i="117" s="1"/>
  <c r="U179" i="117"/>
  <c r="P179" i="117" s="1"/>
  <c r="S179" i="117" a="1"/>
  <c r="S179" i="117" s="1"/>
  <c r="Q179" i="117" a="1"/>
  <c r="Q179" i="117" s="1"/>
  <c r="M179" i="117"/>
  <c r="D179" i="117"/>
  <c r="B179" i="117"/>
  <c r="AP178" i="117"/>
  <c r="AN178" i="117" a="1"/>
  <c r="AN178" i="117" s="1"/>
  <c r="AL178" i="117" a="1"/>
  <c r="AL178" i="117" s="1"/>
  <c r="AI178" i="117"/>
  <c r="AG178" i="117" a="1"/>
  <c r="AG178" i="117" s="1"/>
  <c r="AE178" i="117" a="1"/>
  <c r="AE178" i="117" s="1"/>
  <c r="AB178" i="117"/>
  <c r="Z178" i="117" a="1"/>
  <c r="Z178" i="117" s="1"/>
  <c r="X178" i="117" a="1"/>
  <c r="X178" i="117" s="1"/>
  <c r="U178" i="117"/>
  <c r="P178" i="117" s="1"/>
  <c r="S178" i="117" a="1"/>
  <c r="S178" i="117" s="1"/>
  <c r="Q178" i="117" a="1"/>
  <c r="Q178" i="117" s="1"/>
  <c r="M178" i="117"/>
  <c r="D178" i="117"/>
  <c r="B178" i="117"/>
  <c r="AD178" i="117" s="1" a="1"/>
  <c r="AD178" i="117" s="1"/>
  <c r="AP177" i="117"/>
  <c r="AN177" i="117" a="1"/>
  <c r="AN177" i="117" s="1"/>
  <c r="AL177" i="117" a="1"/>
  <c r="AL177" i="117" s="1"/>
  <c r="AI177" i="117"/>
  <c r="AG177" i="117" a="1"/>
  <c r="AG177" i="117" s="1"/>
  <c r="AE177" i="117" a="1"/>
  <c r="AE177" i="117" s="1"/>
  <c r="AB177" i="117"/>
  <c r="Z177" i="117" a="1"/>
  <c r="Z177" i="117" s="1"/>
  <c r="X177" i="117" a="1"/>
  <c r="X177" i="117" s="1"/>
  <c r="U177" i="117"/>
  <c r="W177" i="117" s="1" a="1"/>
  <c r="W177" i="117" s="1"/>
  <c r="S177" i="117" a="1"/>
  <c r="S177" i="117" s="1"/>
  <c r="Q177" i="117" a="1"/>
  <c r="Q177" i="117" s="1"/>
  <c r="M177" i="117"/>
  <c r="D177" i="117"/>
  <c r="C177" i="117" s="1"/>
  <c r="B177" i="117"/>
  <c r="AP176" i="117"/>
  <c r="AN176" i="117" a="1"/>
  <c r="AN176" i="117" s="1"/>
  <c r="AL176" i="117" a="1"/>
  <c r="AL176" i="117" s="1"/>
  <c r="AI176" i="117"/>
  <c r="AG176" i="117" a="1"/>
  <c r="AG176" i="117" s="1"/>
  <c r="AE176" i="117" a="1"/>
  <c r="AE176" i="117" s="1"/>
  <c r="AB176" i="117"/>
  <c r="Z176" i="117" a="1"/>
  <c r="Z176" i="117" s="1"/>
  <c r="X176" i="117" a="1"/>
  <c r="X176" i="117" s="1"/>
  <c r="U176" i="117"/>
  <c r="P176" i="117" s="1"/>
  <c r="S176" i="117" a="1"/>
  <c r="S176" i="117" s="1"/>
  <c r="Q176" i="117" a="1"/>
  <c r="Q176" i="117" s="1"/>
  <c r="M176" i="117"/>
  <c r="D176" i="117"/>
  <c r="N176" i="117" s="1"/>
  <c r="B176" i="117"/>
  <c r="AD176" i="117" s="1" a="1"/>
  <c r="AD176" i="117" s="1"/>
  <c r="AP175" i="117"/>
  <c r="AN175" i="117" a="1"/>
  <c r="AN175" i="117" s="1"/>
  <c r="AL175" i="117" a="1"/>
  <c r="AL175" i="117" s="1"/>
  <c r="AI175" i="117"/>
  <c r="AG175" i="117" a="1"/>
  <c r="AG175" i="117" s="1"/>
  <c r="AE175" i="117" a="1"/>
  <c r="AE175" i="117" s="1"/>
  <c r="AB175" i="117"/>
  <c r="Z175" i="117" a="1"/>
  <c r="Z175" i="117" s="1"/>
  <c r="X175" i="117" a="1"/>
  <c r="X175" i="117" s="1"/>
  <c r="U175" i="117"/>
  <c r="W175" i="117" s="1" a="1"/>
  <c r="W175" i="117" s="1"/>
  <c r="S175" i="117" a="1"/>
  <c r="S175" i="117" s="1"/>
  <c r="Q175" i="117" a="1"/>
  <c r="Q175" i="117" s="1"/>
  <c r="M175" i="117"/>
  <c r="D175" i="117"/>
  <c r="B175" i="117"/>
  <c r="AD175" i="117" s="1" a="1"/>
  <c r="AD175" i="117" s="1"/>
  <c r="AP174" i="117"/>
  <c r="AN174" i="117" a="1"/>
  <c r="AN174" i="117" s="1"/>
  <c r="AL174" i="117" a="1"/>
  <c r="AL174" i="117" s="1"/>
  <c r="AI174" i="117"/>
  <c r="AG174" i="117" a="1"/>
  <c r="AG174" i="117" s="1"/>
  <c r="AE174" i="117" a="1"/>
  <c r="AE174" i="117" s="1"/>
  <c r="AB174" i="117"/>
  <c r="Z174" i="117" a="1"/>
  <c r="Z174" i="117" s="1"/>
  <c r="X174" i="117" a="1"/>
  <c r="X174" i="117" s="1"/>
  <c r="U174" i="117"/>
  <c r="P174" i="117" s="1"/>
  <c r="S174" i="117" a="1"/>
  <c r="S174" i="117" s="1"/>
  <c r="Q174" i="117" a="1"/>
  <c r="Q174" i="117" s="1"/>
  <c r="M174" i="117"/>
  <c r="D174" i="117"/>
  <c r="C174" i="117" s="1"/>
  <c r="B174" i="117"/>
  <c r="AP173" i="117"/>
  <c r="AN173" i="117" a="1"/>
  <c r="AN173" i="117" s="1"/>
  <c r="AL173" i="117" a="1"/>
  <c r="AL173" i="117" s="1"/>
  <c r="AI173" i="117"/>
  <c r="AG173" i="117" a="1"/>
  <c r="AG173" i="117" s="1"/>
  <c r="AE173" i="117" a="1"/>
  <c r="AE173" i="117" s="1"/>
  <c r="AB173" i="117"/>
  <c r="Z173" i="117" a="1"/>
  <c r="Z173" i="117" s="1"/>
  <c r="X173" i="117" a="1"/>
  <c r="X173" i="117" s="1"/>
  <c r="U173" i="117"/>
  <c r="S173" i="117" a="1"/>
  <c r="S173" i="117" s="1"/>
  <c r="Q173" i="117" a="1"/>
  <c r="Q173" i="117" s="1"/>
  <c r="M173" i="117"/>
  <c r="D173" i="117"/>
  <c r="C173" i="117" s="1"/>
  <c r="B173" i="117"/>
  <c r="AP172" i="117"/>
  <c r="AN172" i="117" a="1"/>
  <c r="AN172" i="117" s="1"/>
  <c r="AL172" i="117" a="1"/>
  <c r="AL172" i="117" s="1"/>
  <c r="AI172" i="117"/>
  <c r="AG172" i="117" a="1"/>
  <c r="AG172" i="117" s="1"/>
  <c r="AE172" i="117" a="1"/>
  <c r="AE172" i="117" s="1"/>
  <c r="AB172" i="117"/>
  <c r="Z172" i="117" a="1"/>
  <c r="Z172" i="117" s="1"/>
  <c r="X172" i="117" a="1"/>
  <c r="X172" i="117" s="1"/>
  <c r="U172" i="117"/>
  <c r="W172" i="117" s="1" a="1"/>
  <c r="W172" i="117" s="1"/>
  <c r="S172" i="117" a="1"/>
  <c r="S172" i="117" s="1"/>
  <c r="Q172" i="117" a="1"/>
  <c r="Q172" i="117" s="1"/>
  <c r="M172" i="117"/>
  <c r="D172" i="117"/>
  <c r="B172" i="117"/>
  <c r="AK172" i="117" s="1" a="1"/>
  <c r="AK172" i="117" s="1"/>
  <c r="AP171" i="117"/>
  <c r="AN171" i="117" a="1"/>
  <c r="AN171" i="117" s="1"/>
  <c r="AL171" i="117" a="1"/>
  <c r="AL171" i="117" s="1"/>
  <c r="AI171" i="117"/>
  <c r="AG171" i="117" a="1"/>
  <c r="AG171" i="117" s="1"/>
  <c r="AE171" i="117" a="1"/>
  <c r="AE171" i="117" s="1"/>
  <c r="AB171" i="117"/>
  <c r="Z171" i="117" a="1"/>
  <c r="Z171" i="117" s="1"/>
  <c r="X171" i="117" a="1"/>
  <c r="X171" i="117" s="1"/>
  <c r="U171" i="117"/>
  <c r="S171" i="117" a="1"/>
  <c r="S171" i="117" s="1"/>
  <c r="Q171" i="117" a="1"/>
  <c r="Q171" i="117" s="1"/>
  <c r="M171" i="117"/>
  <c r="D171" i="117"/>
  <c r="C171" i="117" s="1"/>
  <c r="B171" i="117"/>
  <c r="AK171" i="117" s="1" a="1"/>
  <c r="AK171" i="117" s="1"/>
  <c r="AP170" i="117"/>
  <c r="AN170" i="117" a="1"/>
  <c r="AN170" i="117" s="1"/>
  <c r="AL170" i="117" a="1"/>
  <c r="AL170" i="117" s="1"/>
  <c r="AI170" i="117"/>
  <c r="AG170" i="117" a="1"/>
  <c r="AG170" i="117" s="1"/>
  <c r="AE170" i="117" a="1"/>
  <c r="AE170" i="117" s="1"/>
  <c r="AB170" i="117"/>
  <c r="Z170" i="117" a="1"/>
  <c r="Z170" i="117" s="1"/>
  <c r="X170" i="117" a="1"/>
  <c r="X170" i="117" s="1"/>
  <c r="U170" i="117"/>
  <c r="W170" i="117" s="1" a="1"/>
  <c r="W170" i="117" s="1"/>
  <c r="S170" i="117" a="1"/>
  <c r="S170" i="117" s="1"/>
  <c r="Q170" i="117" a="1"/>
  <c r="Q170" i="117" s="1"/>
  <c r="M170" i="117"/>
  <c r="D170" i="117"/>
  <c r="B170" i="117"/>
  <c r="AP169" i="117"/>
  <c r="AN169" i="117" a="1"/>
  <c r="AN169" i="117" s="1"/>
  <c r="AL169" i="117" a="1"/>
  <c r="AL169" i="117" s="1"/>
  <c r="AI169" i="117"/>
  <c r="AG169" i="117" a="1"/>
  <c r="AG169" i="117" s="1"/>
  <c r="AE169" i="117" a="1"/>
  <c r="AE169" i="117" s="1"/>
  <c r="AB169" i="117"/>
  <c r="Z169" i="117" a="1"/>
  <c r="Z169" i="117" s="1"/>
  <c r="X169" i="117" a="1"/>
  <c r="X169" i="117" s="1"/>
  <c r="U169" i="117"/>
  <c r="S169" i="117" a="1"/>
  <c r="S169" i="117" s="1"/>
  <c r="Q169" i="117" a="1"/>
  <c r="Q169" i="117" s="1"/>
  <c r="M169" i="117"/>
  <c r="D169" i="117"/>
  <c r="C169" i="117" s="1"/>
  <c r="B169" i="117"/>
  <c r="AD169" i="117" s="1" a="1"/>
  <c r="AD169" i="117" s="1"/>
  <c r="AP168" i="117"/>
  <c r="AN168" i="117" a="1"/>
  <c r="AN168" i="117" s="1"/>
  <c r="AL168" i="117" a="1"/>
  <c r="AL168" i="117" s="1"/>
  <c r="AI168" i="117"/>
  <c r="AG168" i="117" a="1"/>
  <c r="AG168" i="117" s="1"/>
  <c r="AE168" i="117" a="1"/>
  <c r="AE168" i="117" s="1"/>
  <c r="AB168" i="117"/>
  <c r="Z168" i="117"/>
  <c r="Z168" i="117" a="1"/>
  <c r="X168" i="117" a="1"/>
  <c r="X168" i="117" s="1"/>
  <c r="U168" i="117"/>
  <c r="W168" i="117" s="1" a="1"/>
  <c r="W168" i="117" s="1"/>
  <c r="S168" i="117" a="1"/>
  <c r="S168" i="117" s="1"/>
  <c r="Q168" i="117" a="1"/>
  <c r="Q168" i="117" s="1"/>
  <c r="M168" i="117"/>
  <c r="D168" i="117"/>
  <c r="B168" i="117"/>
  <c r="AD168" i="117" s="1" a="1"/>
  <c r="AD168" i="117" s="1"/>
  <c r="AP167" i="117"/>
  <c r="AN167" i="117" a="1"/>
  <c r="AN167" i="117" s="1"/>
  <c r="AL167" i="117" a="1"/>
  <c r="AL167" i="117" s="1"/>
  <c r="AI167" i="117"/>
  <c r="AG167" i="117" a="1"/>
  <c r="AG167" i="117" s="1"/>
  <c r="AE167" i="117" a="1"/>
  <c r="AE167" i="117" s="1"/>
  <c r="AB167" i="117"/>
  <c r="Z167" i="117" a="1"/>
  <c r="Z167" i="117" s="1"/>
  <c r="X167" i="117" a="1"/>
  <c r="X167" i="117" s="1"/>
  <c r="U167" i="117"/>
  <c r="S167" i="117" a="1"/>
  <c r="S167" i="117" s="1"/>
  <c r="Q167" i="117" a="1"/>
  <c r="Q167" i="117" s="1"/>
  <c r="M167" i="117"/>
  <c r="D167" i="117"/>
  <c r="C167" i="117" s="1"/>
  <c r="B167" i="117"/>
  <c r="AP166" i="117"/>
  <c r="AN166" i="117" a="1"/>
  <c r="AN166" i="117" s="1"/>
  <c r="AL166" i="117" a="1"/>
  <c r="AL166" i="117" s="1"/>
  <c r="AI166" i="117"/>
  <c r="AG166" i="117" a="1"/>
  <c r="AG166" i="117" s="1"/>
  <c r="AE166" i="117" a="1"/>
  <c r="AE166" i="117" s="1"/>
  <c r="AB166" i="117"/>
  <c r="Z166" i="117" a="1"/>
  <c r="Z166" i="117" s="1"/>
  <c r="X166" i="117" a="1"/>
  <c r="X166" i="117" s="1"/>
  <c r="U166" i="117"/>
  <c r="P166" i="117" s="1"/>
  <c r="S166" i="117" a="1"/>
  <c r="S166" i="117" s="1"/>
  <c r="Q166" i="117" a="1"/>
  <c r="Q166" i="117" s="1"/>
  <c r="M166" i="117"/>
  <c r="D166" i="117"/>
  <c r="C166" i="117" s="1"/>
  <c r="B166" i="117"/>
  <c r="AP165" i="117"/>
  <c r="AN165" i="117"/>
  <c r="AN165" i="117" a="1"/>
  <c r="AL165" i="117" a="1"/>
  <c r="AL165" i="117" s="1"/>
  <c r="AI165" i="117"/>
  <c r="AG165" i="117" a="1"/>
  <c r="AG165" i="117" s="1"/>
  <c r="AE165" i="117" a="1"/>
  <c r="AE165" i="117" s="1"/>
  <c r="AB165" i="117"/>
  <c r="O165" i="117" s="1"/>
  <c r="Z165" i="117" a="1"/>
  <c r="Z165" i="117" s="1"/>
  <c r="X165" i="117" a="1"/>
  <c r="X165" i="117" s="1"/>
  <c r="U165" i="117"/>
  <c r="P165" i="117" s="1"/>
  <c r="S165" i="117" a="1"/>
  <c r="S165" i="117" s="1"/>
  <c r="Q165" i="117" a="1"/>
  <c r="Q165" i="117" s="1"/>
  <c r="M165" i="117"/>
  <c r="D165" i="117"/>
  <c r="N165" i="117" s="1"/>
  <c r="B165" i="117"/>
  <c r="AP164" i="117"/>
  <c r="AN164" i="117" a="1"/>
  <c r="AN164" i="117" s="1"/>
  <c r="AL164" i="117" a="1"/>
  <c r="AL164" i="117" s="1"/>
  <c r="AI164" i="117"/>
  <c r="AG164" i="117" a="1"/>
  <c r="AG164" i="117" s="1"/>
  <c r="AE164" i="117" a="1"/>
  <c r="AE164" i="117" s="1"/>
  <c r="AB164" i="117"/>
  <c r="Z164" i="117" a="1"/>
  <c r="Z164" i="117" s="1"/>
  <c r="X164" i="117" a="1"/>
  <c r="X164" i="117" s="1"/>
  <c r="U164" i="117"/>
  <c r="P164" i="117" s="1"/>
  <c r="S164" i="117" a="1"/>
  <c r="S164" i="117" s="1"/>
  <c r="Q164" i="117" a="1"/>
  <c r="Q164" i="117" s="1"/>
  <c r="M164" i="117"/>
  <c r="D164" i="117"/>
  <c r="B164" i="117"/>
  <c r="AD164" i="117" s="1" a="1"/>
  <c r="AD164" i="117" s="1"/>
  <c r="AP163" i="117"/>
  <c r="AN163" i="117"/>
  <c r="AN163" i="117" a="1"/>
  <c r="AL163" i="117" a="1"/>
  <c r="AL163" i="117" s="1"/>
  <c r="AI163" i="117"/>
  <c r="AK163" i="117" s="1" a="1"/>
  <c r="AK163" i="117" s="1"/>
  <c r="AG163" i="117" a="1"/>
  <c r="AG163" i="117" s="1"/>
  <c r="AE163" i="117" a="1"/>
  <c r="AE163" i="117" s="1"/>
  <c r="AB163" i="117"/>
  <c r="Z163" i="117" a="1"/>
  <c r="Z163" i="117" s="1"/>
  <c r="X163" i="117" a="1"/>
  <c r="X163" i="117" s="1"/>
  <c r="U163" i="117"/>
  <c r="S163" i="117" a="1"/>
  <c r="S163" i="117" s="1"/>
  <c r="Q163" i="117" a="1"/>
  <c r="Q163" i="117" s="1"/>
  <c r="M163" i="117"/>
  <c r="D163" i="117"/>
  <c r="N163" i="117" s="1"/>
  <c r="B163" i="117"/>
  <c r="AD163" i="117" s="1" a="1"/>
  <c r="AD163" i="117" s="1"/>
  <c r="AP162" i="117"/>
  <c r="AN162" i="117" a="1"/>
  <c r="AN162" i="117" s="1"/>
  <c r="AL162" i="117" a="1"/>
  <c r="AL162" i="117" s="1"/>
  <c r="AI162" i="117"/>
  <c r="AG162" i="117" a="1"/>
  <c r="AG162" i="117" s="1"/>
  <c r="AE162" i="117" a="1"/>
  <c r="AE162" i="117" s="1"/>
  <c r="AB162" i="117"/>
  <c r="Z162" i="117" a="1"/>
  <c r="Z162" i="117" s="1"/>
  <c r="X162" i="117" a="1"/>
  <c r="X162" i="117" s="1"/>
  <c r="U162" i="117"/>
  <c r="S162" i="117" a="1"/>
  <c r="S162" i="117" s="1"/>
  <c r="Q162" i="117" a="1"/>
  <c r="Q162" i="117" s="1"/>
  <c r="M162" i="117"/>
  <c r="D162" i="117"/>
  <c r="B162" i="117"/>
  <c r="AP161" i="117"/>
  <c r="AN161" i="117" a="1"/>
  <c r="AN161" i="117" s="1"/>
  <c r="AL161" i="117" a="1"/>
  <c r="AL161" i="117" s="1"/>
  <c r="AI161" i="117"/>
  <c r="AG161" i="117" a="1"/>
  <c r="AG161" i="117" s="1"/>
  <c r="AE161" i="117" a="1"/>
  <c r="AE161" i="117" s="1"/>
  <c r="AB161" i="117"/>
  <c r="Z161" i="117" a="1"/>
  <c r="Z161" i="117" s="1"/>
  <c r="X161" i="117" a="1"/>
  <c r="X161" i="117" s="1"/>
  <c r="U161" i="117"/>
  <c r="W161" i="117" s="1" a="1"/>
  <c r="W161" i="117" s="1"/>
  <c r="S161" i="117" a="1"/>
  <c r="S161" i="117" s="1"/>
  <c r="Q161" i="117" a="1"/>
  <c r="Q161" i="117" s="1"/>
  <c r="M161" i="117"/>
  <c r="D161" i="117"/>
  <c r="B161" i="117"/>
  <c r="AP160" i="117"/>
  <c r="AN160" i="117" a="1"/>
  <c r="AN160" i="117" s="1"/>
  <c r="AL160" i="117" a="1"/>
  <c r="AL160" i="117" s="1"/>
  <c r="AI160" i="117"/>
  <c r="AG160" i="117" a="1"/>
  <c r="AG160" i="117" s="1"/>
  <c r="AE160" i="117" a="1"/>
  <c r="AE160" i="117" s="1"/>
  <c r="AB160" i="117"/>
  <c r="Z160" i="117" a="1"/>
  <c r="Z160" i="117" s="1"/>
  <c r="X160" i="117" a="1"/>
  <c r="X160" i="117" s="1"/>
  <c r="U160" i="117"/>
  <c r="W160" i="117" s="1" a="1"/>
  <c r="W160" i="117" s="1"/>
  <c r="S160" i="117" a="1"/>
  <c r="S160" i="117" s="1"/>
  <c r="Q160" i="117" a="1"/>
  <c r="Q160" i="117" s="1"/>
  <c r="M160" i="117"/>
  <c r="D160" i="117"/>
  <c r="B160" i="117"/>
  <c r="AP159" i="117"/>
  <c r="AN159" i="117" a="1"/>
  <c r="AN159" i="117" s="1"/>
  <c r="AL159" i="117" a="1"/>
  <c r="AL159" i="117" s="1"/>
  <c r="AI159" i="117"/>
  <c r="AG159" i="117" a="1"/>
  <c r="AG159" i="117" s="1"/>
  <c r="AE159" i="117" a="1"/>
  <c r="AE159" i="117" s="1"/>
  <c r="AB159" i="117"/>
  <c r="Z159" i="117" a="1"/>
  <c r="Z159" i="117" s="1"/>
  <c r="X159" i="117" a="1"/>
  <c r="X159" i="117" s="1"/>
  <c r="U159" i="117"/>
  <c r="W159" i="117" s="1" a="1"/>
  <c r="W159" i="117" s="1"/>
  <c r="S159" i="117" a="1"/>
  <c r="S159" i="117" s="1"/>
  <c r="Q159" i="117" a="1"/>
  <c r="Q159" i="117" s="1"/>
  <c r="M159" i="117"/>
  <c r="D159" i="117"/>
  <c r="N159" i="117" s="1"/>
  <c r="B159" i="117"/>
  <c r="AK159" i="117" s="1" a="1"/>
  <c r="AK159" i="117" s="1"/>
  <c r="AP158" i="117"/>
  <c r="AN158" i="117" a="1"/>
  <c r="AN158" i="117" s="1"/>
  <c r="AL158" i="117" a="1"/>
  <c r="AL158" i="117" s="1"/>
  <c r="AI158" i="117"/>
  <c r="AG158" i="117" a="1"/>
  <c r="AG158" i="117" s="1"/>
  <c r="AE158" i="117" a="1"/>
  <c r="AE158" i="117" s="1"/>
  <c r="AB158" i="117"/>
  <c r="Z158" i="117" a="1"/>
  <c r="Z158" i="117" s="1"/>
  <c r="X158" i="117" a="1"/>
  <c r="X158" i="117" s="1"/>
  <c r="U158" i="117"/>
  <c r="S158" i="117" a="1"/>
  <c r="S158" i="117" s="1"/>
  <c r="Q158" i="117" a="1"/>
  <c r="Q158" i="117" s="1"/>
  <c r="M158" i="117"/>
  <c r="D158" i="117"/>
  <c r="B158" i="117"/>
  <c r="AK158" i="117" s="1" a="1"/>
  <c r="AK158" i="117" s="1"/>
  <c r="AP157" i="117"/>
  <c r="AN157" i="117" a="1"/>
  <c r="AN157" i="117" s="1"/>
  <c r="AL157" i="117" a="1"/>
  <c r="AL157" i="117" s="1"/>
  <c r="AI157" i="117"/>
  <c r="AG157" i="117" a="1"/>
  <c r="AG157" i="117" s="1"/>
  <c r="AE157" i="117" a="1"/>
  <c r="AE157" i="117" s="1"/>
  <c r="AB157" i="117"/>
  <c r="Z157" i="117" a="1"/>
  <c r="Z157" i="117" s="1"/>
  <c r="X157" i="117" a="1"/>
  <c r="X157" i="117" s="1"/>
  <c r="U157" i="117"/>
  <c r="P157" i="117" s="1"/>
  <c r="S157" i="117" a="1"/>
  <c r="S157" i="117" s="1"/>
  <c r="Q157" i="117" a="1"/>
  <c r="Q157" i="117" s="1"/>
  <c r="M157" i="117"/>
  <c r="D157" i="117"/>
  <c r="N157" i="117" s="1"/>
  <c r="B157" i="117"/>
  <c r="AP156" i="117"/>
  <c r="AN156" i="117" a="1"/>
  <c r="AN156" i="117" s="1"/>
  <c r="AL156" i="117" a="1"/>
  <c r="AL156" i="117" s="1"/>
  <c r="AI156" i="117"/>
  <c r="AG156" i="117" a="1"/>
  <c r="AG156" i="117" s="1"/>
  <c r="AE156" i="117" a="1"/>
  <c r="AE156" i="117" s="1"/>
  <c r="AB156" i="117"/>
  <c r="Z156" i="117" a="1"/>
  <c r="Z156" i="117" s="1"/>
  <c r="X156" i="117" a="1"/>
  <c r="X156" i="117" s="1"/>
  <c r="U156" i="117"/>
  <c r="S156" i="117" a="1"/>
  <c r="S156" i="117" s="1"/>
  <c r="Q156" i="117" a="1"/>
  <c r="Q156" i="117" s="1"/>
  <c r="M156" i="117"/>
  <c r="D156" i="117"/>
  <c r="N156" i="117" s="1"/>
  <c r="B156" i="117"/>
  <c r="AD156" i="117" s="1" a="1"/>
  <c r="AD156" i="117" s="1"/>
  <c r="AP155" i="117"/>
  <c r="AN155" i="117" a="1"/>
  <c r="AN155" i="117" s="1"/>
  <c r="AL155" i="117" a="1"/>
  <c r="AL155" i="117" s="1"/>
  <c r="AI155" i="117"/>
  <c r="AG155" i="117" a="1"/>
  <c r="AG155" i="117" s="1"/>
  <c r="AE155" i="117" a="1"/>
  <c r="AE155" i="117" s="1"/>
  <c r="AB155" i="117"/>
  <c r="Z155" i="117" a="1"/>
  <c r="Z155" i="117" s="1"/>
  <c r="X155" i="117" a="1"/>
  <c r="X155" i="117" s="1"/>
  <c r="U155" i="117"/>
  <c r="W155" i="117" s="1" a="1"/>
  <c r="W155" i="117" s="1"/>
  <c r="S155" i="117" a="1"/>
  <c r="S155" i="117" s="1"/>
  <c r="Q155" i="117" a="1"/>
  <c r="Q155" i="117" s="1"/>
  <c r="M155" i="117"/>
  <c r="D155" i="117"/>
  <c r="B155" i="117"/>
  <c r="AP154" i="117"/>
  <c r="AN154" i="117" a="1"/>
  <c r="AN154" i="117" s="1"/>
  <c r="AL154" i="117" a="1"/>
  <c r="AL154" i="117" s="1"/>
  <c r="AI154" i="117"/>
  <c r="AG154" i="117" a="1"/>
  <c r="AG154" i="117" s="1"/>
  <c r="AE154" i="117" a="1"/>
  <c r="AE154" i="117" s="1"/>
  <c r="AB154" i="117"/>
  <c r="Z154" i="117" a="1"/>
  <c r="Z154" i="117" s="1"/>
  <c r="X154" i="117" a="1"/>
  <c r="X154" i="117" s="1"/>
  <c r="U154" i="117"/>
  <c r="W154" i="117" s="1" a="1"/>
  <c r="W154" i="117" s="1"/>
  <c r="S154" i="117" a="1"/>
  <c r="S154" i="117" s="1"/>
  <c r="Q154" i="117" a="1"/>
  <c r="Q154" i="117" s="1"/>
  <c r="M154" i="117"/>
  <c r="D154" i="117"/>
  <c r="B154" i="117"/>
  <c r="AP153" i="117"/>
  <c r="AN153" i="117" a="1"/>
  <c r="AN153" i="117" s="1"/>
  <c r="AL153" i="117" a="1"/>
  <c r="AL153" i="117" s="1"/>
  <c r="AI153" i="117"/>
  <c r="AG153" i="117" a="1"/>
  <c r="AG153" i="117" s="1"/>
  <c r="AE153" i="117" a="1"/>
  <c r="AE153" i="117" s="1"/>
  <c r="AB153" i="117"/>
  <c r="Z153" i="117"/>
  <c r="Z153" i="117" a="1"/>
  <c r="X153" i="117" a="1"/>
  <c r="X153" i="117" s="1"/>
  <c r="U153" i="117"/>
  <c r="W153" i="117" s="1" a="1"/>
  <c r="W153" i="117" s="1"/>
  <c r="S153" i="117" a="1"/>
  <c r="S153" i="117" s="1"/>
  <c r="Q153" i="117" a="1"/>
  <c r="Q153" i="117" s="1"/>
  <c r="M153" i="117"/>
  <c r="D153" i="117"/>
  <c r="C153" i="117" s="1"/>
  <c r="B153" i="117"/>
  <c r="AD153" i="117" s="1" a="1"/>
  <c r="AD153" i="117" s="1"/>
  <c r="AP152" i="117"/>
  <c r="AN152" i="117" a="1"/>
  <c r="AN152" i="117" s="1"/>
  <c r="AL152" i="117" a="1"/>
  <c r="AL152" i="117" s="1"/>
  <c r="AI152" i="117"/>
  <c r="AG152" i="117" a="1"/>
  <c r="AG152" i="117" s="1"/>
  <c r="AE152" i="117" a="1"/>
  <c r="AE152" i="117" s="1"/>
  <c r="AB152" i="117"/>
  <c r="Z152" i="117" a="1"/>
  <c r="Z152" i="117" s="1"/>
  <c r="X152" i="117" a="1"/>
  <c r="X152" i="117" s="1"/>
  <c r="U152" i="117"/>
  <c r="W152" i="117" s="1" a="1"/>
  <c r="W152" i="117" s="1"/>
  <c r="S152" i="117" a="1"/>
  <c r="S152" i="117" s="1"/>
  <c r="Q152" i="117" a="1"/>
  <c r="Q152" i="117" s="1"/>
  <c r="M152" i="117"/>
  <c r="D152" i="117"/>
  <c r="N152" i="117" s="1"/>
  <c r="B152" i="117"/>
  <c r="AD152" i="117" s="1" a="1"/>
  <c r="AD152" i="117" s="1"/>
  <c r="AP151" i="117"/>
  <c r="AN151" i="117" a="1"/>
  <c r="AN151" i="117" s="1"/>
  <c r="AL151" i="117" a="1"/>
  <c r="AL151" i="117" s="1"/>
  <c r="AI151" i="117"/>
  <c r="AG151" i="117" a="1"/>
  <c r="AG151" i="117" s="1"/>
  <c r="AE151" i="117"/>
  <c r="AE151" i="117" a="1"/>
  <c r="AB151" i="117"/>
  <c r="Z151" i="117" a="1"/>
  <c r="Z151" i="117" s="1"/>
  <c r="X151" i="117" a="1"/>
  <c r="X151" i="117" s="1"/>
  <c r="U151" i="117"/>
  <c r="P151" i="117" s="1"/>
  <c r="S151" i="117" a="1"/>
  <c r="S151" i="117" s="1"/>
  <c r="Q151" i="117" a="1"/>
  <c r="Q151" i="117" s="1"/>
  <c r="M151" i="117"/>
  <c r="D151" i="117"/>
  <c r="C151" i="117" s="1"/>
  <c r="B151" i="117"/>
  <c r="AD151" i="117" s="1" a="1"/>
  <c r="AD151" i="117" s="1"/>
  <c r="AP150" i="117"/>
  <c r="AN150" i="117" a="1"/>
  <c r="AN150" i="117" s="1"/>
  <c r="AL150" i="117" a="1"/>
  <c r="AL150" i="117" s="1"/>
  <c r="AI150" i="117"/>
  <c r="AG150" i="117" a="1"/>
  <c r="AG150" i="117" s="1"/>
  <c r="AE150" i="117" a="1"/>
  <c r="AE150" i="117" s="1"/>
  <c r="AB150" i="117"/>
  <c r="Z150" i="117" a="1"/>
  <c r="Z150" i="117" s="1"/>
  <c r="X150" i="117" a="1"/>
  <c r="X150" i="117" s="1"/>
  <c r="U150" i="117"/>
  <c r="W150" i="117" s="1" a="1"/>
  <c r="W150" i="117" s="1"/>
  <c r="S150" i="117" a="1"/>
  <c r="S150" i="117" s="1"/>
  <c r="Q150" i="117" a="1"/>
  <c r="Q150" i="117" s="1"/>
  <c r="M150" i="117"/>
  <c r="D150" i="117"/>
  <c r="B150" i="117"/>
  <c r="AD150" i="117" s="1" a="1"/>
  <c r="AD150" i="117" s="1"/>
  <c r="AP149" i="117"/>
  <c r="AN149" i="117" a="1"/>
  <c r="AN149" i="117" s="1"/>
  <c r="AL149" i="117"/>
  <c r="AL149" i="117" a="1"/>
  <c r="AI149" i="117"/>
  <c r="AG149" i="117" a="1"/>
  <c r="AG149" i="117" s="1"/>
  <c r="AE149" i="117" a="1"/>
  <c r="AE149" i="117" s="1"/>
  <c r="AD149" i="117" a="1"/>
  <c r="AD149" i="117" s="1"/>
  <c r="AB149" i="117"/>
  <c r="Z149" i="117" a="1"/>
  <c r="Z149" i="117" s="1"/>
  <c r="X149" i="117" a="1"/>
  <c r="X149" i="117" s="1"/>
  <c r="U149" i="117"/>
  <c r="W149" i="117" s="1" a="1"/>
  <c r="W149" i="117" s="1"/>
  <c r="S149" i="117" a="1"/>
  <c r="S149" i="117" s="1"/>
  <c r="Q149" i="117" a="1"/>
  <c r="Q149" i="117" s="1"/>
  <c r="M149" i="117"/>
  <c r="D149" i="117"/>
  <c r="C149" i="117" s="1"/>
  <c r="B149" i="117"/>
  <c r="AP148" i="117"/>
  <c r="AN148" i="117" a="1"/>
  <c r="AN148" i="117" s="1"/>
  <c r="AL148" i="117" a="1"/>
  <c r="AL148" i="117" s="1"/>
  <c r="AI148" i="117"/>
  <c r="AG148" i="117" a="1"/>
  <c r="AG148" i="117" s="1"/>
  <c r="AE148" i="117" a="1"/>
  <c r="AE148" i="117" s="1"/>
  <c r="AB148" i="117"/>
  <c r="Z148" i="117" a="1"/>
  <c r="Z148" i="117" s="1"/>
  <c r="X148" i="117" a="1"/>
  <c r="X148" i="117" s="1"/>
  <c r="U148" i="117"/>
  <c r="P148" i="117" s="1"/>
  <c r="S148" i="117" a="1"/>
  <c r="S148" i="117" s="1"/>
  <c r="Q148" i="117" a="1"/>
  <c r="Q148" i="117" s="1"/>
  <c r="M148" i="117"/>
  <c r="D148" i="117"/>
  <c r="N148" i="117" s="1"/>
  <c r="AA148" i="117" s="1"/>
  <c r="B148" i="117"/>
  <c r="AD148" i="117" s="1" a="1"/>
  <c r="AD148" i="117" s="1"/>
  <c r="AP147" i="117"/>
  <c r="AN147" i="117" a="1"/>
  <c r="AN147" i="117" s="1"/>
  <c r="AL147" i="117" a="1"/>
  <c r="AL147" i="117" s="1"/>
  <c r="AI147" i="117"/>
  <c r="AG147" i="117" a="1"/>
  <c r="AG147" i="117" s="1"/>
  <c r="AE147" i="117" a="1"/>
  <c r="AE147" i="117" s="1"/>
  <c r="AB147" i="117"/>
  <c r="Z147" i="117" a="1"/>
  <c r="Z147" i="117" s="1"/>
  <c r="X147" i="117" a="1"/>
  <c r="X147" i="117" s="1"/>
  <c r="U147" i="117"/>
  <c r="S147" i="117" a="1"/>
  <c r="S147" i="117" s="1"/>
  <c r="Q147" i="117" a="1"/>
  <c r="Q147" i="117" s="1"/>
  <c r="M147" i="117"/>
  <c r="D147" i="117"/>
  <c r="N147" i="117" s="1"/>
  <c r="B147" i="117"/>
  <c r="AP146" i="117"/>
  <c r="AN146" i="117" a="1"/>
  <c r="AN146" i="117" s="1"/>
  <c r="AL146" i="117" a="1"/>
  <c r="AL146" i="117" s="1"/>
  <c r="AI146" i="117"/>
  <c r="AG146" i="117" a="1"/>
  <c r="AG146" i="117" s="1"/>
  <c r="AE146" i="117" a="1"/>
  <c r="AE146" i="117" s="1"/>
  <c r="AB146" i="117"/>
  <c r="Z146" i="117" a="1"/>
  <c r="Z146" i="117" s="1"/>
  <c r="X146" i="117" a="1"/>
  <c r="X146" i="117" s="1"/>
  <c r="U146" i="117"/>
  <c r="P146" i="117" s="1"/>
  <c r="S146" i="117" a="1"/>
  <c r="S146" i="117" s="1"/>
  <c r="Q146" i="117" a="1"/>
  <c r="Q146" i="117" s="1"/>
  <c r="M146" i="117"/>
  <c r="D146" i="117"/>
  <c r="N146" i="117" s="1"/>
  <c r="B146" i="117"/>
  <c r="AK146" i="117" s="1" a="1"/>
  <c r="AK146" i="117" s="1"/>
  <c r="AP145" i="117"/>
  <c r="AN145" i="117" a="1"/>
  <c r="AN145" i="117" s="1"/>
  <c r="AL145" i="117" a="1"/>
  <c r="AL145" i="117" s="1"/>
  <c r="AI145" i="117"/>
  <c r="AG145" i="117" a="1"/>
  <c r="AG145" i="117" s="1"/>
  <c r="AE145" i="117" a="1"/>
  <c r="AE145" i="117" s="1"/>
  <c r="AB145" i="117"/>
  <c r="Z145" i="117"/>
  <c r="Z145" i="117" a="1"/>
  <c r="X145" i="117" a="1"/>
  <c r="X145" i="117" s="1"/>
  <c r="U145" i="117"/>
  <c r="P145" i="117" s="1"/>
  <c r="S145" i="117" a="1"/>
  <c r="S145" i="117" s="1"/>
  <c r="Q145" i="117" a="1"/>
  <c r="Q145" i="117" s="1"/>
  <c r="M145" i="117"/>
  <c r="D145" i="117"/>
  <c r="N145" i="117" s="1"/>
  <c r="B145" i="117"/>
  <c r="AP144" i="117"/>
  <c r="AN144" i="117" a="1"/>
  <c r="AN144" i="117" s="1"/>
  <c r="AL144" i="117" a="1"/>
  <c r="AL144" i="117" s="1"/>
  <c r="AI144" i="117"/>
  <c r="AG144" i="117" a="1"/>
  <c r="AG144" i="117" s="1"/>
  <c r="AE144" i="117" a="1"/>
  <c r="AE144" i="117" s="1"/>
  <c r="AB144" i="117"/>
  <c r="Z144" i="117" a="1"/>
  <c r="Z144" i="117" s="1"/>
  <c r="X144" i="117" a="1"/>
  <c r="X144" i="117" s="1"/>
  <c r="U144" i="117"/>
  <c r="W144" i="117" s="1" a="1"/>
  <c r="W144" i="117" s="1"/>
  <c r="S144" i="117" a="1"/>
  <c r="S144" i="117" s="1"/>
  <c r="Q144" i="117" a="1"/>
  <c r="Q144" i="117" s="1"/>
  <c r="M144" i="117"/>
  <c r="D144" i="117"/>
  <c r="C144" i="117" s="1"/>
  <c r="B144" i="117"/>
  <c r="AP143" i="117"/>
  <c r="AN143" i="117" a="1"/>
  <c r="AN143" i="117" s="1"/>
  <c r="AL143" i="117" a="1"/>
  <c r="AL143" i="117" s="1"/>
  <c r="AI143" i="117"/>
  <c r="AG143" i="117" a="1"/>
  <c r="AG143" i="117" s="1"/>
  <c r="AE143" i="117" a="1"/>
  <c r="AE143" i="117" s="1"/>
  <c r="AB143" i="117"/>
  <c r="Z143" i="117" a="1"/>
  <c r="Z143" i="117" s="1"/>
  <c r="X143" i="117" a="1"/>
  <c r="X143" i="117" s="1"/>
  <c r="U143" i="117"/>
  <c r="W143" i="117" s="1" a="1"/>
  <c r="W143" i="117" s="1"/>
  <c r="S143" i="117" a="1"/>
  <c r="S143" i="117" s="1"/>
  <c r="Q143" i="117" a="1"/>
  <c r="Q143" i="117" s="1"/>
  <c r="M143" i="117"/>
  <c r="D143" i="117"/>
  <c r="C143" i="117" s="1"/>
  <c r="B143" i="117"/>
  <c r="AD143" i="117" s="1" a="1"/>
  <c r="AD143" i="117" s="1"/>
  <c r="AP142" i="117"/>
  <c r="AN142" i="117" a="1"/>
  <c r="AN142" i="117" s="1"/>
  <c r="AL142" i="117" a="1"/>
  <c r="AL142" i="117" s="1"/>
  <c r="AI142" i="117"/>
  <c r="AG142" i="117" a="1"/>
  <c r="AG142" i="117" s="1"/>
  <c r="AE142" i="117" a="1"/>
  <c r="AE142" i="117" s="1"/>
  <c r="AB142" i="117"/>
  <c r="Z142" i="117" a="1"/>
  <c r="Z142" i="117" s="1"/>
  <c r="X142" i="117" a="1"/>
  <c r="X142" i="117" s="1"/>
  <c r="U142" i="117"/>
  <c r="P142" i="117" s="1"/>
  <c r="S142" i="117" a="1"/>
  <c r="S142" i="117" s="1"/>
  <c r="Q142" i="117" a="1"/>
  <c r="Q142" i="117" s="1"/>
  <c r="M142" i="117"/>
  <c r="D142" i="117"/>
  <c r="C142" i="117" s="1"/>
  <c r="B142" i="117"/>
  <c r="AD142" i="117" s="1" a="1"/>
  <c r="AD142" i="117" s="1"/>
  <c r="AP141" i="117"/>
  <c r="AN141" i="117" a="1"/>
  <c r="AN141" i="117" s="1"/>
  <c r="AL141" i="117" a="1"/>
  <c r="AL141" i="117" s="1"/>
  <c r="AI141" i="117"/>
  <c r="AG141" i="117" a="1"/>
  <c r="AG141" i="117" s="1"/>
  <c r="AE141" i="117" a="1"/>
  <c r="AE141" i="117" s="1"/>
  <c r="AB141" i="117"/>
  <c r="Z141" i="117" a="1"/>
  <c r="Z141" i="117" s="1"/>
  <c r="X141" i="117" a="1"/>
  <c r="X141" i="117" s="1"/>
  <c r="U141" i="117"/>
  <c r="P141" i="117" s="1"/>
  <c r="S141" i="117" a="1"/>
  <c r="S141" i="117" s="1"/>
  <c r="Q141" i="117" a="1"/>
  <c r="Q141" i="117" s="1"/>
  <c r="M141" i="117"/>
  <c r="D141" i="117"/>
  <c r="N141" i="117" s="1"/>
  <c r="B141" i="117"/>
  <c r="AP140" i="117"/>
  <c r="AN140" i="117" a="1"/>
  <c r="AN140" i="117" s="1"/>
  <c r="AL140" i="117" a="1"/>
  <c r="AL140" i="117" s="1"/>
  <c r="AI140" i="117"/>
  <c r="AG140" i="117" a="1"/>
  <c r="AG140" i="117" s="1"/>
  <c r="AE140" i="117" a="1"/>
  <c r="AE140" i="117" s="1"/>
  <c r="AB140" i="117"/>
  <c r="Z140" i="117" a="1"/>
  <c r="Z140" i="117" s="1"/>
  <c r="X140" i="117" a="1"/>
  <c r="X140" i="117" s="1"/>
  <c r="U140" i="117"/>
  <c r="W140" i="117" s="1" a="1"/>
  <c r="W140" i="117" s="1"/>
  <c r="S140" i="117" a="1"/>
  <c r="S140" i="117" s="1"/>
  <c r="Q140" i="117" a="1"/>
  <c r="Q140" i="117" s="1"/>
  <c r="M140" i="117"/>
  <c r="D140" i="117"/>
  <c r="N140" i="117" s="1"/>
  <c r="B140" i="117"/>
  <c r="AR140" i="117" s="1" a="1"/>
  <c r="AR140" i="117" s="1"/>
  <c r="AP139" i="117"/>
  <c r="AR139" i="117" s="1" a="1"/>
  <c r="AR139" i="117" s="1"/>
  <c r="AN139" i="117" a="1"/>
  <c r="AN139" i="117" s="1"/>
  <c r="AL139" i="117" a="1"/>
  <c r="AL139" i="117" s="1"/>
  <c r="AI139" i="117"/>
  <c r="AG139" i="117" a="1"/>
  <c r="AG139" i="117" s="1"/>
  <c r="AE139" i="117"/>
  <c r="AE139" i="117" a="1"/>
  <c r="AB139" i="117"/>
  <c r="Z139" i="117" a="1"/>
  <c r="Z139" i="117" s="1"/>
  <c r="X139" i="117" a="1"/>
  <c r="X139" i="117" s="1"/>
  <c r="U139" i="117"/>
  <c r="P139" i="117" s="1"/>
  <c r="S139" i="117" a="1"/>
  <c r="S139" i="117" s="1"/>
  <c r="Q139" i="117" a="1"/>
  <c r="Q139" i="117" s="1"/>
  <c r="M139" i="117"/>
  <c r="D139" i="117"/>
  <c r="N139" i="117" s="1"/>
  <c r="B139" i="117"/>
  <c r="AP138" i="117"/>
  <c r="AN138" i="117" a="1"/>
  <c r="AN138" i="117" s="1"/>
  <c r="AL138" i="117" a="1"/>
  <c r="AL138" i="117" s="1"/>
  <c r="AI138" i="117"/>
  <c r="AG138" i="117" a="1"/>
  <c r="AG138" i="117" s="1"/>
  <c r="AE138" i="117"/>
  <c r="AE138" i="117" a="1"/>
  <c r="AB138" i="117"/>
  <c r="Z138" i="117" a="1"/>
  <c r="Z138" i="117" s="1"/>
  <c r="X138" i="117" a="1"/>
  <c r="X138" i="117" s="1"/>
  <c r="U138" i="117"/>
  <c r="S138" i="117" a="1"/>
  <c r="S138" i="117" s="1"/>
  <c r="Q138" i="117" a="1"/>
  <c r="Q138" i="117" s="1"/>
  <c r="M138" i="117"/>
  <c r="D138" i="117"/>
  <c r="C138" i="117" s="1"/>
  <c r="B138" i="117"/>
  <c r="AP137" i="117"/>
  <c r="AN137" i="117" a="1"/>
  <c r="AN137" i="117" s="1"/>
  <c r="AL137" i="117" a="1"/>
  <c r="AL137" i="117" s="1"/>
  <c r="AI137" i="117"/>
  <c r="AG137" i="117" a="1"/>
  <c r="AG137" i="117" s="1"/>
  <c r="AE137" i="117" a="1"/>
  <c r="AE137" i="117" s="1"/>
  <c r="AD137" i="117" a="1"/>
  <c r="AD137" i="117" s="1"/>
  <c r="AB137" i="117"/>
  <c r="Z137" i="117" a="1"/>
  <c r="Z137" i="117" s="1"/>
  <c r="X137" i="117" a="1"/>
  <c r="X137" i="117" s="1"/>
  <c r="U137" i="117"/>
  <c r="P137" i="117" s="1"/>
  <c r="S137" i="117" a="1"/>
  <c r="S137" i="117" s="1"/>
  <c r="Q137" i="117" a="1"/>
  <c r="Q137" i="117" s="1"/>
  <c r="M137" i="117"/>
  <c r="D137" i="117"/>
  <c r="B137" i="117"/>
  <c r="AP136" i="117"/>
  <c r="AN136" i="117" a="1"/>
  <c r="AN136" i="117" s="1"/>
  <c r="AL136" i="117" a="1"/>
  <c r="AL136" i="117" s="1"/>
  <c r="AI136" i="117"/>
  <c r="AG136" i="117" a="1"/>
  <c r="AG136" i="117" s="1"/>
  <c r="AE136" i="117" a="1"/>
  <c r="AE136" i="117" s="1"/>
  <c r="AB136" i="117"/>
  <c r="Z136" i="117" a="1"/>
  <c r="Z136" i="117" s="1"/>
  <c r="X136" i="117" a="1"/>
  <c r="X136" i="117" s="1"/>
  <c r="U136" i="117"/>
  <c r="S136" i="117" a="1"/>
  <c r="S136" i="117" s="1"/>
  <c r="Q136" i="117" a="1"/>
  <c r="Q136" i="117" s="1"/>
  <c r="M136" i="117"/>
  <c r="D136" i="117"/>
  <c r="N136" i="117" s="1"/>
  <c r="B136" i="117"/>
  <c r="AP135" i="117"/>
  <c r="AN135" i="117" a="1"/>
  <c r="AN135" i="117" s="1"/>
  <c r="AL135" i="117" a="1"/>
  <c r="AL135" i="117" s="1"/>
  <c r="AI135" i="117"/>
  <c r="AG135" i="117" a="1"/>
  <c r="AG135" i="117" s="1"/>
  <c r="AE135" i="117" a="1"/>
  <c r="AE135" i="117" s="1"/>
  <c r="AB135" i="117"/>
  <c r="Z135" i="117" a="1"/>
  <c r="Z135" i="117" s="1"/>
  <c r="X135" i="117" a="1"/>
  <c r="X135" i="117" s="1"/>
  <c r="U135" i="117"/>
  <c r="P135" i="117" s="1"/>
  <c r="S135" i="117" a="1"/>
  <c r="S135" i="117" s="1"/>
  <c r="Q135" i="117" a="1"/>
  <c r="Q135" i="117" s="1"/>
  <c r="M135" i="117"/>
  <c r="D135" i="117"/>
  <c r="B135" i="117"/>
  <c r="AR134" i="117" a="1"/>
  <c r="AR134" i="117" s="1"/>
  <c r="AP134" i="117"/>
  <c r="AN134" i="117" a="1"/>
  <c r="AN134" i="117" s="1"/>
  <c r="AL134" i="117" a="1"/>
  <c r="AL134" i="117" s="1"/>
  <c r="AI134" i="117"/>
  <c r="AG134" i="117" a="1"/>
  <c r="AG134" i="117" s="1"/>
  <c r="AE134" i="117" a="1"/>
  <c r="AE134" i="117" s="1"/>
  <c r="AB134" i="117"/>
  <c r="Z134" i="117" a="1"/>
  <c r="Z134" i="117" s="1"/>
  <c r="X134" i="117" a="1"/>
  <c r="X134" i="117" s="1"/>
  <c r="U134" i="117"/>
  <c r="W134" i="117" s="1" a="1"/>
  <c r="W134" i="117" s="1"/>
  <c r="S134" i="117" a="1"/>
  <c r="S134" i="117" s="1"/>
  <c r="Q134" i="117" a="1"/>
  <c r="Q134" i="117" s="1"/>
  <c r="M134" i="117"/>
  <c r="D134" i="117"/>
  <c r="N134" i="117" s="1"/>
  <c r="B134" i="117"/>
  <c r="AD134" i="117" s="1" a="1"/>
  <c r="AD134" i="117" s="1"/>
  <c r="AP133" i="117"/>
  <c r="AN133" i="117" a="1"/>
  <c r="AN133" i="117" s="1"/>
  <c r="AL133" i="117" a="1"/>
  <c r="AL133" i="117" s="1"/>
  <c r="AI133" i="117"/>
  <c r="AG133" i="117" a="1"/>
  <c r="AG133" i="117" s="1"/>
  <c r="AE133" i="117" a="1"/>
  <c r="AE133" i="117" s="1"/>
  <c r="AB133" i="117"/>
  <c r="Z133" i="117" a="1"/>
  <c r="Z133" i="117" s="1"/>
  <c r="X133" i="117" a="1"/>
  <c r="X133" i="117" s="1"/>
  <c r="U133" i="117"/>
  <c r="S133" i="117" a="1"/>
  <c r="S133" i="117" s="1"/>
  <c r="Q133" i="117" a="1"/>
  <c r="Q133" i="117" s="1"/>
  <c r="M133" i="117"/>
  <c r="D133" i="117"/>
  <c r="C133" i="117" s="1"/>
  <c r="B133" i="117"/>
  <c r="AR133" i="117" s="1" a="1"/>
  <c r="AR133" i="117" s="1"/>
  <c r="AP132" i="117"/>
  <c r="AN132" i="117" a="1"/>
  <c r="AN132" i="117" s="1"/>
  <c r="AL132" i="117" a="1"/>
  <c r="AL132" i="117" s="1"/>
  <c r="AI132" i="117"/>
  <c r="AG132" i="117" a="1"/>
  <c r="AG132" i="117" s="1"/>
  <c r="AE132" i="117" a="1"/>
  <c r="AE132" i="117" s="1"/>
  <c r="AB132" i="117"/>
  <c r="Z132" i="117" a="1"/>
  <c r="Z132" i="117" s="1"/>
  <c r="X132" i="117" a="1"/>
  <c r="X132" i="117" s="1"/>
  <c r="U132" i="117"/>
  <c r="W132" i="117" s="1" a="1"/>
  <c r="W132" i="117" s="1"/>
  <c r="S132" i="117" a="1"/>
  <c r="S132" i="117" s="1"/>
  <c r="Q132" i="117" a="1"/>
  <c r="Q132" i="117" s="1"/>
  <c r="M132" i="117"/>
  <c r="D132" i="117"/>
  <c r="N132" i="117" s="1"/>
  <c r="B132" i="117"/>
  <c r="AD132" i="117" s="1" a="1"/>
  <c r="AD132" i="117" s="1"/>
  <c r="AP131" i="117"/>
  <c r="AN131" i="117" a="1"/>
  <c r="AN131" i="117" s="1"/>
  <c r="AL131" i="117" a="1"/>
  <c r="AL131" i="117" s="1"/>
  <c r="AI131" i="117"/>
  <c r="AG131" i="117" a="1"/>
  <c r="AG131" i="117" s="1"/>
  <c r="AE131" i="117" a="1"/>
  <c r="AE131" i="117" s="1"/>
  <c r="AB131" i="117"/>
  <c r="Z131" i="117" a="1"/>
  <c r="Z131" i="117" s="1"/>
  <c r="X131" i="117" a="1"/>
  <c r="X131" i="117" s="1"/>
  <c r="U131" i="117"/>
  <c r="S131" i="117" a="1"/>
  <c r="S131" i="117" s="1"/>
  <c r="Q131" i="117" a="1"/>
  <c r="Q131" i="117" s="1"/>
  <c r="M131" i="117"/>
  <c r="D131" i="117"/>
  <c r="C131" i="117" s="1"/>
  <c r="B131" i="117"/>
  <c r="AP130" i="117"/>
  <c r="AN130" i="117"/>
  <c r="AN130" i="117" a="1"/>
  <c r="AL130" i="117" a="1"/>
  <c r="AL130" i="117" s="1"/>
  <c r="AI130" i="117"/>
  <c r="AG130" i="117" a="1"/>
  <c r="AG130" i="117" s="1"/>
  <c r="AE130" i="117" a="1"/>
  <c r="AE130" i="117" s="1"/>
  <c r="AB130" i="117"/>
  <c r="Z130" i="117" a="1"/>
  <c r="Z130" i="117" s="1"/>
  <c r="X130" i="117" a="1"/>
  <c r="X130" i="117" s="1"/>
  <c r="U130" i="117"/>
  <c r="P130" i="117" s="1"/>
  <c r="S130" i="117" a="1"/>
  <c r="S130" i="117" s="1"/>
  <c r="Q130" i="117" a="1"/>
  <c r="Q130" i="117" s="1"/>
  <c r="M130" i="117"/>
  <c r="D130" i="117"/>
  <c r="N130" i="117" s="1"/>
  <c r="B130" i="117"/>
  <c r="AD130" i="117" s="1" a="1"/>
  <c r="AD130" i="117" s="1"/>
  <c r="AP129" i="117"/>
  <c r="AN129" i="117" a="1"/>
  <c r="AN129" i="117" s="1"/>
  <c r="AL129" i="117" a="1"/>
  <c r="AL129" i="117" s="1"/>
  <c r="AI129" i="117"/>
  <c r="AG129" i="117" a="1"/>
  <c r="AG129" i="117" s="1"/>
  <c r="AE129" i="117" a="1"/>
  <c r="AE129" i="117" s="1"/>
  <c r="AB129" i="117"/>
  <c r="Z129" i="117" a="1"/>
  <c r="Z129" i="117" s="1"/>
  <c r="X129" i="117" a="1"/>
  <c r="X129" i="117" s="1"/>
  <c r="U129" i="117"/>
  <c r="P129" i="117" s="1"/>
  <c r="S129" i="117" a="1"/>
  <c r="S129" i="117" s="1"/>
  <c r="Q129" i="117" a="1"/>
  <c r="Q129" i="117" s="1"/>
  <c r="M129" i="117"/>
  <c r="D129" i="117"/>
  <c r="B129" i="117"/>
  <c r="AP128" i="117"/>
  <c r="AN128" i="117" a="1"/>
  <c r="AN128" i="117" s="1"/>
  <c r="AL128" i="117" a="1"/>
  <c r="AL128" i="117" s="1"/>
  <c r="AI128" i="117"/>
  <c r="AG128" i="117" a="1"/>
  <c r="AG128" i="117" s="1"/>
  <c r="AE128" i="117" a="1"/>
  <c r="AE128" i="117" s="1"/>
  <c r="AB128" i="117"/>
  <c r="Z128" i="117"/>
  <c r="Z128" i="117" a="1"/>
  <c r="X128" i="117" a="1"/>
  <c r="X128" i="117" s="1"/>
  <c r="U128" i="117"/>
  <c r="P128" i="117" s="1"/>
  <c r="S128" i="117" a="1"/>
  <c r="S128" i="117" s="1"/>
  <c r="Q128" i="117" a="1"/>
  <c r="Q128" i="117" s="1"/>
  <c r="M128" i="117"/>
  <c r="D128" i="117"/>
  <c r="B128" i="117"/>
  <c r="AD128" i="117" s="1" a="1"/>
  <c r="AD128" i="117" s="1"/>
  <c r="AP127" i="117"/>
  <c r="AN127" i="117" a="1"/>
  <c r="AN127" i="117" s="1"/>
  <c r="AL127" i="117" a="1"/>
  <c r="AL127" i="117" s="1"/>
  <c r="AI127" i="117"/>
  <c r="AG127" i="117" a="1"/>
  <c r="AG127" i="117" s="1"/>
  <c r="AE127" i="117" a="1"/>
  <c r="AE127" i="117" s="1"/>
  <c r="AB127" i="117"/>
  <c r="Z127" i="117" a="1"/>
  <c r="Z127" i="117" s="1"/>
  <c r="X127" i="117" a="1"/>
  <c r="X127" i="117" s="1"/>
  <c r="U127" i="117"/>
  <c r="W127" i="117" s="1" a="1"/>
  <c r="W127" i="117" s="1"/>
  <c r="S127" i="117" a="1"/>
  <c r="S127" i="117" s="1"/>
  <c r="Q127" i="117" a="1"/>
  <c r="Q127" i="117" s="1"/>
  <c r="M127" i="117"/>
  <c r="D127" i="117"/>
  <c r="B127" i="117"/>
  <c r="AD127" i="117" s="1" a="1"/>
  <c r="AD127" i="117" s="1"/>
  <c r="AP126" i="117"/>
  <c r="AN126" i="117" a="1"/>
  <c r="AN126" i="117" s="1"/>
  <c r="AL126" i="117" a="1"/>
  <c r="AL126" i="117" s="1"/>
  <c r="AI126" i="117"/>
  <c r="AG126" i="117" a="1"/>
  <c r="AG126" i="117" s="1"/>
  <c r="AE126" i="117" a="1"/>
  <c r="AE126" i="117" s="1"/>
  <c r="AB126" i="117"/>
  <c r="Z126" i="117" a="1"/>
  <c r="Z126" i="117" s="1"/>
  <c r="X126" i="117" a="1"/>
  <c r="X126" i="117" s="1"/>
  <c r="U126" i="117"/>
  <c r="P126" i="117" s="1"/>
  <c r="S126" i="117" a="1"/>
  <c r="S126" i="117" s="1"/>
  <c r="Q126" i="117" a="1"/>
  <c r="Q126" i="117" s="1"/>
  <c r="M126" i="117"/>
  <c r="D126" i="117"/>
  <c r="N126" i="117" s="1"/>
  <c r="B126" i="117"/>
  <c r="AP125" i="117"/>
  <c r="AN125" i="117" a="1"/>
  <c r="AN125" i="117" s="1"/>
  <c r="AL125" i="117" a="1"/>
  <c r="AL125" i="117" s="1"/>
  <c r="AI125" i="117"/>
  <c r="AG125" i="117" a="1"/>
  <c r="AG125" i="117" s="1"/>
  <c r="AE125" i="117" a="1"/>
  <c r="AE125" i="117" s="1"/>
  <c r="AB125" i="117"/>
  <c r="Z125" i="117" a="1"/>
  <c r="Z125" i="117" s="1"/>
  <c r="X125" i="117" a="1"/>
  <c r="X125" i="117" s="1"/>
  <c r="U125" i="117"/>
  <c r="P125" i="117" s="1"/>
  <c r="S125" i="117" a="1"/>
  <c r="S125" i="117" s="1"/>
  <c r="Q125" i="117" a="1"/>
  <c r="Q125" i="117" s="1"/>
  <c r="M125" i="117"/>
  <c r="D125" i="117"/>
  <c r="N125" i="117" s="1"/>
  <c r="B125" i="117"/>
  <c r="AP124" i="117"/>
  <c r="AN124" i="117" a="1"/>
  <c r="AN124" i="117" s="1"/>
  <c r="AL124" i="117" a="1"/>
  <c r="AL124" i="117" s="1"/>
  <c r="AI124" i="117"/>
  <c r="AG124" i="117" a="1"/>
  <c r="AG124" i="117" s="1"/>
  <c r="AE124" i="117" a="1"/>
  <c r="AE124" i="117" s="1"/>
  <c r="AB124" i="117"/>
  <c r="Z124" i="117" a="1"/>
  <c r="Z124" i="117" s="1"/>
  <c r="X124" i="117"/>
  <c r="X124" i="117" a="1"/>
  <c r="U124" i="117"/>
  <c r="P124" i="117" s="1"/>
  <c r="S124" i="117" a="1"/>
  <c r="S124" i="117" s="1"/>
  <c r="Q124" i="117" a="1"/>
  <c r="Q124" i="117" s="1"/>
  <c r="M124" i="117"/>
  <c r="D124" i="117"/>
  <c r="C124" i="117" s="1"/>
  <c r="B124" i="117"/>
  <c r="AD124" i="117" s="1" a="1"/>
  <c r="AD124" i="117" s="1"/>
  <c r="AP123" i="117"/>
  <c r="AN123" i="117"/>
  <c r="AN123" i="117" a="1"/>
  <c r="AL123" i="117" a="1"/>
  <c r="AL123" i="117" s="1"/>
  <c r="AI123" i="117"/>
  <c r="AG123" i="117" a="1"/>
  <c r="AG123" i="117" s="1"/>
  <c r="AE123" i="117" a="1"/>
  <c r="AE123" i="117" s="1"/>
  <c r="AB123" i="117"/>
  <c r="Z123" i="117" a="1"/>
  <c r="Z123" i="117" s="1"/>
  <c r="X123" i="117" a="1"/>
  <c r="X123" i="117" s="1"/>
  <c r="U123" i="117"/>
  <c r="P123" i="117" s="1"/>
  <c r="S123" i="117" a="1"/>
  <c r="S123" i="117" s="1"/>
  <c r="Q123" i="117" a="1"/>
  <c r="Q123" i="117" s="1"/>
  <c r="M123" i="117"/>
  <c r="D123" i="117"/>
  <c r="B123" i="117"/>
  <c r="AD123" i="117" s="1" a="1"/>
  <c r="AD123" i="117" s="1"/>
  <c r="AP122" i="117"/>
  <c r="AN122" i="117" a="1"/>
  <c r="AN122" i="117" s="1"/>
  <c r="AL122" i="117" a="1"/>
  <c r="AL122" i="117" s="1"/>
  <c r="AI122" i="117"/>
  <c r="AG122" i="117" a="1"/>
  <c r="AG122" i="117" s="1"/>
  <c r="AE122" i="117" a="1"/>
  <c r="AE122" i="117" s="1"/>
  <c r="AB122" i="117"/>
  <c r="Z122" i="117" a="1"/>
  <c r="Z122" i="117" s="1"/>
  <c r="X122" i="117" a="1"/>
  <c r="X122" i="117" s="1"/>
  <c r="U122" i="117"/>
  <c r="P122" i="117" s="1"/>
  <c r="S122" i="117" a="1"/>
  <c r="S122" i="117" s="1"/>
  <c r="Q122" i="117" a="1"/>
  <c r="Q122" i="117" s="1"/>
  <c r="M122" i="117"/>
  <c r="D122" i="117"/>
  <c r="B122" i="117"/>
  <c r="AK122" i="117" s="1" a="1"/>
  <c r="AK122" i="117" s="1"/>
  <c r="AP121" i="117"/>
  <c r="AN121" i="117" a="1"/>
  <c r="AN121" i="117" s="1"/>
  <c r="AL121" i="117" a="1"/>
  <c r="AL121" i="117" s="1"/>
  <c r="AI121" i="117"/>
  <c r="AG121" i="117" a="1"/>
  <c r="AG121" i="117" s="1"/>
  <c r="AE121" i="117" a="1"/>
  <c r="AE121" i="117" s="1"/>
  <c r="AB121" i="117"/>
  <c r="Z121" i="117" a="1"/>
  <c r="Z121" i="117" s="1"/>
  <c r="X121" i="117" a="1"/>
  <c r="X121" i="117" s="1"/>
  <c r="U121" i="117"/>
  <c r="S121" i="117" a="1"/>
  <c r="S121" i="117" s="1"/>
  <c r="Q121" i="117" a="1"/>
  <c r="Q121" i="117" s="1"/>
  <c r="M121" i="117"/>
  <c r="D121" i="117"/>
  <c r="N121" i="117" s="1"/>
  <c r="B121" i="117"/>
  <c r="AD121" i="117" s="1" a="1"/>
  <c r="AD121" i="117" s="1"/>
  <c r="AP120" i="117"/>
  <c r="AN120" i="117" a="1"/>
  <c r="AN120" i="117" s="1"/>
  <c r="AL120" i="117" a="1"/>
  <c r="AL120" i="117" s="1"/>
  <c r="AI120" i="117"/>
  <c r="AG120" i="117" a="1"/>
  <c r="AG120" i="117" s="1"/>
  <c r="AE120" i="117" a="1"/>
  <c r="AE120" i="117" s="1"/>
  <c r="AB120" i="117"/>
  <c r="Z120" i="117" a="1"/>
  <c r="Z120" i="117" s="1"/>
  <c r="X120" i="117" a="1"/>
  <c r="X120" i="117" s="1"/>
  <c r="U120" i="117"/>
  <c r="P120" i="117" s="1"/>
  <c r="S120" i="117" a="1"/>
  <c r="S120" i="117" s="1"/>
  <c r="Q120" i="117" a="1"/>
  <c r="Q120" i="117" s="1"/>
  <c r="M120" i="117"/>
  <c r="D120" i="117"/>
  <c r="N120" i="117" s="1"/>
  <c r="B120" i="117"/>
  <c r="AP119" i="117"/>
  <c r="AN119" i="117" a="1"/>
  <c r="AN119" i="117" s="1"/>
  <c r="AL119" i="117" a="1"/>
  <c r="AL119" i="117" s="1"/>
  <c r="AI119" i="117"/>
  <c r="AG119" i="117" a="1"/>
  <c r="AG119" i="117" s="1"/>
  <c r="AE119" i="117" a="1"/>
  <c r="AE119" i="117" s="1"/>
  <c r="AB119" i="117"/>
  <c r="Z119" i="117" a="1"/>
  <c r="Z119" i="117" s="1"/>
  <c r="X119" i="117" a="1"/>
  <c r="X119" i="117" s="1"/>
  <c r="U119" i="117"/>
  <c r="P119" i="117" s="1"/>
  <c r="S119" i="117" a="1"/>
  <c r="S119" i="117" s="1"/>
  <c r="Q119" i="117" a="1"/>
  <c r="Q119" i="117" s="1"/>
  <c r="M119" i="117"/>
  <c r="D119" i="117"/>
  <c r="N119" i="117" s="1"/>
  <c r="B119" i="117"/>
  <c r="AP118" i="117"/>
  <c r="AN118" i="117" a="1"/>
  <c r="AN118" i="117" s="1"/>
  <c r="AL118" i="117" a="1"/>
  <c r="AL118" i="117" s="1"/>
  <c r="AI118" i="117"/>
  <c r="AG118" i="117" a="1"/>
  <c r="AG118" i="117" s="1"/>
  <c r="AE118" i="117"/>
  <c r="AE118" i="117" a="1"/>
  <c r="AB118" i="117"/>
  <c r="Z118" i="117" a="1"/>
  <c r="Z118" i="117" s="1"/>
  <c r="X118" i="117" a="1"/>
  <c r="X118" i="117" s="1"/>
  <c r="U118" i="117"/>
  <c r="P118" i="117" s="1"/>
  <c r="S118" i="117" a="1"/>
  <c r="S118" i="117" s="1"/>
  <c r="Q118" i="117" a="1"/>
  <c r="Q118" i="117" s="1"/>
  <c r="M118" i="117"/>
  <c r="D118" i="117"/>
  <c r="N118" i="117" s="1"/>
  <c r="B118" i="117"/>
  <c r="AD118" i="117" s="1" a="1"/>
  <c r="AD118" i="117" s="1"/>
  <c r="AP117" i="117"/>
  <c r="AR117" i="117" s="1" a="1"/>
  <c r="AR117" i="117" s="1"/>
  <c r="AN117" i="117" a="1"/>
  <c r="AN117" i="117" s="1"/>
  <c r="AL117" i="117" a="1"/>
  <c r="AL117" i="117" s="1"/>
  <c r="AI117" i="117"/>
  <c r="AK117" i="117" s="1" a="1"/>
  <c r="AK117" i="117" s="1"/>
  <c r="AG117" i="117" a="1"/>
  <c r="AG117" i="117" s="1"/>
  <c r="AE117" i="117" a="1"/>
  <c r="AE117" i="117" s="1"/>
  <c r="AD117" i="117" a="1"/>
  <c r="AD117" i="117" s="1"/>
  <c r="AB117" i="117"/>
  <c r="Z117" i="117" a="1"/>
  <c r="Z117" i="117" s="1"/>
  <c r="X117" i="117" a="1"/>
  <c r="X117" i="117" s="1"/>
  <c r="U117" i="117"/>
  <c r="W117" i="117" s="1" a="1"/>
  <c r="W117" i="117" s="1"/>
  <c r="S117" i="117" a="1"/>
  <c r="S117" i="117" s="1"/>
  <c r="Q117" i="117" a="1"/>
  <c r="Q117" i="117" s="1"/>
  <c r="M117" i="117"/>
  <c r="D117" i="117"/>
  <c r="C117" i="117" s="1"/>
  <c r="B117" i="117"/>
  <c r="AP116" i="117"/>
  <c r="AN116" i="117" a="1"/>
  <c r="AN116" i="117" s="1"/>
  <c r="AL116" i="117" a="1"/>
  <c r="AL116" i="117" s="1"/>
  <c r="AI116" i="117"/>
  <c r="AG116" i="117" a="1"/>
  <c r="AG116" i="117" s="1"/>
  <c r="AE116" i="117" a="1"/>
  <c r="AE116" i="117" s="1"/>
  <c r="AB116" i="117"/>
  <c r="Z116" i="117" a="1"/>
  <c r="Z116" i="117" s="1"/>
  <c r="X116" i="117" a="1"/>
  <c r="X116" i="117" s="1"/>
  <c r="U116" i="117"/>
  <c r="W116" i="117" s="1" a="1"/>
  <c r="W116" i="117" s="1"/>
  <c r="S116" i="117" a="1"/>
  <c r="S116" i="117" s="1"/>
  <c r="Q116" i="117" a="1"/>
  <c r="Q116" i="117" s="1"/>
  <c r="M116" i="117"/>
  <c r="D116" i="117"/>
  <c r="B116" i="117"/>
  <c r="AD116" i="117" s="1" a="1"/>
  <c r="AD116" i="117" s="1"/>
  <c r="AP115" i="117"/>
  <c r="AN115" i="117" a="1"/>
  <c r="AN115" i="117" s="1"/>
  <c r="AL115" i="117" a="1"/>
  <c r="AL115" i="117" s="1"/>
  <c r="AI115" i="117"/>
  <c r="AG115" i="117" a="1"/>
  <c r="AG115" i="117" s="1"/>
  <c r="AE115" i="117"/>
  <c r="AE115" i="117" a="1"/>
  <c r="AB115" i="117"/>
  <c r="Z115" i="117" a="1"/>
  <c r="Z115" i="117" s="1"/>
  <c r="X115" i="117" a="1"/>
  <c r="X115" i="117" s="1"/>
  <c r="U115" i="117"/>
  <c r="W115" i="117" s="1" a="1"/>
  <c r="W115" i="117" s="1"/>
  <c r="S115" i="117" a="1"/>
  <c r="S115" i="117" s="1"/>
  <c r="Q115" i="117" a="1"/>
  <c r="Q115" i="117" s="1"/>
  <c r="M115" i="117"/>
  <c r="D115" i="117"/>
  <c r="N115" i="117" s="1"/>
  <c r="B115" i="117"/>
  <c r="AD115" i="117" s="1" a="1"/>
  <c r="AD115" i="117" s="1"/>
  <c r="AP114" i="117"/>
  <c r="AN114" i="117" a="1"/>
  <c r="AN114" i="117" s="1"/>
  <c r="AL114" i="117" a="1"/>
  <c r="AL114" i="117" s="1"/>
  <c r="AI114" i="117"/>
  <c r="AG114" i="117" a="1"/>
  <c r="AG114" i="117" s="1"/>
  <c r="AE114" i="117" a="1"/>
  <c r="AE114" i="117" s="1"/>
  <c r="AB114" i="117"/>
  <c r="Z114" i="117" a="1"/>
  <c r="Z114" i="117" s="1"/>
  <c r="X114" i="117" a="1"/>
  <c r="X114" i="117" s="1"/>
  <c r="U114" i="117"/>
  <c r="W114" i="117" s="1" a="1"/>
  <c r="W114" i="117" s="1"/>
  <c r="S114" i="117" a="1"/>
  <c r="S114" i="117" s="1"/>
  <c r="Q114" i="117" a="1"/>
  <c r="Q114" i="117" s="1"/>
  <c r="M114" i="117"/>
  <c r="D114" i="117"/>
  <c r="N114" i="117" s="1"/>
  <c r="B114" i="117"/>
  <c r="AP113" i="117"/>
  <c r="AN113" i="117" a="1"/>
  <c r="AN113" i="117" s="1"/>
  <c r="AL113" i="117" a="1"/>
  <c r="AL113" i="117" s="1"/>
  <c r="AI113" i="117"/>
  <c r="AG113" i="117" a="1"/>
  <c r="AG113" i="117" s="1"/>
  <c r="AE113" i="117" a="1"/>
  <c r="AE113" i="117" s="1"/>
  <c r="AB113" i="117"/>
  <c r="Z113" i="117" a="1"/>
  <c r="Z113" i="117" s="1"/>
  <c r="X113" i="117" a="1"/>
  <c r="X113" i="117" s="1"/>
  <c r="U113" i="117"/>
  <c r="P113" i="117" s="1"/>
  <c r="S113" i="117" a="1"/>
  <c r="S113" i="117" s="1"/>
  <c r="Q113" i="117" a="1"/>
  <c r="Q113" i="117" s="1"/>
  <c r="M113" i="117"/>
  <c r="D113" i="117"/>
  <c r="C113" i="117" s="1"/>
  <c r="B113" i="117"/>
  <c r="AD113" i="117" s="1" a="1"/>
  <c r="AD113" i="117" s="1"/>
  <c r="AP112" i="117"/>
  <c r="AN112" i="117" a="1"/>
  <c r="AN112" i="117" s="1"/>
  <c r="AL112" i="117" a="1"/>
  <c r="AL112" i="117" s="1"/>
  <c r="AI112" i="117"/>
  <c r="AG112" i="117" a="1"/>
  <c r="AG112" i="117" s="1"/>
  <c r="AE112" i="117" a="1"/>
  <c r="AE112" i="117" s="1"/>
  <c r="AB112" i="117"/>
  <c r="Z112" i="117" a="1"/>
  <c r="Z112" i="117" s="1"/>
  <c r="X112" i="117" a="1"/>
  <c r="X112" i="117" s="1"/>
  <c r="U112" i="117"/>
  <c r="S112" i="117" a="1"/>
  <c r="S112" i="117" s="1"/>
  <c r="Q112" i="117" a="1"/>
  <c r="Q112" i="117" s="1"/>
  <c r="M112" i="117"/>
  <c r="D112" i="117"/>
  <c r="B112" i="117"/>
  <c r="AP111" i="117"/>
  <c r="AN111" i="117" a="1"/>
  <c r="AN111" i="117" s="1"/>
  <c r="AL111" i="117" a="1"/>
  <c r="AL111" i="117" s="1"/>
  <c r="AI111" i="117"/>
  <c r="AG111" i="117" a="1"/>
  <c r="AG111" i="117" s="1"/>
  <c r="AE111" i="117" a="1"/>
  <c r="AE111" i="117" s="1"/>
  <c r="AB111" i="117"/>
  <c r="Z111" i="117" a="1"/>
  <c r="Z111" i="117" s="1"/>
  <c r="X111" i="117" a="1"/>
  <c r="X111" i="117" s="1"/>
  <c r="U111" i="117"/>
  <c r="P111" i="117" s="1"/>
  <c r="S111" i="117" a="1"/>
  <c r="S111" i="117" s="1"/>
  <c r="Q111" i="117" a="1"/>
  <c r="Q111" i="117" s="1"/>
  <c r="M111" i="117"/>
  <c r="D111" i="117"/>
  <c r="C111" i="117" s="1"/>
  <c r="B111" i="117"/>
  <c r="AP110" i="117"/>
  <c r="AN110" i="117" a="1"/>
  <c r="AN110" i="117" s="1"/>
  <c r="AL110" i="117" a="1"/>
  <c r="AL110" i="117" s="1"/>
  <c r="AI110" i="117"/>
  <c r="AG110" i="117" a="1"/>
  <c r="AG110" i="117" s="1"/>
  <c r="AE110" i="117" a="1"/>
  <c r="AE110" i="117" s="1"/>
  <c r="AB110" i="117"/>
  <c r="Z110" i="117" a="1"/>
  <c r="Z110" i="117" s="1"/>
  <c r="X110" i="117" a="1"/>
  <c r="X110" i="117" s="1"/>
  <c r="U110" i="117"/>
  <c r="S110" i="117" a="1"/>
  <c r="S110" i="117" s="1"/>
  <c r="Q110" i="117" a="1"/>
  <c r="Q110" i="117" s="1"/>
  <c r="M110" i="117"/>
  <c r="D110" i="117"/>
  <c r="N110" i="117" s="1"/>
  <c r="B110" i="117"/>
  <c r="AP109" i="117"/>
  <c r="AN109" i="117" a="1"/>
  <c r="AN109" i="117" s="1"/>
  <c r="AL109" i="117" a="1"/>
  <c r="AL109" i="117" s="1"/>
  <c r="AI109" i="117"/>
  <c r="AG109" i="117" a="1"/>
  <c r="AG109" i="117" s="1"/>
  <c r="AE109" i="117" a="1"/>
  <c r="AE109" i="117" s="1"/>
  <c r="AB109" i="117"/>
  <c r="Z109" i="117"/>
  <c r="Z109" i="117" a="1"/>
  <c r="X109" i="117" a="1"/>
  <c r="X109" i="117" s="1"/>
  <c r="U109" i="117"/>
  <c r="P109" i="117" s="1"/>
  <c r="S109" i="117" a="1"/>
  <c r="S109" i="117" s="1"/>
  <c r="Q109" i="117" a="1"/>
  <c r="Q109" i="117" s="1"/>
  <c r="M109" i="117"/>
  <c r="D109" i="117"/>
  <c r="B109" i="117"/>
  <c r="AD109" i="117" s="1" a="1"/>
  <c r="AD109" i="117" s="1"/>
  <c r="AP108" i="117"/>
  <c r="AN108" i="117" a="1"/>
  <c r="AN108" i="117" s="1"/>
  <c r="AL108" i="117" a="1"/>
  <c r="AL108" i="117" s="1"/>
  <c r="AI108" i="117"/>
  <c r="AG108" i="117" a="1"/>
  <c r="AG108" i="117" s="1"/>
  <c r="AE108" i="117" a="1"/>
  <c r="AE108" i="117" s="1"/>
  <c r="AB108" i="117"/>
  <c r="Z108" i="117" a="1"/>
  <c r="Z108" i="117" s="1"/>
  <c r="X108" i="117" a="1"/>
  <c r="X108" i="117" s="1"/>
  <c r="U108" i="117"/>
  <c r="S108" i="117" a="1"/>
  <c r="S108" i="117" s="1"/>
  <c r="Q108" i="117" a="1"/>
  <c r="Q108" i="117" s="1"/>
  <c r="M108" i="117"/>
  <c r="D108" i="117"/>
  <c r="B108" i="117"/>
  <c r="AD108" i="117" s="1" a="1"/>
  <c r="AD108" i="117" s="1"/>
  <c r="AP107" i="117"/>
  <c r="AN107" i="117" a="1"/>
  <c r="AN107" i="117" s="1"/>
  <c r="AL107" i="117" a="1"/>
  <c r="AL107" i="117" s="1"/>
  <c r="AI107" i="117"/>
  <c r="AG107" i="117" a="1"/>
  <c r="AG107" i="117" s="1"/>
  <c r="AE107" i="117" a="1"/>
  <c r="AE107" i="117" s="1"/>
  <c r="AB107" i="117"/>
  <c r="O107" i="117" s="1"/>
  <c r="Z107" i="117" a="1"/>
  <c r="Z107" i="117" s="1"/>
  <c r="X107" i="117" a="1"/>
  <c r="X107" i="117" s="1"/>
  <c r="U107" i="117"/>
  <c r="W107" i="117" s="1" a="1"/>
  <c r="W107" i="117" s="1"/>
  <c r="S107" i="117" a="1"/>
  <c r="S107" i="117" s="1"/>
  <c r="Q107" i="117" a="1"/>
  <c r="Q107" i="117" s="1"/>
  <c r="M107" i="117"/>
  <c r="D107" i="117"/>
  <c r="N107" i="117" s="1"/>
  <c r="B107" i="117"/>
  <c r="AD107" i="117" s="1" a="1"/>
  <c r="AD107" i="117" s="1"/>
  <c r="AP106" i="117"/>
  <c r="AN106" i="117" a="1"/>
  <c r="AN106" i="117" s="1"/>
  <c r="AL106" i="117" a="1"/>
  <c r="AL106" i="117" s="1"/>
  <c r="AI106" i="117"/>
  <c r="AG106" i="117" a="1"/>
  <c r="AG106" i="117" s="1"/>
  <c r="AE106" i="117" a="1"/>
  <c r="AE106" i="117" s="1"/>
  <c r="AB106" i="117"/>
  <c r="Z106" i="117" a="1"/>
  <c r="Z106" i="117" s="1"/>
  <c r="X106" i="117" a="1"/>
  <c r="X106" i="117" s="1"/>
  <c r="U106" i="117"/>
  <c r="P106" i="117" s="1"/>
  <c r="S106" i="117" a="1"/>
  <c r="S106" i="117" s="1"/>
  <c r="Q106" i="117" a="1"/>
  <c r="Q106" i="117" s="1"/>
  <c r="M106" i="117"/>
  <c r="D106" i="117"/>
  <c r="B106" i="117"/>
  <c r="AP105" i="117"/>
  <c r="AN105" i="117" a="1"/>
  <c r="AN105" i="117" s="1"/>
  <c r="AL105" i="117" a="1"/>
  <c r="AL105" i="117" s="1"/>
  <c r="AI105" i="117"/>
  <c r="AG105" i="117" a="1"/>
  <c r="AG105" i="117" s="1"/>
  <c r="AE105" i="117" a="1"/>
  <c r="AE105" i="117" s="1"/>
  <c r="AB105" i="117"/>
  <c r="Z105" i="117" a="1"/>
  <c r="Z105" i="117" s="1"/>
  <c r="X105" i="117" a="1"/>
  <c r="X105" i="117" s="1"/>
  <c r="U105" i="117"/>
  <c r="P105" i="117" s="1"/>
  <c r="S105" i="117" a="1"/>
  <c r="S105" i="117" s="1"/>
  <c r="Q105" i="117" a="1"/>
  <c r="Q105" i="117" s="1"/>
  <c r="M105" i="117"/>
  <c r="D105" i="117"/>
  <c r="B105" i="117"/>
  <c r="AD105" i="117" s="1" a="1"/>
  <c r="AD105" i="117" s="1"/>
  <c r="AP104" i="117"/>
  <c r="AN104" i="117" a="1"/>
  <c r="AN104" i="117" s="1"/>
  <c r="AL104" i="117" a="1"/>
  <c r="AL104" i="117" s="1"/>
  <c r="AI104" i="117"/>
  <c r="AG104" i="117" a="1"/>
  <c r="AG104" i="117" s="1"/>
  <c r="AE104" i="117" a="1"/>
  <c r="AE104" i="117" s="1"/>
  <c r="AB104" i="117"/>
  <c r="Z104" i="117" a="1"/>
  <c r="Z104" i="117" s="1"/>
  <c r="X104" i="117" a="1"/>
  <c r="X104" i="117" s="1"/>
  <c r="U104" i="117"/>
  <c r="W104" i="117" s="1" a="1"/>
  <c r="W104" i="117" s="1"/>
  <c r="S104" i="117" a="1"/>
  <c r="S104" i="117" s="1"/>
  <c r="Q104" i="117" a="1"/>
  <c r="Q104" i="117" s="1"/>
  <c r="M104" i="117"/>
  <c r="D104" i="117"/>
  <c r="C104" i="117" s="1"/>
  <c r="B104" i="117"/>
  <c r="AP103" i="117"/>
  <c r="AN103" i="117" a="1"/>
  <c r="AN103" i="117" s="1"/>
  <c r="AL103" i="117" a="1"/>
  <c r="AL103" i="117" s="1"/>
  <c r="AI103" i="117"/>
  <c r="AG103" i="117" a="1"/>
  <c r="AG103" i="117" s="1"/>
  <c r="AE103" i="117" a="1"/>
  <c r="AE103" i="117" s="1"/>
  <c r="AB103" i="117"/>
  <c r="Z103" i="117" a="1"/>
  <c r="Z103" i="117" s="1"/>
  <c r="X103" i="117" a="1"/>
  <c r="X103" i="117" s="1"/>
  <c r="U103" i="117"/>
  <c r="W103" i="117" s="1" a="1"/>
  <c r="W103" i="117" s="1"/>
  <c r="S103" i="117" a="1"/>
  <c r="S103" i="117" s="1"/>
  <c r="Q103" i="117" a="1"/>
  <c r="Q103" i="117" s="1"/>
  <c r="M103" i="117"/>
  <c r="D103" i="117"/>
  <c r="B103" i="117"/>
  <c r="AD103" i="117" s="1" a="1"/>
  <c r="AD103" i="117" s="1"/>
  <c r="AP102" i="117"/>
  <c r="AN102" i="117" a="1"/>
  <c r="AN102" i="117" s="1"/>
  <c r="AL102" i="117" a="1"/>
  <c r="AL102" i="117" s="1"/>
  <c r="AI102" i="117"/>
  <c r="AG102" i="117" a="1"/>
  <c r="AG102" i="117" s="1"/>
  <c r="AE102" i="117" a="1"/>
  <c r="AE102" i="117" s="1"/>
  <c r="AB102" i="117"/>
  <c r="Z102" i="117" a="1"/>
  <c r="Z102" i="117" s="1"/>
  <c r="X102" i="117" a="1"/>
  <c r="X102" i="117" s="1"/>
  <c r="U102" i="117"/>
  <c r="S102" i="117" a="1"/>
  <c r="S102" i="117" s="1"/>
  <c r="Q102" i="117" a="1"/>
  <c r="Q102" i="117" s="1"/>
  <c r="M102" i="117"/>
  <c r="D102" i="117"/>
  <c r="N102" i="117" s="1"/>
  <c r="B102" i="117"/>
  <c r="AP101" i="117"/>
  <c r="AN101" i="117" a="1"/>
  <c r="AN101" i="117" s="1"/>
  <c r="AL101" i="117" a="1"/>
  <c r="AL101" i="117" s="1"/>
  <c r="AI101" i="117"/>
  <c r="AG101" i="117" a="1"/>
  <c r="AG101" i="117" s="1"/>
  <c r="AE101" i="117" a="1"/>
  <c r="AE101" i="117" s="1"/>
  <c r="AB101" i="117"/>
  <c r="Z101" i="117" a="1"/>
  <c r="Z101" i="117" s="1"/>
  <c r="X101" i="117" a="1"/>
  <c r="X101" i="117" s="1"/>
  <c r="U101" i="117"/>
  <c r="W101" i="117" s="1" a="1"/>
  <c r="W101" i="117" s="1"/>
  <c r="S101" i="117" a="1"/>
  <c r="S101" i="117" s="1"/>
  <c r="Q101" i="117" a="1"/>
  <c r="Q101" i="117" s="1"/>
  <c r="M101" i="117"/>
  <c r="D101" i="117"/>
  <c r="B101" i="117"/>
  <c r="AP100" i="117"/>
  <c r="AN100" i="117" a="1"/>
  <c r="AN100" i="117" s="1"/>
  <c r="AL100" i="117" a="1"/>
  <c r="AL100" i="117" s="1"/>
  <c r="AI100" i="117"/>
  <c r="AG100" i="117" a="1"/>
  <c r="AG100" i="117" s="1"/>
  <c r="AE100" i="117" a="1"/>
  <c r="AE100" i="117" s="1"/>
  <c r="AB100" i="117"/>
  <c r="Z100" i="117"/>
  <c r="Z100" i="117" a="1"/>
  <c r="X100" i="117" a="1"/>
  <c r="X100" i="117" s="1"/>
  <c r="U100" i="117"/>
  <c r="W100" i="117" s="1" a="1"/>
  <c r="W100" i="117" s="1"/>
  <c r="S100" i="117" a="1"/>
  <c r="S100" i="117" s="1"/>
  <c r="Q100" i="117" a="1"/>
  <c r="Q100" i="117" s="1"/>
  <c r="M100" i="117"/>
  <c r="D100" i="117"/>
  <c r="B100" i="117"/>
  <c r="AP99" i="117"/>
  <c r="AN99" i="117" a="1"/>
  <c r="AN99" i="117" s="1"/>
  <c r="AL99" i="117" a="1"/>
  <c r="AL99" i="117" s="1"/>
  <c r="AI99" i="117"/>
  <c r="AG99" i="117" a="1"/>
  <c r="AG99" i="117" s="1"/>
  <c r="AE99" i="117" a="1"/>
  <c r="AE99" i="117" s="1"/>
  <c r="AB99" i="117"/>
  <c r="Z99" i="117" a="1"/>
  <c r="Z99" i="117" s="1"/>
  <c r="X99" i="117" a="1"/>
  <c r="X99" i="117" s="1"/>
  <c r="U99" i="117"/>
  <c r="P99" i="117" s="1"/>
  <c r="S99" i="117" a="1"/>
  <c r="S99" i="117" s="1"/>
  <c r="Q99" i="117" a="1"/>
  <c r="Q99" i="117" s="1"/>
  <c r="M99" i="117"/>
  <c r="D99" i="117"/>
  <c r="C99" i="117" s="1"/>
  <c r="B99" i="117"/>
  <c r="AP98" i="117"/>
  <c r="AN98" i="117" a="1"/>
  <c r="AN98" i="117" s="1"/>
  <c r="AL98" i="117" a="1"/>
  <c r="AL98" i="117" s="1"/>
  <c r="AI98" i="117"/>
  <c r="AG98" i="117" a="1"/>
  <c r="AG98" i="117" s="1"/>
  <c r="AE98" i="117" a="1"/>
  <c r="AE98" i="117" s="1"/>
  <c r="AB98" i="117"/>
  <c r="Z98" i="117" a="1"/>
  <c r="Z98" i="117" s="1"/>
  <c r="X98" i="117" a="1"/>
  <c r="X98" i="117" s="1"/>
  <c r="U98" i="117"/>
  <c r="W98" i="117" s="1" a="1"/>
  <c r="W98" i="117" s="1"/>
  <c r="S98" i="117" a="1"/>
  <c r="S98" i="117" s="1"/>
  <c r="Q98" i="117" a="1"/>
  <c r="Q98" i="117" s="1"/>
  <c r="M98" i="117"/>
  <c r="D98" i="117"/>
  <c r="N98" i="117" s="1"/>
  <c r="B98" i="117"/>
  <c r="AD98" i="117" s="1" a="1"/>
  <c r="AD98" i="117" s="1"/>
  <c r="AP97" i="117"/>
  <c r="AN97" i="117" a="1"/>
  <c r="AN97" i="117" s="1"/>
  <c r="AL97" i="117" a="1"/>
  <c r="AL97" i="117" s="1"/>
  <c r="AI97" i="117"/>
  <c r="AG97" i="117" a="1"/>
  <c r="AG97" i="117" s="1"/>
  <c r="AE97" i="117" a="1"/>
  <c r="AE97" i="117" s="1"/>
  <c r="AB97" i="117"/>
  <c r="Z97" i="117" a="1"/>
  <c r="Z97" i="117" s="1"/>
  <c r="X97" i="117" a="1"/>
  <c r="X97" i="117" s="1"/>
  <c r="U97" i="117"/>
  <c r="P97" i="117" s="1"/>
  <c r="S97" i="117" a="1"/>
  <c r="S97" i="117" s="1"/>
  <c r="Q97" i="117" a="1"/>
  <c r="Q97" i="117" s="1"/>
  <c r="M97" i="117"/>
  <c r="D97" i="117"/>
  <c r="B97" i="117"/>
  <c r="AD97" i="117" s="1" a="1"/>
  <c r="AD97" i="117" s="1"/>
  <c r="AP96" i="117"/>
  <c r="AN96" i="117" a="1"/>
  <c r="AN96" i="117" s="1"/>
  <c r="AL96" i="117" a="1"/>
  <c r="AL96" i="117" s="1"/>
  <c r="AI96" i="117"/>
  <c r="AG96" i="117" a="1"/>
  <c r="AG96" i="117" s="1"/>
  <c r="AE96" i="117" a="1"/>
  <c r="AE96" i="117" s="1"/>
  <c r="AB96" i="117"/>
  <c r="Z96" i="117" a="1"/>
  <c r="Z96" i="117" s="1"/>
  <c r="X96" i="117" a="1"/>
  <c r="X96" i="117" s="1"/>
  <c r="U96" i="117"/>
  <c r="P96" i="117" s="1"/>
  <c r="S96" i="117" a="1"/>
  <c r="S96" i="117" s="1"/>
  <c r="Q96" i="117" a="1"/>
  <c r="Q96" i="117" s="1"/>
  <c r="M96" i="117"/>
  <c r="D96" i="117"/>
  <c r="N96" i="117" s="1"/>
  <c r="B96" i="117"/>
  <c r="AP95" i="117"/>
  <c r="AN95" i="117"/>
  <c r="AN95" i="117" a="1"/>
  <c r="AL95" i="117" a="1"/>
  <c r="AL95" i="117" s="1"/>
  <c r="AI95" i="117"/>
  <c r="AG95" i="117" a="1"/>
  <c r="AG95" i="117" s="1"/>
  <c r="AE95" i="117" a="1"/>
  <c r="AE95" i="117" s="1"/>
  <c r="AB95" i="117"/>
  <c r="Z95" i="117" a="1"/>
  <c r="Z95" i="117" s="1"/>
  <c r="X95" i="117" a="1"/>
  <c r="X95" i="117" s="1"/>
  <c r="U95" i="117"/>
  <c r="W95" i="117" s="1" a="1"/>
  <c r="W95" i="117" s="1"/>
  <c r="S95" i="117" a="1"/>
  <c r="S95" i="117" s="1"/>
  <c r="Q95" i="117" a="1"/>
  <c r="Q95" i="117" s="1"/>
  <c r="M95" i="117"/>
  <c r="D95" i="117"/>
  <c r="C95" i="117" s="1"/>
  <c r="B95" i="117"/>
  <c r="AD95" i="117" s="1" a="1"/>
  <c r="AD95" i="117" s="1"/>
  <c r="AP94" i="117"/>
  <c r="AN94" i="117" a="1"/>
  <c r="AN94" i="117" s="1"/>
  <c r="AL94" i="117" a="1"/>
  <c r="AL94" i="117" s="1"/>
  <c r="AI94" i="117"/>
  <c r="AG94" i="117"/>
  <c r="AG94" i="117" a="1"/>
  <c r="AE94" i="117" a="1"/>
  <c r="AE94" i="117" s="1"/>
  <c r="AB94" i="117"/>
  <c r="O94" i="117" s="1"/>
  <c r="Z94" i="117" a="1"/>
  <c r="Z94" i="117" s="1"/>
  <c r="X94" i="117" a="1"/>
  <c r="X94" i="117" s="1"/>
  <c r="U94" i="117"/>
  <c r="W94" i="117" s="1" a="1"/>
  <c r="W94" i="117" s="1"/>
  <c r="S94" i="117" a="1"/>
  <c r="S94" i="117" s="1"/>
  <c r="Q94" i="117" a="1"/>
  <c r="Q94" i="117" s="1"/>
  <c r="M94" i="117"/>
  <c r="D94" i="117"/>
  <c r="B94" i="117"/>
  <c r="AD94" i="117" s="1" a="1"/>
  <c r="AD94" i="117" s="1"/>
  <c r="AP93" i="117"/>
  <c r="AN93" i="117" a="1"/>
  <c r="AN93" i="117" s="1"/>
  <c r="AL93" i="117" a="1"/>
  <c r="AL93" i="117" s="1"/>
  <c r="AI93" i="117"/>
  <c r="AG93" i="117" a="1"/>
  <c r="AG93" i="117" s="1"/>
  <c r="AE93" i="117" a="1"/>
  <c r="AE93" i="117" s="1"/>
  <c r="AB93" i="117"/>
  <c r="Z93" i="117" a="1"/>
  <c r="Z93" i="117" s="1"/>
  <c r="X93" i="117" a="1"/>
  <c r="X93" i="117" s="1"/>
  <c r="U93" i="117"/>
  <c r="P93" i="117" s="1"/>
  <c r="S93" i="117" a="1"/>
  <c r="S93" i="117" s="1"/>
  <c r="Q93" i="117" a="1"/>
  <c r="Q93" i="117" s="1"/>
  <c r="M93" i="117"/>
  <c r="D93" i="117"/>
  <c r="C93" i="117" s="1"/>
  <c r="B93" i="117"/>
  <c r="AD93" i="117" s="1" a="1"/>
  <c r="AD93" i="117" s="1"/>
  <c r="AP92" i="117"/>
  <c r="AN92" i="117" a="1"/>
  <c r="AN92" i="117" s="1"/>
  <c r="AL92" i="117" a="1"/>
  <c r="AL92" i="117" s="1"/>
  <c r="AI92" i="117"/>
  <c r="AG92" i="117" a="1"/>
  <c r="AG92" i="117" s="1"/>
  <c r="AE92" i="117" a="1"/>
  <c r="AE92" i="117" s="1"/>
  <c r="AB92" i="117"/>
  <c r="Z92" i="117" a="1"/>
  <c r="Z92" i="117" s="1"/>
  <c r="X92" i="117" a="1"/>
  <c r="X92" i="117" s="1"/>
  <c r="U92" i="117"/>
  <c r="P92" i="117" s="1"/>
  <c r="S92" i="117" a="1"/>
  <c r="S92" i="117" s="1"/>
  <c r="Q92" i="117" a="1"/>
  <c r="Q92" i="117" s="1"/>
  <c r="M92" i="117"/>
  <c r="D92" i="117"/>
  <c r="N92" i="117" s="1"/>
  <c r="B92" i="117"/>
  <c r="AR92" i="117" s="1" a="1"/>
  <c r="AR92" i="117" s="1"/>
  <c r="AP91" i="117"/>
  <c r="AN91" i="117" a="1"/>
  <c r="AN91" i="117" s="1"/>
  <c r="AL91" i="117" a="1"/>
  <c r="AL91" i="117" s="1"/>
  <c r="AI91" i="117"/>
  <c r="AG91" i="117" a="1"/>
  <c r="AG91" i="117" s="1"/>
  <c r="AE91" i="117" a="1"/>
  <c r="AE91" i="117" s="1"/>
  <c r="AB91" i="117"/>
  <c r="Z91" i="117" a="1"/>
  <c r="Z91" i="117" s="1"/>
  <c r="X91" i="117" a="1"/>
  <c r="X91" i="117" s="1"/>
  <c r="U91" i="117"/>
  <c r="S91" i="117" a="1"/>
  <c r="S91" i="117" s="1"/>
  <c r="Q91" i="117" a="1"/>
  <c r="Q91" i="117" s="1"/>
  <c r="M91" i="117"/>
  <c r="D91" i="117"/>
  <c r="B91" i="117"/>
  <c r="AP90" i="117"/>
  <c r="AN90" i="117" a="1"/>
  <c r="AN90" i="117" s="1"/>
  <c r="AL90" i="117" a="1"/>
  <c r="AL90" i="117" s="1"/>
  <c r="AI90" i="117"/>
  <c r="AG90" i="117" a="1"/>
  <c r="AG90" i="117" s="1"/>
  <c r="AE90" i="117" a="1"/>
  <c r="AE90" i="117" s="1"/>
  <c r="AB90" i="117"/>
  <c r="Z90" i="117"/>
  <c r="Z90" i="117" a="1"/>
  <c r="X90" i="117" a="1"/>
  <c r="X90" i="117" s="1"/>
  <c r="U90" i="117"/>
  <c r="P90" i="117" s="1"/>
  <c r="S90" i="117" a="1"/>
  <c r="S90" i="117" s="1"/>
  <c r="Q90" i="117" a="1"/>
  <c r="Q90" i="117" s="1"/>
  <c r="M90" i="117"/>
  <c r="D90" i="117"/>
  <c r="N90" i="117" s="1"/>
  <c r="B90" i="117"/>
  <c r="AD90" i="117" s="1" a="1"/>
  <c r="AD90" i="117" s="1"/>
  <c r="AP89" i="117"/>
  <c r="AN89" i="117" a="1"/>
  <c r="AN89" i="117" s="1"/>
  <c r="AL89" i="117" a="1"/>
  <c r="AL89" i="117" s="1"/>
  <c r="AI89" i="117"/>
  <c r="AG89" i="117" a="1"/>
  <c r="AG89" i="117" s="1"/>
  <c r="AE89" i="117" a="1"/>
  <c r="AE89" i="117" s="1"/>
  <c r="AB89" i="117"/>
  <c r="Z89" i="117" a="1"/>
  <c r="Z89" i="117" s="1"/>
  <c r="X89" i="117" a="1"/>
  <c r="X89" i="117" s="1"/>
  <c r="U89" i="117"/>
  <c r="W89" i="117" s="1" a="1"/>
  <c r="W89" i="117" s="1"/>
  <c r="S89" i="117" a="1"/>
  <c r="S89" i="117" s="1"/>
  <c r="Q89" i="117" a="1"/>
  <c r="Q89" i="117" s="1"/>
  <c r="M89" i="117"/>
  <c r="D89" i="117"/>
  <c r="C89" i="117" s="1"/>
  <c r="B89" i="117"/>
  <c r="AD89" i="117" s="1" a="1"/>
  <c r="AD89" i="117" s="1"/>
  <c r="AP88" i="117"/>
  <c r="AN88" i="117" a="1"/>
  <c r="AN88" i="117" s="1"/>
  <c r="AL88" i="117" a="1"/>
  <c r="AL88" i="117" s="1"/>
  <c r="AI88" i="117"/>
  <c r="AG88" i="117" a="1"/>
  <c r="AG88" i="117" s="1"/>
  <c r="AE88" i="117" a="1"/>
  <c r="AE88" i="117" s="1"/>
  <c r="AB88" i="117"/>
  <c r="Z88" i="117" a="1"/>
  <c r="Z88" i="117" s="1"/>
  <c r="X88" i="117" a="1"/>
  <c r="X88" i="117" s="1"/>
  <c r="U88" i="117"/>
  <c r="P88" i="117" s="1"/>
  <c r="S88" i="117" a="1"/>
  <c r="S88" i="117" s="1"/>
  <c r="Q88" i="117" a="1"/>
  <c r="Q88" i="117" s="1"/>
  <c r="M88" i="117"/>
  <c r="D88" i="117"/>
  <c r="N88" i="117" s="1"/>
  <c r="B88" i="117"/>
  <c r="AD88" i="117" s="1" a="1"/>
  <c r="AD88" i="117" s="1"/>
  <c r="AP87" i="117"/>
  <c r="AN87" i="117" a="1"/>
  <c r="AN87" i="117" s="1"/>
  <c r="AL87" i="117" a="1"/>
  <c r="AL87" i="117" s="1"/>
  <c r="AI87" i="117"/>
  <c r="AG87" i="117" a="1"/>
  <c r="AG87" i="117" s="1"/>
  <c r="AE87" i="117" a="1"/>
  <c r="AE87" i="117" s="1"/>
  <c r="AB87" i="117"/>
  <c r="Z87" i="117" a="1"/>
  <c r="Z87" i="117" s="1"/>
  <c r="X87" i="117" a="1"/>
  <c r="X87" i="117" s="1"/>
  <c r="U87" i="117"/>
  <c r="P87" i="117" s="1"/>
  <c r="S87" i="117" a="1"/>
  <c r="S87" i="117" s="1"/>
  <c r="Q87" i="117" a="1"/>
  <c r="Q87" i="117" s="1"/>
  <c r="M87" i="117"/>
  <c r="D87" i="117"/>
  <c r="C87" i="117" s="1"/>
  <c r="B87" i="117"/>
  <c r="AP86" i="117"/>
  <c r="AN86" i="117" a="1"/>
  <c r="AN86" i="117" s="1"/>
  <c r="AL86" i="117" a="1"/>
  <c r="AL86" i="117" s="1"/>
  <c r="AI86" i="117"/>
  <c r="AG86" i="117" a="1"/>
  <c r="AG86" i="117" s="1"/>
  <c r="AE86" i="117" a="1"/>
  <c r="AE86" i="117" s="1"/>
  <c r="AB86" i="117"/>
  <c r="Z86" i="117" a="1"/>
  <c r="Z86" i="117" s="1"/>
  <c r="X86" i="117" a="1"/>
  <c r="X86" i="117" s="1"/>
  <c r="U86" i="117"/>
  <c r="S86" i="117" a="1"/>
  <c r="S86" i="117" s="1"/>
  <c r="Q86" i="117" a="1"/>
  <c r="Q86" i="117" s="1"/>
  <c r="M86" i="117"/>
  <c r="D86" i="117"/>
  <c r="C86" i="117" s="1"/>
  <c r="B86" i="117"/>
  <c r="AD86" i="117" s="1" a="1"/>
  <c r="AD86" i="117" s="1"/>
  <c r="AP85" i="117"/>
  <c r="AN85" i="117" a="1"/>
  <c r="AN85" i="117" s="1"/>
  <c r="AL85" i="117" a="1"/>
  <c r="AL85" i="117" s="1"/>
  <c r="AI85" i="117"/>
  <c r="AG85" i="117" a="1"/>
  <c r="AG85" i="117" s="1"/>
  <c r="AE85" i="117" a="1"/>
  <c r="AE85" i="117" s="1"/>
  <c r="AB85" i="117"/>
  <c r="Z85" i="117" a="1"/>
  <c r="Z85" i="117" s="1"/>
  <c r="X85" i="117" a="1"/>
  <c r="X85" i="117" s="1"/>
  <c r="U85" i="117"/>
  <c r="S85" i="117" a="1"/>
  <c r="S85" i="117" s="1"/>
  <c r="Q85" i="117" a="1"/>
  <c r="Q85" i="117" s="1"/>
  <c r="M85" i="117"/>
  <c r="D85" i="117"/>
  <c r="C85" i="117" s="1"/>
  <c r="B85" i="117"/>
  <c r="AP84" i="117"/>
  <c r="AN84" i="117" a="1"/>
  <c r="AN84" i="117" s="1"/>
  <c r="AL84" i="117" a="1"/>
  <c r="AL84" i="117" s="1"/>
  <c r="AI84" i="117"/>
  <c r="AG84" i="117" a="1"/>
  <c r="AG84" i="117" s="1"/>
  <c r="AE84" i="117" a="1"/>
  <c r="AE84" i="117" s="1"/>
  <c r="AB84" i="117"/>
  <c r="Z84" i="117" a="1"/>
  <c r="Z84" i="117" s="1"/>
  <c r="X84" i="117" a="1"/>
  <c r="X84" i="117" s="1"/>
  <c r="U84" i="117"/>
  <c r="W84" i="117" s="1" a="1"/>
  <c r="W84" i="117" s="1"/>
  <c r="S84" i="117" a="1"/>
  <c r="S84" i="117" s="1"/>
  <c r="Q84" i="117" a="1"/>
  <c r="Q84" i="117" s="1"/>
  <c r="M84" i="117"/>
  <c r="D84" i="117"/>
  <c r="N84" i="117" s="1"/>
  <c r="B84" i="117"/>
  <c r="AD84" i="117" s="1" a="1"/>
  <c r="AD84" i="117" s="1"/>
  <c r="AP83" i="117"/>
  <c r="AN83" i="117" a="1"/>
  <c r="AN83" i="117" s="1"/>
  <c r="AL83" i="117" a="1"/>
  <c r="AL83" i="117" s="1"/>
  <c r="AI83" i="117"/>
  <c r="AG83" i="117" a="1"/>
  <c r="AG83" i="117" s="1"/>
  <c r="AE83" i="117" a="1"/>
  <c r="AE83" i="117" s="1"/>
  <c r="AB83" i="117"/>
  <c r="Z83" i="117"/>
  <c r="Z83" i="117" a="1"/>
  <c r="X83" i="117" a="1"/>
  <c r="X83" i="117" s="1"/>
  <c r="U83" i="117"/>
  <c r="W83" i="117" s="1" a="1"/>
  <c r="W83" i="117" s="1"/>
  <c r="S83" i="117" a="1"/>
  <c r="S83" i="117" s="1"/>
  <c r="Q83" i="117" a="1"/>
  <c r="Q83" i="117" s="1"/>
  <c r="M83" i="117"/>
  <c r="D83" i="117"/>
  <c r="N83" i="117" s="1"/>
  <c r="B83" i="117"/>
  <c r="AP82" i="117"/>
  <c r="AN82" i="117" a="1"/>
  <c r="AN82" i="117" s="1"/>
  <c r="AL82" i="117" a="1"/>
  <c r="AL82" i="117" s="1"/>
  <c r="AI82" i="117"/>
  <c r="AG82" i="117" a="1"/>
  <c r="AG82" i="117" s="1"/>
  <c r="AE82" i="117" a="1"/>
  <c r="AE82" i="117" s="1"/>
  <c r="AB82" i="117"/>
  <c r="O82" i="117" s="1"/>
  <c r="Z82" i="117" a="1"/>
  <c r="Z82" i="117" s="1"/>
  <c r="X82" i="117" a="1"/>
  <c r="X82" i="117" s="1"/>
  <c r="U82" i="117"/>
  <c r="P82" i="117" s="1"/>
  <c r="S82" i="117" a="1"/>
  <c r="S82" i="117" s="1"/>
  <c r="Q82" i="117" a="1"/>
  <c r="Q82" i="117" s="1"/>
  <c r="M82" i="117"/>
  <c r="D82" i="117"/>
  <c r="N82" i="117" s="1"/>
  <c r="B82" i="117"/>
  <c r="AD82" i="117" s="1" a="1"/>
  <c r="AD82" i="117" s="1"/>
  <c r="AP81" i="117"/>
  <c r="AN81" i="117" a="1"/>
  <c r="AN81" i="117" s="1"/>
  <c r="AL81" i="117" a="1"/>
  <c r="AL81" i="117" s="1"/>
  <c r="AI81" i="117"/>
  <c r="AG81" i="117" a="1"/>
  <c r="AG81" i="117" s="1"/>
  <c r="AE81" i="117" a="1"/>
  <c r="AE81" i="117" s="1"/>
  <c r="AB81" i="117"/>
  <c r="Z81" i="117" a="1"/>
  <c r="Z81" i="117" s="1"/>
  <c r="X81" i="117" a="1"/>
  <c r="X81" i="117" s="1"/>
  <c r="U81" i="117"/>
  <c r="P81" i="117" s="1"/>
  <c r="S81" i="117" a="1"/>
  <c r="S81" i="117" s="1"/>
  <c r="Q81" i="117" a="1"/>
  <c r="Q81" i="117" s="1"/>
  <c r="M81" i="117"/>
  <c r="D81" i="117"/>
  <c r="C81" i="117" s="1"/>
  <c r="B81" i="117"/>
  <c r="AD81" i="117" s="1" a="1"/>
  <c r="AD81" i="117" s="1"/>
  <c r="AP80" i="117"/>
  <c r="AN80" i="117" a="1"/>
  <c r="AN80" i="117" s="1"/>
  <c r="AL80" i="117" a="1"/>
  <c r="AL80" i="117" s="1"/>
  <c r="AI80" i="117"/>
  <c r="AG80" i="117" a="1"/>
  <c r="AG80" i="117" s="1"/>
  <c r="AE80" i="117" a="1"/>
  <c r="AE80" i="117" s="1"/>
  <c r="AB80" i="117"/>
  <c r="Z80" i="117" a="1"/>
  <c r="Z80" i="117" s="1"/>
  <c r="X80" i="117" a="1"/>
  <c r="X80" i="117" s="1"/>
  <c r="U80" i="117"/>
  <c r="W80" i="117" s="1" a="1"/>
  <c r="W80" i="117" s="1"/>
  <c r="S80" i="117" a="1"/>
  <c r="S80" i="117" s="1"/>
  <c r="Q80" i="117" a="1"/>
  <c r="Q80" i="117" s="1"/>
  <c r="M80" i="117"/>
  <c r="D80" i="117"/>
  <c r="N80" i="117" s="1"/>
  <c r="B80" i="117"/>
  <c r="AD80" i="117" s="1" a="1"/>
  <c r="AD80" i="117" s="1"/>
  <c r="AP79" i="117"/>
  <c r="AN79" i="117" a="1"/>
  <c r="AN79" i="117" s="1"/>
  <c r="AL79" i="117" a="1"/>
  <c r="AL79" i="117" s="1"/>
  <c r="AI79" i="117"/>
  <c r="AG79" i="117" a="1"/>
  <c r="AG79" i="117" s="1"/>
  <c r="AE79" i="117"/>
  <c r="AE79" i="117" a="1"/>
  <c r="AB79" i="117"/>
  <c r="Z79" i="117" a="1"/>
  <c r="Z79" i="117" s="1"/>
  <c r="X79" i="117" a="1"/>
  <c r="X79" i="117" s="1"/>
  <c r="U79" i="117"/>
  <c r="P79" i="117" s="1"/>
  <c r="S79" i="117" a="1"/>
  <c r="S79" i="117" s="1"/>
  <c r="Q79" i="117" a="1"/>
  <c r="Q79" i="117" s="1"/>
  <c r="M79" i="117"/>
  <c r="D79" i="117"/>
  <c r="C79" i="117" s="1"/>
  <c r="B79" i="117"/>
  <c r="AD79" i="117" s="1" a="1"/>
  <c r="AD79" i="117" s="1"/>
  <c r="AP78" i="117"/>
  <c r="AN78" i="117" a="1"/>
  <c r="AN78" i="117" s="1"/>
  <c r="AL78" i="117" a="1"/>
  <c r="AL78" i="117" s="1"/>
  <c r="AI78" i="117"/>
  <c r="AG78" i="117" a="1"/>
  <c r="AG78" i="117" s="1"/>
  <c r="AE78" i="117" a="1"/>
  <c r="AE78" i="117" s="1"/>
  <c r="AB78" i="117"/>
  <c r="Z78" i="117" a="1"/>
  <c r="Z78" i="117" s="1"/>
  <c r="X78" i="117" a="1"/>
  <c r="X78" i="117" s="1"/>
  <c r="U78" i="117"/>
  <c r="P78" i="117" s="1"/>
  <c r="S78" i="117" a="1"/>
  <c r="S78" i="117" s="1"/>
  <c r="Q78" i="117" a="1"/>
  <c r="Q78" i="117" s="1"/>
  <c r="M78" i="117"/>
  <c r="D78" i="117"/>
  <c r="B78" i="117"/>
  <c r="AD78" i="117" s="1" a="1"/>
  <c r="AD78" i="117" s="1"/>
  <c r="AP77" i="117"/>
  <c r="AN77" i="117" a="1"/>
  <c r="AN77" i="117" s="1"/>
  <c r="AL77" i="117" a="1"/>
  <c r="AL77" i="117" s="1"/>
  <c r="AI77" i="117"/>
  <c r="AG77" i="117" a="1"/>
  <c r="AG77" i="117" s="1"/>
  <c r="AE77" i="117" a="1"/>
  <c r="AE77" i="117" s="1"/>
  <c r="AB77" i="117"/>
  <c r="Z77" i="117" a="1"/>
  <c r="Z77" i="117" s="1"/>
  <c r="X77" i="117" a="1"/>
  <c r="X77" i="117" s="1"/>
  <c r="U77" i="117"/>
  <c r="S77" i="117" a="1"/>
  <c r="S77" i="117" s="1"/>
  <c r="Q77" i="117" a="1"/>
  <c r="Q77" i="117" s="1"/>
  <c r="M77" i="117"/>
  <c r="D77" i="117"/>
  <c r="N77" i="117" s="1"/>
  <c r="B77" i="117"/>
  <c r="AP76" i="117"/>
  <c r="AN76" i="117" a="1"/>
  <c r="AN76" i="117" s="1"/>
  <c r="AL76" i="117" a="1"/>
  <c r="AL76" i="117" s="1"/>
  <c r="AI76" i="117"/>
  <c r="AG76" i="117" a="1"/>
  <c r="AG76" i="117" s="1"/>
  <c r="AE76" i="117" a="1"/>
  <c r="AE76" i="117" s="1"/>
  <c r="AB76" i="117"/>
  <c r="Z76" i="117" a="1"/>
  <c r="Z76" i="117" s="1"/>
  <c r="X76" i="117" a="1"/>
  <c r="X76" i="117" s="1"/>
  <c r="U76" i="117"/>
  <c r="W76" i="117" s="1" a="1"/>
  <c r="W76" i="117" s="1"/>
  <c r="S76" i="117" a="1"/>
  <c r="S76" i="117" s="1"/>
  <c r="Q76" i="117" a="1"/>
  <c r="Q76" i="117" s="1"/>
  <c r="M76" i="117"/>
  <c r="D76" i="117"/>
  <c r="N76" i="117" s="1"/>
  <c r="B76" i="117"/>
  <c r="AD76" i="117" s="1" a="1"/>
  <c r="AD76" i="117" s="1"/>
  <c r="AP75" i="117"/>
  <c r="AN75" i="117" a="1"/>
  <c r="AN75" i="117" s="1"/>
  <c r="AL75" i="117" a="1"/>
  <c r="AL75" i="117" s="1"/>
  <c r="AI75" i="117"/>
  <c r="AG75" i="117" a="1"/>
  <c r="AG75" i="117" s="1"/>
  <c r="AE75" i="117" a="1"/>
  <c r="AE75" i="117" s="1"/>
  <c r="AB75" i="117"/>
  <c r="Z75" i="117" a="1"/>
  <c r="Z75" i="117" s="1"/>
  <c r="X75" i="117" a="1"/>
  <c r="X75" i="117" s="1"/>
  <c r="U75" i="117"/>
  <c r="W75" i="117" s="1" a="1"/>
  <c r="W75" i="117" s="1"/>
  <c r="S75" i="117" a="1"/>
  <c r="S75" i="117" s="1"/>
  <c r="Q75" i="117" a="1"/>
  <c r="Q75" i="117" s="1"/>
  <c r="M75" i="117"/>
  <c r="D75" i="117"/>
  <c r="C75" i="117" s="1"/>
  <c r="B75" i="117"/>
  <c r="AD75" i="117" s="1" a="1"/>
  <c r="AD75" i="117" s="1"/>
  <c r="AP74" i="117"/>
  <c r="AN74" i="117" a="1"/>
  <c r="AN74" i="117" s="1"/>
  <c r="AL74" i="117" a="1"/>
  <c r="AL74" i="117" s="1"/>
  <c r="AI74" i="117"/>
  <c r="AG74" i="117" a="1"/>
  <c r="AG74" i="117" s="1"/>
  <c r="AE74" i="117" a="1"/>
  <c r="AE74" i="117" s="1"/>
  <c r="AB74" i="117"/>
  <c r="Z74" i="117" a="1"/>
  <c r="Z74" i="117" s="1"/>
  <c r="X74" i="117" a="1"/>
  <c r="X74" i="117" s="1"/>
  <c r="U74" i="117"/>
  <c r="W74" i="117" s="1" a="1"/>
  <c r="W74" i="117" s="1"/>
  <c r="S74" i="117" a="1"/>
  <c r="S74" i="117" s="1"/>
  <c r="Q74" i="117" a="1"/>
  <c r="Q74" i="117" s="1"/>
  <c r="M74" i="117"/>
  <c r="D74" i="117"/>
  <c r="C74" i="117" s="1"/>
  <c r="B74" i="117"/>
  <c r="AD74" i="117" s="1" a="1"/>
  <c r="AD74" i="117" s="1"/>
  <c r="AP73" i="117"/>
  <c r="AN73" i="117" a="1"/>
  <c r="AN73" i="117" s="1"/>
  <c r="AL73" i="117" a="1"/>
  <c r="AL73" i="117" s="1"/>
  <c r="AI73" i="117"/>
  <c r="AG73" i="117" a="1"/>
  <c r="AG73" i="117" s="1"/>
  <c r="AE73" i="117"/>
  <c r="AE73" i="117" a="1"/>
  <c r="AB73" i="117"/>
  <c r="Z73" i="117" a="1"/>
  <c r="Z73" i="117" s="1"/>
  <c r="X73" i="117" a="1"/>
  <c r="X73" i="117" s="1"/>
  <c r="U73" i="117"/>
  <c r="W73" i="117" s="1" a="1"/>
  <c r="W73" i="117" s="1"/>
  <c r="S73" i="117" a="1"/>
  <c r="S73" i="117" s="1"/>
  <c r="Q73" i="117" a="1"/>
  <c r="Q73" i="117" s="1"/>
  <c r="M73" i="117"/>
  <c r="D73" i="117"/>
  <c r="N73" i="117" s="1"/>
  <c r="B73" i="117"/>
  <c r="AP72" i="117"/>
  <c r="AN72" i="117" a="1"/>
  <c r="AN72" i="117" s="1"/>
  <c r="AL72" i="117" a="1"/>
  <c r="AL72" i="117" s="1"/>
  <c r="AI72" i="117"/>
  <c r="AG72" i="117" a="1"/>
  <c r="AG72" i="117" s="1"/>
  <c r="AE72" i="117" a="1"/>
  <c r="AE72" i="117" s="1"/>
  <c r="AB72" i="117"/>
  <c r="Z72" i="117" a="1"/>
  <c r="Z72" i="117" s="1"/>
  <c r="X72" i="117"/>
  <c r="X72" i="117" a="1"/>
  <c r="U72" i="117"/>
  <c r="P72" i="117" s="1"/>
  <c r="S72" i="117" a="1"/>
  <c r="S72" i="117" s="1"/>
  <c r="Q72" i="117" a="1"/>
  <c r="Q72" i="117" s="1"/>
  <c r="M72" i="117"/>
  <c r="D72" i="117"/>
  <c r="B72" i="117"/>
  <c r="AP71" i="117"/>
  <c r="AN71" i="117" a="1"/>
  <c r="AN71" i="117" s="1"/>
  <c r="AL71" i="117" a="1"/>
  <c r="AL71" i="117" s="1"/>
  <c r="AI71" i="117"/>
  <c r="AG71" i="117" a="1"/>
  <c r="AG71" i="117" s="1"/>
  <c r="AE71" i="117" a="1"/>
  <c r="AE71" i="117" s="1"/>
  <c r="AB71" i="117"/>
  <c r="Z71" i="117" a="1"/>
  <c r="Z71" i="117" s="1"/>
  <c r="X71" i="117" a="1"/>
  <c r="X71" i="117" s="1"/>
  <c r="U71" i="117"/>
  <c r="P71" i="117" s="1"/>
  <c r="S71" i="117" a="1"/>
  <c r="S71" i="117" s="1"/>
  <c r="Q71" i="117" a="1"/>
  <c r="Q71" i="117" s="1"/>
  <c r="M71" i="117"/>
  <c r="D71" i="117"/>
  <c r="B71" i="117"/>
  <c r="AP70" i="117"/>
  <c r="AN70" i="117" a="1"/>
  <c r="AN70" i="117" s="1"/>
  <c r="AL70" i="117" a="1"/>
  <c r="AL70" i="117" s="1"/>
  <c r="AI70" i="117"/>
  <c r="AG70" i="117" a="1"/>
  <c r="AG70" i="117" s="1"/>
  <c r="AE70" i="117" a="1"/>
  <c r="AE70" i="117" s="1"/>
  <c r="AB70" i="117"/>
  <c r="Z70" i="117" a="1"/>
  <c r="Z70" i="117" s="1"/>
  <c r="X70" i="117" a="1"/>
  <c r="X70" i="117" s="1"/>
  <c r="U70" i="117"/>
  <c r="W70" i="117" s="1" a="1"/>
  <c r="W70" i="117" s="1"/>
  <c r="S70" i="117" a="1"/>
  <c r="S70" i="117" s="1"/>
  <c r="Q70" i="117" a="1"/>
  <c r="Q70" i="117" s="1"/>
  <c r="M70" i="117"/>
  <c r="D70" i="117"/>
  <c r="B70" i="117"/>
  <c r="AP69" i="117"/>
  <c r="AN69" i="117" a="1"/>
  <c r="AN69" i="117" s="1"/>
  <c r="AL69" i="117" a="1"/>
  <c r="AL69" i="117" s="1"/>
  <c r="AI69" i="117"/>
  <c r="AG69" i="117" a="1"/>
  <c r="AG69" i="117" s="1"/>
  <c r="AE69" i="117" a="1"/>
  <c r="AE69" i="117" s="1"/>
  <c r="AB69" i="117"/>
  <c r="Z69" i="117" a="1"/>
  <c r="Z69" i="117" s="1"/>
  <c r="X69" i="117" a="1"/>
  <c r="X69" i="117" s="1"/>
  <c r="U69" i="117"/>
  <c r="S69" i="117" a="1"/>
  <c r="S69" i="117" s="1"/>
  <c r="Q69" i="117" a="1"/>
  <c r="Q69" i="117" s="1"/>
  <c r="M69" i="117"/>
  <c r="D69" i="117"/>
  <c r="N69" i="117" s="1"/>
  <c r="B69" i="117"/>
  <c r="AP68" i="117"/>
  <c r="AN68" i="117" a="1"/>
  <c r="AN68" i="117" s="1"/>
  <c r="AL68" i="117" a="1"/>
  <c r="AL68" i="117" s="1"/>
  <c r="AI68" i="117"/>
  <c r="AG68" i="117" a="1"/>
  <c r="AG68" i="117" s="1"/>
  <c r="AE68" i="117" a="1"/>
  <c r="AE68" i="117" s="1"/>
  <c r="AB68" i="117"/>
  <c r="Z68" i="117"/>
  <c r="Z68" i="117" a="1"/>
  <c r="X68" i="117" a="1"/>
  <c r="X68" i="117" s="1"/>
  <c r="U68" i="117"/>
  <c r="W68" i="117" s="1" a="1"/>
  <c r="W68" i="117" s="1"/>
  <c r="S68" i="117" a="1"/>
  <c r="S68" i="117" s="1"/>
  <c r="Q68" i="117" a="1"/>
  <c r="Q68" i="117" s="1"/>
  <c r="M68" i="117"/>
  <c r="D68" i="117"/>
  <c r="N68" i="117" s="1"/>
  <c r="B68" i="117"/>
  <c r="AP67" i="117"/>
  <c r="AN67" i="117" a="1"/>
  <c r="AN67" i="117" s="1"/>
  <c r="AL67" i="117" a="1"/>
  <c r="AL67" i="117" s="1"/>
  <c r="AI67" i="117"/>
  <c r="AG67" i="117" a="1"/>
  <c r="AG67" i="117" s="1"/>
  <c r="AE67" i="117" a="1"/>
  <c r="AE67" i="117" s="1"/>
  <c r="AB67" i="117"/>
  <c r="Z67" i="117" a="1"/>
  <c r="Z67" i="117" s="1"/>
  <c r="X67" i="117" a="1"/>
  <c r="X67" i="117" s="1"/>
  <c r="U67" i="117"/>
  <c r="W67" i="117" s="1" a="1"/>
  <c r="W67" i="117" s="1"/>
  <c r="S67" i="117" a="1"/>
  <c r="S67" i="117" s="1"/>
  <c r="Q67" i="117" a="1"/>
  <c r="Q67" i="117" s="1"/>
  <c r="M67" i="117"/>
  <c r="D67" i="117"/>
  <c r="B67" i="117"/>
  <c r="AD67" i="117" s="1" a="1"/>
  <c r="AD67" i="117" s="1"/>
  <c r="AP66" i="117"/>
  <c r="AN66" i="117" a="1"/>
  <c r="AN66" i="117" s="1"/>
  <c r="AL66" i="117" a="1"/>
  <c r="AL66" i="117" s="1"/>
  <c r="AI66" i="117"/>
  <c r="AG66" i="117" a="1"/>
  <c r="AG66" i="117" s="1"/>
  <c r="AE66" i="117" a="1"/>
  <c r="AE66" i="117" s="1"/>
  <c r="AB66" i="117"/>
  <c r="Z66" i="117" a="1"/>
  <c r="Z66" i="117" s="1"/>
  <c r="X66" i="117" a="1"/>
  <c r="X66" i="117" s="1"/>
  <c r="U66" i="117"/>
  <c r="S66" i="117" a="1"/>
  <c r="S66" i="117" s="1"/>
  <c r="Q66" i="117" a="1"/>
  <c r="Q66" i="117" s="1"/>
  <c r="M66" i="117"/>
  <c r="D66" i="117"/>
  <c r="N66" i="117" s="1"/>
  <c r="B66" i="117"/>
  <c r="AD66" i="117" s="1" a="1"/>
  <c r="AD66" i="117" s="1"/>
  <c r="AP65" i="117"/>
  <c r="AN65" i="117" a="1"/>
  <c r="AN65" i="117" s="1"/>
  <c r="AL65" i="117" a="1"/>
  <c r="AL65" i="117" s="1"/>
  <c r="AI65" i="117"/>
  <c r="AG65" i="117" a="1"/>
  <c r="AG65" i="117" s="1"/>
  <c r="AE65" i="117" a="1"/>
  <c r="AE65" i="117" s="1"/>
  <c r="AB65" i="117"/>
  <c r="Z65" i="117"/>
  <c r="Z65" i="117" a="1"/>
  <c r="X65" i="117" a="1"/>
  <c r="X65" i="117" s="1"/>
  <c r="U65" i="117"/>
  <c r="S65" i="117" a="1"/>
  <c r="S65" i="117" s="1"/>
  <c r="Q65" i="117" a="1"/>
  <c r="Q65" i="117" s="1"/>
  <c r="M65" i="117"/>
  <c r="D65" i="117"/>
  <c r="N65" i="117" s="1"/>
  <c r="B65" i="117"/>
  <c r="AP64" i="117"/>
  <c r="AN64" i="117" a="1"/>
  <c r="AN64" i="117" s="1"/>
  <c r="AL64" i="117" a="1"/>
  <c r="AL64" i="117" s="1"/>
  <c r="AI64" i="117"/>
  <c r="AG64" i="117" a="1"/>
  <c r="AG64" i="117" s="1"/>
  <c r="AE64" i="117" a="1"/>
  <c r="AE64" i="117" s="1"/>
  <c r="AB64" i="117"/>
  <c r="Z64" i="117"/>
  <c r="Z64" i="117" a="1"/>
  <c r="X64" i="117" a="1"/>
  <c r="X64" i="117" s="1"/>
  <c r="U64" i="117"/>
  <c r="P64" i="117" s="1"/>
  <c r="S64" i="117" a="1"/>
  <c r="S64" i="117" s="1"/>
  <c r="Q64" i="117" a="1"/>
  <c r="Q64" i="117" s="1"/>
  <c r="M64" i="117"/>
  <c r="D64" i="117"/>
  <c r="B64" i="117"/>
  <c r="AD64" i="117" s="1" a="1"/>
  <c r="AD64" i="117" s="1"/>
  <c r="AP63" i="117"/>
  <c r="AN63" i="117" a="1"/>
  <c r="AN63" i="117" s="1"/>
  <c r="AL63" i="117" a="1"/>
  <c r="AL63" i="117" s="1"/>
  <c r="AI63" i="117"/>
  <c r="AG63" i="117" a="1"/>
  <c r="AG63" i="117" s="1"/>
  <c r="AE63" i="117" a="1"/>
  <c r="AE63" i="117" s="1"/>
  <c r="AB63" i="117"/>
  <c r="Z63" i="117" a="1"/>
  <c r="Z63" i="117" s="1"/>
  <c r="X63" i="117" a="1"/>
  <c r="X63" i="117" s="1"/>
  <c r="U63" i="117"/>
  <c r="P63" i="117" s="1"/>
  <c r="S63" i="117" a="1"/>
  <c r="S63" i="117" s="1"/>
  <c r="Q63" i="117" a="1"/>
  <c r="Q63" i="117" s="1"/>
  <c r="M63" i="117"/>
  <c r="D63" i="117"/>
  <c r="B63" i="117"/>
  <c r="AD63" i="117" s="1" a="1"/>
  <c r="AD63" i="117" s="1"/>
  <c r="AP62" i="117"/>
  <c r="AN62" i="117" a="1"/>
  <c r="AN62" i="117" s="1"/>
  <c r="AL62" i="117" a="1"/>
  <c r="AL62" i="117" s="1"/>
  <c r="AI62" i="117"/>
  <c r="AG62" i="117" a="1"/>
  <c r="AG62" i="117" s="1"/>
  <c r="AE62" i="117" a="1"/>
  <c r="AE62" i="117" s="1"/>
  <c r="AB62" i="117"/>
  <c r="Z62" i="117" a="1"/>
  <c r="Z62" i="117" s="1"/>
  <c r="X62" i="117" a="1"/>
  <c r="X62" i="117" s="1"/>
  <c r="U62" i="117"/>
  <c r="W62" i="117" s="1" a="1"/>
  <c r="W62" i="117" s="1"/>
  <c r="S62" i="117" a="1"/>
  <c r="S62" i="117" s="1"/>
  <c r="Q62" i="117" a="1"/>
  <c r="Q62" i="117" s="1"/>
  <c r="M62" i="117"/>
  <c r="D62" i="117"/>
  <c r="N62" i="117" s="1"/>
  <c r="B62" i="117"/>
  <c r="AP61" i="117"/>
  <c r="AN61" i="117" a="1"/>
  <c r="AN61" i="117" s="1"/>
  <c r="AL61" i="117" a="1"/>
  <c r="AL61" i="117" s="1"/>
  <c r="AI61" i="117"/>
  <c r="AG61" i="117" a="1"/>
  <c r="AG61" i="117" s="1"/>
  <c r="AE61" i="117" a="1"/>
  <c r="AE61" i="117" s="1"/>
  <c r="AB61" i="117"/>
  <c r="Z61" i="117" a="1"/>
  <c r="Z61" i="117" s="1"/>
  <c r="X61" i="117" a="1"/>
  <c r="X61" i="117" s="1"/>
  <c r="U61" i="117"/>
  <c r="P61" i="117" s="1"/>
  <c r="S61" i="117" a="1"/>
  <c r="S61" i="117" s="1"/>
  <c r="Q61" i="117" a="1"/>
  <c r="Q61" i="117" s="1"/>
  <c r="M61" i="117"/>
  <c r="D61" i="117"/>
  <c r="B61" i="117"/>
  <c r="AD61" i="117" s="1" a="1"/>
  <c r="AD61" i="117" s="1"/>
  <c r="AP60" i="117"/>
  <c r="AN60" i="117" a="1"/>
  <c r="AN60" i="117" s="1"/>
  <c r="AL60" i="117" a="1"/>
  <c r="AL60" i="117" s="1"/>
  <c r="AI60" i="117"/>
  <c r="AG60" i="117"/>
  <c r="AG60" i="117" a="1"/>
  <c r="AE60" i="117" a="1"/>
  <c r="AE60" i="117" s="1"/>
  <c r="AB60" i="117"/>
  <c r="Z60" i="117" a="1"/>
  <c r="Z60" i="117" s="1"/>
  <c r="X60" i="117" a="1"/>
  <c r="X60" i="117" s="1"/>
  <c r="U60" i="117"/>
  <c r="S60" i="117" a="1"/>
  <c r="S60" i="117" s="1"/>
  <c r="Q60" i="117" a="1"/>
  <c r="Q60" i="117" s="1"/>
  <c r="M60" i="117"/>
  <c r="D60" i="117"/>
  <c r="N60" i="117" s="1"/>
  <c r="B60" i="117"/>
  <c r="AP59" i="117"/>
  <c r="AN59" i="117" a="1"/>
  <c r="AN59" i="117" s="1"/>
  <c r="AL59" i="117" a="1"/>
  <c r="AL59" i="117" s="1"/>
  <c r="AI59" i="117"/>
  <c r="AG59" i="117" a="1"/>
  <c r="AG59" i="117" s="1"/>
  <c r="AE59" i="117" a="1"/>
  <c r="AE59" i="117" s="1"/>
  <c r="AB59" i="117"/>
  <c r="Z59" i="117" a="1"/>
  <c r="Z59" i="117" s="1"/>
  <c r="X59" i="117" a="1"/>
  <c r="X59" i="117" s="1"/>
  <c r="U59" i="117"/>
  <c r="W59" i="117" s="1" a="1"/>
  <c r="W59" i="117" s="1"/>
  <c r="S59" i="117" a="1"/>
  <c r="S59" i="117" s="1"/>
  <c r="Q59" i="117" a="1"/>
  <c r="Q59" i="117" s="1"/>
  <c r="M59" i="117"/>
  <c r="D59" i="117"/>
  <c r="N59" i="117" s="1"/>
  <c r="B59" i="117"/>
  <c r="AR59" i="117" s="1" a="1"/>
  <c r="AR59" i="117" s="1"/>
  <c r="AP58" i="117"/>
  <c r="AN58" i="117" a="1"/>
  <c r="AN58" i="117" s="1"/>
  <c r="AL58" i="117"/>
  <c r="AL58" i="117" a="1"/>
  <c r="AI58" i="117"/>
  <c r="AG58" i="117" a="1"/>
  <c r="AG58" i="117" s="1"/>
  <c r="AE58" i="117" a="1"/>
  <c r="AE58" i="117" s="1"/>
  <c r="AB58" i="117"/>
  <c r="Z58" i="117" a="1"/>
  <c r="Z58" i="117" s="1"/>
  <c r="X58" i="117" a="1"/>
  <c r="X58" i="117" s="1"/>
  <c r="U58" i="117"/>
  <c r="P58" i="117" s="1"/>
  <c r="S58" i="117" a="1"/>
  <c r="S58" i="117" s="1"/>
  <c r="Q58" i="117" a="1"/>
  <c r="Q58" i="117" s="1"/>
  <c r="M58" i="117"/>
  <c r="D58" i="117"/>
  <c r="B58" i="117"/>
  <c r="AP57" i="117"/>
  <c r="AN57" i="117" a="1"/>
  <c r="AN57" i="117" s="1"/>
  <c r="AL57" i="117" a="1"/>
  <c r="AL57" i="117" s="1"/>
  <c r="AI57" i="117"/>
  <c r="AG57" i="117" a="1"/>
  <c r="AG57" i="117" s="1"/>
  <c r="AE57" i="117" a="1"/>
  <c r="AE57" i="117" s="1"/>
  <c r="AB57" i="117"/>
  <c r="Z57" i="117" a="1"/>
  <c r="Z57" i="117" s="1"/>
  <c r="X57" i="117" a="1"/>
  <c r="X57" i="117" s="1"/>
  <c r="U57" i="117"/>
  <c r="P57" i="117" s="1"/>
  <c r="S57" i="117" a="1"/>
  <c r="S57" i="117" s="1"/>
  <c r="Q57" i="117" a="1"/>
  <c r="Q57" i="117" s="1"/>
  <c r="M57" i="117"/>
  <c r="D57" i="117"/>
  <c r="C57" i="117" s="1"/>
  <c r="B57" i="117"/>
  <c r="AD57" i="117" s="1" a="1"/>
  <c r="AD57" i="117" s="1"/>
  <c r="AP56" i="117"/>
  <c r="AN56" i="117" a="1"/>
  <c r="AN56" i="117" s="1"/>
  <c r="AL56" i="117" a="1"/>
  <c r="AL56" i="117" s="1"/>
  <c r="AI56" i="117"/>
  <c r="AG56" i="117" a="1"/>
  <c r="AG56" i="117" s="1"/>
  <c r="AE56" i="117" a="1"/>
  <c r="AE56" i="117" s="1"/>
  <c r="AB56" i="117"/>
  <c r="Z56" i="117" a="1"/>
  <c r="Z56" i="117" s="1"/>
  <c r="X56" i="117" a="1"/>
  <c r="X56" i="117" s="1"/>
  <c r="U56" i="117"/>
  <c r="W56" i="117" s="1" a="1"/>
  <c r="W56" i="117" s="1"/>
  <c r="S56" i="117" a="1"/>
  <c r="S56" i="117" s="1"/>
  <c r="Q56" i="117" a="1"/>
  <c r="Q56" i="117" s="1"/>
  <c r="M56" i="117"/>
  <c r="D56" i="117"/>
  <c r="B56" i="117"/>
  <c r="AP55" i="117"/>
  <c r="AN55" i="117" a="1"/>
  <c r="AN55" i="117" s="1"/>
  <c r="AL55" i="117" a="1"/>
  <c r="AL55" i="117" s="1"/>
  <c r="AI55" i="117"/>
  <c r="AG55" i="117" a="1"/>
  <c r="AG55" i="117" s="1"/>
  <c r="AE55" i="117" a="1"/>
  <c r="AE55" i="117" s="1"/>
  <c r="AB55" i="117"/>
  <c r="Z55" i="117" a="1"/>
  <c r="Z55" i="117" s="1"/>
  <c r="X55" i="117" a="1"/>
  <c r="X55" i="117" s="1"/>
  <c r="U55" i="117"/>
  <c r="P55" i="117" s="1"/>
  <c r="S55" i="117" a="1"/>
  <c r="S55" i="117" s="1"/>
  <c r="Q55" i="117" a="1"/>
  <c r="Q55" i="117" s="1"/>
  <c r="M55" i="117"/>
  <c r="D55" i="117"/>
  <c r="B55" i="117"/>
  <c r="AK55" i="117" s="1" a="1"/>
  <c r="AK55" i="117" s="1"/>
  <c r="AP54" i="117"/>
  <c r="AN54" i="117" a="1"/>
  <c r="AN54" i="117" s="1"/>
  <c r="AL54" i="117" a="1"/>
  <c r="AL54" i="117" s="1"/>
  <c r="AI54" i="117"/>
  <c r="AG54" i="117" a="1"/>
  <c r="AG54" i="117" s="1"/>
  <c r="AE54" i="117" a="1"/>
  <c r="AE54" i="117" s="1"/>
  <c r="AB54" i="117"/>
  <c r="Z54" i="117" a="1"/>
  <c r="Z54" i="117" s="1"/>
  <c r="X54" i="117" a="1"/>
  <c r="X54" i="117" s="1"/>
  <c r="U54" i="117"/>
  <c r="W54" i="117" s="1" a="1"/>
  <c r="W54" i="117" s="1"/>
  <c r="S54" i="117" a="1"/>
  <c r="S54" i="117" s="1"/>
  <c r="Q54" i="117" a="1"/>
  <c r="Q54" i="117" s="1"/>
  <c r="M54" i="117"/>
  <c r="D54" i="117"/>
  <c r="N54" i="117" s="1"/>
  <c r="B54" i="117"/>
  <c r="AP53" i="117"/>
  <c r="AN53" i="117" a="1"/>
  <c r="AN53" i="117" s="1"/>
  <c r="AL53" i="117" a="1"/>
  <c r="AL53" i="117" s="1"/>
  <c r="AI53" i="117"/>
  <c r="AK53" i="117" s="1" a="1"/>
  <c r="AK53" i="117" s="1"/>
  <c r="AG53" i="117" a="1"/>
  <c r="AG53" i="117" s="1"/>
  <c r="AE53" i="117" a="1"/>
  <c r="AE53" i="117" s="1"/>
  <c r="AB53" i="117"/>
  <c r="Z53" i="117" a="1"/>
  <c r="Z53" i="117" s="1"/>
  <c r="X53" i="117" a="1"/>
  <c r="X53" i="117" s="1"/>
  <c r="U53" i="117"/>
  <c r="W53" i="117" s="1" a="1"/>
  <c r="W53" i="117" s="1"/>
  <c r="S53" i="117" a="1"/>
  <c r="S53" i="117" s="1"/>
  <c r="Q53" i="117" a="1"/>
  <c r="Q53" i="117" s="1"/>
  <c r="M53" i="117"/>
  <c r="D53" i="117"/>
  <c r="N53" i="117" s="1"/>
  <c r="B53" i="117"/>
  <c r="AP52" i="117"/>
  <c r="AN52" i="117" a="1"/>
  <c r="AN52" i="117" s="1"/>
  <c r="AL52" i="117" a="1"/>
  <c r="AL52" i="117" s="1"/>
  <c r="AI52" i="117"/>
  <c r="AG52" i="117"/>
  <c r="AG52" i="117" a="1"/>
  <c r="AE52" i="117" a="1"/>
  <c r="AE52" i="117" s="1"/>
  <c r="AB52" i="117"/>
  <c r="Z52" i="117" a="1"/>
  <c r="Z52" i="117" s="1"/>
  <c r="X52" i="117" a="1"/>
  <c r="X52" i="117" s="1"/>
  <c r="U52" i="117"/>
  <c r="P52" i="117" s="1"/>
  <c r="S52" i="117" a="1"/>
  <c r="S52" i="117" s="1"/>
  <c r="Q52" i="117" a="1"/>
  <c r="Q52" i="117" s="1"/>
  <c r="M52" i="117"/>
  <c r="D52" i="117"/>
  <c r="B52" i="117"/>
  <c r="AD52" i="117" s="1" a="1"/>
  <c r="AD52" i="117" s="1"/>
  <c r="AP51" i="117"/>
  <c r="AN51" i="117" a="1"/>
  <c r="AN51" i="117" s="1"/>
  <c r="AL51" i="117" a="1"/>
  <c r="AL51" i="117" s="1"/>
  <c r="AI51" i="117"/>
  <c r="AG51" i="117" a="1"/>
  <c r="AG51" i="117" s="1"/>
  <c r="AE51" i="117" a="1"/>
  <c r="AE51" i="117" s="1"/>
  <c r="AB51" i="117"/>
  <c r="Z51" i="117" a="1"/>
  <c r="Z51" i="117" s="1"/>
  <c r="X51" i="117" a="1"/>
  <c r="X51" i="117" s="1"/>
  <c r="U51" i="117"/>
  <c r="P51" i="117" s="1"/>
  <c r="S51" i="117" a="1"/>
  <c r="S51" i="117" s="1"/>
  <c r="Q51" i="117" a="1"/>
  <c r="Q51" i="117" s="1"/>
  <c r="M51" i="117"/>
  <c r="D51" i="117"/>
  <c r="C51" i="117" s="1"/>
  <c r="B51" i="117"/>
  <c r="AD51" i="117" s="1" a="1"/>
  <c r="AD51" i="117" s="1"/>
  <c r="AP50" i="117"/>
  <c r="AN50" i="117" a="1"/>
  <c r="AN50" i="117" s="1"/>
  <c r="AL50" i="117" a="1"/>
  <c r="AL50" i="117" s="1"/>
  <c r="AI50" i="117"/>
  <c r="AG50" i="117" a="1"/>
  <c r="AG50" i="117" s="1"/>
  <c r="AE50" i="117" a="1"/>
  <c r="AE50" i="117" s="1"/>
  <c r="AB50" i="117"/>
  <c r="Z50" i="117" a="1"/>
  <c r="Z50" i="117" s="1"/>
  <c r="X50" i="117" a="1"/>
  <c r="X50" i="117" s="1"/>
  <c r="U50" i="117"/>
  <c r="S50" i="117" a="1"/>
  <c r="S50" i="117" s="1"/>
  <c r="Q50" i="117" a="1"/>
  <c r="Q50" i="117" s="1"/>
  <c r="M50" i="117"/>
  <c r="D50" i="117"/>
  <c r="C50" i="117" s="1"/>
  <c r="B50" i="117"/>
  <c r="AP49" i="117"/>
  <c r="AN49" i="117" a="1"/>
  <c r="AN49" i="117" s="1"/>
  <c r="AL49" i="117" a="1"/>
  <c r="AL49" i="117" s="1"/>
  <c r="AI49" i="117"/>
  <c r="AG49" i="117" a="1"/>
  <c r="AG49" i="117" s="1"/>
  <c r="AE49" i="117" a="1"/>
  <c r="AE49" i="117" s="1"/>
  <c r="AB49" i="117"/>
  <c r="Z49" i="117" a="1"/>
  <c r="Z49" i="117" s="1"/>
  <c r="X49" i="117" a="1"/>
  <c r="X49" i="117" s="1"/>
  <c r="U49" i="117"/>
  <c r="P49" i="117" s="1"/>
  <c r="S49" i="117" a="1"/>
  <c r="S49" i="117" s="1"/>
  <c r="Q49" i="117" a="1"/>
  <c r="Q49" i="117" s="1"/>
  <c r="M49" i="117"/>
  <c r="D49" i="117"/>
  <c r="N49" i="117" s="1"/>
  <c r="B49" i="117"/>
  <c r="AD49" i="117" s="1" a="1"/>
  <c r="AD49" i="117" s="1"/>
  <c r="AP48" i="117"/>
  <c r="AN48" i="117" a="1"/>
  <c r="AN48" i="117" s="1"/>
  <c r="AL48" i="117" a="1"/>
  <c r="AL48" i="117" s="1"/>
  <c r="AI48" i="117"/>
  <c r="AG48" i="117" a="1"/>
  <c r="AG48" i="117" s="1"/>
  <c r="AE48" i="117" a="1"/>
  <c r="AE48" i="117" s="1"/>
  <c r="AB48" i="117"/>
  <c r="Z48" i="117" a="1"/>
  <c r="Z48" i="117" s="1"/>
  <c r="X48" i="117" a="1"/>
  <c r="X48" i="117" s="1"/>
  <c r="U48" i="117"/>
  <c r="P48" i="117" s="1"/>
  <c r="S48" i="117" a="1"/>
  <c r="S48" i="117" s="1"/>
  <c r="Q48" i="117" a="1"/>
  <c r="Q48" i="117" s="1"/>
  <c r="M48" i="117"/>
  <c r="D48" i="117"/>
  <c r="N48" i="117" s="1"/>
  <c r="B48" i="117"/>
  <c r="AD48" i="117" s="1" a="1"/>
  <c r="AD48" i="117" s="1"/>
  <c r="AP47" i="117"/>
  <c r="AN47" i="117" a="1"/>
  <c r="AN47" i="117" s="1"/>
  <c r="AL47" i="117" a="1"/>
  <c r="AL47" i="117" s="1"/>
  <c r="AI47" i="117"/>
  <c r="AG47" i="117" a="1"/>
  <c r="AG47" i="117" s="1"/>
  <c r="AE47" i="117" a="1"/>
  <c r="AE47" i="117" s="1"/>
  <c r="AB47" i="117"/>
  <c r="Z47" i="117" a="1"/>
  <c r="Z47" i="117" s="1"/>
  <c r="X47" i="117" a="1"/>
  <c r="X47" i="117" s="1"/>
  <c r="U47" i="117"/>
  <c r="P47" i="117" s="1"/>
  <c r="S47" i="117" a="1"/>
  <c r="S47" i="117" s="1"/>
  <c r="Q47" i="117" a="1"/>
  <c r="Q47" i="117" s="1"/>
  <c r="M47" i="117"/>
  <c r="D47" i="117"/>
  <c r="B47" i="117"/>
  <c r="AD47" i="117" s="1" a="1"/>
  <c r="AD47" i="117" s="1"/>
  <c r="AP46" i="117"/>
  <c r="AN46" i="117" a="1"/>
  <c r="AN46" i="117" s="1"/>
  <c r="AL46" i="117" a="1"/>
  <c r="AL46" i="117" s="1"/>
  <c r="AI46" i="117"/>
  <c r="AG46" i="117" a="1"/>
  <c r="AG46" i="117" s="1"/>
  <c r="AE46" i="117"/>
  <c r="AE46" i="117" a="1"/>
  <c r="AB46" i="117"/>
  <c r="Z46" i="117"/>
  <c r="Z46" i="117" a="1"/>
  <c r="X46" i="117" a="1"/>
  <c r="X46" i="117" s="1"/>
  <c r="U46" i="117"/>
  <c r="P46" i="117" s="1"/>
  <c r="S46" i="117" a="1"/>
  <c r="S46" i="117" s="1"/>
  <c r="Q46" i="117" a="1"/>
  <c r="Q46" i="117" s="1"/>
  <c r="M46" i="117"/>
  <c r="D46" i="117"/>
  <c r="C46" i="117" s="1"/>
  <c r="B46" i="117"/>
  <c r="AK46" i="117" s="1" a="1"/>
  <c r="AK46" i="117" s="1"/>
  <c r="AP45" i="117"/>
  <c r="AN45" i="117" a="1"/>
  <c r="AN45" i="117" s="1"/>
  <c r="AL45" i="117" a="1"/>
  <c r="AL45" i="117" s="1"/>
  <c r="AI45" i="117"/>
  <c r="AG45" i="117" a="1"/>
  <c r="AG45" i="117" s="1"/>
  <c r="AE45" i="117" a="1"/>
  <c r="AE45" i="117" s="1"/>
  <c r="AB45" i="117"/>
  <c r="Z45" i="117" a="1"/>
  <c r="Z45" i="117" s="1"/>
  <c r="X45" i="117" a="1"/>
  <c r="X45" i="117" s="1"/>
  <c r="U45" i="117"/>
  <c r="P45" i="117" s="1"/>
  <c r="S45" i="117" a="1"/>
  <c r="S45" i="117" s="1"/>
  <c r="Q45" i="117" a="1"/>
  <c r="Q45" i="117" s="1"/>
  <c r="M45" i="117"/>
  <c r="D45" i="117"/>
  <c r="C45" i="117" s="1"/>
  <c r="B45" i="117"/>
  <c r="AD45" i="117" s="1" a="1"/>
  <c r="AD45" i="117" s="1"/>
  <c r="AP44" i="117"/>
  <c r="AN44" i="117" a="1"/>
  <c r="AN44" i="117" s="1"/>
  <c r="AL44" i="117" a="1"/>
  <c r="AL44" i="117" s="1"/>
  <c r="AI44" i="117"/>
  <c r="AG44" i="117" a="1"/>
  <c r="AG44" i="117" s="1"/>
  <c r="AE44" i="117" a="1"/>
  <c r="AE44" i="117" s="1"/>
  <c r="AB44" i="117"/>
  <c r="Z44" i="117" a="1"/>
  <c r="Z44" i="117" s="1"/>
  <c r="X44" i="117" a="1"/>
  <c r="X44" i="117" s="1"/>
  <c r="U44" i="117"/>
  <c r="P44" i="117" s="1"/>
  <c r="S44" i="117" a="1"/>
  <c r="S44" i="117" s="1"/>
  <c r="Q44" i="117" a="1"/>
  <c r="Q44" i="117" s="1"/>
  <c r="M44" i="117"/>
  <c r="D44" i="117"/>
  <c r="N44" i="117" s="1"/>
  <c r="B44" i="117"/>
  <c r="AP43" i="117"/>
  <c r="AN43" i="117" a="1"/>
  <c r="AN43" i="117" s="1"/>
  <c r="AL43" i="117" a="1"/>
  <c r="AL43" i="117" s="1"/>
  <c r="AI43" i="117"/>
  <c r="AG43" i="117" a="1"/>
  <c r="AG43" i="117" s="1"/>
  <c r="AE43" i="117" a="1"/>
  <c r="AE43" i="117" s="1"/>
  <c r="AB43" i="117"/>
  <c r="Z43" i="117" a="1"/>
  <c r="Z43" i="117" s="1"/>
  <c r="X43" i="117" a="1"/>
  <c r="X43" i="117" s="1"/>
  <c r="U43" i="117"/>
  <c r="W43" i="117" s="1" a="1"/>
  <c r="W43" i="117" s="1"/>
  <c r="S43" i="117" a="1"/>
  <c r="S43" i="117" s="1"/>
  <c r="Q43" i="117" a="1"/>
  <c r="Q43" i="117" s="1"/>
  <c r="M43" i="117"/>
  <c r="D43" i="117"/>
  <c r="N43" i="117" s="1"/>
  <c r="B43" i="117"/>
  <c r="AP42" i="117"/>
  <c r="AN42" i="117" a="1"/>
  <c r="AN42" i="117" s="1"/>
  <c r="AL42" i="117" a="1"/>
  <c r="AL42" i="117" s="1"/>
  <c r="AI42" i="117"/>
  <c r="AG42" i="117" a="1"/>
  <c r="AG42" i="117" s="1"/>
  <c r="AE42" i="117"/>
  <c r="AE42" i="117" a="1"/>
  <c r="AB42" i="117"/>
  <c r="O42" i="117" s="1"/>
  <c r="Z42" i="117" a="1"/>
  <c r="Z42" i="117" s="1"/>
  <c r="X42" i="117" a="1"/>
  <c r="X42" i="117" s="1"/>
  <c r="U42" i="117"/>
  <c r="P42" i="117" s="1"/>
  <c r="S42" i="117" a="1"/>
  <c r="S42" i="117" s="1"/>
  <c r="Q42" i="117" a="1"/>
  <c r="Q42" i="117" s="1"/>
  <c r="M42" i="117"/>
  <c r="D42" i="117"/>
  <c r="C42" i="117" s="1"/>
  <c r="B42" i="117"/>
  <c r="AD42" i="117" s="1" a="1"/>
  <c r="AD42" i="117" s="1"/>
  <c r="AP41" i="117"/>
  <c r="AN41" i="117" a="1"/>
  <c r="AN41" i="117" s="1"/>
  <c r="AL41" i="117" a="1"/>
  <c r="AL41" i="117" s="1"/>
  <c r="AI41" i="117"/>
  <c r="AG41" i="117" a="1"/>
  <c r="AG41" i="117" s="1"/>
  <c r="AE41" i="117" a="1"/>
  <c r="AE41" i="117" s="1"/>
  <c r="AB41" i="117"/>
  <c r="Z41" i="117" a="1"/>
  <c r="Z41" i="117" s="1"/>
  <c r="X41" i="117" a="1"/>
  <c r="X41" i="117" s="1"/>
  <c r="U41" i="117"/>
  <c r="W41" i="117" s="1" a="1"/>
  <c r="W41" i="117" s="1"/>
  <c r="S41" i="117" a="1"/>
  <c r="S41" i="117" s="1"/>
  <c r="Q41" i="117" a="1"/>
  <c r="Q41" i="117" s="1"/>
  <c r="M41" i="117"/>
  <c r="D41" i="117"/>
  <c r="C41" i="117" s="1"/>
  <c r="B41" i="117"/>
  <c r="AP40" i="117"/>
  <c r="AN40" i="117" a="1"/>
  <c r="AN40" i="117" s="1"/>
  <c r="AL40" i="117" a="1"/>
  <c r="AL40" i="117" s="1"/>
  <c r="AI40" i="117"/>
  <c r="AG40" i="117" a="1"/>
  <c r="AG40" i="117" s="1"/>
  <c r="AE40" i="117" a="1"/>
  <c r="AE40" i="117" s="1"/>
  <c r="AB40" i="117"/>
  <c r="O40" i="117" s="1"/>
  <c r="Z40" i="117" a="1"/>
  <c r="Z40" i="117" s="1"/>
  <c r="X40" i="117" a="1"/>
  <c r="X40" i="117" s="1"/>
  <c r="U40" i="117"/>
  <c r="W40" i="117" s="1" a="1"/>
  <c r="W40" i="117" s="1"/>
  <c r="S40" i="117" a="1"/>
  <c r="S40" i="117" s="1"/>
  <c r="Q40" i="117" a="1"/>
  <c r="Q40" i="117" s="1"/>
  <c r="M40" i="117"/>
  <c r="D40" i="117"/>
  <c r="B40" i="117"/>
  <c r="AD40" i="117" s="1" a="1"/>
  <c r="AD40" i="117" s="1"/>
  <c r="AP39" i="117"/>
  <c r="AN39" i="117" a="1"/>
  <c r="AN39" i="117" s="1"/>
  <c r="AL39" i="117" a="1"/>
  <c r="AL39" i="117" s="1"/>
  <c r="AI39" i="117"/>
  <c r="AG39" i="117" a="1"/>
  <c r="AG39" i="117" s="1"/>
  <c r="AE39" i="117" a="1"/>
  <c r="AE39" i="117" s="1"/>
  <c r="AB39" i="117"/>
  <c r="Z39" i="117" a="1"/>
  <c r="Z39" i="117" s="1"/>
  <c r="X39" i="117" a="1"/>
  <c r="X39" i="117" s="1"/>
  <c r="U39" i="117"/>
  <c r="W39" i="117" s="1" a="1"/>
  <c r="W39" i="117" s="1"/>
  <c r="S39" i="117" a="1"/>
  <c r="S39" i="117" s="1"/>
  <c r="Q39" i="117" a="1"/>
  <c r="Q39" i="117" s="1"/>
  <c r="M39" i="117"/>
  <c r="D39" i="117"/>
  <c r="C39" i="117" s="1"/>
  <c r="B39" i="117"/>
  <c r="AD39" i="117" s="1" a="1"/>
  <c r="AD39" i="117" s="1"/>
  <c r="AP38" i="117"/>
  <c r="AN38" i="117" a="1"/>
  <c r="AN38" i="117" s="1"/>
  <c r="AL38" i="117" a="1"/>
  <c r="AL38" i="117" s="1"/>
  <c r="AI38" i="117"/>
  <c r="AG38" i="117" a="1"/>
  <c r="AG38" i="117" s="1"/>
  <c r="AE38" i="117" a="1"/>
  <c r="AE38" i="117" s="1"/>
  <c r="AB38" i="117"/>
  <c r="Z38" i="117" a="1"/>
  <c r="Z38" i="117" s="1"/>
  <c r="X38" i="117" a="1"/>
  <c r="X38" i="117" s="1"/>
  <c r="U38" i="117"/>
  <c r="S38" i="117" a="1"/>
  <c r="S38" i="117" s="1"/>
  <c r="Q38" i="117" a="1"/>
  <c r="Q38" i="117" s="1"/>
  <c r="M38" i="117"/>
  <c r="D38" i="117"/>
  <c r="N38" i="117" s="1"/>
  <c r="B38" i="117"/>
  <c r="AP37" i="117"/>
  <c r="AN37" i="117" a="1"/>
  <c r="AN37" i="117" s="1"/>
  <c r="AL37" i="117" a="1"/>
  <c r="AL37" i="117" s="1"/>
  <c r="AI37" i="117"/>
  <c r="AG37" i="117" a="1"/>
  <c r="AG37" i="117" s="1"/>
  <c r="AE37" i="117" a="1"/>
  <c r="AE37" i="117" s="1"/>
  <c r="AB37" i="117"/>
  <c r="Z37" i="117" a="1"/>
  <c r="Z37" i="117" s="1"/>
  <c r="X37" i="117" a="1"/>
  <c r="X37" i="117" s="1"/>
  <c r="U37" i="117"/>
  <c r="S37" i="117" a="1"/>
  <c r="S37" i="117" s="1"/>
  <c r="Q37" i="117" a="1"/>
  <c r="Q37" i="117" s="1"/>
  <c r="M37" i="117"/>
  <c r="D37" i="117"/>
  <c r="N37" i="117" s="1"/>
  <c r="B37" i="117"/>
  <c r="AP36" i="117"/>
  <c r="AN36" i="117" a="1"/>
  <c r="AN36" i="117" s="1"/>
  <c r="AL36" i="117" a="1"/>
  <c r="AL36" i="117" s="1"/>
  <c r="AI36" i="117"/>
  <c r="AG36" i="117" a="1"/>
  <c r="AG36" i="117" s="1"/>
  <c r="AE36" i="117" a="1"/>
  <c r="AE36" i="117" s="1"/>
  <c r="AB36" i="117"/>
  <c r="Z36" i="117" a="1"/>
  <c r="Z36" i="117" s="1"/>
  <c r="X36" i="117" a="1"/>
  <c r="X36" i="117" s="1"/>
  <c r="U36" i="117"/>
  <c r="P36" i="117" s="1"/>
  <c r="S36" i="117" a="1"/>
  <c r="S36" i="117" s="1"/>
  <c r="Q36" i="117" a="1"/>
  <c r="Q36" i="117" s="1"/>
  <c r="M36" i="117"/>
  <c r="D36" i="117"/>
  <c r="C36" i="117" s="1"/>
  <c r="B36" i="117"/>
  <c r="AK36" i="117" s="1" a="1"/>
  <c r="AK36" i="117" s="1"/>
  <c r="AP35" i="117"/>
  <c r="AN35" i="117" a="1"/>
  <c r="AN35" i="117" s="1"/>
  <c r="AL35" i="117" a="1"/>
  <c r="AL35" i="117" s="1"/>
  <c r="AI35" i="117"/>
  <c r="AG35" i="117" a="1"/>
  <c r="AG35" i="117" s="1"/>
  <c r="AE35" i="117" a="1"/>
  <c r="AE35" i="117" s="1"/>
  <c r="AB35" i="117"/>
  <c r="Z35" i="117" a="1"/>
  <c r="Z35" i="117" s="1"/>
  <c r="X35" i="117" a="1"/>
  <c r="X35" i="117" s="1"/>
  <c r="U35" i="117"/>
  <c r="W35" i="117" s="1" a="1"/>
  <c r="W35" i="117" s="1"/>
  <c r="S35" i="117" a="1"/>
  <c r="S35" i="117" s="1"/>
  <c r="Q35" i="117" a="1"/>
  <c r="Q35" i="117" s="1"/>
  <c r="M35" i="117"/>
  <c r="D35" i="117"/>
  <c r="C35" i="117" s="1"/>
  <c r="B35" i="117"/>
  <c r="AP34" i="117"/>
  <c r="AN34" i="117" a="1"/>
  <c r="AN34" i="117" s="1"/>
  <c r="AL34" i="117" a="1"/>
  <c r="AL34" i="117" s="1"/>
  <c r="AI34" i="117"/>
  <c r="AG34" i="117" a="1"/>
  <c r="AG34" i="117" s="1"/>
  <c r="AE34" i="117" a="1"/>
  <c r="AE34" i="117" s="1"/>
  <c r="AB34" i="117"/>
  <c r="Z34" i="117" a="1"/>
  <c r="Z34" i="117" s="1"/>
  <c r="X34" i="117" a="1"/>
  <c r="X34" i="117" s="1"/>
  <c r="U34" i="117"/>
  <c r="P34" i="117" s="1"/>
  <c r="S34" i="117" a="1"/>
  <c r="S34" i="117" s="1"/>
  <c r="Q34" i="117" a="1"/>
  <c r="Q34" i="117" s="1"/>
  <c r="M34" i="117"/>
  <c r="D34" i="117"/>
  <c r="C34" i="117" s="1"/>
  <c r="B34" i="117"/>
  <c r="AD34" i="117" s="1" a="1"/>
  <c r="AD34" i="117" s="1"/>
  <c r="AP33" i="117"/>
  <c r="AN33" i="117" a="1"/>
  <c r="AN33" i="117" s="1"/>
  <c r="AL33" i="117" a="1"/>
  <c r="AL33" i="117" s="1"/>
  <c r="AI33" i="117"/>
  <c r="AG33" i="117" a="1"/>
  <c r="AG33" i="117" s="1"/>
  <c r="AE33" i="117" a="1"/>
  <c r="AE33" i="117" s="1"/>
  <c r="AB33" i="117"/>
  <c r="Z33" i="117" a="1"/>
  <c r="Z33" i="117" s="1"/>
  <c r="X33" i="117" a="1"/>
  <c r="X33" i="117" s="1"/>
  <c r="U33" i="117"/>
  <c r="S33" i="117" a="1"/>
  <c r="S33" i="117" s="1"/>
  <c r="Q33" i="117" a="1"/>
  <c r="Q33" i="117" s="1"/>
  <c r="M33" i="117"/>
  <c r="D33" i="117"/>
  <c r="B33" i="117"/>
  <c r="AD33" i="117" s="1" a="1"/>
  <c r="AD33" i="117" s="1"/>
  <c r="AP32" i="117"/>
  <c r="AN32" i="117" a="1"/>
  <c r="AN32" i="117" s="1"/>
  <c r="AL32" i="117" a="1"/>
  <c r="AL32" i="117" s="1"/>
  <c r="AI32" i="117"/>
  <c r="AG32" i="117" a="1"/>
  <c r="AG32" i="117" s="1"/>
  <c r="AE32" i="117" a="1"/>
  <c r="AE32" i="117" s="1"/>
  <c r="AB32" i="117"/>
  <c r="Z32" i="117" a="1"/>
  <c r="Z32" i="117" s="1"/>
  <c r="X32" i="117" a="1"/>
  <c r="X32" i="117" s="1"/>
  <c r="U32" i="117"/>
  <c r="W32" i="117" s="1" a="1"/>
  <c r="W32" i="117" s="1"/>
  <c r="S32" i="117" a="1"/>
  <c r="S32" i="117" s="1"/>
  <c r="Q32" i="117" a="1"/>
  <c r="Q32" i="117" s="1"/>
  <c r="M32" i="117"/>
  <c r="D32" i="117"/>
  <c r="B32" i="117"/>
  <c r="AP31" i="117"/>
  <c r="AN31" i="117" a="1"/>
  <c r="AN31" i="117" s="1"/>
  <c r="AL31" i="117" a="1"/>
  <c r="AL31" i="117" s="1"/>
  <c r="AI31" i="117"/>
  <c r="AG31" i="117" a="1"/>
  <c r="AG31" i="117" s="1"/>
  <c r="AE31" i="117" a="1"/>
  <c r="AE31" i="117" s="1"/>
  <c r="AB31" i="117"/>
  <c r="Z31" i="117" a="1"/>
  <c r="Z31" i="117" s="1"/>
  <c r="X31" i="117" a="1"/>
  <c r="X31" i="117" s="1"/>
  <c r="U31" i="117"/>
  <c r="P31" i="117" s="1"/>
  <c r="S31" i="117" a="1"/>
  <c r="S31" i="117" s="1"/>
  <c r="Q31" i="117" a="1"/>
  <c r="Q31" i="117" s="1"/>
  <c r="M31" i="117"/>
  <c r="D31" i="117"/>
  <c r="N31" i="117" s="1"/>
  <c r="B31" i="117"/>
  <c r="AP30" i="117"/>
  <c r="AN30" i="117" a="1"/>
  <c r="AN30" i="117" s="1"/>
  <c r="AL30" i="117" a="1"/>
  <c r="AL30" i="117" s="1"/>
  <c r="AI30" i="117"/>
  <c r="AG30" i="117" a="1"/>
  <c r="AG30" i="117" s="1"/>
  <c r="AE30" i="117" a="1"/>
  <c r="AE30" i="117" s="1"/>
  <c r="AB30" i="117"/>
  <c r="Z30" i="117" a="1"/>
  <c r="Z30" i="117" s="1"/>
  <c r="X30" i="117" a="1"/>
  <c r="X30" i="117" s="1"/>
  <c r="U30" i="117"/>
  <c r="P30" i="117" s="1"/>
  <c r="S30" i="117" a="1"/>
  <c r="S30" i="117" s="1"/>
  <c r="Q30" i="117" a="1"/>
  <c r="Q30" i="117" s="1"/>
  <c r="M30" i="117"/>
  <c r="D30" i="117"/>
  <c r="B30" i="117"/>
  <c r="AD30" i="117" s="1" a="1"/>
  <c r="AD30" i="117" s="1"/>
  <c r="AP29" i="117"/>
  <c r="AN29" i="117" a="1"/>
  <c r="AN29" i="117" s="1"/>
  <c r="AL29" i="117" a="1"/>
  <c r="AL29" i="117" s="1"/>
  <c r="AI29" i="117"/>
  <c r="AG29" i="117" a="1"/>
  <c r="AG29" i="117" s="1"/>
  <c r="AE29" i="117" a="1"/>
  <c r="AE29" i="117" s="1"/>
  <c r="AB29" i="117"/>
  <c r="Z29" i="117" a="1"/>
  <c r="Z29" i="117" s="1"/>
  <c r="X29" i="117" a="1"/>
  <c r="X29" i="117" s="1"/>
  <c r="U29" i="117"/>
  <c r="P29" i="117" s="1"/>
  <c r="S29" i="117" a="1"/>
  <c r="S29" i="117" s="1"/>
  <c r="Q29" i="117" a="1"/>
  <c r="Q29" i="117" s="1"/>
  <c r="M29" i="117"/>
  <c r="D29" i="117"/>
  <c r="C29" i="117" s="1"/>
  <c r="B29" i="117"/>
  <c r="AD29" i="117" s="1" a="1"/>
  <c r="AD29" i="117" s="1"/>
  <c r="AP28" i="117"/>
  <c r="AN28" i="117" a="1"/>
  <c r="AN28" i="117" s="1"/>
  <c r="AL28" i="117" a="1"/>
  <c r="AL28" i="117" s="1"/>
  <c r="AI28" i="117"/>
  <c r="AG28" i="117" a="1"/>
  <c r="AG28" i="117" s="1"/>
  <c r="AE28" i="117" a="1"/>
  <c r="AE28" i="117" s="1"/>
  <c r="AB28" i="117"/>
  <c r="Z28" i="117" a="1"/>
  <c r="Z28" i="117" s="1"/>
  <c r="X28" i="117" a="1"/>
  <c r="X28" i="117" s="1"/>
  <c r="U28" i="117"/>
  <c r="P28" i="117" s="1"/>
  <c r="S28" i="117" a="1"/>
  <c r="S28" i="117" s="1"/>
  <c r="Q28" i="117" a="1"/>
  <c r="Q28" i="117" s="1"/>
  <c r="M28" i="117"/>
  <c r="D28" i="117"/>
  <c r="C28" i="117" s="1"/>
  <c r="B28" i="117"/>
  <c r="AP27" i="117"/>
  <c r="AN27" i="117" a="1"/>
  <c r="AN27" i="117" s="1"/>
  <c r="AL27" i="117" a="1"/>
  <c r="AL27" i="117" s="1"/>
  <c r="AI27" i="117"/>
  <c r="AG27" i="117" a="1"/>
  <c r="AG27" i="117" s="1"/>
  <c r="AE27" i="117" a="1"/>
  <c r="AE27" i="117" s="1"/>
  <c r="AB27" i="117"/>
  <c r="Z27" i="117" a="1"/>
  <c r="Z27" i="117" s="1"/>
  <c r="X27" i="117" a="1"/>
  <c r="X27" i="117" s="1"/>
  <c r="U27" i="117"/>
  <c r="S27" i="117" a="1"/>
  <c r="S27" i="117" s="1"/>
  <c r="Q27" i="117" a="1"/>
  <c r="Q27" i="117" s="1"/>
  <c r="M27" i="117"/>
  <c r="D27" i="117"/>
  <c r="N27" i="117" s="1"/>
  <c r="B27" i="117"/>
  <c r="AP26" i="117"/>
  <c r="AN26" i="117" a="1"/>
  <c r="AN26" i="117" s="1"/>
  <c r="AL26" i="117" a="1"/>
  <c r="AL26" i="117" s="1"/>
  <c r="AI26" i="117"/>
  <c r="AG26" i="117" a="1"/>
  <c r="AG26" i="117" s="1"/>
  <c r="AE26" i="117" a="1"/>
  <c r="AE26" i="117" s="1"/>
  <c r="AB26" i="117"/>
  <c r="Z26" i="117" a="1"/>
  <c r="Z26" i="117" s="1"/>
  <c r="X26" i="117" a="1"/>
  <c r="X26" i="117" s="1"/>
  <c r="U26" i="117"/>
  <c r="P26" i="117" s="1"/>
  <c r="S26" i="117" a="1"/>
  <c r="S26" i="117" s="1"/>
  <c r="Q26" i="117" a="1"/>
  <c r="Q26" i="117" s="1"/>
  <c r="M26" i="117"/>
  <c r="D26" i="117"/>
  <c r="B26" i="117"/>
  <c r="AD26" i="117" s="1" a="1"/>
  <c r="AD26" i="117" s="1"/>
  <c r="AP25" i="117"/>
  <c r="AN25" i="117" a="1"/>
  <c r="AN25" i="117" s="1"/>
  <c r="AL25" i="117" a="1"/>
  <c r="AL25" i="117" s="1"/>
  <c r="AI25" i="117"/>
  <c r="AG25" i="117" a="1"/>
  <c r="AG25" i="117" s="1"/>
  <c r="AE25" i="117" a="1"/>
  <c r="AE25" i="117" s="1"/>
  <c r="AB25" i="117"/>
  <c r="Z25" i="117" a="1"/>
  <c r="Z25" i="117" s="1"/>
  <c r="X25" i="117" a="1"/>
  <c r="X25" i="117" s="1"/>
  <c r="U25" i="117"/>
  <c r="S25" i="117" a="1"/>
  <c r="S25" i="117" s="1"/>
  <c r="Q25" i="117" a="1"/>
  <c r="Q25" i="117" s="1"/>
  <c r="M25" i="117"/>
  <c r="D25" i="117"/>
  <c r="N25" i="117" s="1"/>
  <c r="B25" i="117"/>
  <c r="AD25" i="117" s="1" a="1"/>
  <c r="AD25" i="117" s="1"/>
  <c r="AP24" i="117"/>
  <c r="AN24" i="117" a="1"/>
  <c r="AN24" i="117" s="1"/>
  <c r="AL24" i="117" a="1"/>
  <c r="AL24" i="117" s="1"/>
  <c r="AI24" i="117"/>
  <c r="AG24" i="117" a="1"/>
  <c r="AG24" i="117" s="1"/>
  <c r="AE24" i="117" a="1"/>
  <c r="AE24" i="117" s="1"/>
  <c r="AB24" i="117"/>
  <c r="Z24" i="117" a="1"/>
  <c r="Z24" i="117" s="1"/>
  <c r="X24" i="117" a="1"/>
  <c r="X24" i="117" s="1"/>
  <c r="U24" i="117"/>
  <c r="P24" i="117" s="1"/>
  <c r="S24" i="117" a="1"/>
  <c r="S24" i="117" s="1"/>
  <c r="Q24" i="117" a="1"/>
  <c r="Q24" i="117" s="1"/>
  <c r="M24" i="117"/>
  <c r="D24" i="117"/>
  <c r="B24" i="117"/>
  <c r="AP23" i="117"/>
  <c r="AN23" i="117" a="1"/>
  <c r="AN23" i="117" s="1"/>
  <c r="AL23" i="117" a="1"/>
  <c r="AL23" i="117" s="1"/>
  <c r="AI23" i="117"/>
  <c r="AG23" i="117" a="1"/>
  <c r="AG23" i="117" s="1"/>
  <c r="AE23" i="117" a="1"/>
  <c r="AE23" i="117" s="1"/>
  <c r="AB23" i="117"/>
  <c r="Z23" i="117" a="1"/>
  <c r="Z23" i="117" s="1"/>
  <c r="X23" i="117" a="1"/>
  <c r="X23" i="117" s="1"/>
  <c r="U23" i="117"/>
  <c r="P23" i="117" s="1"/>
  <c r="S23" i="117" a="1"/>
  <c r="S23" i="117" s="1"/>
  <c r="Q23" i="117" a="1"/>
  <c r="Q23" i="117" s="1"/>
  <c r="M23" i="117"/>
  <c r="D23" i="117"/>
  <c r="B23" i="117"/>
  <c r="AD23" i="117" s="1" a="1"/>
  <c r="AD23" i="117" s="1"/>
  <c r="AP22" i="117"/>
  <c r="AN22" i="117" a="1"/>
  <c r="AN22" i="117" s="1"/>
  <c r="AL22" i="117" a="1"/>
  <c r="AL22" i="117" s="1"/>
  <c r="AI22" i="117"/>
  <c r="AG22" i="117" a="1"/>
  <c r="AG22" i="117" s="1"/>
  <c r="AE22" i="117" a="1"/>
  <c r="AE22" i="117" s="1"/>
  <c r="AB22" i="117"/>
  <c r="Z22" i="117" a="1"/>
  <c r="Z22" i="117" s="1"/>
  <c r="X22" i="117" a="1"/>
  <c r="X22" i="117" s="1"/>
  <c r="U22" i="117"/>
  <c r="P22" i="117" s="1"/>
  <c r="S22" i="117" a="1"/>
  <c r="S22" i="117" s="1"/>
  <c r="Q22" i="117" a="1"/>
  <c r="Q22" i="117" s="1"/>
  <c r="M22" i="117"/>
  <c r="D22" i="117"/>
  <c r="B22" i="117"/>
  <c r="AP21" i="117"/>
  <c r="AN21" i="117" a="1"/>
  <c r="AN21" i="117" s="1"/>
  <c r="AL21" i="117" a="1"/>
  <c r="AL21" i="117" s="1"/>
  <c r="AI21" i="117"/>
  <c r="AG21" i="117" a="1"/>
  <c r="AG21" i="117" s="1"/>
  <c r="AE21" i="117" a="1"/>
  <c r="AE21" i="117" s="1"/>
  <c r="AB21" i="117"/>
  <c r="Z21" i="117" a="1"/>
  <c r="Z21" i="117" s="1"/>
  <c r="X21" i="117" a="1"/>
  <c r="X21" i="117" s="1"/>
  <c r="U21" i="117"/>
  <c r="W21" i="117" s="1" a="1"/>
  <c r="W21" i="117" s="1"/>
  <c r="S21" i="117" a="1"/>
  <c r="S21" i="117" s="1"/>
  <c r="Q21" i="117" a="1"/>
  <c r="Q21" i="117" s="1"/>
  <c r="M21" i="117"/>
  <c r="D21" i="117"/>
  <c r="B21" i="117"/>
  <c r="AP20" i="117"/>
  <c r="AN20" i="117" a="1"/>
  <c r="AN20" i="117" s="1"/>
  <c r="AL20" i="117" a="1"/>
  <c r="AL20" i="117" s="1"/>
  <c r="AI20" i="117"/>
  <c r="AG20" i="117" a="1"/>
  <c r="AG20" i="117" s="1"/>
  <c r="AE20" i="117" a="1"/>
  <c r="AE20" i="117" s="1"/>
  <c r="AB20" i="117"/>
  <c r="Z20" i="117" a="1"/>
  <c r="Z20" i="117" s="1"/>
  <c r="X20" i="117" a="1"/>
  <c r="X20" i="117" s="1"/>
  <c r="U20" i="117"/>
  <c r="S20" i="117" a="1"/>
  <c r="S20" i="117" s="1"/>
  <c r="Q20" i="117" a="1"/>
  <c r="Q20" i="117" s="1"/>
  <c r="M20" i="117"/>
  <c r="D20" i="117"/>
  <c r="N20" i="117" s="1"/>
  <c r="B20" i="117"/>
  <c r="AD20" i="117" s="1" a="1"/>
  <c r="AD20" i="117" s="1"/>
  <c r="AP19" i="117"/>
  <c r="AN19" i="117" a="1"/>
  <c r="AN19" i="117" s="1"/>
  <c r="AL19" i="117" a="1"/>
  <c r="AL19" i="117" s="1"/>
  <c r="AI19" i="117"/>
  <c r="AG19" i="117" a="1"/>
  <c r="AG19" i="117" s="1"/>
  <c r="AE19" i="117" a="1"/>
  <c r="AE19" i="117" s="1"/>
  <c r="AB19" i="117"/>
  <c r="O19" i="117" s="1"/>
  <c r="Z19" i="117" a="1"/>
  <c r="Z19" i="117" s="1"/>
  <c r="X19" i="117" a="1"/>
  <c r="X19" i="117" s="1"/>
  <c r="U19" i="117"/>
  <c r="W19" i="117" s="1" a="1"/>
  <c r="W19" i="117" s="1"/>
  <c r="S19" i="117" a="1"/>
  <c r="S19" i="117" s="1"/>
  <c r="Q19" i="117" a="1"/>
  <c r="Q19" i="117" s="1"/>
  <c r="M19" i="117"/>
  <c r="D19" i="117"/>
  <c r="B19" i="117"/>
  <c r="AD19" i="117" s="1" a="1"/>
  <c r="AD19" i="117" s="1"/>
  <c r="AP18" i="117"/>
  <c r="AN18" i="117" a="1"/>
  <c r="AN18" i="117" s="1"/>
  <c r="AL18" i="117" a="1"/>
  <c r="AL18" i="117" s="1"/>
  <c r="AI18" i="117"/>
  <c r="AG18" i="117" a="1"/>
  <c r="AG18" i="117" s="1"/>
  <c r="AE18" i="117" a="1"/>
  <c r="AE18" i="117" s="1"/>
  <c r="AB18" i="117"/>
  <c r="Z18" i="117" a="1"/>
  <c r="Z18" i="117" s="1"/>
  <c r="X18" i="117" a="1"/>
  <c r="X18" i="117" s="1"/>
  <c r="U18" i="117"/>
  <c r="P18" i="117" s="1"/>
  <c r="S18" i="117" a="1"/>
  <c r="S18" i="117" s="1"/>
  <c r="Q18" i="117" a="1"/>
  <c r="Q18" i="117" s="1"/>
  <c r="M18" i="117"/>
  <c r="D18" i="117"/>
  <c r="B18" i="117"/>
  <c r="AP17" i="117"/>
  <c r="AN17" i="117" a="1"/>
  <c r="AN17" i="117" s="1"/>
  <c r="AL17" i="117" a="1"/>
  <c r="AL17" i="117" s="1"/>
  <c r="AI17" i="117"/>
  <c r="AG17" i="117" a="1"/>
  <c r="AG17" i="117" s="1"/>
  <c r="AE17" i="117" a="1"/>
  <c r="AE17" i="117" s="1"/>
  <c r="AB17" i="117"/>
  <c r="Z17" i="117" a="1"/>
  <c r="Z17" i="117" s="1"/>
  <c r="X17" i="117" a="1"/>
  <c r="X17" i="117" s="1"/>
  <c r="U17" i="117"/>
  <c r="P17" i="117" s="1"/>
  <c r="S17" i="117" a="1"/>
  <c r="S17" i="117" s="1"/>
  <c r="Q17" i="117" a="1"/>
  <c r="Q17" i="117" s="1"/>
  <c r="M17" i="117"/>
  <c r="D17" i="117"/>
  <c r="C17" i="117" s="1"/>
  <c r="B17" i="117"/>
  <c r="AP16" i="117"/>
  <c r="AN16" i="117" a="1"/>
  <c r="AN16" i="117" s="1"/>
  <c r="AL16" i="117" a="1"/>
  <c r="AL16" i="117" s="1"/>
  <c r="AI16" i="117"/>
  <c r="AG16" i="117" a="1"/>
  <c r="AG16" i="117" s="1"/>
  <c r="AE16" i="117" a="1"/>
  <c r="AE16" i="117" s="1"/>
  <c r="AB16" i="117"/>
  <c r="Z16" i="117" a="1"/>
  <c r="Z16" i="117" s="1"/>
  <c r="X16" i="117" a="1"/>
  <c r="X16" i="117" s="1"/>
  <c r="U16" i="117"/>
  <c r="S16" i="117" a="1"/>
  <c r="S16" i="117" s="1"/>
  <c r="Q16" i="117" a="1"/>
  <c r="Q16" i="117" s="1"/>
  <c r="M16" i="117"/>
  <c r="D16" i="117"/>
  <c r="N16" i="117" s="1"/>
  <c r="B16" i="117"/>
  <c r="AP15" i="117"/>
  <c r="AN15" i="117" a="1"/>
  <c r="AN15" i="117" s="1"/>
  <c r="AL15" i="117" a="1"/>
  <c r="AL15" i="117" s="1"/>
  <c r="AI15" i="117"/>
  <c r="AG15" i="117" a="1"/>
  <c r="AG15" i="117" s="1"/>
  <c r="AE15" i="117" a="1"/>
  <c r="AE15" i="117" s="1"/>
  <c r="AB15" i="117"/>
  <c r="Z15" i="117" a="1"/>
  <c r="Z15" i="117" s="1"/>
  <c r="X15" i="117"/>
  <c r="X15" i="117" a="1"/>
  <c r="U15" i="117"/>
  <c r="W15" i="117" s="1" a="1"/>
  <c r="W15" i="117" s="1"/>
  <c r="S15" i="117" a="1"/>
  <c r="S15" i="117" s="1"/>
  <c r="Q15" i="117" a="1"/>
  <c r="Q15" i="117" s="1"/>
  <c r="M15" i="117"/>
  <c r="D15" i="117"/>
  <c r="B15" i="117"/>
  <c r="AD15" i="117" s="1" a="1"/>
  <c r="AD15" i="117" s="1"/>
  <c r="AP14" i="117"/>
  <c r="AN14" i="117" a="1"/>
  <c r="AN14" i="117" s="1"/>
  <c r="AL14" i="117" a="1"/>
  <c r="AL14" i="117" s="1"/>
  <c r="AI14" i="117"/>
  <c r="AG14" i="117" a="1"/>
  <c r="AG14" i="117" s="1"/>
  <c r="AE14" i="117" a="1"/>
  <c r="AE14" i="117" s="1"/>
  <c r="AB14" i="117"/>
  <c r="Z14" i="117" a="1"/>
  <c r="Z14" i="117" s="1"/>
  <c r="X14" i="117" a="1"/>
  <c r="X14" i="117" s="1"/>
  <c r="U14" i="117"/>
  <c r="S14" i="117" a="1"/>
  <c r="S14" i="117" s="1"/>
  <c r="Q14" i="117" a="1"/>
  <c r="Q14" i="117" s="1"/>
  <c r="M14" i="117"/>
  <c r="D14" i="117"/>
  <c r="N14" i="117" s="1"/>
  <c r="B14" i="117"/>
  <c r="AP13" i="117"/>
  <c r="AN13" i="117" a="1"/>
  <c r="AN13" i="117" s="1"/>
  <c r="AL13" i="117" a="1"/>
  <c r="AL13" i="117" s="1"/>
  <c r="AI13" i="117"/>
  <c r="AG13" i="117" a="1"/>
  <c r="AG13" i="117" s="1"/>
  <c r="AE13" i="117" a="1"/>
  <c r="AE13" i="117" s="1"/>
  <c r="AB13" i="117"/>
  <c r="Z13" i="117" a="1"/>
  <c r="Z13" i="117" s="1"/>
  <c r="X13" i="117" a="1"/>
  <c r="X13" i="117" s="1"/>
  <c r="U13" i="117"/>
  <c r="W13" i="117" s="1" a="1"/>
  <c r="W13" i="117" s="1"/>
  <c r="S13" i="117" a="1"/>
  <c r="S13" i="117" s="1"/>
  <c r="Q13" i="117" a="1"/>
  <c r="Q13" i="117" s="1"/>
  <c r="M13" i="117"/>
  <c r="D13" i="117"/>
  <c r="N13" i="117" s="1"/>
  <c r="B13" i="117"/>
  <c r="AP12" i="117"/>
  <c r="AN12" i="117" a="1"/>
  <c r="AN12" i="117" s="1"/>
  <c r="AL12" i="117" a="1"/>
  <c r="AL12" i="117" s="1"/>
  <c r="AI12" i="117"/>
  <c r="AG12" i="117" a="1"/>
  <c r="AG12" i="117" s="1"/>
  <c r="AE12" i="117" a="1"/>
  <c r="AE12" i="117" s="1"/>
  <c r="AB12" i="117"/>
  <c r="Z12" i="117" a="1"/>
  <c r="Z12" i="117" s="1"/>
  <c r="X12" i="117" a="1"/>
  <c r="X12" i="117" s="1"/>
  <c r="U12" i="117"/>
  <c r="P12" i="117" s="1"/>
  <c r="S12" i="117" a="1"/>
  <c r="S12" i="117" s="1"/>
  <c r="Q12" i="117" a="1"/>
  <c r="Q12" i="117" s="1"/>
  <c r="M12" i="117"/>
  <c r="D12" i="117"/>
  <c r="B12" i="117"/>
  <c r="AP11" i="117"/>
  <c r="AN11" i="117" a="1"/>
  <c r="AN11" i="117" s="1"/>
  <c r="AL11" i="117" a="1"/>
  <c r="AL11" i="117" s="1"/>
  <c r="AI11" i="117"/>
  <c r="AG11" i="117" a="1"/>
  <c r="AG11" i="117" s="1"/>
  <c r="AE11" i="117" a="1"/>
  <c r="AE11" i="117" s="1"/>
  <c r="AB11" i="117"/>
  <c r="Z11" i="117" a="1"/>
  <c r="Z11" i="117" s="1"/>
  <c r="X11" i="117" a="1"/>
  <c r="X11" i="117" s="1"/>
  <c r="U11" i="117"/>
  <c r="P11" i="117" s="1"/>
  <c r="S11" i="117" a="1"/>
  <c r="S11" i="117" s="1"/>
  <c r="Q11" i="117" a="1"/>
  <c r="Q11" i="117" s="1"/>
  <c r="M11" i="117"/>
  <c r="D11" i="117"/>
  <c r="C11" i="117" s="1"/>
  <c r="B11" i="117"/>
  <c r="AD11" i="117" s="1" a="1"/>
  <c r="AD11" i="117" s="1"/>
  <c r="AP10" i="117"/>
  <c r="AN10" i="117" a="1"/>
  <c r="AN10" i="117" s="1"/>
  <c r="AL10" i="117" a="1"/>
  <c r="AL10" i="117" s="1"/>
  <c r="AI10" i="117"/>
  <c r="AG10" i="117" a="1"/>
  <c r="AG10" i="117" s="1"/>
  <c r="AE10" i="117"/>
  <c r="AE10" i="117" a="1"/>
  <c r="AB10" i="117"/>
  <c r="Z10" i="117" a="1"/>
  <c r="Z10" i="117" s="1"/>
  <c r="X10" i="117" a="1"/>
  <c r="X10" i="117" s="1"/>
  <c r="U10" i="117"/>
  <c r="S10" i="117" a="1"/>
  <c r="S10" i="117" s="1"/>
  <c r="Q10" i="117" a="1"/>
  <c r="Q10" i="117" s="1"/>
  <c r="M10" i="117"/>
  <c r="D10" i="117"/>
  <c r="C10" i="117" s="1"/>
  <c r="B10" i="117"/>
  <c r="AP9" i="117"/>
  <c r="AN9" i="117" a="1"/>
  <c r="AN9" i="117" s="1"/>
  <c r="AL9" i="117" a="1"/>
  <c r="AL9" i="117" s="1"/>
  <c r="AI9" i="117"/>
  <c r="AG9" i="117" a="1"/>
  <c r="AG9" i="117" s="1"/>
  <c r="AE9" i="117" a="1"/>
  <c r="AE9" i="117" s="1"/>
  <c r="AB9" i="117"/>
  <c r="O9" i="117" s="1"/>
  <c r="Z9" i="117" a="1"/>
  <c r="Z9" i="117" s="1"/>
  <c r="X9" i="117" a="1"/>
  <c r="X9" i="117" s="1"/>
  <c r="U9" i="117"/>
  <c r="S9" i="117" a="1"/>
  <c r="S9" i="117" s="1"/>
  <c r="Q9" i="117" a="1"/>
  <c r="Q9" i="117" s="1"/>
  <c r="M9" i="117"/>
  <c r="D9" i="117"/>
  <c r="B9" i="117"/>
  <c r="AP8" i="117"/>
  <c r="AN8" i="117" a="1"/>
  <c r="AN8" i="117" s="1"/>
  <c r="AL8" i="117" a="1"/>
  <c r="AL8" i="117" s="1"/>
  <c r="AI8" i="117"/>
  <c r="AG8" i="117" a="1"/>
  <c r="AG8" i="117" s="1"/>
  <c r="AE8" i="117" a="1"/>
  <c r="AE8" i="117" s="1"/>
  <c r="AB8" i="117"/>
  <c r="Z8" i="117" a="1"/>
  <c r="Z8" i="117" s="1"/>
  <c r="X8" i="117" a="1"/>
  <c r="X8" i="117" s="1"/>
  <c r="U8" i="117"/>
  <c r="P8" i="117" s="1"/>
  <c r="S8" i="117" a="1"/>
  <c r="S8" i="117" s="1"/>
  <c r="Q8" i="117" a="1"/>
  <c r="Q8" i="117" s="1"/>
  <c r="M8" i="117"/>
  <c r="D8" i="117"/>
  <c r="B8" i="117"/>
  <c r="AD8" i="117" s="1" a="1"/>
  <c r="AD8" i="117" s="1"/>
  <c r="W7" i="117" a="1"/>
  <c r="W7" i="117" s="1"/>
  <c r="U7" i="117"/>
  <c r="S7" i="117" a="1"/>
  <c r="S7" i="117" s="1"/>
  <c r="Q7" i="117" a="1"/>
  <c r="Q7" i="117" s="1"/>
  <c r="M7" i="117"/>
  <c r="D7" i="117"/>
  <c r="C7" i="117" s="1"/>
  <c r="B7" i="117"/>
  <c r="W6" i="117" a="1"/>
  <c r="W6" i="117" s="1"/>
  <c r="U6" i="117"/>
  <c r="P6" i="117" s="1"/>
  <c r="S6" i="117" a="1"/>
  <c r="S6" i="117" s="1"/>
  <c r="Q6" i="117" a="1"/>
  <c r="Q6" i="117" s="1"/>
  <c r="M6" i="117"/>
  <c r="D6" i="117"/>
  <c r="B6" i="117"/>
  <c r="W5" i="117" a="1"/>
  <c r="W5" i="117" s="1"/>
  <c r="U5" i="117"/>
  <c r="P5" i="117" s="1"/>
  <c r="S5" i="117" a="1"/>
  <c r="S5" i="117" s="1"/>
  <c r="Q5" i="117" a="1"/>
  <c r="Q5" i="117" s="1"/>
  <c r="M5" i="117"/>
  <c r="D5" i="117"/>
  <c r="C5" i="117" s="1"/>
  <c r="B5" i="117"/>
  <c r="AD5" i="117" s="1" a="1"/>
  <c r="AD5" i="117" s="1"/>
  <c r="U4" i="117"/>
  <c r="W4" i="117" s="1" a="1"/>
  <c r="W4" i="117" s="1"/>
  <c r="S4" i="117" a="1"/>
  <c r="S4" i="117" s="1"/>
  <c r="Q4" i="117" a="1"/>
  <c r="Q4" i="117" s="1"/>
  <c r="M4" i="117"/>
  <c r="D4" i="117"/>
  <c r="B4" i="117"/>
  <c r="B1" i="117"/>
  <c r="N330" i="116"/>
  <c r="P330" i="116" s="1"/>
  <c r="L330" i="116"/>
  <c r="J330" i="116"/>
  <c r="B330" i="116"/>
  <c r="N329" i="116"/>
  <c r="P329" i="116" s="1"/>
  <c r="L329" i="116"/>
  <c r="J329" i="116"/>
  <c r="B329" i="116"/>
  <c r="N328" i="116"/>
  <c r="P328" i="116" s="1"/>
  <c r="L328" i="116"/>
  <c r="J328" i="116"/>
  <c r="B328" i="116"/>
  <c r="N327" i="116"/>
  <c r="P327" i="116" s="1"/>
  <c r="L327" i="116"/>
  <c r="J327" i="116"/>
  <c r="B327" i="116"/>
  <c r="N326" i="116"/>
  <c r="P326" i="116" s="1"/>
  <c r="L326" i="116"/>
  <c r="B326" i="116"/>
  <c r="N325" i="116"/>
  <c r="P325" i="116" s="1"/>
  <c r="L325" i="116"/>
  <c r="J325" i="116"/>
  <c r="B325" i="116"/>
  <c r="N324" i="116"/>
  <c r="P324" i="116" s="1"/>
  <c r="L324" i="116"/>
  <c r="J324" i="116"/>
  <c r="B324" i="116"/>
  <c r="N323" i="116"/>
  <c r="M323" i="116" s="1"/>
  <c r="L323" i="116"/>
  <c r="B323" i="116"/>
  <c r="N322" i="116"/>
  <c r="P322" i="116" s="1"/>
  <c r="L322" i="116"/>
  <c r="J322" i="116"/>
  <c r="B322" i="116"/>
  <c r="N321" i="116"/>
  <c r="L321" i="116"/>
  <c r="J321" i="116"/>
  <c r="B321" i="116"/>
  <c r="N320" i="116"/>
  <c r="M320" i="116" s="1"/>
  <c r="L320" i="116"/>
  <c r="J320" i="116"/>
  <c r="B320" i="116"/>
  <c r="N319" i="116"/>
  <c r="L319" i="116"/>
  <c r="J319" i="116"/>
  <c r="B319" i="116"/>
  <c r="N318" i="116"/>
  <c r="P318" i="116" s="1"/>
  <c r="L318" i="116"/>
  <c r="J318" i="116"/>
  <c r="B318" i="116"/>
  <c r="N317" i="116"/>
  <c r="L317" i="116"/>
  <c r="J317" i="116"/>
  <c r="B317" i="116"/>
  <c r="N316" i="116"/>
  <c r="M316" i="116" s="1"/>
  <c r="L316" i="116"/>
  <c r="B316" i="116"/>
  <c r="N315" i="116"/>
  <c r="P315" i="116" s="1"/>
  <c r="L315" i="116"/>
  <c r="J315" i="116"/>
  <c r="B315" i="116"/>
  <c r="N314" i="116"/>
  <c r="P314" i="116" s="1"/>
  <c r="L314" i="116"/>
  <c r="B314" i="116"/>
  <c r="N313" i="116"/>
  <c r="P313" i="116" s="1"/>
  <c r="L313" i="116"/>
  <c r="B313" i="116"/>
  <c r="N312" i="116"/>
  <c r="P312" i="116" s="1"/>
  <c r="L312" i="116"/>
  <c r="B312" i="116"/>
  <c r="N311" i="116"/>
  <c r="M311" i="116" s="1"/>
  <c r="L311" i="116"/>
  <c r="J311" i="116"/>
  <c r="B311" i="116"/>
  <c r="N310" i="116"/>
  <c r="P310" i="116" s="1"/>
  <c r="L310" i="116"/>
  <c r="J310" i="116"/>
  <c r="B310" i="116"/>
  <c r="N309" i="116"/>
  <c r="M309" i="116" s="1"/>
  <c r="L309" i="116"/>
  <c r="B309" i="116"/>
  <c r="N308" i="116"/>
  <c r="M308" i="116" s="1"/>
  <c r="L308" i="116"/>
  <c r="J308" i="116"/>
  <c r="B308" i="116"/>
  <c r="N307" i="116"/>
  <c r="M307" i="116" s="1"/>
  <c r="L307" i="116"/>
  <c r="J307" i="116"/>
  <c r="B307" i="116"/>
  <c r="N306" i="116"/>
  <c r="P306" i="116" s="1"/>
  <c r="L306" i="116"/>
  <c r="J306" i="116"/>
  <c r="B306" i="116"/>
  <c r="N305" i="116"/>
  <c r="L305" i="116"/>
  <c r="J305" i="116"/>
  <c r="B305" i="116"/>
  <c r="N304" i="116"/>
  <c r="M304" i="116" s="1"/>
  <c r="L304" i="116"/>
  <c r="J304" i="116"/>
  <c r="B304" i="116"/>
  <c r="N303" i="116"/>
  <c r="P303" i="116" s="1"/>
  <c r="L303" i="116"/>
  <c r="B303" i="116"/>
  <c r="N302" i="116"/>
  <c r="P302" i="116" s="1"/>
  <c r="L302" i="116"/>
  <c r="J302" i="116"/>
  <c r="B302" i="116"/>
  <c r="N301" i="116"/>
  <c r="P301" i="116" s="1"/>
  <c r="L301" i="116"/>
  <c r="B301" i="116"/>
  <c r="N300" i="116"/>
  <c r="L300" i="116"/>
  <c r="J300" i="116"/>
  <c r="B300" i="116"/>
  <c r="N299" i="116"/>
  <c r="M299" i="116" s="1"/>
  <c r="L299" i="116"/>
  <c r="J299" i="116"/>
  <c r="B299" i="116"/>
  <c r="N298" i="116"/>
  <c r="P298" i="116" s="1"/>
  <c r="L298" i="116"/>
  <c r="B298" i="116"/>
  <c r="N297" i="116"/>
  <c r="P297" i="116" s="1"/>
  <c r="L297" i="116"/>
  <c r="J297" i="116"/>
  <c r="B297" i="116"/>
  <c r="N296" i="116"/>
  <c r="M296" i="116" s="1"/>
  <c r="L296" i="116"/>
  <c r="J296" i="116"/>
  <c r="B296" i="116"/>
  <c r="N295" i="116"/>
  <c r="L295" i="116"/>
  <c r="J295" i="116"/>
  <c r="B295" i="116"/>
  <c r="N294" i="116"/>
  <c r="P294" i="116" s="1"/>
  <c r="L294" i="116"/>
  <c r="J294" i="116"/>
  <c r="B294" i="116"/>
  <c r="N293" i="116"/>
  <c r="P293" i="116" s="1"/>
  <c r="L293" i="116"/>
  <c r="J293" i="116"/>
  <c r="B293" i="116"/>
  <c r="N292" i="116"/>
  <c r="L292" i="116"/>
  <c r="B292" i="116"/>
  <c r="N291" i="116"/>
  <c r="L291" i="116"/>
  <c r="B291" i="116"/>
  <c r="N290" i="116"/>
  <c r="P290" i="116" s="1"/>
  <c r="L290" i="116"/>
  <c r="J290" i="116"/>
  <c r="B290" i="116"/>
  <c r="N289" i="116"/>
  <c r="P289" i="116" s="1"/>
  <c r="L289" i="116"/>
  <c r="B289" i="116"/>
  <c r="N288" i="116"/>
  <c r="P288" i="116" s="1"/>
  <c r="L288" i="116"/>
  <c r="J288" i="116"/>
  <c r="B288" i="116"/>
  <c r="N287" i="116"/>
  <c r="P287" i="116" s="1"/>
  <c r="L287" i="116"/>
  <c r="J287" i="116"/>
  <c r="B287" i="116"/>
  <c r="N286" i="116"/>
  <c r="P286" i="116" s="1"/>
  <c r="L286" i="116"/>
  <c r="J286" i="116"/>
  <c r="B286" i="116"/>
  <c r="N285" i="116"/>
  <c r="P285" i="116" s="1"/>
  <c r="K285" i="116"/>
  <c r="J285" i="116"/>
  <c r="B285" i="116"/>
  <c r="N284" i="116"/>
  <c r="M284" i="116" s="1"/>
  <c r="L284" i="116"/>
  <c r="J284" i="116"/>
  <c r="B284" i="116"/>
  <c r="N283" i="116"/>
  <c r="L283" i="116"/>
  <c r="J283" i="116"/>
  <c r="B283" i="116"/>
  <c r="N282" i="116"/>
  <c r="P282" i="116" s="1"/>
  <c r="L282" i="116"/>
  <c r="J282" i="116"/>
  <c r="B282" i="116"/>
  <c r="N281" i="116"/>
  <c r="P281" i="116" s="1"/>
  <c r="L281" i="116"/>
  <c r="B281" i="116"/>
  <c r="N280" i="116"/>
  <c r="M280" i="116" s="1"/>
  <c r="L280" i="116"/>
  <c r="J280" i="116"/>
  <c r="B280" i="116"/>
  <c r="N279" i="116"/>
  <c r="L279" i="116"/>
  <c r="J279" i="116"/>
  <c r="B279" i="116"/>
  <c r="N278" i="116"/>
  <c r="P278" i="116" s="1"/>
  <c r="L278" i="116"/>
  <c r="J278" i="116"/>
  <c r="B278" i="116"/>
  <c r="N277" i="116"/>
  <c r="L277" i="116"/>
  <c r="B277" i="116"/>
  <c r="N276" i="116"/>
  <c r="P276" i="116" s="1"/>
  <c r="L276" i="116"/>
  <c r="J276" i="116"/>
  <c r="B276" i="116"/>
  <c r="N275" i="116"/>
  <c r="P275" i="116" s="1"/>
  <c r="L275" i="116"/>
  <c r="J275" i="116"/>
  <c r="B275" i="116"/>
  <c r="N274" i="116"/>
  <c r="P274" i="116" s="1"/>
  <c r="L274" i="116"/>
  <c r="J274" i="116"/>
  <c r="B274" i="116"/>
  <c r="N273" i="116"/>
  <c r="M273" i="116" s="1"/>
  <c r="L273" i="116"/>
  <c r="J273" i="116"/>
  <c r="B273" i="116"/>
  <c r="N272" i="116"/>
  <c r="M272" i="116" s="1"/>
  <c r="L272" i="116"/>
  <c r="J272" i="116"/>
  <c r="B272" i="116"/>
  <c r="N271" i="116"/>
  <c r="M271" i="116" s="1"/>
  <c r="L271" i="116"/>
  <c r="J271" i="116"/>
  <c r="B271" i="116"/>
  <c r="N270" i="116"/>
  <c r="P270" i="116" s="1"/>
  <c r="L270" i="116"/>
  <c r="B270" i="116"/>
  <c r="N269" i="116"/>
  <c r="L269" i="116"/>
  <c r="J269" i="116"/>
  <c r="B269" i="116"/>
  <c r="N268" i="116"/>
  <c r="P268" i="116" s="1"/>
  <c r="L268" i="116"/>
  <c r="J268" i="116"/>
  <c r="B268" i="116"/>
  <c r="N267" i="116"/>
  <c r="P267" i="116" s="1"/>
  <c r="L267" i="116"/>
  <c r="J267" i="116"/>
  <c r="B267" i="116"/>
  <c r="N266" i="116"/>
  <c r="P266" i="116" s="1"/>
  <c r="L266" i="116"/>
  <c r="J266" i="116"/>
  <c r="B266" i="116"/>
  <c r="N265" i="116"/>
  <c r="P265" i="116" s="1"/>
  <c r="L265" i="116"/>
  <c r="J265" i="116"/>
  <c r="B265" i="116"/>
  <c r="N264" i="116"/>
  <c r="P264" i="116" s="1"/>
  <c r="L264" i="116"/>
  <c r="J264" i="116"/>
  <c r="B264" i="116"/>
  <c r="N263" i="116"/>
  <c r="P263" i="116" s="1"/>
  <c r="L263" i="116"/>
  <c r="J263" i="116"/>
  <c r="B263" i="116"/>
  <c r="N262" i="116"/>
  <c r="P262" i="116" s="1"/>
  <c r="L262" i="116"/>
  <c r="B262" i="116"/>
  <c r="N261" i="116"/>
  <c r="L261" i="116"/>
  <c r="J261" i="116"/>
  <c r="B261" i="116"/>
  <c r="N260" i="116"/>
  <c r="M260" i="116" s="1"/>
  <c r="L260" i="116"/>
  <c r="J260" i="116"/>
  <c r="B260" i="116"/>
  <c r="N259" i="116"/>
  <c r="M259" i="116" s="1"/>
  <c r="L259" i="116"/>
  <c r="B259" i="116"/>
  <c r="N258" i="116"/>
  <c r="P258" i="116" s="1"/>
  <c r="L258" i="116"/>
  <c r="J258" i="116"/>
  <c r="B258" i="116"/>
  <c r="N257" i="116"/>
  <c r="L257" i="116"/>
  <c r="J257" i="116"/>
  <c r="B257" i="116"/>
  <c r="N256" i="116"/>
  <c r="L256" i="116"/>
  <c r="J256" i="116"/>
  <c r="B256" i="116"/>
  <c r="N255" i="116"/>
  <c r="P255" i="116" s="1"/>
  <c r="L255" i="116"/>
  <c r="J255" i="116"/>
  <c r="B255" i="116"/>
  <c r="N254" i="116"/>
  <c r="P254" i="116" s="1"/>
  <c r="L254" i="116"/>
  <c r="J254" i="116"/>
  <c r="B254" i="116"/>
  <c r="N253" i="116"/>
  <c r="P253" i="116" s="1"/>
  <c r="L253" i="116"/>
  <c r="B253" i="116"/>
  <c r="N252" i="116"/>
  <c r="P252" i="116" s="1"/>
  <c r="L252" i="116"/>
  <c r="B252" i="116"/>
  <c r="N251" i="116"/>
  <c r="P251" i="116" s="1"/>
  <c r="L251" i="116"/>
  <c r="J251" i="116"/>
  <c r="B251" i="116"/>
  <c r="N250" i="116"/>
  <c r="P250" i="116" s="1"/>
  <c r="L250" i="116"/>
  <c r="J250" i="116"/>
  <c r="B250" i="116"/>
  <c r="N249" i="116"/>
  <c r="L249" i="116"/>
  <c r="J249" i="116"/>
  <c r="B249" i="116"/>
  <c r="N248" i="116"/>
  <c r="M248" i="116" s="1"/>
  <c r="L248" i="116"/>
  <c r="J248" i="116"/>
  <c r="B248" i="116"/>
  <c r="N247" i="116"/>
  <c r="M247" i="116" s="1"/>
  <c r="L247" i="116"/>
  <c r="J247" i="116"/>
  <c r="B247" i="116"/>
  <c r="N246" i="116"/>
  <c r="P246" i="116" s="1"/>
  <c r="L246" i="116"/>
  <c r="J246" i="116"/>
  <c r="B246" i="116"/>
  <c r="N245" i="116"/>
  <c r="L245" i="116"/>
  <c r="B245" i="116"/>
  <c r="N244" i="116"/>
  <c r="L244" i="116"/>
  <c r="J244" i="116"/>
  <c r="B244" i="116"/>
  <c r="N243" i="116"/>
  <c r="P243" i="116" s="1"/>
  <c r="L243" i="116"/>
  <c r="B243" i="116"/>
  <c r="N242" i="116"/>
  <c r="P242" i="116" s="1"/>
  <c r="L242" i="116"/>
  <c r="J242" i="116"/>
  <c r="B242" i="116"/>
  <c r="N241" i="116"/>
  <c r="P241" i="116" s="1"/>
  <c r="L241" i="116"/>
  <c r="B241" i="116"/>
  <c r="N240" i="116"/>
  <c r="P240" i="116" s="1"/>
  <c r="L240" i="116"/>
  <c r="B240" i="116"/>
  <c r="N239" i="116"/>
  <c r="P239" i="116" s="1"/>
  <c r="L239" i="116"/>
  <c r="J239" i="116"/>
  <c r="B239" i="116"/>
  <c r="N238" i="116"/>
  <c r="L238" i="116"/>
  <c r="J238" i="116"/>
  <c r="B238" i="116"/>
  <c r="N237" i="116"/>
  <c r="P237" i="116" s="1"/>
  <c r="L237" i="116"/>
  <c r="J237" i="116"/>
  <c r="B237" i="116"/>
  <c r="N236" i="116"/>
  <c r="M236" i="116" s="1"/>
  <c r="L236" i="116"/>
  <c r="B236" i="116"/>
  <c r="N235" i="116"/>
  <c r="P235" i="116" s="1"/>
  <c r="L235" i="116"/>
  <c r="B235" i="116"/>
  <c r="N234" i="116"/>
  <c r="L234" i="116"/>
  <c r="J234" i="116"/>
  <c r="B234" i="116"/>
  <c r="N233" i="116"/>
  <c r="P233" i="116" s="1"/>
  <c r="L233" i="116"/>
  <c r="J233" i="116"/>
  <c r="B233" i="116"/>
  <c r="N232" i="116"/>
  <c r="M232" i="116" s="1"/>
  <c r="L232" i="116"/>
  <c r="J232" i="116"/>
  <c r="B232" i="116"/>
  <c r="N231" i="116"/>
  <c r="L231" i="116"/>
  <c r="J231" i="116"/>
  <c r="B231" i="116"/>
  <c r="N230" i="116"/>
  <c r="P230" i="116" s="1"/>
  <c r="L230" i="116"/>
  <c r="J230" i="116"/>
  <c r="B230" i="116"/>
  <c r="N229" i="116"/>
  <c r="P229" i="116" s="1"/>
  <c r="L229" i="116"/>
  <c r="J229" i="116"/>
  <c r="B229" i="116"/>
  <c r="N228" i="116"/>
  <c r="P228" i="116" s="1"/>
  <c r="L228" i="116"/>
  <c r="J228" i="116"/>
  <c r="B228" i="116"/>
  <c r="N227" i="116"/>
  <c r="P227" i="116" s="1"/>
  <c r="L227" i="116"/>
  <c r="J227" i="116"/>
  <c r="B227" i="116"/>
  <c r="N226" i="116"/>
  <c r="L226" i="116"/>
  <c r="J226" i="116"/>
  <c r="B226" i="116"/>
  <c r="N225" i="116"/>
  <c r="P225" i="116" s="1"/>
  <c r="L225" i="116"/>
  <c r="J225" i="116"/>
  <c r="B225" i="116"/>
  <c r="N224" i="116"/>
  <c r="M224" i="116" s="1"/>
  <c r="L224" i="116"/>
  <c r="J224" i="116"/>
  <c r="B224" i="116"/>
  <c r="N223" i="116"/>
  <c r="M223" i="116" s="1"/>
  <c r="L223" i="116"/>
  <c r="J223" i="116"/>
  <c r="B223" i="116"/>
  <c r="N222" i="116"/>
  <c r="L222" i="116"/>
  <c r="J222" i="116"/>
  <c r="B222" i="116"/>
  <c r="N221" i="116"/>
  <c r="P221" i="116" s="1"/>
  <c r="L221" i="116"/>
  <c r="J221" i="116"/>
  <c r="B221" i="116"/>
  <c r="N220" i="116"/>
  <c r="P220" i="116" s="1"/>
  <c r="L220" i="116"/>
  <c r="B220" i="116"/>
  <c r="N219" i="116"/>
  <c r="P219" i="116" s="1"/>
  <c r="L219" i="116"/>
  <c r="B219" i="116"/>
  <c r="N218" i="116"/>
  <c r="P218" i="116" s="1"/>
  <c r="L218" i="116"/>
  <c r="B218" i="116"/>
  <c r="N217" i="116"/>
  <c r="P217" i="116" s="1"/>
  <c r="L217" i="116"/>
  <c r="B217" i="116"/>
  <c r="N216" i="116"/>
  <c r="P216" i="116" s="1"/>
  <c r="L216" i="116"/>
  <c r="J216" i="116"/>
  <c r="B216" i="116"/>
  <c r="N215" i="116"/>
  <c r="P215" i="116" s="1"/>
  <c r="L215" i="116"/>
  <c r="J215" i="116"/>
  <c r="B215" i="116"/>
  <c r="N214" i="116"/>
  <c r="L214" i="116"/>
  <c r="J214" i="116"/>
  <c r="B214" i="116"/>
  <c r="N213" i="116"/>
  <c r="P213" i="116" s="1"/>
  <c r="L213" i="116"/>
  <c r="J213" i="116"/>
  <c r="B213" i="116"/>
  <c r="N212" i="116"/>
  <c r="M212" i="116" s="1"/>
  <c r="L212" i="116"/>
  <c r="B212" i="116"/>
  <c r="N211" i="116"/>
  <c r="M211" i="116" s="1"/>
  <c r="L211" i="116"/>
  <c r="B211" i="116"/>
  <c r="N210" i="116"/>
  <c r="L210" i="116"/>
  <c r="J210" i="116"/>
  <c r="B210" i="116"/>
  <c r="N209" i="116"/>
  <c r="P209" i="116" s="1"/>
  <c r="L209" i="116"/>
  <c r="J209" i="116"/>
  <c r="B209" i="116"/>
  <c r="N208" i="116"/>
  <c r="P208" i="116" s="1"/>
  <c r="L208" i="116"/>
  <c r="B208" i="116"/>
  <c r="N207" i="116"/>
  <c r="P207" i="116" s="1"/>
  <c r="L207" i="116"/>
  <c r="J207" i="116"/>
  <c r="B207" i="116"/>
  <c r="N206" i="116"/>
  <c r="P206" i="116" s="1"/>
  <c r="L206" i="116"/>
  <c r="B206" i="116"/>
  <c r="N205" i="116"/>
  <c r="P205" i="116" s="1"/>
  <c r="L205" i="116"/>
  <c r="B205" i="116"/>
  <c r="N204" i="116"/>
  <c r="L204" i="116"/>
  <c r="J204" i="116"/>
  <c r="B204" i="116"/>
  <c r="N203" i="116"/>
  <c r="P203" i="116" s="1"/>
  <c r="L203" i="116"/>
  <c r="B203" i="116"/>
  <c r="N202" i="116"/>
  <c r="L202" i="116"/>
  <c r="J202" i="116"/>
  <c r="B202" i="116"/>
  <c r="N201" i="116"/>
  <c r="P201" i="116" s="1"/>
  <c r="L201" i="116"/>
  <c r="J201" i="116"/>
  <c r="B201" i="116"/>
  <c r="N200" i="116"/>
  <c r="M200" i="116" s="1"/>
  <c r="L200" i="116"/>
  <c r="B200" i="116"/>
  <c r="N199" i="116"/>
  <c r="L199" i="116"/>
  <c r="J199" i="116"/>
  <c r="B199" i="116"/>
  <c r="N198" i="116"/>
  <c r="L198" i="116"/>
  <c r="J198" i="116"/>
  <c r="B198" i="116"/>
  <c r="N197" i="116"/>
  <c r="P197" i="116" s="1"/>
  <c r="L197" i="116"/>
  <c r="B197" i="116"/>
  <c r="N196" i="116"/>
  <c r="P196" i="116" s="1"/>
  <c r="L196" i="116"/>
  <c r="B196" i="116"/>
  <c r="N195" i="116"/>
  <c r="P195" i="116" s="1"/>
  <c r="L195" i="116"/>
  <c r="B195" i="116"/>
  <c r="N194" i="116"/>
  <c r="P194" i="116" s="1"/>
  <c r="L194" i="116"/>
  <c r="B194" i="116"/>
  <c r="N193" i="116"/>
  <c r="P193" i="116" s="1"/>
  <c r="L193" i="116"/>
  <c r="J193" i="116"/>
  <c r="B193" i="116"/>
  <c r="N192" i="116"/>
  <c r="P192" i="116" s="1"/>
  <c r="L192" i="116"/>
  <c r="J192" i="116"/>
  <c r="B192" i="116"/>
  <c r="N191" i="116"/>
  <c r="P191" i="116" s="1"/>
  <c r="L191" i="116"/>
  <c r="B191" i="116"/>
  <c r="N190" i="116"/>
  <c r="L190" i="116"/>
  <c r="J190" i="116"/>
  <c r="B190" i="116"/>
  <c r="N189" i="116"/>
  <c r="P189" i="116" s="1"/>
  <c r="L189" i="116"/>
  <c r="J189" i="116"/>
  <c r="B189" i="116"/>
  <c r="N188" i="116"/>
  <c r="M188" i="116" s="1"/>
  <c r="L188" i="116"/>
  <c r="J188" i="116"/>
  <c r="B188" i="116"/>
  <c r="N187" i="116"/>
  <c r="P187" i="116" s="1"/>
  <c r="L187" i="116"/>
  <c r="B187" i="116"/>
  <c r="N186" i="116"/>
  <c r="L186" i="116"/>
  <c r="J186" i="116"/>
  <c r="B186" i="116"/>
  <c r="N185" i="116"/>
  <c r="P185" i="116" s="1"/>
  <c r="L185" i="116"/>
  <c r="J185" i="116"/>
  <c r="B185" i="116"/>
  <c r="N184" i="116"/>
  <c r="P184" i="116" s="1"/>
  <c r="L184" i="116"/>
  <c r="B184" i="116"/>
  <c r="N183" i="116"/>
  <c r="P183" i="116" s="1"/>
  <c r="L183" i="116"/>
  <c r="J183" i="116"/>
  <c r="B183" i="116"/>
  <c r="N182" i="116"/>
  <c r="P182" i="116" s="1"/>
  <c r="L182" i="116"/>
  <c r="J182" i="116"/>
  <c r="B182" i="116"/>
  <c r="N181" i="116"/>
  <c r="P181" i="116" s="1"/>
  <c r="L181" i="116"/>
  <c r="B181" i="116"/>
  <c r="N180" i="116"/>
  <c r="L180" i="116"/>
  <c r="J180" i="116"/>
  <c r="B180" i="116"/>
  <c r="N179" i="116"/>
  <c r="P179" i="116" s="1"/>
  <c r="L179" i="116"/>
  <c r="B179" i="116"/>
  <c r="N178" i="116"/>
  <c r="L178" i="116"/>
  <c r="J178" i="116"/>
  <c r="B178" i="116"/>
  <c r="N177" i="116"/>
  <c r="L177" i="116"/>
  <c r="B177" i="116"/>
  <c r="N176" i="116"/>
  <c r="M176" i="116" s="1"/>
  <c r="L176" i="116"/>
  <c r="B176" i="116"/>
  <c r="N175" i="116"/>
  <c r="P175" i="116" s="1"/>
  <c r="L175" i="116"/>
  <c r="B175" i="116"/>
  <c r="N174" i="116"/>
  <c r="P174" i="116" s="1"/>
  <c r="L174" i="116"/>
  <c r="B174" i="116"/>
  <c r="N173" i="116"/>
  <c r="P173" i="116" s="1"/>
  <c r="L173" i="116"/>
  <c r="J173" i="116"/>
  <c r="B173" i="116"/>
  <c r="N172" i="116"/>
  <c r="M172" i="116" s="1"/>
  <c r="L172" i="116"/>
  <c r="J172" i="116"/>
  <c r="B172" i="116"/>
  <c r="N171" i="116"/>
  <c r="P171" i="116" s="1"/>
  <c r="L171" i="116"/>
  <c r="J171" i="116"/>
  <c r="B171" i="116"/>
  <c r="N170" i="116"/>
  <c r="P170" i="116" s="1"/>
  <c r="L170" i="116"/>
  <c r="J170" i="116"/>
  <c r="B170" i="116"/>
  <c r="N169" i="116"/>
  <c r="P169" i="116" s="1"/>
  <c r="L169" i="116"/>
  <c r="J169" i="116"/>
  <c r="B169" i="116"/>
  <c r="N168" i="116"/>
  <c r="P168" i="116" s="1"/>
  <c r="L168" i="116"/>
  <c r="B168" i="116"/>
  <c r="N167" i="116"/>
  <c r="P167" i="116" s="1"/>
  <c r="L167" i="116"/>
  <c r="J167" i="116"/>
  <c r="B167" i="116"/>
  <c r="N166" i="116"/>
  <c r="L166" i="116"/>
  <c r="J166" i="116"/>
  <c r="B166" i="116"/>
  <c r="N165" i="116"/>
  <c r="P165" i="116" s="1"/>
  <c r="L165" i="116"/>
  <c r="B165" i="116"/>
  <c r="N164" i="116"/>
  <c r="M164" i="116" s="1"/>
  <c r="L164" i="116"/>
  <c r="J164" i="116"/>
  <c r="B164" i="116"/>
  <c r="N163" i="116"/>
  <c r="P163" i="116" s="1"/>
  <c r="L163" i="116"/>
  <c r="B163" i="116"/>
  <c r="N162" i="116"/>
  <c r="P162" i="116" s="1"/>
  <c r="L162" i="116"/>
  <c r="J162" i="116"/>
  <c r="B162" i="116"/>
  <c r="N161" i="116"/>
  <c r="P161" i="116" s="1"/>
  <c r="L161" i="116"/>
  <c r="J161" i="116"/>
  <c r="B161" i="116"/>
  <c r="N160" i="116"/>
  <c r="M160" i="116" s="1"/>
  <c r="L160" i="116"/>
  <c r="B160" i="116"/>
  <c r="N159" i="116"/>
  <c r="P159" i="116" s="1"/>
  <c r="L159" i="116"/>
  <c r="J159" i="116"/>
  <c r="B159" i="116"/>
  <c r="N158" i="116"/>
  <c r="P158" i="116" s="1"/>
  <c r="L158" i="116"/>
  <c r="J158" i="116"/>
  <c r="B158" i="116"/>
  <c r="N157" i="116"/>
  <c r="P157" i="116" s="1"/>
  <c r="L157" i="116"/>
  <c r="J157" i="116"/>
  <c r="B157" i="116"/>
  <c r="N156" i="116"/>
  <c r="P156" i="116" s="1"/>
  <c r="L156" i="116"/>
  <c r="J156" i="116"/>
  <c r="B156" i="116"/>
  <c r="N155" i="116"/>
  <c r="P155" i="116" s="1"/>
  <c r="L155" i="116"/>
  <c r="J155" i="116"/>
  <c r="B155" i="116"/>
  <c r="N154" i="116"/>
  <c r="L154" i="116"/>
  <c r="B154" i="116"/>
  <c r="N153" i="116"/>
  <c r="P153" i="116" s="1"/>
  <c r="L153" i="116"/>
  <c r="J153" i="116"/>
  <c r="B153" i="116"/>
  <c r="N152" i="116"/>
  <c r="M152" i="116" s="1"/>
  <c r="L152" i="116"/>
  <c r="B152" i="116"/>
  <c r="N151" i="116"/>
  <c r="P151" i="116" s="1"/>
  <c r="L151" i="116"/>
  <c r="J151" i="116"/>
  <c r="B151" i="116"/>
  <c r="N150" i="116"/>
  <c r="P150" i="116" s="1"/>
  <c r="L150" i="116"/>
  <c r="B150" i="116"/>
  <c r="N149" i="116"/>
  <c r="P149" i="116" s="1"/>
  <c r="L149" i="116"/>
  <c r="J149" i="116"/>
  <c r="B149" i="116"/>
  <c r="N148" i="116"/>
  <c r="M148" i="116" s="1"/>
  <c r="L148" i="116"/>
  <c r="J148" i="116"/>
  <c r="B148" i="116"/>
  <c r="N147" i="116"/>
  <c r="P147" i="116" s="1"/>
  <c r="L147" i="116"/>
  <c r="J147" i="116"/>
  <c r="B147" i="116"/>
  <c r="N146" i="116"/>
  <c r="P146" i="116" s="1"/>
  <c r="L146" i="116"/>
  <c r="B146" i="116"/>
  <c r="N145" i="116"/>
  <c r="P145" i="116" s="1"/>
  <c r="L145" i="116"/>
  <c r="J145" i="116"/>
  <c r="B145" i="116"/>
  <c r="N144" i="116"/>
  <c r="P144" i="116" s="1"/>
  <c r="L144" i="116"/>
  <c r="J144" i="116"/>
  <c r="B144" i="116"/>
  <c r="N143" i="116"/>
  <c r="P143" i="116" s="1"/>
  <c r="L143" i="116"/>
  <c r="J143" i="116"/>
  <c r="B143" i="116"/>
  <c r="N142" i="116"/>
  <c r="L142" i="116"/>
  <c r="J142" i="116"/>
  <c r="B142" i="116"/>
  <c r="N141" i="116"/>
  <c r="P141" i="116" s="1"/>
  <c r="L141" i="116"/>
  <c r="J141" i="116"/>
  <c r="B141" i="116"/>
  <c r="N140" i="116"/>
  <c r="M140" i="116" s="1"/>
  <c r="L140" i="116"/>
  <c r="J140" i="116"/>
  <c r="B140" i="116"/>
  <c r="N139" i="116"/>
  <c r="P139" i="116" s="1"/>
  <c r="L139" i="116"/>
  <c r="J139" i="116"/>
  <c r="B139" i="116"/>
  <c r="N138" i="116"/>
  <c r="P138" i="116" s="1"/>
  <c r="L138" i="116"/>
  <c r="J138" i="116"/>
  <c r="B138" i="116"/>
  <c r="N137" i="116"/>
  <c r="P137" i="116" s="1"/>
  <c r="L137" i="116"/>
  <c r="J137" i="116"/>
  <c r="B137" i="116"/>
  <c r="N136" i="116"/>
  <c r="M136" i="116" s="1"/>
  <c r="L136" i="116"/>
  <c r="J136" i="116"/>
  <c r="B136" i="116"/>
  <c r="N135" i="116"/>
  <c r="P135" i="116" s="1"/>
  <c r="L135" i="116"/>
  <c r="J135" i="116"/>
  <c r="B135" i="116"/>
  <c r="N134" i="116"/>
  <c r="P134" i="116" s="1"/>
  <c r="L134" i="116"/>
  <c r="J134" i="116"/>
  <c r="B134" i="116"/>
  <c r="N133" i="116"/>
  <c r="P133" i="116" s="1"/>
  <c r="L133" i="116"/>
  <c r="J133" i="116"/>
  <c r="B133" i="116"/>
  <c r="N132" i="116"/>
  <c r="P132" i="116" s="1"/>
  <c r="L132" i="116"/>
  <c r="J132" i="116"/>
  <c r="B132" i="116"/>
  <c r="N131" i="116"/>
  <c r="P131" i="116" s="1"/>
  <c r="L131" i="116"/>
  <c r="J131" i="116"/>
  <c r="B131" i="116"/>
  <c r="N130" i="116"/>
  <c r="L130" i="116"/>
  <c r="J130" i="116"/>
  <c r="B130" i="116"/>
  <c r="N129" i="116"/>
  <c r="L129" i="116"/>
  <c r="J129" i="116"/>
  <c r="B129" i="116"/>
  <c r="N128" i="116"/>
  <c r="M128" i="116" s="1"/>
  <c r="L128" i="116"/>
  <c r="B128" i="116"/>
  <c r="N127" i="116"/>
  <c r="P127" i="116" s="1"/>
  <c r="L127" i="116"/>
  <c r="J127" i="116"/>
  <c r="B127" i="116"/>
  <c r="N126" i="116"/>
  <c r="P126" i="116" s="1"/>
  <c r="L126" i="116"/>
  <c r="J126" i="116"/>
  <c r="B126" i="116"/>
  <c r="N125" i="116"/>
  <c r="P125" i="116" s="1"/>
  <c r="L125" i="116"/>
  <c r="J125" i="116"/>
  <c r="B125" i="116"/>
  <c r="N124" i="116"/>
  <c r="M124" i="116" s="1"/>
  <c r="L124" i="116"/>
  <c r="J124" i="116"/>
  <c r="B124" i="116"/>
  <c r="N123" i="116"/>
  <c r="P123" i="116" s="1"/>
  <c r="L123" i="116"/>
  <c r="J123" i="116"/>
  <c r="B123" i="116"/>
  <c r="N122" i="116"/>
  <c r="P122" i="116" s="1"/>
  <c r="L122" i="116"/>
  <c r="J122" i="116"/>
  <c r="B122" i="116"/>
  <c r="N121" i="116"/>
  <c r="P121" i="116" s="1"/>
  <c r="L121" i="116"/>
  <c r="J121" i="116"/>
  <c r="B121" i="116"/>
  <c r="N120" i="116"/>
  <c r="P120" i="116" s="1"/>
  <c r="L120" i="116"/>
  <c r="J120" i="116"/>
  <c r="B120" i="116"/>
  <c r="N119" i="116"/>
  <c r="P119" i="116" s="1"/>
  <c r="L119" i="116"/>
  <c r="B119" i="116"/>
  <c r="N118" i="116"/>
  <c r="L118" i="116"/>
  <c r="J118" i="116"/>
  <c r="B118" i="116"/>
  <c r="N117" i="116"/>
  <c r="P117" i="116" s="1"/>
  <c r="L117" i="116"/>
  <c r="B117" i="116"/>
  <c r="N116" i="116"/>
  <c r="M116" i="116" s="1"/>
  <c r="L116" i="116"/>
  <c r="J116" i="116"/>
  <c r="B116" i="116"/>
  <c r="N115" i="116"/>
  <c r="P115" i="116" s="1"/>
  <c r="L115" i="116"/>
  <c r="J115" i="116"/>
  <c r="B115" i="116"/>
  <c r="N114" i="116"/>
  <c r="P114" i="116" s="1"/>
  <c r="L114" i="116"/>
  <c r="J114" i="116"/>
  <c r="B114" i="116"/>
  <c r="N113" i="116"/>
  <c r="P113" i="116" s="1"/>
  <c r="L113" i="116"/>
  <c r="B113" i="116"/>
  <c r="N112" i="116"/>
  <c r="M112" i="116" s="1"/>
  <c r="L112" i="116"/>
  <c r="J112" i="116"/>
  <c r="B112" i="116"/>
  <c r="N111" i="116"/>
  <c r="P111" i="116" s="1"/>
  <c r="L111" i="116"/>
  <c r="B111" i="116"/>
  <c r="N110" i="116"/>
  <c r="P110" i="116" s="1"/>
  <c r="L110" i="116"/>
  <c r="J110" i="116"/>
  <c r="B110" i="116"/>
  <c r="N109" i="116"/>
  <c r="P109" i="116" s="1"/>
  <c r="L109" i="116"/>
  <c r="J109" i="116"/>
  <c r="B109" i="116"/>
  <c r="N108" i="116"/>
  <c r="P108" i="116" s="1"/>
  <c r="L108" i="116"/>
  <c r="B108" i="116"/>
  <c r="N107" i="116"/>
  <c r="P107" i="116" s="1"/>
  <c r="L107" i="116"/>
  <c r="B107" i="116"/>
  <c r="N106" i="116"/>
  <c r="L106" i="116"/>
  <c r="B106" i="116"/>
  <c r="N105" i="116"/>
  <c r="P105" i="116" s="1"/>
  <c r="L105" i="116"/>
  <c r="B105" i="116"/>
  <c r="N104" i="116"/>
  <c r="M104" i="116" s="1"/>
  <c r="L104" i="116"/>
  <c r="B104" i="116"/>
  <c r="N103" i="116"/>
  <c r="P103" i="116" s="1"/>
  <c r="L103" i="116"/>
  <c r="B103" i="116"/>
  <c r="N102" i="116"/>
  <c r="P102" i="116" s="1"/>
  <c r="L102" i="116"/>
  <c r="J102" i="116"/>
  <c r="B102" i="116"/>
  <c r="N101" i="116"/>
  <c r="P101" i="116" s="1"/>
  <c r="K101" i="116"/>
  <c r="J101" i="116"/>
  <c r="B101" i="116"/>
  <c r="N100" i="116"/>
  <c r="M100" i="116" s="1"/>
  <c r="L100" i="116"/>
  <c r="J100" i="116"/>
  <c r="B100" i="116"/>
  <c r="N99" i="116"/>
  <c r="P99" i="116" s="1"/>
  <c r="L99" i="116"/>
  <c r="B99" i="116"/>
  <c r="N98" i="116"/>
  <c r="P98" i="116" s="1"/>
  <c r="L98" i="116"/>
  <c r="J98" i="116"/>
  <c r="B98" i="116"/>
  <c r="N97" i="116"/>
  <c r="M97" i="116" s="1"/>
  <c r="L97" i="116"/>
  <c r="J97" i="116"/>
  <c r="B97" i="116"/>
  <c r="N96" i="116"/>
  <c r="L96" i="116"/>
  <c r="B96" i="116"/>
  <c r="N95" i="116"/>
  <c r="L95" i="116"/>
  <c r="J95" i="116"/>
  <c r="B95" i="116"/>
  <c r="N94" i="116"/>
  <c r="L94" i="116"/>
  <c r="J94" i="116"/>
  <c r="B94" i="116"/>
  <c r="N93" i="116"/>
  <c r="L93" i="116"/>
  <c r="J93" i="116"/>
  <c r="B93" i="116"/>
  <c r="N92" i="116"/>
  <c r="M92" i="116" s="1"/>
  <c r="L92" i="116"/>
  <c r="J92" i="116"/>
  <c r="B92" i="116"/>
  <c r="N91" i="116"/>
  <c r="M91" i="116" s="1"/>
  <c r="L91" i="116"/>
  <c r="J91" i="116"/>
  <c r="B91" i="116"/>
  <c r="N90" i="116"/>
  <c r="P90" i="116" s="1"/>
  <c r="L90" i="116"/>
  <c r="B90" i="116"/>
  <c r="N89" i="116"/>
  <c r="P89" i="116" s="1"/>
  <c r="L89" i="116"/>
  <c r="J89" i="116"/>
  <c r="B89" i="116"/>
  <c r="N88" i="116"/>
  <c r="M88" i="116" s="1"/>
  <c r="L88" i="116"/>
  <c r="J88" i="116"/>
  <c r="B88" i="116"/>
  <c r="N87" i="116"/>
  <c r="P87" i="116" s="1"/>
  <c r="L87" i="116"/>
  <c r="J87" i="116"/>
  <c r="B87" i="116"/>
  <c r="N86" i="116"/>
  <c r="P86" i="116" s="1"/>
  <c r="L86" i="116"/>
  <c r="J86" i="116"/>
  <c r="B86" i="116"/>
  <c r="N85" i="116"/>
  <c r="P85" i="116" s="1"/>
  <c r="L85" i="116"/>
  <c r="J85" i="116"/>
  <c r="B85" i="116"/>
  <c r="N84" i="116"/>
  <c r="L84" i="116"/>
  <c r="J84" i="116"/>
  <c r="B84" i="116"/>
  <c r="N83" i="116"/>
  <c r="L83" i="116"/>
  <c r="J83" i="116"/>
  <c r="B83" i="116"/>
  <c r="N82" i="116"/>
  <c r="L82" i="116"/>
  <c r="J82" i="116"/>
  <c r="B82" i="116"/>
  <c r="N81" i="116"/>
  <c r="M81" i="116" s="1"/>
  <c r="L81" i="116"/>
  <c r="J81" i="116"/>
  <c r="B81" i="116"/>
  <c r="N80" i="116"/>
  <c r="M80" i="116" s="1"/>
  <c r="L80" i="116"/>
  <c r="B80" i="116"/>
  <c r="N79" i="116"/>
  <c r="P79" i="116" s="1"/>
  <c r="L79" i="116"/>
  <c r="B79" i="116"/>
  <c r="N78" i="116"/>
  <c r="P78" i="116" s="1"/>
  <c r="L78" i="116"/>
  <c r="J78" i="116"/>
  <c r="B78" i="116"/>
  <c r="N77" i="116"/>
  <c r="P77" i="116" s="1"/>
  <c r="L77" i="116"/>
  <c r="J77" i="116"/>
  <c r="B77" i="116"/>
  <c r="N76" i="116"/>
  <c r="M76" i="116" s="1"/>
  <c r="L76" i="116"/>
  <c r="B76" i="116"/>
  <c r="N75" i="116"/>
  <c r="L75" i="116"/>
  <c r="J75" i="116"/>
  <c r="B75" i="116"/>
  <c r="N74" i="116"/>
  <c r="P74" i="116" s="1"/>
  <c r="L74" i="116"/>
  <c r="B74" i="116"/>
  <c r="N73" i="116"/>
  <c r="L73" i="116"/>
  <c r="J73" i="116"/>
  <c r="B73" i="116"/>
  <c r="N72" i="116"/>
  <c r="L72" i="116"/>
  <c r="J72" i="116"/>
  <c r="B72" i="116"/>
  <c r="N71" i="116"/>
  <c r="L71" i="116"/>
  <c r="J71" i="116"/>
  <c r="B71" i="116"/>
  <c r="N70" i="116"/>
  <c r="P70" i="116" s="1"/>
  <c r="L70" i="116"/>
  <c r="B70" i="116"/>
  <c r="N69" i="116"/>
  <c r="P69" i="116" s="1"/>
  <c r="L69" i="116"/>
  <c r="J69" i="116"/>
  <c r="B69" i="116"/>
  <c r="N68" i="116"/>
  <c r="M68" i="116" s="1"/>
  <c r="L68" i="116"/>
  <c r="B68" i="116"/>
  <c r="N67" i="116"/>
  <c r="P67" i="116" s="1"/>
  <c r="L67" i="116"/>
  <c r="B67" i="116"/>
  <c r="N66" i="116"/>
  <c r="P66" i="116" s="1"/>
  <c r="L66" i="116"/>
  <c r="J66" i="116"/>
  <c r="B66" i="116"/>
  <c r="N65" i="116"/>
  <c r="P65" i="116" s="1"/>
  <c r="L65" i="116"/>
  <c r="J65" i="116"/>
  <c r="B65" i="116"/>
  <c r="N64" i="116"/>
  <c r="M64" i="116" s="1"/>
  <c r="L64" i="116"/>
  <c r="J64" i="116"/>
  <c r="B64" i="116"/>
  <c r="N63" i="116"/>
  <c r="P63" i="116" s="1"/>
  <c r="L63" i="116"/>
  <c r="J63" i="116"/>
  <c r="B63" i="116"/>
  <c r="N62" i="116"/>
  <c r="P62" i="116" s="1"/>
  <c r="L62" i="116"/>
  <c r="J62" i="116"/>
  <c r="B62" i="116"/>
  <c r="N61" i="116"/>
  <c r="P61" i="116" s="1"/>
  <c r="L61" i="116"/>
  <c r="B61" i="116"/>
  <c r="N60" i="116"/>
  <c r="P60" i="116" s="1"/>
  <c r="L60" i="116"/>
  <c r="J60" i="116"/>
  <c r="B60" i="116"/>
  <c r="N59" i="116"/>
  <c r="L59" i="116"/>
  <c r="J59" i="116"/>
  <c r="B59" i="116"/>
  <c r="N58" i="116"/>
  <c r="P58" i="116" s="1"/>
  <c r="L58" i="116"/>
  <c r="J58" i="116"/>
  <c r="B58" i="116"/>
  <c r="N57" i="116"/>
  <c r="P57" i="116" s="1"/>
  <c r="L57" i="116"/>
  <c r="J57" i="116"/>
  <c r="B57" i="116"/>
  <c r="N56" i="116"/>
  <c r="M56" i="116" s="1"/>
  <c r="L56" i="116"/>
  <c r="B56" i="116"/>
  <c r="N55" i="116"/>
  <c r="P55" i="116" s="1"/>
  <c r="L55" i="116"/>
  <c r="B55" i="116"/>
  <c r="N54" i="116"/>
  <c r="P54" i="116" s="1"/>
  <c r="L54" i="116"/>
  <c r="J54" i="116"/>
  <c r="B54" i="116"/>
  <c r="N53" i="116"/>
  <c r="P53" i="116" s="1"/>
  <c r="L53" i="116"/>
  <c r="B53" i="116"/>
  <c r="N52" i="116"/>
  <c r="M52" i="116" s="1"/>
  <c r="L52" i="116"/>
  <c r="J52" i="116"/>
  <c r="B52" i="116"/>
  <c r="N51" i="116"/>
  <c r="L51" i="116"/>
  <c r="B51" i="116"/>
  <c r="N50" i="116"/>
  <c r="P50" i="116" s="1"/>
  <c r="L50" i="116"/>
  <c r="B50" i="116"/>
  <c r="N49" i="116"/>
  <c r="P49" i="116" s="1"/>
  <c r="L49" i="116"/>
  <c r="J49" i="116"/>
  <c r="B49" i="116"/>
  <c r="N48" i="116"/>
  <c r="P48" i="116" s="1"/>
  <c r="L48" i="116"/>
  <c r="B48" i="116"/>
  <c r="N47" i="116"/>
  <c r="L47" i="116"/>
  <c r="J47" i="116"/>
  <c r="B47" i="116"/>
  <c r="N46" i="116"/>
  <c r="P46" i="116" s="1"/>
  <c r="L46" i="116"/>
  <c r="J46" i="116"/>
  <c r="B46" i="116"/>
  <c r="N45" i="116"/>
  <c r="L45" i="116"/>
  <c r="B45" i="116"/>
  <c r="N44" i="116"/>
  <c r="M44" i="116" s="1"/>
  <c r="L44" i="116"/>
  <c r="B44" i="116"/>
  <c r="N43" i="116"/>
  <c r="P43" i="116" s="1"/>
  <c r="L43" i="116"/>
  <c r="J43" i="116"/>
  <c r="B43" i="116"/>
  <c r="N42" i="116"/>
  <c r="P42" i="116" s="1"/>
  <c r="L42" i="116"/>
  <c r="J42" i="116"/>
  <c r="B42" i="116"/>
  <c r="N41" i="116"/>
  <c r="P41" i="116" s="1"/>
  <c r="L41" i="116"/>
  <c r="B41" i="116"/>
  <c r="N40" i="116"/>
  <c r="M40" i="116" s="1"/>
  <c r="L40" i="116"/>
  <c r="B40" i="116"/>
  <c r="N39" i="116"/>
  <c r="P39" i="116" s="1"/>
  <c r="L39" i="116"/>
  <c r="J39" i="116"/>
  <c r="B39" i="116"/>
  <c r="N38" i="116"/>
  <c r="P38" i="116" s="1"/>
  <c r="K38" i="116"/>
  <c r="J38" i="116"/>
  <c r="B38" i="116"/>
  <c r="N37" i="116"/>
  <c r="P37" i="116" s="1"/>
  <c r="L37" i="116"/>
  <c r="J37" i="116"/>
  <c r="B37" i="116"/>
  <c r="N36" i="116"/>
  <c r="P36" i="116" s="1"/>
  <c r="L36" i="116"/>
  <c r="J36" i="116"/>
  <c r="B36" i="116"/>
  <c r="N35" i="116"/>
  <c r="L35" i="116"/>
  <c r="B35" i="116"/>
  <c r="N34" i="116"/>
  <c r="P34" i="116" s="1"/>
  <c r="K34" i="116"/>
  <c r="J34" i="116"/>
  <c r="B34" i="116"/>
  <c r="N33" i="116"/>
  <c r="L33" i="116"/>
  <c r="J33" i="116"/>
  <c r="B33" i="116"/>
  <c r="N32" i="116"/>
  <c r="M32" i="116" s="1"/>
  <c r="L32" i="116"/>
  <c r="B32" i="116"/>
  <c r="N31" i="116"/>
  <c r="P31" i="116" s="1"/>
  <c r="L31" i="116"/>
  <c r="J31" i="116"/>
  <c r="B31" i="116"/>
  <c r="N30" i="116"/>
  <c r="L30" i="116"/>
  <c r="B30" i="116"/>
  <c r="N29" i="116"/>
  <c r="P29" i="116" s="1"/>
  <c r="L29" i="116"/>
  <c r="B29" i="116"/>
  <c r="N28" i="116"/>
  <c r="M28" i="116" s="1"/>
  <c r="L28" i="116"/>
  <c r="J28" i="116"/>
  <c r="B28" i="116"/>
  <c r="N27" i="116"/>
  <c r="P27" i="116" s="1"/>
  <c r="L27" i="116"/>
  <c r="B27" i="116"/>
  <c r="N26" i="116"/>
  <c r="P26" i="116" s="1"/>
  <c r="L26" i="116"/>
  <c r="B26" i="116"/>
  <c r="N25" i="116"/>
  <c r="P25" i="116" s="1"/>
  <c r="L25" i="116"/>
  <c r="J25" i="116"/>
  <c r="B25" i="116"/>
  <c r="N24" i="116"/>
  <c r="L24" i="116"/>
  <c r="J24" i="116"/>
  <c r="B24" i="116"/>
  <c r="N23" i="116"/>
  <c r="P23" i="116" s="1"/>
  <c r="L23" i="116"/>
  <c r="J23" i="116"/>
  <c r="B23" i="116"/>
  <c r="N22" i="116"/>
  <c r="P22" i="116" s="1"/>
  <c r="L22" i="116"/>
  <c r="J22" i="116"/>
  <c r="B22" i="116"/>
  <c r="N21" i="116"/>
  <c r="P21" i="116" s="1"/>
  <c r="L21" i="116"/>
  <c r="J21" i="116"/>
  <c r="B21" i="116"/>
  <c r="N20" i="116"/>
  <c r="M20" i="116" s="1"/>
  <c r="L20" i="116"/>
  <c r="B20" i="116"/>
  <c r="N19" i="116"/>
  <c r="P19" i="116" s="1"/>
  <c r="L19" i="116"/>
  <c r="J19" i="116"/>
  <c r="B19" i="116"/>
  <c r="N18" i="116"/>
  <c r="L18" i="116"/>
  <c r="J18" i="116"/>
  <c r="B18" i="116"/>
  <c r="N17" i="116"/>
  <c r="P17" i="116" s="1"/>
  <c r="L17" i="116"/>
  <c r="B17" i="116"/>
  <c r="N16" i="116"/>
  <c r="M16" i="116" s="1"/>
  <c r="L16" i="116"/>
  <c r="J16" i="116"/>
  <c r="B16" i="116"/>
  <c r="N15" i="116"/>
  <c r="L15" i="116"/>
  <c r="J15" i="116"/>
  <c r="B15" i="116"/>
  <c r="N14" i="116"/>
  <c r="P14" i="116" s="1"/>
  <c r="L14" i="116"/>
  <c r="B14" i="116"/>
  <c r="N13" i="116"/>
  <c r="P13" i="116" s="1"/>
  <c r="L13" i="116"/>
  <c r="J13" i="116"/>
  <c r="B13" i="116"/>
  <c r="N12" i="116"/>
  <c r="L12" i="116"/>
  <c r="J12" i="116"/>
  <c r="B12" i="116"/>
  <c r="N11" i="116"/>
  <c r="M11" i="116" s="1"/>
  <c r="L11" i="116"/>
  <c r="J11" i="116"/>
  <c r="B11" i="116"/>
  <c r="N10" i="116"/>
  <c r="P10" i="116" s="1"/>
  <c r="L10" i="116"/>
  <c r="J10" i="116"/>
  <c r="B10" i="116"/>
  <c r="N9" i="116"/>
  <c r="P9" i="116" s="1"/>
  <c r="L9" i="116"/>
  <c r="J9" i="116"/>
  <c r="B9" i="116"/>
  <c r="N8" i="116"/>
  <c r="M8" i="116" s="1"/>
  <c r="L8" i="116"/>
  <c r="B8" i="116"/>
  <c r="N7" i="116"/>
  <c r="P7" i="116" s="1"/>
  <c r="L7" i="116"/>
  <c r="J7" i="116"/>
  <c r="B7" i="116"/>
  <c r="N6" i="116"/>
  <c r="L6" i="116"/>
  <c r="B6" i="116"/>
  <c r="N5" i="116"/>
  <c r="L5" i="116"/>
  <c r="B5" i="116"/>
  <c r="N4" i="116"/>
  <c r="M4" i="116" s="1"/>
  <c r="L4" i="116"/>
  <c r="J4" i="116"/>
  <c r="B4" i="116"/>
  <c r="N3" i="116"/>
  <c r="P3" i="116" s="1"/>
  <c r="L3" i="116"/>
  <c r="J3" i="116"/>
  <c r="B3" i="116"/>
  <c r="N2" i="116"/>
  <c r="P2" i="116" s="1"/>
  <c r="L2" i="116"/>
  <c r="J2" i="116"/>
  <c r="B2" i="116"/>
  <c r="H9" i="114" a="1"/>
  <c r="H9" i="114" s="1"/>
  <c r="G9" i="114" a="1"/>
  <c r="G9" i="114" s="1"/>
  <c r="D9" i="114"/>
  <c r="H8" i="114" a="1"/>
  <c r="H8" i="114" s="1"/>
  <c r="G8" i="114" a="1"/>
  <c r="G8" i="114" s="1"/>
  <c r="D8" i="114"/>
  <c r="H5" i="114" a="1"/>
  <c r="H5" i="114" s="1"/>
  <c r="G5" i="114" a="1"/>
  <c r="G5" i="114" s="1"/>
  <c r="D5" i="114"/>
  <c r="H4" i="114" a="1"/>
  <c r="H4" i="114" s="1"/>
  <c r="G4" i="114" a="1"/>
  <c r="G4" i="114" s="1"/>
  <c r="D4" i="114"/>
  <c r="H3" i="114" a="1"/>
  <c r="H3" i="114" s="1"/>
  <c r="G3" i="114" a="1"/>
  <c r="G3" i="114" s="1"/>
  <c r="G8" i="68"/>
  <c r="F8" i="68"/>
  <c r="E8" i="68"/>
  <c r="D8" i="68"/>
  <c r="C8" i="68"/>
  <c r="O232" i="115"/>
  <c r="N232" i="115"/>
  <c r="M232" i="115"/>
  <c r="O229" i="115"/>
  <c r="N229" i="115"/>
  <c r="M229" i="115"/>
  <c r="O231" i="115"/>
  <c r="N231" i="115"/>
  <c r="M231" i="115"/>
  <c r="O230" i="115"/>
  <c r="N230" i="115"/>
  <c r="M230" i="115"/>
  <c r="O535" i="115"/>
  <c r="N535" i="115"/>
  <c r="M535" i="115"/>
  <c r="O133" i="115"/>
  <c r="N133" i="115"/>
  <c r="M133" i="115"/>
  <c r="O919" i="115"/>
  <c r="N919" i="115"/>
  <c r="M919" i="115"/>
  <c r="O555" i="115"/>
  <c r="N555" i="115"/>
  <c r="M555" i="115"/>
  <c r="O554" i="115"/>
  <c r="N554" i="115"/>
  <c r="M554" i="115"/>
  <c r="O552" i="115"/>
  <c r="N552" i="115"/>
  <c r="M552" i="115"/>
  <c r="O551" i="115"/>
  <c r="N551" i="115"/>
  <c r="M551" i="115"/>
  <c r="O641" i="115"/>
  <c r="N641" i="115"/>
  <c r="M641" i="115"/>
  <c r="O714" i="115"/>
  <c r="N714" i="115"/>
  <c r="M714" i="115"/>
  <c r="O712" i="115"/>
  <c r="N712" i="115"/>
  <c r="M712" i="115"/>
  <c r="O965" i="115"/>
  <c r="N965" i="115"/>
  <c r="M965" i="115"/>
  <c r="O437" i="115"/>
  <c r="N437" i="115"/>
  <c r="M437" i="115"/>
  <c r="O968" i="115"/>
  <c r="N968" i="115"/>
  <c r="M968" i="115"/>
  <c r="K323" i="116" s="1"/>
  <c r="O439" i="115"/>
  <c r="N439" i="115"/>
  <c r="M439" i="115"/>
  <c r="O914" i="115"/>
  <c r="N914" i="115"/>
  <c r="M914" i="115"/>
  <c r="O353" i="115"/>
  <c r="N353" i="115"/>
  <c r="M353" i="115"/>
  <c r="O351" i="115"/>
  <c r="N351" i="115"/>
  <c r="M351" i="115"/>
  <c r="O112" i="115"/>
  <c r="N112" i="115"/>
  <c r="M112" i="115"/>
  <c r="K128" i="116" s="1"/>
  <c r="O445" i="115"/>
  <c r="N445" i="115"/>
  <c r="M445" i="115"/>
  <c r="O447" i="115"/>
  <c r="N447" i="115"/>
  <c r="M447" i="115"/>
  <c r="O444" i="115"/>
  <c r="N444" i="115"/>
  <c r="M444" i="115"/>
  <c r="O24" i="115"/>
  <c r="N24" i="115"/>
  <c r="M24" i="115"/>
  <c r="K27" i="116" s="1"/>
  <c r="O27" i="115"/>
  <c r="N27" i="115"/>
  <c r="M27" i="115"/>
  <c r="O602" i="115"/>
  <c r="N602" i="115"/>
  <c r="M602" i="115"/>
  <c r="O48" i="115"/>
  <c r="N48" i="115"/>
  <c r="M48" i="115"/>
  <c r="O182" i="115"/>
  <c r="N182" i="115"/>
  <c r="M182" i="115"/>
  <c r="K288" i="116" s="1"/>
  <c r="O704" i="115"/>
  <c r="N704" i="115"/>
  <c r="M704" i="115"/>
  <c r="O118" i="115"/>
  <c r="N118" i="115"/>
  <c r="M118" i="115"/>
  <c r="O700" i="115"/>
  <c r="N700" i="115"/>
  <c r="M700" i="115"/>
  <c r="O487" i="115"/>
  <c r="N487" i="115"/>
  <c r="M487" i="115"/>
  <c r="O863" i="115"/>
  <c r="N863" i="115"/>
  <c r="M863" i="115"/>
  <c r="O864" i="115"/>
  <c r="N864" i="115"/>
  <c r="M864" i="115"/>
  <c r="O836" i="115"/>
  <c r="N836" i="115"/>
  <c r="M836" i="115"/>
  <c r="O834" i="115"/>
  <c r="N834" i="115"/>
  <c r="M834" i="115"/>
  <c r="O691" i="115"/>
  <c r="N691" i="115"/>
  <c r="M691" i="115"/>
  <c r="O608" i="115"/>
  <c r="N608" i="115"/>
  <c r="M608" i="115"/>
  <c r="O609" i="115"/>
  <c r="N609" i="115"/>
  <c r="M609" i="115"/>
  <c r="O933" i="115"/>
  <c r="N933" i="115"/>
  <c r="M933" i="115"/>
  <c r="O932" i="115"/>
  <c r="N932" i="115"/>
  <c r="M932" i="115"/>
  <c r="O931" i="115"/>
  <c r="N931" i="115"/>
  <c r="M931" i="115"/>
  <c r="O934" i="115"/>
  <c r="N934" i="115"/>
  <c r="M934" i="115"/>
  <c r="O963" i="115"/>
  <c r="N963" i="115"/>
  <c r="M963" i="115"/>
  <c r="O206" i="115"/>
  <c r="N206" i="115"/>
  <c r="M206" i="115"/>
  <c r="O204" i="115"/>
  <c r="N204" i="115"/>
  <c r="M204" i="115"/>
  <c r="O203" i="115"/>
  <c r="N203" i="115"/>
  <c r="M203" i="115"/>
  <c r="O192" i="115"/>
  <c r="N192" i="115"/>
  <c r="M192" i="115"/>
  <c r="O536" i="115"/>
  <c r="N536" i="115"/>
  <c r="M536" i="115"/>
  <c r="O537" i="115"/>
  <c r="N537" i="115"/>
  <c r="M537" i="115"/>
  <c r="O422" i="115"/>
  <c r="N422" i="115"/>
  <c r="M422" i="115"/>
  <c r="K181" i="116" s="1"/>
  <c r="O905" i="115"/>
  <c r="N905" i="115"/>
  <c r="M905" i="115"/>
  <c r="O904" i="115"/>
  <c r="N904" i="115"/>
  <c r="M904" i="115"/>
  <c r="O908" i="115"/>
  <c r="N908" i="115"/>
  <c r="M908" i="115"/>
  <c r="O907" i="115"/>
  <c r="N907" i="115"/>
  <c r="M907" i="115"/>
  <c r="O951" i="115"/>
  <c r="N951" i="115"/>
  <c r="M951" i="115"/>
  <c r="K310" i="116" s="1"/>
  <c r="O971" i="115"/>
  <c r="N971" i="115"/>
  <c r="M971" i="115"/>
  <c r="K326" i="116" s="1"/>
  <c r="O746" i="115"/>
  <c r="N746" i="115"/>
  <c r="M746" i="115"/>
  <c r="O507" i="115"/>
  <c r="N507" i="115"/>
  <c r="M507" i="115"/>
  <c r="O135" i="115"/>
  <c r="N135" i="115"/>
  <c r="M135" i="115"/>
  <c r="O707" i="115"/>
  <c r="N707" i="115"/>
  <c r="M707" i="115"/>
  <c r="K168" i="116" s="1"/>
  <c r="O871" i="115"/>
  <c r="N871" i="115"/>
  <c r="M871" i="115"/>
  <c r="O538" i="115"/>
  <c r="N538" i="115"/>
  <c r="M538" i="115"/>
  <c r="O539" i="115"/>
  <c r="N539" i="115"/>
  <c r="M539" i="115"/>
  <c r="O943" i="115"/>
  <c r="N943" i="115"/>
  <c r="M943" i="115"/>
  <c r="O4" i="115"/>
  <c r="N4" i="115"/>
  <c r="M4" i="115"/>
  <c r="O3" i="115"/>
  <c r="N3" i="115"/>
  <c r="M3" i="115"/>
  <c r="O5" i="115"/>
  <c r="N5" i="115"/>
  <c r="M5" i="115"/>
  <c r="O6" i="115"/>
  <c r="N6" i="115"/>
  <c r="M6" i="115"/>
  <c r="O188" i="115"/>
  <c r="N188" i="115"/>
  <c r="M188" i="115"/>
  <c r="K175" i="116" s="1"/>
  <c r="O315" i="115"/>
  <c r="N315" i="115"/>
  <c r="M315" i="115"/>
  <c r="O314" i="115"/>
  <c r="N314" i="115"/>
  <c r="M314" i="115"/>
  <c r="O313" i="115"/>
  <c r="N313" i="115"/>
  <c r="M313" i="115"/>
  <c r="O311" i="115"/>
  <c r="N311" i="115"/>
  <c r="M311" i="115"/>
  <c r="O682" i="115"/>
  <c r="N682" i="115"/>
  <c r="M682" i="115"/>
  <c r="O152" i="115"/>
  <c r="N152" i="115"/>
  <c r="M152" i="115"/>
  <c r="K179" i="116" s="1"/>
  <c r="O215" i="115"/>
  <c r="N215" i="115"/>
  <c r="M215" i="115"/>
  <c r="O217" i="115"/>
  <c r="N217" i="115"/>
  <c r="M217" i="115"/>
  <c r="O218" i="115"/>
  <c r="N218" i="115"/>
  <c r="M218" i="115"/>
  <c r="O672" i="115"/>
  <c r="N672" i="115"/>
  <c r="M672" i="115"/>
  <c r="O29" i="115"/>
  <c r="N29" i="115"/>
  <c r="M29" i="115"/>
  <c r="O2" i="115"/>
  <c r="N2" i="115"/>
  <c r="M2" i="115"/>
  <c r="O30" i="115"/>
  <c r="N30" i="115"/>
  <c r="M30" i="115"/>
  <c r="O28" i="115"/>
  <c r="N28" i="115"/>
  <c r="M28" i="115"/>
  <c r="O717" i="115"/>
  <c r="N717" i="115"/>
  <c r="M717" i="115"/>
  <c r="K124" i="116" s="1"/>
  <c r="O628" i="115"/>
  <c r="N628" i="115"/>
  <c r="M628" i="115"/>
  <c r="O630" i="115"/>
  <c r="N630" i="115"/>
  <c r="M630" i="115"/>
  <c r="O631" i="115"/>
  <c r="N631" i="115"/>
  <c r="M631" i="115"/>
  <c r="O629" i="115"/>
  <c r="N629" i="115"/>
  <c r="M629" i="115"/>
  <c r="O734" i="115"/>
  <c r="N734" i="115"/>
  <c r="M734" i="115"/>
  <c r="O811" i="115"/>
  <c r="N811" i="115"/>
  <c r="M811" i="115"/>
  <c r="O810" i="115"/>
  <c r="N810" i="115"/>
  <c r="M810" i="115"/>
  <c r="O809" i="115"/>
  <c r="N809" i="115"/>
  <c r="M809" i="115"/>
  <c r="O807" i="115"/>
  <c r="N807" i="115"/>
  <c r="M807" i="115"/>
  <c r="O743" i="115"/>
  <c r="N743" i="115"/>
  <c r="M743" i="115"/>
  <c r="O949" i="115"/>
  <c r="N949" i="115"/>
  <c r="M949" i="115"/>
  <c r="O948" i="115"/>
  <c r="N948" i="115"/>
  <c r="M948" i="115"/>
  <c r="O947" i="115"/>
  <c r="N947" i="115"/>
  <c r="M947" i="115"/>
  <c r="O945" i="115"/>
  <c r="N945" i="115"/>
  <c r="M945" i="115"/>
  <c r="O808" i="115"/>
  <c r="N808" i="115"/>
  <c r="M808" i="115"/>
  <c r="O708" i="115"/>
  <c r="N708" i="115"/>
  <c r="M708" i="115"/>
  <c r="O709" i="115"/>
  <c r="N709" i="115"/>
  <c r="M709" i="115"/>
  <c r="O729" i="115"/>
  <c r="N729" i="115"/>
  <c r="M729" i="115"/>
  <c r="O520" i="115"/>
  <c r="N520" i="115"/>
  <c r="M520" i="115"/>
  <c r="O522" i="115"/>
  <c r="N522" i="115"/>
  <c r="M522" i="115"/>
  <c r="O733" i="115"/>
  <c r="N733" i="115"/>
  <c r="M733" i="115"/>
  <c r="O259" i="115"/>
  <c r="N259" i="115"/>
  <c r="M259" i="115"/>
  <c r="O730" i="115"/>
  <c r="N730" i="115"/>
  <c r="M730" i="115"/>
  <c r="O727" i="115"/>
  <c r="N727" i="115"/>
  <c r="M727" i="115"/>
  <c r="O728" i="115"/>
  <c r="N728" i="115"/>
  <c r="M728" i="115"/>
  <c r="O731" i="115"/>
  <c r="N731" i="115"/>
  <c r="M731" i="115"/>
  <c r="O662" i="115"/>
  <c r="N662" i="115"/>
  <c r="M662" i="115"/>
  <c r="O917" i="115"/>
  <c r="N917" i="115"/>
  <c r="M917" i="115"/>
  <c r="O918" i="115"/>
  <c r="N918" i="115"/>
  <c r="M918" i="115"/>
  <c r="O915" i="115"/>
  <c r="N915" i="115"/>
  <c r="M915" i="115"/>
  <c r="O916" i="115"/>
  <c r="N916" i="115"/>
  <c r="M916" i="115"/>
  <c r="O897" i="115"/>
  <c r="N897" i="115"/>
  <c r="M897" i="115"/>
  <c r="O56" i="115"/>
  <c r="N56" i="115"/>
  <c r="M56" i="115"/>
  <c r="O58" i="115"/>
  <c r="N58" i="115"/>
  <c r="M58" i="115"/>
  <c r="O57" i="115"/>
  <c r="N57" i="115"/>
  <c r="M57" i="115"/>
  <c r="O55" i="115"/>
  <c r="N55" i="115"/>
  <c r="M55" i="115"/>
  <c r="O543" i="115"/>
  <c r="N543" i="115"/>
  <c r="M543" i="115"/>
  <c r="O498" i="115"/>
  <c r="N498" i="115"/>
  <c r="M498" i="115"/>
  <c r="O496" i="115"/>
  <c r="N496" i="115"/>
  <c r="M496" i="115"/>
  <c r="O495" i="115"/>
  <c r="N495" i="115"/>
  <c r="M495" i="115"/>
  <c r="O497" i="115"/>
  <c r="N497" i="115"/>
  <c r="M497" i="115"/>
  <c r="O153" i="115"/>
  <c r="N153" i="115"/>
  <c r="M153" i="115"/>
  <c r="O105" i="115"/>
  <c r="N105" i="115"/>
  <c r="M105" i="115"/>
  <c r="O956" i="115"/>
  <c r="N956" i="115"/>
  <c r="M956" i="115"/>
  <c r="K313" i="116" s="1"/>
  <c r="O744" i="115"/>
  <c r="N744" i="115"/>
  <c r="M744" i="115"/>
  <c r="O858" i="115"/>
  <c r="N858" i="115"/>
  <c r="M858" i="115"/>
  <c r="O87" i="115"/>
  <c r="N87" i="115"/>
  <c r="M87" i="115"/>
  <c r="O86" i="115"/>
  <c r="N86" i="115"/>
  <c r="M86" i="115"/>
  <c r="O85" i="115"/>
  <c r="N85" i="115"/>
  <c r="M85" i="115"/>
  <c r="K13" i="116" s="1"/>
  <c r="O176" i="115"/>
  <c r="N176" i="115"/>
  <c r="M176" i="115"/>
  <c r="O469" i="115"/>
  <c r="N469" i="115"/>
  <c r="M469" i="115"/>
  <c r="O468" i="115"/>
  <c r="N468" i="115"/>
  <c r="M468" i="115"/>
  <c r="O467" i="115"/>
  <c r="N467" i="115"/>
  <c r="M467" i="115"/>
  <c r="O500" i="115"/>
  <c r="N500" i="115"/>
  <c r="M500" i="115"/>
  <c r="K328" i="116" s="1"/>
  <c r="O455" i="115"/>
  <c r="N455" i="115"/>
  <c r="M455" i="115"/>
  <c r="O454" i="115"/>
  <c r="N454" i="115"/>
  <c r="M454" i="115"/>
  <c r="O453" i="115"/>
  <c r="N453" i="115"/>
  <c r="M453" i="115"/>
  <c r="O452" i="115"/>
  <c r="N452" i="115"/>
  <c r="M452" i="115"/>
  <c r="O969" i="115"/>
  <c r="N969" i="115"/>
  <c r="M969" i="115"/>
  <c r="K327" i="116" s="1"/>
  <c r="O475" i="115"/>
  <c r="N475" i="115"/>
  <c r="M475" i="115"/>
  <c r="O436" i="115"/>
  <c r="N436" i="115"/>
  <c r="M436" i="115"/>
  <c r="K254" i="116" s="1"/>
  <c r="O556" i="115"/>
  <c r="N556" i="115"/>
  <c r="M556" i="115"/>
  <c r="O599" i="115"/>
  <c r="N599" i="115"/>
  <c r="M599" i="115"/>
  <c r="K221" i="116" s="1"/>
  <c r="O567" i="115"/>
  <c r="N567" i="115"/>
  <c r="M567" i="115"/>
  <c r="O189" i="115"/>
  <c r="N189" i="115"/>
  <c r="M189" i="115"/>
  <c r="O843" i="115"/>
  <c r="N843" i="115"/>
  <c r="M843" i="115"/>
  <c r="O577" i="115"/>
  <c r="N577" i="115"/>
  <c r="M577" i="115"/>
  <c r="O576" i="115"/>
  <c r="N576" i="115"/>
  <c r="M576" i="115"/>
  <c r="O791" i="115"/>
  <c r="N791" i="115"/>
  <c r="M791" i="115"/>
  <c r="O226" i="115"/>
  <c r="N226" i="115"/>
  <c r="M226" i="115"/>
  <c r="O227" i="115"/>
  <c r="N227" i="115"/>
  <c r="M227" i="115"/>
  <c r="O228" i="115"/>
  <c r="N228" i="115"/>
  <c r="M228" i="115"/>
  <c r="O225" i="115"/>
  <c r="N225" i="115"/>
  <c r="M225" i="115"/>
  <c r="O699" i="115"/>
  <c r="N699" i="115"/>
  <c r="M699" i="115"/>
  <c r="O683" i="115"/>
  <c r="N683" i="115"/>
  <c r="M683" i="115"/>
  <c r="O685" i="115"/>
  <c r="N685" i="115"/>
  <c r="M685" i="115"/>
  <c r="O686" i="115"/>
  <c r="N686" i="115"/>
  <c r="M686" i="115"/>
  <c r="O684" i="115"/>
  <c r="N684" i="115"/>
  <c r="M684" i="115"/>
  <c r="O745" i="115"/>
  <c r="N745" i="115"/>
  <c r="M745" i="115"/>
  <c r="K272" i="116" s="1"/>
  <c r="O827" i="115"/>
  <c r="N827" i="115"/>
  <c r="M827" i="115"/>
  <c r="O845" i="115"/>
  <c r="N845" i="115"/>
  <c r="M845" i="115"/>
  <c r="O846" i="115"/>
  <c r="N846" i="115"/>
  <c r="M846" i="115"/>
  <c r="O847" i="115"/>
  <c r="N847" i="115"/>
  <c r="M847" i="115"/>
  <c r="O844" i="115"/>
  <c r="N844" i="115"/>
  <c r="M844" i="115"/>
  <c r="O180" i="115"/>
  <c r="N180" i="115"/>
  <c r="M180" i="115"/>
  <c r="O694" i="115"/>
  <c r="N694" i="115"/>
  <c r="M694" i="115"/>
  <c r="O695" i="115"/>
  <c r="N695" i="115"/>
  <c r="M695" i="115"/>
  <c r="O696" i="115"/>
  <c r="N696" i="115"/>
  <c r="M696" i="115"/>
  <c r="O692" i="115"/>
  <c r="N692" i="115"/>
  <c r="M692" i="115"/>
  <c r="O149" i="115"/>
  <c r="N149" i="115"/>
  <c r="M149" i="115"/>
  <c r="K178" i="116" s="1"/>
  <c r="O653" i="115"/>
  <c r="N653" i="115"/>
  <c r="M653" i="115"/>
  <c r="O654" i="115"/>
  <c r="N654" i="115"/>
  <c r="M654" i="115"/>
  <c r="O655" i="115"/>
  <c r="N655" i="115"/>
  <c r="M655" i="115"/>
  <c r="O783" i="115"/>
  <c r="N783" i="115"/>
  <c r="M783" i="115"/>
  <c r="O131" i="115"/>
  <c r="N131" i="115"/>
  <c r="M131" i="115"/>
  <c r="K190" i="116" s="1"/>
  <c r="O925" i="115"/>
  <c r="N925" i="115"/>
  <c r="M925" i="115"/>
  <c r="O345" i="115"/>
  <c r="N345" i="115"/>
  <c r="M345" i="115"/>
  <c r="O346" i="115"/>
  <c r="N346" i="115"/>
  <c r="M346" i="115"/>
  <c r="O935" i="115"/>
  <c r="N935" i="115"/>
  <c r="M935" i="115"/>
  <c r="O817" i="115"/>
  <c r="N817" i="115"/>
  <c r="M817" i="115"/>
  <c r="O962" i="115"/>
  <c r="N962" i="115"/>
  <c r="M962" i="115"/>
  <c r="K255" i="116" s="1"/>
  <c r="O870" i="115"/>
  <c r="N870" i="115"/>
  <c r="M870" i="115"/>
  <c r="O869" i="115"/>
  <c r="N869" i="115"/>
  <c r="M869" i="115"/>
  <c r="O481" i="115"/>
  <c r="N481" i="115"/>
  <c r="M481" i="115"/>
  <c r="O851" i="115"/>
  <c r="N851" i="115"/>
  <c r="M851" i="115"/>
  <c r="O619" i="115"/>
  <c r="N619" i="115"/>
  <c r="M619" i="115"/>
  <c r="O621" i="115"/>
  <c r="N621" i="115"/>
  <c r="M621" i="115"/>
  <c r="O111" i="115"/>
  <c r="N111" i="115"/>
  <c r="M111" i="115"/>
  <c r="K108" i="116" s="1"/>
  <c r="O853" i="115"/>
  <c r="N853" i="115"/>
  <c r="M853" i="115"/>
  <c r="O852" i="115"/>
  <c r="N852" i="115"/>
  <c r="M852" i="115"/>
  <c r="O850" i="115"/>
  <c r="N850" i="115"/>
  <c r="M850" i="115"/>
  <c r="O849" i="115"/>
  <c r="N849" i="115"/>
  <c r="M849" i="115"/>
  <c r="K144" i="116" s="1"/>
  <c r="O770" i="115"/>
  <c r="N770" i="115"/>
  <c r="M770" i="115"/>
  <c r="O587" i="115"/>
  <c r="N587" i="115"/>
  <c r="M587" i="115"/>
  <c r="O121" i="115"/>
  <c r="N121" i="115"/>
  <c r="M121" i="115"/>
  <c r="O122" i="115"/>
  <c r="N122" i="115"/>
  <c r="M122" i="115"/>
  <c r="O120" i="115"/>
  <c r="N120" i="115"/>
  <c r="M120" i="115"/>
  <c r="O967" i="115"/>
  <c r="N967" i="115"/>
  <c r="M967" i="115"/>
  <c r="K321" i="116" s="1"/>
  <c r="O201" i="115"/>
  <c r="N201" i="115"/>
  <c r="M201" i="115"/>
  <c r="O804" i="115"/>
  <c r="N804" i="115"/>
  <c r="M804" i="115"/>
  <c r="O257" i="115"/>
  <c r="N257" i="115"/>
  <c r="M257" i="115"/>
  <c r="O256" i="115"/>
  <c r="N256" i="115"/>
  <c r="M256" i="115"/>
  <c r="O254" i="115"/>
  <c r="N254" i="115"/>
  <c r="M254" i="115"/>
  <c r="O255" i="115"/>
  <c r="N255" i="115"/>
  <c r="M255" i="115"/>
  <c r="O584" i="115"/>
  <c r="N584" i="115"/>
  <c r="M584" i="115"/>
  <c r="O75" i="115"/>
  <c r="N75" i="115"/>
  <c r="M75" i="115"/>
  <c r="O74" i="115"/>
  <c r="N74" i="115"/>
  <c r="M74" i="115"/>
  <c r="O77" i="115"/>
  <c r="N77" i="115"/>
  <c r="M77" i="115"/>
  <c r="O78" i="115"/>
  <c r="N78" i="115"/>
  <c r="M78" i="115"/>
  <c r="O76" i="115"/>
  <c r="N76" i="115"/>
  <c r="M76" i="115"/>
  <c r="O787" i="115"/>
  <c r="N787" i="115"/>
  <c r="M787" i="115"/>
  <c r="O282" i="115"/>
  <c r="N282" i="115"/>
  <c r="M282" i="115"/>
  <c r="O283" i="115"/>
  <c r="N283" i="115"/>
  <c r="M283" i="115"/>
  <c r="O279" i="115"/>
  <c r="N279" i="115"/>
  <c r="M279" i="115"/>
  <c r="O281" i="115"/>
  <c r="N281" i="115"/>
  <c r="M281" i="115"/>
  <c r="O889" i="115"/>
  <c r="N889" i="115"/>
  <c r="M889" i="115"/>
  <c r="O292" i="115"/>
  <c r="N292" i="115"/>
  <c r="M292" i="115"/>
  <c r="O290" i="115"/>
  <c r="N290" i="115"/>
  <c r="M290" i="115"/>
  <c r="O291" i="115"/>
  <c r="N291" i="115"/>
  <c r="M291" i="115"/>
  <c r="O289" i="115"/>
  <c r="N289" i="115"/>
  <c r="M289" i="115"/>
  <c r="O509" i="115"/>
  <c r="N509" i="115"/>
  <c r="M509" i="115"/>
  <c r="K2" i="116" s="1"/>
  <c r="O372" i="115"/>
  <c r="N372" i="115"/>
  <c r="M372" i="115"/>
  <c r="O761" i="115"/>
  <c r="N761" i="115"/>
  <c r="M761" i="115"/>
  <c r="O832" i="115"/>
  <c r="N832" i="115"/>
  <c r="M832" i="115"/>
  <c r="O829" i="115"/>
  <c r="N829" i="115"/>
  <c r="M829" i="115"/>
  <c r="O830" i="115"/>
  <c r="N830" i="115"/>
  <c r="M830" i="115"/>
  <c r="O831" i="115"/>
  <c r="N831" i="115"/>
  <c r="M831" i="115"/>
  <c r="O395" i="115"/>
  <c r="N395" i="115"/>
  <c r="M395" i="115"/>
  <c r="O930" i="115"/>
  <c r="N930" i="115"/>
  <c r="M930" i="115"/>
  <c r="O927" i="115"/>
  <c r="N927" i="115"/>
  <c r="M927" i="115"/>
  <c r="O929" i="115"/>
  <c r="N929" i="115"/>
  <c r="M929" i="115"/>
  <c r="O928" i="115"/>
  <c r="N928" i="115"/>
  <c r="M928" i="115"/>
  <c r="O562" i="115"/>
  <c r="N562" i="115"/>
  <c r="M562" i="115"/>
  <c r="O588" i="115"/>
  <c r="N588" i="115"/>
  <c r="M588" i="115"/>
  <c r="O589" i="115"/>
  <c r="N589" i="115"/>
  <c r="M589" i="115"/>
  <c r="O591" i="115"/>
  <c r="N591" i="115"/>
  <c r="M591" i="115"/>
  <c r="O590" i="115"/>
  <c r="N590" i="115"/>
  <c r="M590" i="115"/>
  <c r="O124" i="115"/>
  <c r="N124" i="115"/>
  <c r="M124" i="115"/>
  <c r="O504" i="115"/>
  <c r="N504" i="115"/>
  <c r="M504" i="115"/>
  <c r="O506" i="115"/>
  <c r="N506" i="115"/>
  <c r="M506" i="115"/>
  <c r="O505" i="115"/>
  <c r="N505" i="115"/>
  <c r="M505" i="115"/>
  <c r="O508" i="115"/>
  <c r="N508" i="115"/>
  <c r="M508" i="115"/>
  <c r="O265" i="115"/>
  <c r="N265" i="115"/>
  <c r="M265" i="115"/>
  <c r="O413" i="115"/>
  <c r="N413" i="115"/>
  <c r="M413" i="115"/>
  <c r="O954" i="115"/>
  <c r="N954" i="115"/>
  <c r="M954" i="115"/>
  <c r="O435" i="115"/>
  <c r="N435" i="115"/>
  <c r="M435" i="115"/>
  <c r="O906" i="115"/>
  <c r="N906" i="115"/>
  <c r="M906" i="115"/>
  <c r="O157" i="115"/>
  <c r="N157" i="115"/>
  <c r="M157" i="115"/>
  <c r="O158" i="115"/>
  <c r="N158" i="115"/>
  <c r="M158" i="115"/>
  <c r="O160" i="115"/>
  <c r="N160" i="115"/>
  <c r="M160" i="115"/>
  <c r="O159" i="115"/>
  <c r="N159" i="115"/>
  <c r="M159" i="115"/>
  <c r="O474" i="115"/>
  <c r="N474" i="115"/>
  <c r="M474" i="115"/>
  <c r="K107" i="116" s="1"/>
  <c r="O549" i="115"/>
  <c r="N549" i="115"/>
  <c r="M549" i="115"/>
  <c r="O548" i="115"/>
  <c r="N548" i="115"/>
  <c r="M548" i="115"/>
  <c r="O547" i="115"/>
  <c r="N547" i="115"/>
  <c r="M547" i="115"/>
  <c r="O546" i="115"/>
  <c r="N546" i="115"/>
  <c r="M546" i="115"/>
  <c r="O147" i="115"/>
  <c r="N147" i="115"/>
  <c r="M147" i="115"/>
  <c r="K284" i="116" s="1"/>
  <c r="O799" i="115"/>
  <c r="N799" i="115"/>
  <c r="M799" i="115"/>
  <c r="O796" i="115"/>
  <c r="N796" i="115"/>
  <c r="M796" i="115"/>
  <c r="O797" i="115"/>
  <c r="N797" i="115"/>
  <c r="M797" i="115"/>
  <c r="O798" i="115"/>
  <c r="N798" i="115"/>
  <c r="M798" i="115"/>
  <c r="O477" i="115"/>
  <c r="N477" i="115"/>
  <c r="M477" i="115"/>
  <c r="O738" i="115"/>
  <c r="N738" i="115"/>
  <c r="M738" i="115"/>
  <c r="O741" i="115"/>
  <c r="N741" i="115"/>
  <c r="M741" i="115"/>
  <c r="O740" i="115"/>
  <c r="N740" i="115"/>
  <c r="M740" i="115"/>
  <c r="O739" i="115"/>
  <c r="N739" i="115"/>
  <c r="M739" i="115"/>
  <c r="O946" i="115"/>
  <c r="N946" i="115"/>
  <c r="M946" i="115"/>
  <c r="O130" i="115"/>
  <c r="N130" i="115"/>
  <c r="M130" i="115"/>
  <c r="K209" i="116" s="1"/>
  <c r="O262" i="115"/>
  <c r="N262" i="115"/>
  <c r="M262" i="115"/>
  <c r="O263" i="115"/>
  <c r="N263" i="115"/>
  <c r="M263" i="115"/>
  <c r="O261" i="115"/>
  <c r="N261" i="115"/>
  <c r="M261" i="115"/>
  <c r="O264" i="115"/>
  <c r="N264" i="115"/>
  <c r="M264" i="115"/>
  <c r="O667" i="115"/>
  <c r="N667" i="115"/>
  <c r="M667" i="115"/>
  <c r="O318" i="115"/>
  <c r="N318" i="115"/>
  <c r="M318" i="115"/>
  <c r="O319" i="115"/>
  <c r="N319" i="115"/>
  <c r="M319" i="115"/>
  <c r="O198" i="115"/>
  <c r="N198" i="115"/>
  <c r="M198" i="115"/>
  <c r="O479" i="115"/>
  <c r="N479" i="115"/>
  <c r="M479" i="115"/>
  <c r="O478" i="115"/>
  <c r="N478" i="115"/>
  <c r="M478" i="115"/>
  <c r="O476" i="115"/>
  <c r="N476" i="115"/>
  <c r="M476" i="115"/>
  <c r="K102" i="116" s="1"/>
  <c r="O859" i="115"/>
  <c r="N859" i="115"/>
  <c r="M859" i="115"/>
  <c r="O913" i="115"/>
  <c r="N913" i="115"/>
  <c r="M913" i="115"/>
  <c r="O912" i="115"/>
  <c r="N912" i="115"/>
  <c r="M912" i="115"/>
  <c r="O911" i="115"/>
  <c r="N911" i="115"/>
  <c r="M911" i="115"/>
  <c r="O910" i="115"/>
  <c r="N910" i="115"/>
  <c r="M910" i="115"/>
  <c r="O656" i="115"/>
  <c r="N656" i="115"/>
  <c r="M656" i="115"/>
  <c r="O246" i="115"/>
  <c r="N246" i="115"/>
  <c r="M246" i="115"/>
  <c r="O244" i="115"/>
  <c r="N244" i="115"/>
  <c r="M244" i="115"/>
  <c r="O245" i="115"/>
  <c r="N245" i="115"/>
  <c r="M245" i="115"/>
  <c r="O627" i="115"/>
  <c r="N627" i="115"/>
  <c r="M627" i="115"/>
  <c r="K111" i="116" s="1"/>
  <c r="O959" i="115"/>
  <c r="N959" i="115"/>
  <c r="M959" i="115"/>
  <c r="O958" i="115"/>
  <c r="N958" i="115"/>
  <c r="M958" i="115"/>
  <c r="O679" i="115"/>
  <c r="N679" i="115"/>
  <c r="M679" i="115"/>
  <c r="O960" i="115"/>
  <c r="N960" i="115"/>
  <c r="M960" i="115"/>
  <c r="O114" i="115"/>
  <c r="N114" i="115"/>
  <c r="M114" i="115"/>
  <c r="O334" i="115"/>
  <c r="N334" i="115"/>
  <c r="M334" i="115"/>
  <c r="O333" i="115"/>
  <c r="N333" i="115"/>
  <c r="M333" i="115"/>
  <c r="O142" i="115"/>
  <c r="N142" i="115"/>
  <c r="M142" i="115"/>
  <c r="K42" i="116" s="1"/>
  <c r="O570" i="115"/>
  <c r="N570" i="115"/>
  <c r="M570" i="115"/>
  <c r="O573" i="115"/>
  <c r="N573" i="115"/>
  <c r="M573" i="115"/>
  <c r="O571" i="115"/>
  <c r="N571" i="115"/>
  <c r="M571" i="115"/>
  <c r="O569" i="115"/>
  <c r="N569" i="115"/>
  <c r="M569" i="115"/>
  <c r="O812" i="115"/>
  <c r="N812" i="115"/>
  <c r="M812" i="115"/>
  <c r="O634" i="115"/>
  <c r="N634" i="115"/>
  <c r="M634" i="115"/>
  <c r="O635" i="115"/>
  <c r="N635" i="115"/>
  <c r="M635" i="115"/>
  <c r="O632" i="115"/>
  <c r="N632" i="115"/>
  <c r="M632" i="115"/>
  <c r="O636" i="115"/>
  <c r="N636" i="115"/>
  <c r="M636" i="115"/>
  <c r="O578" i="115"/>
  <c r="N578" i="115"/>
  <c r="M578" i="115"/>
  <c r="O689" i="115"/>
  <c r="N689" i="115"/>
  <c r="M689" i="115"/>
  <c r="O687" i="115"/>
  <c r="N687" i="115"/>
  <c r="M687" i="115"/>
  <c r="O688" i="115"/>
  <c r="N688" i="115"/>
  <c r="M688" i="115"/>
  <c r="O690" i="115"/>
  <c r="N690" i="115"/>
  <c r="M690" i="115"/>
  <c r="O818" i="115"/>
  <c r="N818" i="115"/>
  <c r="M818" i="115"/>
  <c r="K10" i="116" s="1"/>
  <c r="O769" i="115"/>
  <c r="N769" i="115"/>
  <c r="M769" i="115"/>
  <c r="O768" i="115"/>
  <c r="N768" i="115"/>
  <c r="M768" i="115"/>
  <c r="K7" i="116" s="1"/>
  <c r="O60" i="115"/>
  <c r="N60" i="115"/>
  <c r="M60" i="115"/>
  <c r="O393" i="115"/>
  <c r="N393" i="115"/>
  <c r="M393" i="115"/>
  <c r="O970" i="115"/>
  <c r="N970" i="115"/>
  <c r="M970" i="115"/>
  <c r="K325" i="116" s="1"/>
  <c r="O92" i="115"/>
  <c r="N92" i="115"/>
  <c r="M92" i="115"/>
  <c r="O335" i="115"/>
  <c r="N335" i="115"/>
  <c r="M335" i="115"/>
  <c r="O337" i="115"/>
  <c r="N337" i="115"/>
  <c r="M337" i="115"/>
  <c r="O336" i="115"/>
  <c r="N336" i="115"/>
  <c r="M336" i="115"/>
  <c r="O660" i="115"/>
  <c r="N660" i="115"/>
  <c r="M660" i="115"/>
  <c r="O272" i="115"/>
  <c r="N272" i="115"/>
  <c r="M272" i="115"/>
  <c r="O270" i="115"/>
  <c r="N270" i="115"/>
  <c r="M270" i="115"/>
  <c r="O271" i="115"/>
  <c r="N271" i="115"/>
  <c r="M271" i="115"/>
  <c r="O456" i="115"/>
  <c r="N456" i="115"/>
  <c r="M456" i="115"/>
  <c r="K51" i="116" s="1"/>
  <c r="O381" i="115"/>
  <c r="N381" i="115"/>
  <c r="M381" i="115"/>
  <c r="O382" i="115"/>
  <c r="N382" i="115"/>
  <c r="M382" i="115"/>
  <c r="O380" i="115"/>
  <c r="N380" i="115"/>
  <c r="M380" i="115"/>
  <c r="O378" i="115"/>
  <c r="N378" i="115"/>
  <c r="M378" i="115"/>
  <c r="O501" i="115"/>
  <c r="N501" i="115"/>
  <c r="M501" i="115"/>
  <c r="K329" i="116" s="1"/>
  <c r="O443" i="115"/>
  <c r="N443" i="115"/>
  <c r="M443" i="115"/>
  <c r="O442" i="115"/>
  <c r="N442" i="115"/>
  <c r="M442" i="115"/>
  <c r="O146" i="115"/>
  <c r="N146" i="115"/>
  <c r="M146" i="115"/>
  <c r="K210" i="116" s="1"/>
  <c r="O430" i="115"/>
  <c r="N430" i="115"/>
  <c r="M430" i="115"/>
  <c r="O429" i="115"/>
  <c r="N429" i="115"/>
  <c r="M429" i="115"/>
  <c r="O470" i="115"/>
  <c r="N470" i="115"/>
  <c r="M470" i="115"/>
  <c r="O879" i="115"/>
  <c r="N879" i="115"/>
  <c r="M879" i="115"/>
  <c r="K31" i="116" s="1"/>
  <c r="O45" i="115"/>
  <c r="N45" i="115"/>
  <c r="M45" i="115"/>
  <c r="O25" i="115"/>
  <c r="N25" i="115"/>
  <c r="M25" i="115"/>
  <c r="O238" i="115"/>
  <c r="N238" i="115"/>
  <c r="M238" i="115"/>
  <c r="O234" i="115"/>
  <c r="N234" i="115"/>
  <c r="M234" i="115"/>
  <c r="O235" i="115"/>
  <c r="N235" i="115"/>
  <c r="M235" i="115"/>
  <c r="O237" i="115"/>
  <c r="N237" i="115"/>
  <c r="M237" i="115"/>
  <c r="O620" i="115"/>
  <c r="N620" i="115"/>
  <c r="M620" i="115"/>
  <c r="O424" i="115"/>
  <c r="N424" i="115"/>
  <c r="M424" i="115"/>
  <c r="O425" i="115"/>
  <c r="N425" i="115"/>
  <c r="M425" i="115"/>
  <c r="O775" i="115"/>
  <c r="N775" i="115"/>
  <c r="M775" i="115"/>
  <c r="O309" i="115"/>
  <c r="N309" i="115"/>
  <c r="M309" i="115"/>
  <c r="O568" i="115"/>
  <c r="N568" i="115"/>
  <c r="M568" i="115"/>
  <c r="K152" i="116" s="1"/>
  <c r="O961" i="115"/>
  <c r="N961" i="115"/>
  <c r="M961" i="115"/>
  <c r="O936" i="115"/>
  <c r="N936" i="115"/>
  <c r="M936" i="115"/>
  <c r="O964" i="115"/>
  <c r="N964" i="115"/>
  <c r="M964" i="115"/>
  <c r="O150" i="115"/>
  <c r="N150" i="115"/>
  <c r="M150" i="115"/>
  <c r="K109" i="116" s="1"/>
  <c r="O592" i="115"/>
  <c r="N592" i="115"/>
  <c r="M592" i="115"/>
  <c r="O139" i="115"/>
  <c r="N139" i="115"/>
  <c r="M139" i="115"/>
  <c r="O151" i="115"/>
  <c r="N151" i="115"/>
  <c r="M151" i="115"/>
  <c r="K212" i="116" s="1"/>
  <c r="O757" i="115"/>
  <c r="N757" i="115"/>
  <c r="M757" i="115"/>
  <c r="O465" i="115"/>
  <c r="N465" i="115"/>
  <c r="M465" i="115"/>
  <c r="O464" i="115"/>
  <c r="N464" i="115"/>
  <c r="M464" i="115"/>
  <c r="O462" i="115"/>
  <c r="N462" i="115"/>
  <c r="M462" i="115"/>
  <c r="O461" i="115"/>
  <c r="N461" i="115"/>
  <c r="M461" i="115"/>
  <c r="O196" i="115"/>
  <c r="N196" i="115"/>
  <c r="M196" i="115"/>
  <c r="O417" i="115"/>
  <c r="N417" i="115"/>
  <c r="M417" i="115"/>
  <c r="O418" i="115"/>
  <c r="N418" i="115"/>
  <c r="M418" i="115"/>
  <c r="O64" i="115"/>
  <c r="N64" i="115"/>
  <c r="M64" i="115"/>
  <c r="O47" i="115"/>
  <c r="N47" i="115"/>
  <c r="M47" i="115"/>
  <c r="K146" i="116" s="1"/>
  <c r="O866" i="115"/>
  <c r="N866" i="115"/>
  <c r="M866" i="115"/>
  <c r="K182" i="116" s="1"/>
  <c r="O308" i="115"/>
  <c r="N308" i="115"/>
  <c r="M308" i="115"/>
  <c r="O307" i="115"/>
  <c r="N307" i="115"/>
  <c r="M307" i="115"/>
  <c r="O610" i="115"/>
  <c r="N610" i="115"/>
  <c r="M610" i="115"/>
  <c r="O365" i="115"/>
  <c r="N365" i="115"/>
  <c r="M365" i="115"/>
  <c r="O598" i="115"/>
  <c r="N598" i="115"/>
  <c r="M598" i="115"/>
  <c r="K322" i="116" s="1"/>
  <c r="O81" i="115"/>
  <c r="N81" i="115"/>
  <c r="M81" i="115"/>
  <c r="O83" i="115"/>
  <c r="N83" i="115"/>
  <c r="M83" i="115"/>
  <c r="O79" i="115"/>
  <c r="N79" i="115"/>
  <c r="M79" i="115"/>
  <c r="K143" i="116" s="1"/>
  <c r="O80" i="115"/>
  <c r="N80" i="115"/>
  <c r="M80" i="115"/>
  <c r="O82" i="115"/>
  <c r="N82" i="115"/>
  <c r="M82" i="115"/>
  <c r="O557" i="115"/>
  <c r="N557" i="115"/>
  <c r="M557" i="115"/>
  <c r="O899" i="115"/>
  <c r="N899" i="115"/>
  <c r="M899" i="115"/>
  <c r="O901" i="115"/>
  <c r="N901" i="115"/>
  <c r="M901" i="115"/>
  <c r="O902" i="115"/>
  <c r="N902" i="115"/>
  <c r="M902" i="115"/>
  <c r="O35" i="115"/>
  <c r="N35" i="115"/>
  <c r="M35" i="115"/>
  <c r="O792" i="115"/>
  <c r="N792" i="115"/>
  <c r="M792" i="115"/>
  <c r="O793" i="115"/>
  <c r="N793" i="115"/>
  <c r="M793" i="115"/>
  <c r="O794" i="115"/>
  <c r="N794" i="115"/>
  <c r="M794" i="115"/>
  <c r="O795" i="115"/>
  <c r="N795" i="115"/>
  <c r="M795" i="115"/>
  <c r="O926" i="115"/>
  <c r="N926" i="115"/>
  <c r="M926" i="115"/>
  <c r="K300" i="116" s="1"/>
  <c r="O515" i="115"/>
  <c r="N515" i="115"/>
  <c r="M515" i="115"/>
  <c r="O639" i="115"/>
  <c r="N639" i="115"/>
  <c r="M639" i="115"/>
  <c r="O640" i="115"/>
  <c r="N640" i="115"/>
  <c r="M640" i="115"/>
  <c r="O638" i="115"/>
  <c r="N638" i="115"/>
  <c r="M638" i="115"/>
  <c r="O642" i="115"/>
  <c r="N642" i="115"/>
  <c r="M642" i="115"/>
  <c r="O559" i="115"/>
  <c r="N559" i="115"/>
  <c r="M559" i="115"/>
  <c r="O894" i="115"/>
  <c r="N894" i="115"/>
  <c r="M894" i="115"/>
  <c r="O895" i="115"/>
  <c r="N895" i="115"/>
  <c r="M895" i="115"/>
  <c r="O896" i="115"/>
  <c r="N896" i="115"/>
  <c r="M896" i="115"/>
  <c r="O898" i="115"/>
  <c r="N898" i="115"/>
  <c r="M898" i="115"/>
  <c r="O976" i="115"/>
  <c r="N976" i="115"/>
  <c r="M976" i="115"/>
  <c r="K49" i="116" s="1"/>
  <c r="O953" i="115"/>
  <c r="N953" i="115"/>
  <c r="M953" i="115"/>
  <c r="O116" i="115"/>
  <c r="N116" i="115"/>
  <c r="M116" i="115"/>
  <c r="K279" i="116" s="1"/>
  <c r="O187" i="115"/>
  <c r="N187" i="115"/>
  <c r="M187" i="115"/>
  <c r="O544" i="115"/>
  <c r="N544" i="115"/>
  <c r="M544" i="115"/>
  <c r="O541" i="115"/>
  <c r="N541" i="115"/>
  <c r="M541" i="115"/>
  <c r="O545" i="115"/>
  <c r="N545" i="115"/>
  <c r="M545" i="115"/>
  <c r="O542" i="115"/>
  <c r="N542" i="115"/>
  <c r="M542" i="115"/>
  <c r="O101" i="115"/>
  <c r="N101" i="115"/>
  <c r="M101" i="115"/>
  <c r="O177" i="115"/>
  <c r="N177" i="115"/>
  <c r="M177" i="115"/>
  <c r="O178" i="115"/>
  <c r="N178" i="115"/>
  <c r="M178" i="115"/>
  <c r="O181" i="115"/>
  <c r="N181" i="115"/>
  <c r="M181" i="115"/>
  <c r="O179" i="115"/>
  <c r="N179" i="115"/>
  <c r="M179" i="115"/>
  <c r="O749" i="115"/>
  <c r="N749" i="115"/>
  <c r="M749" i="115"/>
  <c r="O62" i="115"/>
  <c r="N62" i="115"/>
  <c r="M62" i="115"/>
  <c r="O61" i="115"/>
  <c r="N61" i="115"/>
  <c r="M61" i="115"/>
  <c r="O63" i="115"/>
  <c r="N63" i="115"/>
  <c r="M63" i="115"/>
  <c r="O59" i="115"/>
  <c r="N59" i="115"/>
  <c r="M59" i="115"/>
  <c r="O106" i="115"/>
  <c r="N106" i="115"/>
  <c r="M106" i="115"/>
  <c r="O109" i="115"/>
  <c r="N109" i="115"/>
  <c r="M109" i="115"/>
  <c r="O720" i="115"/>
  <c r="N720" i="115"/>
  <c r="M720" i="115"/>
  <c r="O719" i="115"/>
  <c r="N719" i="115"/>
  <c r="M719" i="115"/>
  <c r="O718" i="115"/>
  <c r="N718" i="115"/>
  <c r="M718" i="115"/>
  <c r="O140" i="115"/>
  <c r="N140" i="115"/>
  <c r="M140" i="115"/>
  <c r="O503" i="115"/>
  <c r="N503" i="115"/>
  <c r="M503" i="115"/>
  <c r="O356" i="115"/>
  <c r="N356" i="115"/>
  <c r="M356" i="115"/>
  <c r="O355" i="115"/>
  <c r="N355" i="115"/>
  <c r="M355" i="115"/>
  <c r="O877" i="115"/>
  <c r="N877" i="115"/>
  <c r="M877" i="115"/>
  <c r="K330" i="116" s="1"/>
  <c r="O534" i="115"/>
  <c r="N534" i="115"/>
  <c r="M534" i="115"/>
  <c r="O523" i="115"/>
  <c r="N523" i="115"/>
  <c r="M523" i="115"/>
  <c r="O527" i="115"/>
  <c r="N527" i="115"/>
  <c r="M527" i="115"/>
  <c r="O524" i="115"/>
  <c r="N524" i="115"/>
  <c r="M524" i="115"/>
  <c r="O525" i="115"/>
  <c r="N525" i="115"/>
  <c r="M525" i="115"/>
  <c r="O433" i="115"/>
  <c r="N433" i="115"/>
  <c r="M433" i="115"/>
  <c r="K211" i="116" s="1"/>
  <c r="O401" i="115"/>
  <c r="N401" i="115"/>
  <c r="M401" i="115"/>
  <c r="O399" i="115"/>
  <c r="N399" i="115"/>
  <c r="M399" i="115"/>
  <c r="O693" i="115"/>
  <c r="N693" i="115"/>
  <c r="M693" i="115"/>
  <c r="O974" i="115"/>
  <c r="N974" i="115"/>
  <c r="M974" i="115"/>
  <c r="O975" i="115"/>
  <c r="N975" i="115"/>
  <c r="M975" i="115"/>
  <c r="O973" i="115"/>
  <c r="N973" i="115"/>
  <c r="M973" i="115"/>
  <c r="O800" i="115"/>
  <c r="N800" i="115"/>
  <c r="M800" i="115"/>
  <c r="O236" i="115"/>
  <c r="N236" i="115"/>
  <c r="M236" i="115"/>
  <c r="O305" i="115"/>
  <c r="N305" i="115"/>
  <c r="M305" i="115"/>
  <c r="O521" i="115"/>
  <c r="N521" i="115"/>
  <c r="M521" i="115"/>
  <c r="O137" i="115"/>
  <c r="N137" i="115"/>
  <c r="M137" i="115"/>
  <c r="K256" i="116" s="1"/>
  <c r="O110" i="115"/>
  <c r="N110" i="115"/>
  <c r="M110" i="115"/>
  <c r="O134" i="115"/>
  <c r="N134" i="115"/>
  <c r="M134" i="115"/>
  <c r="K105" i="116" s="1"/>
  <c r="O785" i="115"/>
  <c r="N785" i="115"/>
  <c r="M785" i="115"/>
  <c r="O784" i="115"/>
  <c r="N784" i="115"/>
  <c r="M784" i="115"/>
  <c r="O833" i="115"/>
  <c r="N833" i="115"/>
  <c r="M833" i="115"/>
  <c r="O394" i="115"/>
  <c r="N394" i="115"/>
  <c r="M394" i="115"/>
  <c r="O396" i="115"/>
  <c r="N396" i="115"/>
  <c r="M396" i="115"/>
  <c r="O397" i="115"/>
  <c r="N397" i="115"/>
  <c r="M397" i="115"/>
  <c r="O398" i="115"/>
  <c r="N398" i="115"/>
  <c r="M398" i="115"/>
  <c r="O763" i="115"/>
  <c r="N763" i="115"/>
  <c r="M763" i="115"/>
  <c r="O66" i="115"/>
  <c r="N66" i="115"/>
  <c r="M66" i="115"/>
  <c r="O65" i="115"/>
  <c r="N65" i="115"/>
  <c r="M65" i="115"/>
  <c r="O801" i="115"/>
  <c r="N801" i="115"/>
  <c r="M801" i="115"/>
  <c r="K263" i="116" s="1"/>
  <c r="O732" i="115"/>
  <c r="N732" i="115"/>
  <c r="M732" i="115"/>
  <c r="K191" i="116" s="1"/>
  <c r="O243" i="115"/>
  <c r="N243" i="115"/>
  <c r="M243" i="115"/>
  <c r="O893" i="115"/>
  <c r="N893" i="115"/>
  <c r="M893" i="115"/>
  <c r="K32" i="116" s="1"/>
  <c r="O715" i="115"/>
  <c r="N715" i="115"/>
  <c r="M715" i="115"/>
  <c r="K281" i="116" s="1"/>
  <c r="O499" i="115"/>
  <c r="N499" i="115"/>
  <c r="M499" i="115"/>
  <c r="O364" i="115"/>
  <c r="N364" i="115"/>
  <c r="M364" i="115"/>
  <c r="O172" i="115"/>
  <c r="N172" i="115"/>
  <c r="M172" i="115"/>
  <c r="O492" i="115"/>
  <c r="N492" i="115"/>
  <c r="M492" i="115"/>
  <c r="O491" i="115"/>
  <c r="N491" i="115"/>
  <c r="M491" i="115"/>
  <c r="O488" i="115"/>
  <c r="N488" i="115"/>
  <c r="M488" i="115"/>
  <c r="O489" i="115"/>
  <c r="N489" i="115"/>
  <c r="M489" i="115"/>
  <c r="O742" i="115"/>
  <c r="N742" i="115"/>
  <c r="M742" i="115"/>
  <c r="O580" i="115"/>
  <c r="N580" i="115"/>
  <c r="M580" i="115"/>
  <c r="O583" i="115"/>
  <c r="N583" i="115"/>
  <c r="M583" i="115"/>
  <c r="O582" i="115"/>
  <c r="N582" i="115"/>
  <c r="M582" i="115"/>
  <c r="O581" i="115"/>
  <c r="N581" i="115"/>
  <c r="M581" i="115"/>
  <c r="O171" i="115"/>
  <c r="N171" i="115"/>
  <c r="M171" i="115"/>
  <c r="O892" i="115"/>
  <c r="N892" i="115"/>
  <c r="M892" i="115"/>
  <c r="O891" i="115"/>
  <c r="N891" i="115"/>
  <c r="M891" i="115"/>
  <c r="O890" i="115"/>
  <c r="N890" i="115"/>
  <c r="M890" i="115"/>
  <c r="O550" i="115"/>
  <c r="N550" i="115"/>
  <c r="M550" i="115"/>
  <c r="O104" i="115"/>
  <c r="N104" i="115"/>
  <c r="M104" i="115"/>
  <c r="K324" i="116" s="1"/>
  <c r="O786" i="115"/>
  <c r="N786" i="115"/>
  <c r="M786" i="115"/>
  <c r="O790" i="115"/>
  <c r="N790" i="115"/>
  <c r="M790" i="115"/>
  <c r="O789" i="115"/>
  <c r="N789" i="115"/>
  <c r="M789" i="115"/>
  <c r="O788" i="115"/>
  <c r="N788" i="115"/>
  <c r="M788" i="115"/>
  <c r="O597" i="115"/>
  <c r="N597" i="115"/>
  <c r="M597" i="115"/>
  <c r="K299" i="116" s="1"/>
  <c r="O414" i="115"/>
  <c r="N414" i="115"/>
  <c r="M414" i="115"/>
  <c r="O835" i="115"/>
  <c r="N835" i="115"/>
  <c r="M835" i="115"/>
  <c r="O138" i="115"/>
  <c r="N138" i="115"/>
  <c r="M138" i="115"/>
  <c r="K173" i="116" s="1"/>
  <c r="O923" i="115"/>
  <c r="N923" i="115"/>
  <c r="M923" i="115"/>
  <c r="O924" i="115"/>
  <c r="N924" i="115"/>
  <c r="M924" i="115"/>
  <c r="O921" i="115"/>
  <c r="N921" i="115"/>
  <c r="M921" i="115"/>
  <c r="O922" i="115"/>
  <c r="N922" i="115"/>
  <c r="M922" i="115"/>
  <c r="O637" i="115"/>
  <c r="N637" i="115"/>
  <c r="M637" i="115"/>
  <c r="K4" i="116" s="1"/>
  <c r="O952" i="115"/>
  <c r="N952" i="115"/>
  <c r="M952" i="115"/>
  <c r="K309" i="116" s="1"/>
  <c r="O278" i="115"/>
  <c r="N278" i="115"/>
  <c r="M278" i="115"/>
  <c r="O277" i="115"/>
  <c r="N277" i="115"/>
  <c r="M277" i="115"/>
  <c r="O274" i="115"/>
  <c r="N274" i="115"/>
  <c r="M274" i="115"/>
  <c r="O275" i="115"/>
  <c r="N275" i="115"/>
  <c r="M275" i="115"/>
  <c r="O514" i="115"/>
  <c r="N514" i="115"/>
  <c r="M514" i="115"/>
  <c r="O855" i="115"/>
  <c r="N855" i="115"/>
  <c r="M855" i="115"/>
  <c r="O857" i="115"/>
  <c r="N857" i="115"/>
  <c r="M857" i="115"/>
  <c r="O856" i="115"/>
  <c r="N856" i="115"/>
  <c r="M856" i="115"/>
  <c r="O854" i="115"/>
  <c r="N854" i="115"/>
  <c r="M854" i="115"/>
  <c r="K193" i="116" s="1"/>
  <c r="O626" i="115"/>
  <c r="N626" i="115"/>
  <c r="M626" i="115"/>
  <c r="O340" i="115"/>
  <c r="N340" i="115"/>
  <c r="M340" i="115"/>
  <c r="O128" i="115"/>
  <c r="N128" i="115"/>
  <c r="M128" i="115"/>
  <c r="O194" i="115"/>
  <c r="N194" i="115"/>
  <c r="M194" i="115"/>
  <c r="O195" i="115"/>
  <c r="N195" i="115"/>
  <c r="M195" i="115"/>
  <c r="O191" i="115"/>
  <c r="N191" i="115"/>
  <c r="M191" i="115"/>
  <c r="O193" i="115"/>
  <c r="N193" i="115"/>
  <c r="M193" i="115"/>
  <c r="O903" i="115"/>
  <c r="N903" i="115"/>
  <c r="M903" i="115"/>
  <c r="K260" i="116" s="1"/>
  <c r="O883" i="115"/>
  <c r="N883" i="115"/>
  <c r="M883" i="115"/>
  <c r="K250" i="116" s="1"/>
  <c r="O779" i="115"/>
  <c r="N779" i="115"/>
  <c r="M779" i="115"/>
  <c r="O778" i="115"/>
  <c r="N778" i="115"/>
  <c r="M778" i="115"/>
  <c r="O782" i="115"/>
  <c r="N782" i="115"/>
  <c r="M782" i="115"/>
  <c r="O781" i="115"/>
  <c r="N781" i="115"/>
  <c r="M781" i="115"/>
  <c r="O463" i="115"/>
  <c r="N463" i="115"/>
  <c r="M463" i="115"/>
  <c r="O241" i="115"/>
  <c r="N241" i="115"/>
  <c r="M241" i="115"/>
  <c r="O240" i="115"/>
  <c r="N240" i="115"/>
  <c r="M240" i="115"/>
  <c r="O841" i="115"/>
  <c r="N841" i="115"/>
  <c r="M841" i="115"/>
  <c r="O944" i="115"/>
  <c r="N944" i="115"/>
  <c r="M944" i="115"/>
  <c r="O942" i="115"/>
  <c r="N942" i="115"/>
  <c r="M942" i="115"/>
  <c r="K305" i="116" s="1"/>
  <c r="O144" i="115"/>
  <c r="N144" i="115"/>
  <c r="M144" i="115"/>
  <c r="O32" i="115"/>
  <c r="N32" i="115"/>
  <c r="M32" i="115"/>
  <c r="O16" i="115"/>
  <c r="N16" i="115"/>
  <c r="M16" i="115"/>
  <c r="O33" i="115"/>
  <c r="N33" i="115"/>
  <c r="M33" i="115"/>
  <c r="O169" i="115"/>
  <c r="N169" i="115"/>
  <c r="M169" i="115"/>
  <c r="O18" i="115"/>
  <c r="N18" i="115"/>
  <c r="M18" i="115"/>
  <c r="O20" i="115"/>
  <c r="N20" i="115"/>
  <c r="M20" i="115"/>
  <c r="O19" i="115"/>
  <c r="N19" i="115"/>
  <c r="M19" i="115"/>
  <c r="O17" i="115"/>
  <c r="N17" i="115"/>
  <c r="M17" i="115"/>
  <c r="O233" i="115"/>
  <c r="N233" i="115"/>
  <c r="M233" i="115"/>
  <c r="O108" i="115"/>
  <c r="N108" i="115"/>
  <c r="M108" i="115"/>
  <c r="K215" i="116" s="1"/>
  <c r="O12" i="115"/>
  <c r="N12" i="115"/>
  <c r="M12" i="115"/>
  <c r="O14" i="115"/>
  <c r="N14" i="115"/>
  <c r="M14" i="115"/>
  <c r="O11" i="115"/>
  <c r="N11" i="115"/>
  <c r="M11" i="115"/>
  <c r="O13" i="115"/>
  <c r="N13" i="115"/>
  <c r="M13" i="115"/>
  <c r="O15" i="115"/>
  <c r="N15" i="115"/>
  <c r="M15" i="115"/>
  <c r="O566" i="115"/>
  <c r="N566" i="115"/>
  <c r="M566" i="115"/>
  <c r="K153" i="116" s="1"/>
  <c r="O91" i="115"/>
  <c r="N91" i="115"/>
  <c r="M91" i="115"/>
  <c r="O93" i="115"/>
  <c r="N93" i="115"/>
  <c r="M93" i="115"/>
  <c r="O249" i="115"/>
  <c r="N249" i="115"/>
  <c r="M249" i="115"/>
  <c r="O878" i="115"/>
  <c r="N878" i="115"/>
  <c r="M878" i="115"/>
  <c r="O89" i="115"/>
  <c r="N89" i="115"/>
  <c r="M89" i="115"/>
  <c r="O88" i="115"/>
  <c r="N88" i="115"/>
  <c r="M88" i="115"/>
  <c r="O526" i="115"/>
  <c r="N526" i="115"/>
  <c r="M526" i="115"/>
  <c r="O736" i="115"/>
  <c r="N736" i="115"/>
  <c r="M736" i="115"/>
  <c r="O737" i="115"/>
  <c r="N737" i="115"/>
  <c r="M737" i="115"/>
  <c r="O735" i="115"/>
  <c r="N735" i="115"/>
  <c r="M735" i="115"/>
  <c r="O300" i="115"/>
  <c r="N300" i="115"/>
  <c r="M300" i="115"/>
  <c r="K120" i="116" s="1"/>
  <c r="O376" i="115"/>
  <c r="N376" i="115"/>
  <c r="M376" i="115"/>
  <c r="O375" i="115"/>
  <c r="N375" i="115"/>
  <c r="M375" i="115"/>
  <c r="O938" i="115"/>
  <c r="N938" i="115"/>
  <c r="M938" i="115"/>
  <c r="O754" i="115"/>
  <c r="N754" i="115"/>
  <c r="M754" i="115"/>
  <c r="O755" i="115"/>
  <c r="N755" i="115"/>
  <c r="M755" i="115"/>
  <c r="O756" i="115"/>
  <c r="N756" i="115"/>
  <c r="M756" i="115"/>
  <c r="O753" i="115"/>
  <c r="N753" i="115"/>
  <c r="M753" i="115"/>
  <c r="K82" i="116" s="1"/>
  <c r="O865" i="115"/>
  <c r="N865" i="115"/>
  <c r="M865" i="115"/>
  <c r="K52" i="116" s="1"/>
  <c r="O957" i="115"/>
  <c r="N957" i="115"/>
  <c r="M957" i="115"/>
  <c r="K311" i="116" s="1"/>
  <c r="O458" i="115"/>
  <c r="N458" i="115"/>
  <c r="M458" i="115"/>
  <c r="O457" i="115"/>
  <c r="N457" i="115"/>
  <c r="M457" i="115"/>
  <c r="O460" i="115"/>
  <c r="N460" i="115"/>
  <c r="M460" i="115"/>
  <c r="O950" i="115"/>
  <c r="N950" i="115"/>
  <c r="M950" i="115"/>
  <c r="K314" i="116" s="1"/>
  <c r="O721" i="115"/>
  <c r="N721" i="115"/>
  <c r="M721" i="115"/>
  <c r="O321" i="115"/>
  <c r="N321" i="115"/>
  <c r="M321" i="115"/>
  <c r="O323" i="115"/>
  <c r="N323" i="115"/>
  <c r="M323" i="115"/>
  <c r="O320" i="115"/>
  <c r="N320" i="115"/>
  <c r="M320" i="115"/>
  <c r="O207" i="115"/>
  <c r="N207" i="115"/>
  <c r="M207" i="115"/>
  <c r="K199" i="116" s="1"/>
  <c r="O260" i="115"/>
  <c r="N260" i="115"/>
  <c r="M260" i="115"/>
  <c r="O258" i="115"/>
  <c r="N258" i="115"/>
  <c r="M258" i="115"/>
  <c r="K166" i="116" s="1"/>
  <c r="O553" i="115"/>
  <c r="N553" i="115"/>
  <c r="M553" i="115"/>
  <c r="O502" i="115"/>
  <c r="N502" i="115"/>
  <c r="M502" i="115"/>
  <c r="K222" i="116" s="1"/>
  <c r="O141" i="115"/>
  <c r="N141" i="115"/>
  <c r="M141" i="115"/>
  <c r="K230" i="116" s="1"/>
  <c r="O666" i="115"/>
  <c r="N666" i="115"/>
  <c r="M666" i="115"/>
  <c r="O664" i="115"/>
  <c r="N664" i="115"/>
  <c r="M664" i="115"/>
  <c r="O665" i="115"/>
  <c r="N665" i="115"/>
  <c r="M665" i="115"/>
  <c r="O663" i="115"/>
  <c r="N663" i="115"/>
  <c r="M663" i="115"/>
  <c r="O579" i="115"/>
  <c r="N579" i="115"/>
  <c r="M579" i="115"/>
  <c r="K122" i="116" s="1"/>
  <c r="O250" i="115"/>
  <c r="N250" i="115"/>
  <c r="M250" i="115"/>
  <c r="O252" i="115"/>
  <c r="N252" i="115"/>
  <c r="M252" i="115"/>
  <c r="O248" i="115"/>
  <c r="N248" i="115"/>
  <c r="M248" i="115"/>
  <c r="O251" i="115"/>
  <c r="N251" i="115"/>
  <c r="M251" i="115"/>
  <c r="O103" i="115"/>
  <c r="N103" i="115"/>
  <c r="M103" i="115"/>
  <c r="K177" i="116" s="1"/>
  <c r="O209" i="115"/>
  <c r="N209" i="115"/>
  <c r="M209" i="115"/>
  <c r="O210" i="115"/>
  <c r="N210" i="115"/>
  <c r="M210" i="115"/>
  <c r="O848" i="115"/>
  <c r="N848" i="115"/>
  <c r="M848" i="115"/>
  <c r="O348" i="115"/>
  <c r="N348" i="115"/>
  <c r="M348" i="115"/>
  <c r="O51" i="115"/>
  <c r="N51" i="115"/>
  <c r="M51" i="115"/>
  <c r="O125" i="115"/>
  <c r="N125" i="115"/>
  <c r="M125" i="115"/>
  <c r="O360" i="115"/>
  <c r="N360" i="115"/>
  <c r="M360" i="115"/>
  <c r="O113" i="115"/>
  <c r="N113" i="115"/>
  <c r="M113" i="115"/>
  <c r="K35" i="116" s="1"/>
  <c r="O173" i="115"/>
  <c r="N173" i="115"/>
  <c r="M173" i="115"/>
  <c r="O772" i="115"/>
  <c r="N772" i="115"/>
  <c r="M772" i="115"/>
  <c r="O374" i="115"/>
  <c r="N374" i="115"/>
  <c r="M374" i="115"/>
  <c r="O868" i="115"/>
  <c r="N868" i="115"/>
  <c r="M868" i="115"/>
  <c r="K100" i="116" s="1"/>
  <c r="O358" i="115"/>
  <c r="N358" i="115"/>
  <c r="M358" i="115"/>
  <c r="O145" i="115"/>
  <c r="N145" i="115"/>
  <c r="M145" i="115"/>
  <c r="K208" i="116" s="1"/>
  <c r="O615" i="115"/>
  <c r="N615" i="115"/>
  <c r="M615" i="115"/>
  <c r="O618" i="115"/>
  <c r="N618" i="115"/>
  <c r="M618" i="115"/>
  <c r="O614" i="115"/>
  <c r="N614" i="115"/>
  <c r="M614" i="115"/>
  <c r="O617" i="115"/>
  <c r="N617" i="115"/>
  <c r="M617" i="115"/>
  <c r="O132" i="115"/>
  <c r="N132" i="115"/>
  <c r="M132" i="115"/>
  <c r="K229" i="116" s="1"/>
  <c r="O486" i="115"/>
  <c r="N486" i="115"/>
  <c r="M486" i="115"/>
  <c r="O485" i="115"/>
  <c r="N485" i="115"/>
  <c r="M485" i="115"/>
  <c r="O483" i="115"/>
  <c r="N483" i="115"/>
  <c r="M483" i="115"/>
  <c r="O484" i="115"/>
  <c r="N484" i="115"/>
  <c r="M484" i="115"/>
  <c r="O490" i="115"/>
  <c r="N490" i="115"/>
  <c r="M490" i="115"/>
  <c r="O595" i="115"/>
  <c r="N595" i="115"/>
  <c r="M595" i="115"/>
  <c r="O596" i="115"/>
  <c r="N596" i="115"/>
  <c r="M596" i="115"/>
  <c r="O593" i="115"/>
  <c r="N593" i="115"/>
  <c r="M593" i="115"/>
  <c r="O594" i="115"/>
  <c r="N594" i="115"/>
  <c r="M594" i="115"/>
  <c r="O900" i="115"/>
  <c r="N900" i="115"/>
  <c r="M900" i="115"/>
  <c r="O205" i="115"/>
  <c r="N205" i="115"/>
  <c r="M205" i="115"/>
  <c r="O68" i="115"/>
  <c r="N68" i="115"/>
  <c r="M68" i="115"/>
  <c r="O67" i="115"/>
  <c r="N67" i="115"/>
  <c r="M67" i="115"/>
  <c r="O69" i="115"/>
  <c r="N69" i="115"/>
  <c r="M69" i="115"/>
  <c r="O70" i="115"/>
  <c r="N70" i="115"/>
  <c r="M70" i="115"/>
  <c r="O466" i="115"/>
  <c r="N466" i="115"/>
  <c r="M466" i="115"/>
  <c r="K262" i="116" s="1"/>
  <c r="O295" i="115"/>
  <c r="N295" i="115"/>
  <c r="M295" i="115"/>
  <c r="O296" i="115"/>
  <c r="N296" i="115"/>
  <c r="M296" i="115"/>
  <c r="O286" i="115"/>
  <c r="N286" i="115"/>
  <c r="M286" i="115"/>
  <c r="K95" i="116" s="1"/>
  <c r="O391" i="115"/>
  <c r="N391" i="115"/>
  <c r="M391" i="115"/>
  <c r="O301" i="115"/>
  <c r="N301" i="115"/>
  <c r="M301" i="115"/>
  <c r="O285" i="115"/>
  <c r="N285" i="115"/>
  <c r="M285" i="115"/>
  <c r="O148" i="115"/>
  <c r="N148" i="115"/>
  <c r="M148" i="115"/>
  <c r="K40" i="116" s="1"/>
  <c r="O771" i="115"/>
  <c r="N771" i="115"/>
  <c r="M771" i="115"/>
  <c r="K6" i="116" s="1"/>
  <c r="O575" i="115"/>
  <c r="N575" i="115"/>
  <c r="M575" i="115"/>
  <c r="O677" i="115"/>
  <c r="N677" i="115"/>
  <c r="M677" i="115"/>
  <c r="O681" i="115"/>
  <c r="N681" i="115"/>
  <c r="M681" i="115"/>
  <c r="O678" i="115"/>
  <c r="N678" i="115"/>
  <c r="M678" i="115"/>
  <c r="O680" i="115"/>
  <c r="N680" i="115"/>
  <c r="M680" i="115"/>
  <c r="O98" i="115"/>
  <c r="N98" i="115"/>
  <c r="M98" i="115"/>
  <c r="O96" i="115"/>
  <c r="N96" i="115"/>
  <c r="M96" i="115"/>
  <c r="O95" i="115"/>
  <c r="N95" i="115"/>
  <c r="M95" i="115"/>
  <c r="O97" i="115"/>
  <c r="N97" i="115"/>
  <c r="M97" i="115"/>
  <c r="O42" i="115"/>
  <c r="N42" i="115"/>
  <c r="M42" i="115"/>
  <c r="K127" i="116" s="1"/>
  <c r="O129" i="115"/>
  <c r="N129" i="115"/>
  <c r="M129" i="115"/>
  <c r="O127" i="115"/>
  <c r="N127" i="115"/>
  <c r="M127" i="115"/>
  <c r="O126" i="115"/>
  <c r="N126" i="115"/>
  <c r="M126" i="115"/>
  <c r="K223" i="116" s="1"/>
  <c r="O224" i="115"/>
  <c r="N224" i="115"/>
  <c r="M224" i="115"/>
  <c r="K22" i="116" s="1"/>
  <c r="O977" i="115"/>
  <c r="N977" i="115"/>
  <c r="M977" i="115"/>
  <c r="O186" i="115"/>
  <c r="N186" i="115"/>
  <c r="M186" i="115"/>
  <c r="O185" i="115"/>
  <c r="N185" i="115"/>
  <c r="M185" i="115"/>
  <c r="O183" i="115"/>
  <c r="N183" i="115"/>
  <c r="M183" i="115"/>
  <c r="O184" i="115"/>
  <c r="N184" i="115"/>
  <c r="M184" i="115"/>
  <c r="O724" i="115"/>
  <c r="N724" i="115"/>
  <c r="M724" i="115"/>
  <c r="O339" i="115"/>
  <c r="N339" i="115"/>
  <c r="M339" i="115"/>
  <c r="K135" i="116" s="1"/>
  <c r="O939" i="115"/>
  <c r="N939" i="115"/>
  <c r="M939" i="115"/>
  <c r="O362" i="115"/>
  <c r="N362" i="115"/>
  <c r="M362" i="115"/>
  <c r="K44" i="116" s="1"/>
  <c r="O197" i="115"/>
  <c r="N197" i="115"/>
  <c r="M197" i="115"/>
  <c r="O350" i="115"/>
  <c r="N350" i="115"/>
  <c r="M350" i="115"/>
  <c r="K164" i="116" s="1"/>
  <c r="O842" i="115"/>
  <c r="N842" i="115"/>
  <c r="M842" i="115"/>
  <c r="K320" i="116" s="1"/>
  <c r="O819" i="115"/>
  <c r="N819" i="115"/>
  <c r="M819" i="115"/>
  <c r="O705" i="115"/>
  <c r="N705" i="115"/>
  <c r="M705" i="115"/>
  <c r="O9" i="115"/>
  <c r="N9" i="115"/>
  <c r="M9" i="115"/>
  <c r="O703" i="115"/>
  <c r="N703" i="115"/>
  <c r="M703" i="115"/>
  <c r="O702" i="115"/>
  <c r="N702" i="115"/>
  <c r="M702" i="115"/>
  <c r="O701" i="115"/>
  <c r="N701" i="115"/>
  <c r="M701" i="115"/>
  <c r="O49" i="115"/>
  <c r="N49" i="115"/>
  <c r="M49" i="115"/>
  <c r="O698" i="115"/>
  <c r="N698" i="115"/>
  <c r="M698" i="115"/>
  <c r="O697" i="115"/>
  <c r="N697" i="115"/>
  <c r="M697" i="115"/>
  <c r="O371" i="115"/>
  <c r="N371" i="115"/>
  <c r="M371" i="115"/>
  <c r="K67" i="116" s="1"/>
  <c r="O972" i="115"/>
  <c r="N972" i="115"/>
  <c r="M972" i="115"/>
  <c r="K171" i="116" s="1"/>
  <c r="O560" i="115"/>
  <c r="N560" i="115"/>
  <c r="M560" i="115"/>
  <c r="O558" i="115"/>
  <c r="N558" i="115"/>
  <c r="M558" i="115"/>
  <c r="K112" i="116" s="1"/>
  <c r="O600" i="115"/>
  <c r="N600" i="115"/>
  <c r="M600" i="115"/>
  <c r="O411" i="115"/>
  <c r="N411" i="115"/>
  <c r="M411" i="115"/>
  <c r="O408" i="115"/>
  <c r="N408" i="115"/>
  <c r="M408" i="115"/>
  <c r="O409" i="115"/>
  <c r="N409" i="115"/>
  <c r="M409" i="115"/>
  <c r="O410" i="115"/>
  <c r="N410" i="115"/>
  <c r="M410" i="115"/>
  <c r="O302" i="115"/>
  <c r="N302" i="115"/>
  <c r="M302" i="115"/>
  <c r="O303" i="115"/>
  <c r="N303" i="115"/>
  <c r="M303" i="115"/>
  <c r="O711" i="115"/>
  <c r="N711" i="115"/>
  <c r="M711" i="115"/>
  <c r="K206" i="116" s="1"/>
  <c r="O661" i="115"/>
  <c r="N661" i="115"/>
  <c r="M661" i="115"/>
  <c r="O657" i="115"/>
  <c r="N657" i="115"/>
  <c r="M657" i="115"/>
  <c r="O658" i="115"/>
  <c r="N658" i="115"/>
  <c r="M658" i="115"/>
  <c r="O659" i="115"/>
  <c r="N659" i="115"/>
  <c r="M659" i="115"/>
  <c r="O338" i="115"/>
  <c r="N338" i="115"/>
  <c r="M338" i="115"/>
  <c r="O966" i="115"/>
  <c r="N966" i="115"/>
  <c r="M966" i="115"/>
  <c r="O451" i="115"/>
  <c r="N451" i="115"/>
  <c r="M451" i="115"/>
  <c r="K59" i="116" s="1"/>
  <c r="O873" i="115"/>
  <c r="N873" i="115"/>
  <c r="M873" i="115"/>
  <c r="O872" i="115"/>
  <c r="N872" i="115"/>
  <c r="M872" i="115"/>
  <c r="O450" i="115"/>
  <c r="N450" i="115"/>
  <c r="M450" i="115"/>
  <c r="O909" i="115"/>
  <c r="N909" i="115"/>
  <c r="M909" i="115"/>
  <c r="K267" i="116" s="1"/>
  <c r="O273" i="115"/>
  <c r="N273" i="115"/>
  <c r="M273" i="115"/>
  <c r="O40" i="115"/>
  <c r="N40" i="115"/>
  <c r="M40" i="115"/>
  <c r="O39" i="115"/>
  <c r="N39" i="115"/>
  <c r="M39" i="115"/>
  <c r="O38" i="115"/>
  <c r="N38" i="115"/>
  <c r="M38" i="115"/>
  <c r="O37" i="115"/>
  <c r="N37" i="115"/>
  <c r="M37" i="115"/>
  <c r="O780" i="115"/>
  <c r="N780" i="115"/>
  <c r="M780" i="115"/>
  <c r="O220" i="115"/>
  <c r="N220" i="115"/>
  <c r="M220" i="115"/>
  <c r="O223" i="115"/>
  <c r="N223" i="115"/>
  <c r="M223" i="115"/>
  <c r="O222" i="115"/>
  <c r="N222" i="115"/>
  <c r="M222" i="115"/>
  <c r="O8" i="115"/>
  <c r="N8" i="115"/>
  <c r="M8" i="115"/>
  <c r="O448" i="115"/>
  <c r="N448" i="115"/>
  <c r="M448" i="115"/>
  <c r="O449" i="115"/>
  <c r="N449" i="115"/>
  <c r="M449" i="115"/>
  <c r="O540" i="115"/>
  <c r="N540" i="115"/>
  <c r="M540" i="115"/>
  <c r="O269" i="115"/>
  <c r="N269" i="115"/>
  <c r="M269" i="115"/>
  <c r="O343" i="115"/>
  <c r="N343" i="115"/>
  <c r="M343" i="115"/>
  <c r="O342" i="115"/>
  <c r="N342" i="115"/>
  <c r="M342" i="115"/>
  <c r="O423" i="115"/>
  <c r="N423" i="115"/>
  <c r="M423" i="115"/>
  <c r="K189" i="116" s="1"/>
  <c r="O722" i="115"/>
  <c r="N722" i="115"/>
  <c r="M722" i="115"/>
  <c r="O723" i="115"/>
  <c r="N723" i="115"/>
  <c r="M723" i="115"/>
  <c r="O725" i="115"/>
  <c r="N725" i="115"/>
  <c r="M725" i="115"/>
  <c r="O726" i="115"/>
  <c r="N726" i="115"/>
  <c r="M726" i="115"/>
  <c r="O44" i="115"/>
  <c r="N44" i="115"/>
  <c r="M44" i="115"/>
  <c r="O759" i="115"/>
  <c r="N759" i="115"/>
  <c r="M759" i="115"/>
  <c r="O760" i="115"/>
  <c r="N760" i="115"/>
  <c r="M760" i="115"/>
  <c r="O762" i="115"/>
  <c r="N762" i="115"/>
  <c r="M762" i="115"/>
  <c r="O758" i="115"/>
  <c r="N758" i="115"/>
  <c r="M758" i="115"/>
  <c r="K86" i="116" s="1"/>
  <c r="O115" i="115"/>
  <c r="N115" i="115"/>
  <c r="M115" i="115"/>
  <c r="K257" i="116" s="1"/>
  <c r="O517" i="115"/>
  <c r="N517" i="115"/>
  <c r="M517" i="115"/>
  <c r="O519" i="115"/>
  <c r="N519" i="115"/>
  <c r="M519" i="115"/>
  <c r="O518" i="115"/>
  <c r="N518" i="115"/>
  <c r="M518" i="115"/>
  <c r="O516" i="115"/>
  <c r="N516" i="115"/>
  <c r="M516" i="115"/>
  <c r="O645" i="115"/>
  <c r="N645" i="115"/>
  <c r="M645" i="115"/>
  <c r="O34" i="115"/>
  <c r="N34" i="115"/>
  <c r="M34" i="115"/>
  <c r="O36" i="115"/>
  <c r="N36" i="115"/>
  <c r="M36" i="115"/>
  <c r="O373" i="115"/>
  <c r="N373" i="115"/>
  <c r="M373" i="115"/>
  <c r="K160" i="116" s="1"/>
  <c r="O713" i="115"/>
  <c r="N713" i="115"/>
  <c r="M713" i="115"/>
  <c r="O586" i="115"/>
  <c r="N586" i="115"/>
  <c r="M586" i="115"/>
  <c r="O585" i="115"/>
  <c r="N585" i="115"/>
  <c r="M585" i="115"/>
  <c r="O650" i="115"/>
  <c r="N650" i="115"/>
  <c r="M650" i="115"/>
  <c r="O164" i="115"/>
  <c r="N164" i="115"/>
  <c r="M164" i="115"/>
  <c r="O441" i="115"/>
  <c r="N441" i="115"/>
  <c r="M441" i="115"/>
  <c r="K276" i="116" s="1"/>
  <c r="O880" i="115"/>
  <c r="N880" i="115"/>
  <c r="M880" i="115"/>
  <c r="O881" i="115"/>
  <c r="N881" i="115"/>
  <c r="M881" i="115"/>
  <c r="O882" i="115"/>
  <c r="N882" i="115"/>
  <c r="M882" i="115"/>
  <c r="O31" i="115"/>
  <c r="N31" i="115"/>
  <c r="M31" i="115"/>
  <c r="O710" i="115"/>
  <c r="N710" i="115"/>
  <c r="M710" i="115"/>
  <c r="O874" i="115"/>
  <c r="N874" i="115"/>
  <c r="M874" i="115"/>
  <c r="O357" i="115"/>
  <c r="N357" i="115"/>
  <c r="M357" i="115"/>
  <c r="K93" i="116" s="1"/>
  <c r="O920" i="115"/>
  <c r="N920" i="115"/>
  <c r="M920" i="115"/>
  <c r="O875" i="115"/>
  <c r="N875" i="115"/>
  <c r="M875" i="115"/>
  <c r="O512" i="115"/>
  <c r="N512" i="115"/>
  <c r="M512" i="115"/>
  <c r="O510" i="115"/>
  <c r="N510" i="115"/>
  <c r="M510" i="115"/>
  <c r="O511" i="115"/>
  <c r="N511" i="115"/>
  <c r="M511" i="115"/>
  <c r="O513" i="115"/>
  <c r="N513" i="115"/>
  <c r="M513" i="115"/>
  <c r="O432" i="115"/>
  <c r="N432" i="115"/>
  <c r="M432" i="115"/>
  <c r="K204" i="116" s="1"/>
  <c r="O862" i="115"/>
  <c r="N862" i="115"/>
  <c r="M862" i="115"/>
  <c r="O860" i="115"/>
  <c r="N860" i="115"/>
  <c r="M860" i="115"/>
  <c r="O861" i="115"/>
  <c r="N861" i="115"/>
  <c r="M861" i="115"/>
  <c r="O288" i="115"/>
  <c r="N288" i="115"/>
  <c r="M288" i="115"/>
  <c r="K83" i="116" s="1"/>
  <c r="O46" i="115"/>
  <c r="N46" i="115"/>
  <c r="M46" i="115"/>
  <c r="K140" i="116" s="1"/>
  <c r="O940" i="115"/>
  <c r="N940" i="115"/>
  <c r="M940" i="115"/>
  <c r="O826" i="115"/>
  <c r="N826" i="115"/>
  <c r="M826" i="115"/>
  <c r="O825" i="115"/>
  <c r="N825" i="115"/>
  <c r="M825" i="115"/>
  <c r="O828" i="115"/>
  <c r="N828" i="115"/>
  <c r="M828" i="115"/>
  <c r="O824" i="115"/>
  <c r="N824" i="115"/>
  <c r="M824" i="115"/>
  <c r="K54" i="116" s="1"/>
  <c r="O706" i="115"/>
  <c r="N706" i="115"/>
  <c r="M706" i="115"/>
  <c r="K241" i="116" s="1"/>
  <c r="O415" i="115"/>
  <c r="N415" i="115"/>
  <c r="M415" i="115"/>
  <c r="O387" i="115"/>
  <c r="N387" i="115"/>
  <c r="M387" i="115"/>
  <c r="O386" i="115"/>
  <c r="N386" i="115"/>
  <c r="M386" i="115"/>
  <c r="O385" i="115"/>
  <c r="N385" i="115"/>
  <c r="M385" i="115"/>
  <c r="O384" i="115"/>
  <c r="N384" i="115"/>
  <c r="M384" i="115"/>
  <c r="O216" i="115"/>
  <c r="N216" i="115"/>
  <c r="M216" i="115"/>
  <c r="O643" i="115"/>
  <c r="N643" i="115"/>
  <c r="M643" i="115"/>
  <c r="O647" i="115"/>
  <c r="N647" i="115"/>
  <c r="M647" i="115"/>
  <c r="O644" i="115"/>
  <c r="N644" i="115"/>
  <c r="M644" i="115"/>
  <c r="O646" i="115"/>
  <c r="N646" i="115"/>
  <c r="M646" i="115"/>
  <c r="O347" i="115"/>
  <c r="N347" i="115"/>
  <c r="M347" i="115"/>
  <c r="K78" i="116" s="1"/>
  <c r="O170" i="115"/>
  <c r="N170" i="115"/>
  <c r="M170" i="115"/>
  <c r="K306" i="116" s="1"/>
  <c r="O349" i="115"/>
  <c r="N349" i="115"/>
  <c r="M349" i="115"/>
  <c r="K163" i="116" s="1"/>
  <c r="O200" i="115"/>
  <c r="N200" i="115"/>
  <c r="M200" i="115"/>
  <c r="O199" i="115"/>
  <c r="N199" i="115"/>
  <c r="M199" i="115"/>
  <c r="O367" i="115"/>
  <c r="N367" i="115"/>
  <c r="M367" i="115"/>
  <c r="K84" i="116" s="1"/>
  <c r="O41" i="115"/>
  <c r="N41" i="115"/>
  <c r="M41" i="115"/>
  <c r="O370" i="115"/>
  <c r="N370" i="115"/>
  <c r="M370" i="115"/>
  <c r="O369" i="115"/>
  <c r="N369" i="115"/>
  <c r="M369" i="115"/>
  <c r="O363" i="115"/>
  <c r="N363" i="115"/>
  <c r="M363" i="115"/>
  <c r="K116" i="116" s="1"/>
  <c r="O119" i="115"/>
  <c r="N119" i="115"/>
  <c r="M119" i="115"/>
  <c r="K148" i="116" s="1"/>
  <c r="O427" i="115"/>
  <c r="N427" i="115"/>
  <c r="M427" i="115"/>
  <c r="O426" i="115"/>
  <c r="N426" i="115"/>
  <c r="M426" i="115"/>
  <c r="O633" i="115"/>
  <c r="N633" i="115"/>
  <c r="M633" i="115"/>
  <c r="O208" i="115"/>
  <c r="N208" i="115"/>
  <c r="M208" i="115"/>
  <c r="K183" i="116" s="1"/>
  <c r="O344" i="115"/>
  <c r="N344" i="115"/>
  <c r="M344" i="115"/>
  <c r="K201" i="116" s="1"/>
  <c r="O341" i="115"/>
  <c r="N341" i="115"/>
  <c r="M341" i="115"/>
  <c r="K271" i="116" s="1"/>
  <c r="O247" i="115"/>
  <c r="N247" i="115"/>
  <c r="M247" i="115"/>
  <c r="O107" i="115"/>
  <c r="N107" i="115"/>
  <c r="M107" i="115"/>
  <c r="O161" i="115"/>
  <c r="N161" i="115"/>
  <c r="M161" i="115"/>
  <c r="O839" i="115"/>
  <c r="N839" i="115"/>
  <c r="M839" i="115"/>
  <c r="O838" i="115"/>
  <c r="N838" i="115"/>
  <c r="M838" i="115"/>
  <c r="O837" i="115"/>
  <c r="N837" i="115"/>
  <c r="M837" i="115"/>
  <c r="O840" i="115"/>
  <c r="N840" i="115"/>
  <c r="M840" i="115"/>
  <c r="O493" i="115"/>
  <c r="N493" i="115"/>
  <c r="M493" i="115"/>
  <c r="K274" i="116" s="1"/>
  <c r="O123" i="115"/>
  <c r="N123" i="115"/>
  <c r="M123" i="115"/>
  <c r="O533" i="115"/>
  <c r="N533" i="115"/>
  <c r="M533" i="115"/>
  <c r="O532" i="115"/>
  <c r="N532" i="115"/>
  <c r="M532" i="115"/>
  <c r="K156" i="116" s="1"/>
  <c r="O366" i="115"/>
  <c r="N366" i="115"/>
  <c r="M366" i="115"/>
  <c r="O174" i="115"/>
  <c r="N174" i="115"/>
  <c r="M174" i="115"/>
  <c r="O175" i="115"/>
  <c r="N175" i="115"/>
  <c r="M175" i="115"/>
  <c r="O431" i="115"/>
  <c r="N431" i="115"/>
  <c r="M431" i="115"/>
  <c r="O304" i="115"/>
  <c r="N304" i="115"/>
  <c r="M304" i="115"/>
  <c r="K47" i="116" s="1"/>
  <c r="O331" i="115"/>
  <c r="N331" i="115"/>
  <c r="M331" i="115"/>
  <c r="O330" i="115"/>
  <c r="N330" i="115"/>
  <c r="M330" i="115"/>
  <c r="O388" i="115"/>
  <c r="N388" i="115"/>
  <c r="M388" i="115"/>
  <c r="O212" i="115"/>
  <c r="N212" i="115"/>
  <c r="M212" i="115"/>
  <c r="O136" i="115"/>
  <c r="N136" i="115"/>
  <c r="M136" i="115"/>
  <c r="O428" i="115"/>
  <c r="N428" i="115"/>
  <c r="M428" i="115"/>
  <c r="O888" i="115"/>
  <c r="N888" i="115"/>
  <c r="M888" i="115"/>
  <c r="O884" i="115"/>
  <c r="N884" i="115"/>
  <c r="M884" i="115"/>
  <c r="O886" i="115"/>
  <c r="N886" i="115"/>
  <c r="M886" i="115"/>
  <c r="O885" i="115"/>
  <c r="N885" i="115"/>
  <c r="M885" i="115"/>
  <c r="O412" i="115"/>
  <c r="N412" i="115"/>
  <c r="M412" i="115"/>
  <c r="K159" i="116" s="1"/>
  <c r="O293" i="115"/>
  <c r="N293" i="115"/>
  <c r="M293" i="115"/>
  <c r="K226" i="116" s="1"/>
  <c r="O565" i="115"/>
  <c r="N565" i="115"/>
  <c r="M565" i="115"/>
  <c r="O561" i="115"/>
  <c r="N561" i="115"/>
  <c r="M561" i="115"/>
  <c r="O563" i="115"/>
  <c r="N563" i="115"/>
  <c r="M563" i="115"/>
  <c r="O564" i="115"/>
  <c r="N564" i="115"/>
  <c r="M564" i="115"/>
  <c r="O354" i="115"/>
  <c r="N354" i="115"/>
  <c r="M354" i="115"/>
  <c r="K165" i="116" s="1"/>
  <c r="O777" i="115"/>
  <c r="N777" i="115"/>
  <c r="M777" i="115"/>
  <c r="O774" i="115"/>
  <c r="N774" i="115"/>
  <c r="M774" i="115"/>
  <c r="O776" i="115"/>
  <c r="N776" i="115"/>
  <c r="M776" i="115"/>
  <c r="O773" i="115"/>
  <c r="N773" i="115"/>
  <c r="M773" i="115"/>
  <c r="K196" i="116" s="1"/>
  <c r="O716" i="115"/>
  <c r="N716" i="115"/>
  <c r="M716" i="115"/>
  <c r="K81" i="116" s="1"/>
  <c r="O242" i="115"/>
  <c r="N242" i="115"/>
  <c r="M242" i="115"/>
  <c r="K39" i="116" s="1"/>
  <c r="O616" i="115"/>
  <c r="N616" i="115"/>
  <c r="M616" i="115"/>
  <c r="O649" i="115"/>
  <c r="N649" i="115"/>
  <c r="M649" i="115"/>
  <c r="O648" i="115"/>
  <c r="N648" i="115"/>
  <c r="M648" i="115"/>
  <c r="O652" i="115"/>
  <c r="N652" i="115"/>
  <c r="M652" i="115"/>
  <c r="O651" i="115"/>
  <c r="N651" i="115"/>
  <c r="M651" i="115"/>
  <c r="O117" i="115"/>
  <c r="N117" i="115"/>
  <c r="M117" i="115"/>
  <c r="K269" i="116" s="1"/>
  <c r="O671" i="115"/>
  <c r="N671" i="115"/>
  <c r="M671" i="115"/>
  <c r="O668" i="115"/>
  <c r="N668" i="115"/>
  <c r="M668" i="115"/>
  <c r="O670" i="115"/>
  <c r="N670" i="115"/>
  <c r="M670" i="115"/>
  <c r="O669" i="115"/>
  <c r="N669" i="115"/>
  <c r="M669" i="115"/>
  <c r="O219" i="115"/>
  <c r="N219" i="115"/>
  <c r="M219" i="115"/>
  <c r="K202" i="116" s="1"/>
  <c r="O601" i="115"/>
  <c r="N601" i="115"/>
  <c r="M601" i="115"/>
  <c r="O7" i="115"/>
  <c r="N7" i="115"/>
  <c r="M7" i="115"/>
  <c r="K69" i="116" s="1"/>
  <c r="O328" i="115"/>
  <c r="N328" i="115"/>
  <c r="M328" i="115"/>
  <c r="O327" i="115"/>
  <c r="N327" i="115"/>
  <c r="M327" i="115"/>
  <c r="O326" i="115"/>
  <c r="N326" i="115"/>
  <c r="M326" i="115"/>
  <c r="O359" i="115"/>
  <c r="N359" i="115"/>
  <c r="M359" i="115"/>
  <c r="K162" i="116" s="1"/>
  <c r="O406" i="115"/>
  <c r="N406" i="115"/>
  <c r="M406" i="115"/>
  <c r="O405" i="115"/>
  <c r="N405" i="115"/>
  <c r="M405" i="115"/>
  <c r="O404" i="115"/>
  <c r="N404" i="115"/>
  <c r="M404" i="115"/>
  <c r="O403" i="115"/>
  <c r="N403" i="115"/>
  <c r="M403" i="115"/>
  <c r="O459" i="115"/>
  <c r="N459" i="115"/>
  <c r="M459" i="115"/>
  <c r="O22" i="115"/>
  <c r="N22" i="115"/>
  <c r="M22" i="115"/>
  <c r="O21" i="115"/>
  <c r="N21" i="115"/>
  <c r="M21" i="115"/>
  <c r="O23" i="115"/>
  <c r="N23" i="115"/>
  <c r="M23" i="115"/>
  <c r="O10" i="115"/>
  <c r="N10" i="115"/>
  <c r="M10" i="115"/>
  <c r="K219" i="116" s="1"/>
  <c r="O421" i="115"/>
  <c r="N421" i="115"/>
  <c r="M421" i="115"/>
  <c r="O420" i="115"/>
  <c r="N420" i="115"/>
  <c r="M420" i="115"/>
  <c r="O440" i="115"/>
  <c r="N440" i="115"/>
  <c r="M440" i="115"/>
  <c r="O751" i="115"/>
  <c r="N751" i="115"/>
  <c r="M751" i="115"/>
  <c r="O750" i="115"/>
  <c r="N750" i="115"/>
  <c r="M750" i="115"/>
  <c r="O752" i="115"/>
  <c r="N752" i="115"/>
  <c r="M752" i="115"/>
  <c r="O73" i="115"/>
  <c r="N73" i="115"/>
  <c r="M73" i="115"/>
  <c r="O72" i="115"/>
  <c r="N72" i="115"/>
  <c r="M72" i="115"/>
  <c r="K174" i="116" s="1"/>
  <c r="O390" i="115"/>
  <c r="N390" i="115"/>
  <c r="M390" i="115"/>
  <c r="K94" i="116" s="1"/>
  <c r="O94" i="115"/>
  <c r="N94" i="115"/>
  <c r="M94" i="115"/>
  <c r="K192" i="116" s="1"/>
  <c r="O624" i="115"/>
  <c r="N624" i="115"/>
  <c r="M624" i="115"/>
  <c r="O625" i="115"/>
  <c r="N625" i="115"/>
  <c r="M625" i="115"/>
  <c r="O623" i="115"/>
  <c r="N623" i="115"/>
  <c r="M623" i="115"/>
  <c r="O622" i="115"/>
  <c r="N622" i="115"/>
  <c r="M622" i="115"/>
  <c r="K252" i="116" s="1"/>
  <c r="O26" i="115"/>
  <c r="N26" i="115"/>
  <c r="M26" i="115"/>
  <c r="K25" i="116" s="1"/>
  <c r="O155" i="115"/>
  <c r="N155" i="115"/>
  <c r="M155" i="115"/>
  <c r="O156" i="115"/>
  <c r="N156" i="115"/>
  <c r="M156" i="115"/>
  <c r="O154" i="115"/>
  <c r="N154" i="115"/>
  <c r="M154" i="115"/>
  <c r="O329" i="115"/>
  <c r="N329" i="115"/>
  <c r="M329" i="115"/>
  <c r="K149" i="116" s="1"/>
  <c r="O168" i="115"/>
  <c r="N168" i="115"/>
  <c r="M168" i="115"/>
  <c r="O167" i="115"/>
  <c r="N167" i="115"/>
  <c r="M167" i="115"/>
  <c r="O166" i="115"/>
  <c r="N166" i="115"/>
  <c r="M166" i="115"/>
  <c r="O165" i="115"/>
  <c r="N165" i="115"/>
  <c r="M165" i="115"/>
  <c r="K71" i="116" s="1"/>
  <c r="O494" i="115"/>
  <c r="N494" i="115"/>
  <c r="M494" i="115"/>
  <c r="K290" i="116" s="1"/>
  <c r="O53" i="115"/>
  <c r="N53" i="115"/>
  <c r="M53" i="115"/>
  <c r="O54" i="115"/>
  <c r="N54" i="115"/>
  <c r="M54" i="115"/>
  <c r="O50" i="115"/>
  <c r="N50" i="115"/>
  <c r="M50" i="115"/>
  <c r="K187" i="116" s="1"/>
  <c r="O52" i="115"/>
  <c r="N52" i="115"/>
  <c r="M52" i="115"/>
  <c r="O867" i="115"/>
  <c r="N867" i="115"/>
  <c r="M867" i="115"/>
  <c r="K103" i="116" s="1"/>
  <c r="O574" i="115"/>
  <c r="N574" i="115"/>
  <c r="M574" i="115"/>
  <c r="K134" i="116" s="1"/>
  <c r="O294" i="115"/>
  <c r="N294" i="115"/>
  <c r="M294" i="115"/>
  <c r="K106" i="116" s="1"/>
  <c r="O820" i="115"/>
  <c r="N820" i="115"/>
  <c r="M820" i="115"/>
  <c r="O821" i="115"/>
  <c r="N821" i="115"/>
  <c r="M821" i="115"/>
  <c r="O823" i="115"/>
  <c r="N823" i="115"/>
  <c r="M823" i="115"/>
  <c r="O822" i="115"/>
  <c r="N822" i="115"/>
  <c r="M822" i="115"/>
  <c r="O352" i="115"/>
  <c r="N352" i="115"/>
  <c r="M352" i="115"/>
  <c r="O572" i="115"/>
  <c r="N572" i="115"/>
  <c r="M572" i="115"/>
  <c r="O361" i="115"/>
  <c r="N361" i="115"/>
  <c r="M361" i="115"/>
  <c r="O287" i="115"/>
  <c r="N287" i="115"/>
  <c r="M287" i="115"/>
  <c r="K73" i="116" s="1"/>
  <c r="O325" i="115"/>
  <c r="N325" i="115"/>
  <c r="M325" i="115"/>
  <c r="K270" i="116" s="1"/>
  <c r="O612" i="115"/>
  <c r="N612" i="115"/>
  <c r="M612" i="115"/>
  <c r="O613" i="115"/>
  <c r="N613" i="115"/>
  <c r="M613" i="115"/>
  <c r="O611" i="115"/>
  <c r="N611" i="115"/>
  <c r="M611" i="115"/>
  <c r="O530" i="115"/>
  <c r="N530" i="115"/>
  <c r="M530" i="115"/>
  <c r="O297" i="115"/>
  <c r="N297" i="115"/>
  <c r="M297" i="115"/>
  <c r="O419" i="115"/>
  <c r="N419" i="115"/>
  <c r="M419" i="115"/>
  <c r="K185" i="116" s="1"/>
  <c r="O529" i="115"/>
  <c r="N529" i="115"/>
  <c r="M529" i="115"/>
  <c r="O528" i="115"/>
  <c r="N528" i="115"/>
  <c r="M528" i="115"/>
  <c r="O531" i="115"/>
  <c r="N531" i="115"/>
  <c r="M531" i="115"/>
  <c r="O214" i="115"/>
  <c r="N214" i="115"/>
  <c r="M214" i="115"/>
  <c r="K137" i="116" s="1"/>
  <c r="O803" i="115"/>
  <c r="N803" i="115"/>
  <c r="M803" i="115"/>
  <c r="O802" i="115"/>
  <c r="N802" i="115"/>
  <c r="M802" i="115"/>
  <c r="O806" i="115"/>
  <c r="N806" i="115"/>
  <c r="M806" i="115"/>
  <c r="O805" i="115"/>
  <c r="N805" i="115"/>
  <c r="M805" i="115"/>
  <c r="O332" i="115"/>
  <c r="N332" i="115"/>
  <c r="M332" i="115"/>
  <c r="K131" i="116" s="1"/>
  <c r="O816" i="115"/>
  <c r="N816" i="115"/>
  <c r="M816" i="115"/>
  <c r="O814" i="115"/>
  <c r="N814" i="115"/>
  <c r="M814" i="115"/>
  <c r="O813" i="115"/>
  <c r="N813" i="115"/>
  <c r="M813" i="115"/>
  <c r="O815" i="115"/>
  <c r="N815" i="115"/>
  <c r="M815" i="115"/>
  <c r="O276" i="115"/>
  <c r="N276" i="115"/>
  <c r="M276" i="115"/>
  <c r="O389" i="115"/>
  <c r="N389" i="115"/>
  <c r="M389" i="115"/>
  <c r="O392" i="115"/>
  <c r="N392" i="115"/>
  <c r="M392" i="115"/>
  <c r="K46" i="116" s="1"/>
  <c r="O473" i="115"/>
  <c r="N473" i="115"/>
  <c r="M473" i="115"/>
  <c r="O472" i="115"/>
  <c r="N472" i="115"/>
  <c r="M472" i="115"/>
  <c r="O471" i="115"/>
  <c r="N471" i="115"/>
  <c r="M471" i="115"/>
  <c r="O284" i="115"/>
  <c r="N284" i="115"/>
  <c r="M284" i="115"/>
  <c r="K72" i="116" s="1"/>
  <c r="O299" i="115"/>
  <c r="N299" i="115"/>
  <c r="M299" i="115"/>
  <c r="O298" i="115"/>
  <c r="N298" i="115"/>
  <c r="M298" i="115"/>
  <c r="O438" i="115"/>
  <c r="N438" i="115"/>
  <c r="M438" i="115"/>
  <c r="O143" i="115"/>
  <c r="N143" i="115"/>
  <c r="M143" i="115"/>
  <c r="K251" i="116" s="1"/>
  <c r="O84" i="115"/>
  <c r="N84" i="115"/>
  <c r="M84" i="115"/>
  <c r="K50" i="116" s="1"/>
  <c r="O163" i="115"/>
  <c r="N163" i="115"/>
  <c r="M163" i="115"/>
  <c r="O162" i="115"/>
  <c r="N162" i="115"/>
  <c r="M162" i="115"/>
  <c r="K258" i="116" s="1"/>
  <c r="O604" i="115"/>
  <c r="N604" i="115"/>
  <c r="M604" i="115"/>
  <c r="O978" i="115"/>
  <c r="N978" i="115"/>
  <c r="M978" i="115"/>
  <c r="O202" i="115"/>
  <c r="N202" i="115"/>
  <c r="M202" i="115"/>
  <c r="O605" i="115"/>
  <c r="N605" i="115"/>
  <c r="M605" i="115"/>
  <c r="O603" i="115"/>
  <c r="N603" i="115"/>
  <c r="M603" i="115"/>
  <c r="O606" i="115"/>
  <c r="N606" i="115"/>
  <c r="M606" i="115"/>
  <c r="O306" i="115"/>
  <c r="N306" i="115"/>
  <c r="M306" i="115"/>
  <c r="K275" i="116" s="1"/>
  <c r="O253" i="115"/>
  <c r="N253" i="115"/>
  <c r="M253" i="115"/>
  <c r="K16" i="116" s="1"/>
  <c r="O102" i="115"/>
  <c r="N102" i="115"/>
  <c r="M102" i="115"/>
  <c r="O99" i="115"/>
  <c r="N99" i="115"/>
  <c r="M99" i="115"/>
  <c r="O100" i="115"/>
  <c r="N100" i="115"/>
  <c r="M100" i="115"/>
  <c r="O416" i="115"/>
  <c r="N416" i="115"/>
  <c r="M416" i="115"/>
  <c r="K227" i="116" s="1"/>
  <c r="O90" i="115"/>
  <c r="N90" i="115"/>
  <c r="M90" i="115"/>
  <c r="O268" i="115"/>
  <c r="N268" i="115"/>
  <c r="M268" i="115"/>
  <c r="O267" i="115"/>
  <c r="N267" i="115"/>
  <c r="M267" i="115"/>
  <c r="O43" i="115"/>
  <c r="N43" i="115"/>
  <c r="M43" i="115"/>
  <c r="O266" i="115"/>
  <c r="N266" i="115"/>
  <c r="M266" i="115"/>
  <c r="O377" i="115"/>
  <c r="N377" i="115"/>
  <c r="M377" i="115"/>
  <c r="O876" i="115"/>
  <c r="N876" i="115"/>
  <c r="M876" i="115"/>
  <c r="O324" i="115"/>
  <c r="N324" i="115"/>
  <c r="M324" i="115"/>
  <c r="K77" i="116" s="1"/>
  <c r="O317" i="115"/>
  <c r="N317" i="115"/>
  <c r="M317" i="115"/>
  <c r="K75" i="116" s="1"/>
  <c r="O322" i="115"/>
  <c r="N322" i="115"/>
  <c r="M322" i="115"/>
  <c r="O407" i="115"/>
  <c r="N407" i="115"/>
  <c r="M407" i="115"/>
  <c r="K243" i="116" s="1"/>
  <c r="O400" i="115"/>
  <c r="N400" i="115"/>
  <c r="M400" i="115"/>
  <c r="O766" i="115"/>
  <c r="N766" i="115"/>
  <c r="M766" i="115"/>
  <c r="O767" i="115"/>
  <c r="N767" i="115"/>
  <c r="M767" i="115"/>
  <c r="O765" i="115"/>
  <c r="N765" i="115"/>
  <c r="M765" i="115"/>
  <c r="O764" i="115"/>
  <c r="N764" i="115"/>
  <c r="M764" i="115"/>
  <c r="O310" i="115"/>
  <c r="N310" i="115"/>
  <c r="M310" i="115"/>
  <c r="O941" i="115"/>
  <c r="N941" i="115"/>
  <c r="M941" i="115"/>
  <c r="O316" i="115"/>
  <c r="N316" i="115"/>
  <c r="M316" i="115"/>
  <c r="K74" i="116" s="1"/>
  <c r="O480" i="115"/>
  <c r="N480" i="115"/>
  <c r="M480" i="115"/>
  <c r="O482" i="115"/>
  <c r="N482" i="115"/>
  <c r="M482" i="115"/>
  <c r="O368" i="115"/>
  <c r="N368" i="115"/>
  <c r="M368" i="115"/>
  <c r="K79" i="116" s="1"/>
  <c r="O607" i="115"/>
  <c r="N607" i="115"/>
  <c r="M607" i="115"/>
  <c r="K85" i="116" s="1"/>
  <c r="O211" i="115"/>
  <c r="N211" i="115"/>
  <c r="M211" i="115"/>
  <c r="O213" i="115"/>
  <c r="N213" i="115"/>
  <c r="M213" i="115"/>
  <c r="O71" i="115"/>
  <c r="N71" i="115"/>
  <c r="M71" i="115"/>
  <c r="O748" i="115"/>
  <c r="N748" i="115"/>
  <c r="M748" i="115"/>
  <c r="O747" i="115"/>
  <c r="N747" i="115"/>
  <c r="M747" i="115"/>
  <c r="K316" i="116" s="1"/>
  <c r="O402" i="115"/>
  <c r="N402" i="115"/>
  <c r="M402" i="115"/>
  <c r="K242" i="116" s="1"/>
  <c r="O221" i="115"/>
  <c r="N221" i="115"/>
  <c r="M221" i="115"/>
  <c r="O379" i="115"/>
  <c r="N379" i="115"/>
  <c r="M379" i="115"/>
  <c r="O434" i="115"/>
  <c r="N434" i="115"/>
  <c r="M434" i="115"/>
  <c r="K213" i="116" s="1"/>
  <c r="O675" i="115"/>
  <c r="N675" i="115"/>
  <c r="M675" i="115"/>
  <c r="O676" i="115"/>
  <c r="N676" i="115"/>
  <c r="M676" i="115"/>
  <c r="O673" i="115"/>
  <c r="N673" i="115"/>
  <c r="M673" i="115"/>
  <c r="O674" i="115"/>
  <c r="N674" i="115"/>
  <c r="M674" i="115"/>
  <c r="O312" i="115"/>
  <c r="N312" i="115"/>
  <c r="M312" i="115"/>
  <c r="O937" i="115"/>
  <c r="N937" i="115"/>
  <c r="M937" i="115"/>
  <c r="O280" i="115"/>
  <c r="N280" i="115"/>
  <c r="M280" i="115"/>
  <c r="O239" i="115"/>
  <c r="N239" i="115"/>
  <c r="M239" i="115"/>
  <c r="K235" i="116" s="1"/>
  <c r="O955" i="115"/>
  <c r="N955" i="115"/>
  <c r="M955" i="115"/>
  <c r="O190" i="115"/>
  <c r="N190" i="115"/>
  <c r="M190" i="115"/>
  <c r="O383" i="115"/>
  <c r="N383" i="115"/>
  <c r="M383" i="115"/>
  <c r="K80" i="116" s="1"/>
  <c r="O446" i="115"/>
  <c r="N446" i="115"/>
  <c r="M446" i="115"/>
  <c r="O887" i="115"/>
  <c r="N887" i="115"/>
  <c r="M887" i="115"/>
  <c r="D17" i="114"/>
  <c r="J17" i="114" s="1"/>
  <c r="D16" i="114"/>
  <c r="D15" i="114"/>
  <c r="D3" i="114"/>
  <c r="N298" i="117" l="1"/>
  <c r="I17" i="114"/>
  <c r="K172" i="116"/>
  <c r="K277" i="116"/>
  <c r="K113" i="116"/>
  <c r="K66" i="116"/>
  <c r="K318" i="116"/>
  <c r="K97" i="116"/>
  <c r="K170" i="116"/>
  <c r="K21" i="116"/>
  <c r="K117" i="116"/>
  <c r="K169" i="116"/>
  <c r="K157" i="116"/>
  <c r="K155" i="116"/>
  <c r="K18" i="116"/>
  <c r="K15" i="116"/>
  <c r="K232" i="116"/>
  <c r="K245" i="116"/>
  <c r="K68" i="116"/>
  <c r="K296" i="116"/>
  <c r="K161" i="116"/>
  <c r="K283" i="116"/>
  <c r="K302" i="116"/>
  <c r="K216" i="116"/>
  <c r="K303" i="116"/>
  <c r="K240" i="116"/>
  <c r="K91" i="116"/>
  <c r="K3" i="116"/>
  <c r="K151" i="116"/>
  <c r="K92" i="116"/>
  <c r="K56" i="116"/>
  <c r="K176" i="116"/>
  <c r="K214" i="116"/>
  <c r="K308" i="116"/>
  <c r="K61" i="116"/>
  <c r="K248" i="116"/>
  <c r="K188" i="116"/>
  <c r="K119" i="116"/>
  <c r="K246" i="116"/>
  <c r="K89" i="116"/>
  <c r="K9" i="116"/>
  <c r="K76" i="116"/>
  <c r="K64" i="116"/>
  <c r="K286" i="116"/>
  <c r="K203" i="116"/>
  <c r="K96" i="116"/>
  <c r="K43" i="116"/>
  <c r="K205" i="116"/>
  <c r="K57" i="116"/>
  <c r="K90" i="116"/>
  <c r="K312" i="116"/>
  <c r="K225" i="116"/>
  <c r="K273" i="116"/>
  <c r="K58" i="116"/>
  <c r="K37" i="116"/>
  <c r="K200" i="116"/>
  <c r="K259" i="116"/>
  <c r="K23" i="116"/>
  <c r="K158" i="116"/>
  <c r="K207" i="116"/>
  <c r="K17" i="116"/>
  <c r="K5" i="116"/>
  <c r="K121" i="116"/>
  <c r="K104" i="116"/>
  <c r="K24" i="116"/>
  <c r="K20" i="116"/>
  <c r="K154" i="116"/>
  <c r="K295" i="116"/>
  <c r="K132" i="116"/>
  <c r="K307" i="116"/>
  <c r="K253" i="116"/>
  <c r="K239" i="116"/>
  <c r="K218" i="116"/>
  <c r="K195" i="116"/>
  <c r="K304" i="116"/>
  <c r="K301" i="116"/>
  <c r="K231" i="116"/>
  <c r="K264" i="116"/>
  <c r="K53" i="116"/>
  <c r="K65" i="116"/>
  <c r="K265" i="116"/>
  <c r="K41" i="116"/>
  <c r="K289" i="116"/>
  <c r="K118" i="116"/>
  <c r="K317" i="116"/>
  <c r="K297" i="116"/>
  <c r="K292" i="116"/>
  <c r="K266" i="116"/>
  <c r="K36" i="116"/>
  <c r="K99" i="116"/>
  <c r="K138" i="116"/>
  <c r="K48" i="116"/>
  <c r="K233" i="116"/>
  <c r="K110" i="116"/>
  <c r="K33" i="116"/>
  <c r="K220" i="116"/>
  <c r="K8" i="116"/>
  <c r="K114" i="116"/>
  <c r="K28" i="116"/>
  <c r="K126" i="116"/>
  <c r="K88" i="116"/>
  <c r="K19" i="116"/>
  <c r="K133" i="116"/>
  <c r="K115" i="116"/>
  <c r="K249" i="116"/>
  <c r="K63" i="116"/>
  <c r="K150" i="116"/>
  <c r="K70" i="116"/>
  <c r="K184" i="116"/>
  <c r="K247" i="116"/>
  <c r="K236" i="116"/>
  <c r="K197" i="116"/>
  <c r="K147" i="116"/>
  <c r="K293" i="116"/>
  <c r="K315" i="116"/>
  <c r="K11" i="116"/>
  <c r="K298" i="116"/>
  <c r="K30" i="116"/>
  <c r="K228" i="116"/>
  <c r="K291" i="116"/>
  <c r="K224" i="116"/>
  <c r="K12" i="116"/>
  <c r="K60" i="116"/>
  <c r="K238" i="116"/>
  <c r="K278" i="116"/>
  <c r="K244" i="116"/>
  <c r="K282" i="116"/>
  <c r="K167" i="116"/>
  <c r="K45" i="116"/>
  <c r="K268" i="116"/>
  <c r="K234" i="116"/>
  <c r="K319" i="116"/>
  <c r="K55" i="116"/>
  <c r="K237" i="116"/>
  <c r="K198" i="116"/>
  <c r="K26" i="116"/>
  <c r="K136" i="116"/>
  <c r="K142" i="116"/>
  <c r="K217" i="116"/>
  <c r="K62" i="116"/>
  <c r="K129" i="116"/>
  <c r="K130" i="116"/>
  <c r="K287" i="116"/>
  <c r="K123" i="116"/>
  <c r="K98" i="116"/>
  <c r="K145" i="116"/>
  <c r="K141" i="116"/>
  <c r="K139" i="116"/>
  <c r="K87" i="116"/>
  <c r="K186" i="116"/>
  <c r="K180" i="116"/>
  <c r="K261" i="116"/>
  <c r="W330" i="117" a="1"/>
  <c r="W330" i="117" s="1"/>
  <c r="W331" i="117" a="1"/>
  <c r="W331" i="117" s="1"/>
  <c r="AK24" i="117" a="1"/>
  <c r="AK24" i="117" s="1"/>
  <c r="O211" i="117"/>
  <c r="AR39" i="117" a="1"/>
  <c r="AR39" i="117" s="1"/>
  <c r="O61" i="117"/>
  <c r="O73" i="117"/>
  <c r="AK108" i="117" a="1"/>
  <c r="AK108" i="117" s="1"/>
  <c r="O172" i="117"/>
  <c r="O233" i="117"/>
  <c r="AK154" i="117" a="1"/>
  <c r="AK154" i="117" s="1"/>
  <c r="O137" i="117"/>
  <c r="O149" i="117"/>
  <c r="O41" i="117"/>
  <c r="AR175" i="117" a="1"/>
  <c r="AR175" i="117" s="1"/>
  <c r="AO230" i="117"/>
  <c r="AK26" i="117" a="1"/>
  <c r="AK26" i="117" s="1"/>
  <c r="O90" i="117"/>
  <c r="AR165" i="117" a="1"/>
  <c r="AR165" i="117" s="1"/>
  <c r="AF212" i="117"/>
  <c r="O229" i="117"/>
  <c r="AK196" i="117" a="1"/>
  <c r="AK196" i="117" s="1"/>
  <c r="O202" i="117"/>
  <c r="AK69" i="117" a="1"/>
  <c r="AK69" i="117" s="1"/>
  <c r="O193" i="117"/>
  <c r="AR197" i="117" a="1"/>
  <c r="AR197" i="117" s="1"/>
  <c r="AK203" i="117" a="1"/>
  <c r="AK203" i="117" s="1"/>
  <c r="AR207" i="117" a="1"/>
  <c r="AR207" i="117" s="1"/>
  <c r="AR9" i="117" a="1"/>
  <c r="AR9" i="117" s="1"/>
  <c r="O109" i="117"/>
  <c r="O167" i="117"/>
  <c r="AK198" i="117" a="1"/>
  <c r="AK198" i="117" s="1"/>
  <c r="W207" i="117" a="1"/>
  <c r="W207" i="117" s="1"/>
  <c r="O205" i="117"/>
  <c r="O206" i="117"/>
  <c r="AK213" i="117" a="1"/>
  <c r="AK213" i="117" s="1"/>
  <c r="AR226" i="117" a="1"/>
  <c r="AR226" i="117" s="1"/>
  <c r="AR174" i="117" a="1"/>
  <c r="AR174" i="117" s="1"/>
  <c r="O201" i="117"/>
  <c r="AR206" i="117" a="1"/>
  <c r="AR206" i="117" s="1"/>
  <c r="AR210" i="117" a="1"/>
  <c r="AR210" i="117" s="1"/>
  <c r="K194" i="116"/>
  <c r="M197" i="116"/>
  <c r="AC13" i="117"/>
  <c r="AC49" i="117"/>
  <c r="AK130" i="117" a="1"/>
  <c r="AK130" i="117" s="1"/>
  <c r="AK149" i="117" a="1"/>
  <c r="AK149" i="117" s="1"/>
  <c r="O23" i="117"/>
  <c r="AR58" i="117" a="1"/>
  <c r="AR58" i="117" s="1"/>
  <c r="AA132" i="117"/>
  <c r="AD165" i="117" a="1"/>
  <c r="AD165" i="117" s="1"/>
  <c r="O21" i="117"/>
  <c r="AR114" i="117" a="1"/>
  <c r="AR114" i="117" s="1"/>
  <c r="AD122" i="117" a="1"/>
  <c r="AD122" i="117" s="1"/>
  <c r="AR144" i="117" a="1"/>
  <c r="AR144" i="117" s="1"/>
  <c r="AD144" i="117" a="1"/>
  <c r="AD144" i="117" s="1"/>
  <c r="AC25" i="117"/>
  <c r="AK176" i="117" a="1"/>
  <c r="AK176" i="117" s="1"/>
  <c r="O190" i="117"/>
  <c r="O13" i="117"/>
  <c r="O20" i="117"/>
  <c r="AF27" i="117"/>
  <c r="AK60" i="117" a="1"/>
  <c r="AK60" i="117" s="1"/>
  <c r="Y115" i="117"/>
  <c r="O130" i="117"/>
  <c r="AR136" i="117" a="1"/>
  <c r="AR136" i="117" s="1"/>
  <c r="AR162" i="117" a="1"/>
  <c r="AR162" i="117" s="1"/>
  <c r="AK47" i="117" a="1"/>
  <c r="AK47" i="117" s="1"/>
  <c r="AK8" i="117" a="1"/>
  <c r="AK8" i="117" s="1"/>
  <c r="AR35" i="117" a="1"/>
  <c r="AR35" i="117" s="1"/>
  <c r="O55" i="117"/>
  <c r="O57" i="117"/>
  <c r="O79" i="117"/>
  <c r="O99" i="117"/>
  <c r="O111" i="117"/>
  <c r="O129" i="117"/>
  <c r="AR131" i="117" a="1"/>
  <c r="AR131" i="117" s="1"/>
  <c r="AK155" i="117" a="1"/>
  <c r="AK155" i="117" s="1"/>
  <c r="O155" i="117"/>
  <c r="AR182" i="117" a="1"/>
  <c r="AR182" i="117" s="1"/>
  <c r="AR204" i="117" a="1"/>
  <c r="AR204" i="117" s="1"/>
  <c r="O18" i="117"/>
  <c r="AK43" i="117" a="1"/>
  <c r="AK43" i="117" s="1"/>
  <c r="O85" i="117"/>
  <c r="O97" i="117"/>
  <c r="AK99" i="117" a="1"/>
  <c r="AK99" i="117" s="1"/>
  <c r="AQ102" i="117"/>
  <c r="AK126" i="117" a="1"/>
  <c r="AK126" i="117" s="1"/>
  <c r="O136" i="117"/>
  <c r="AR176" i="117" a="1"/>
  <c r="AR176" i="117" s="1"/>
  <c r="AR83" i="117" a="1"/>
  <c r="AR83" i="117" s="1"/>
  <c r="O112" i="117"/>
  <c r="AK138" i="117" a="1"/>
  <c r="AK138" i="117" s="1"/>
  <c r="AR177" i="117" a="1"/>
  <c r="AR177" i="117" s="1"/>
  <c r="AD172" i="117" a="1"/>
  <c r="AD172" i="117" s="1"/>
  <c r="AK140" i="117" a="1"/>
  <c r="AK140" i="117" s="1"/>
  <c r="AM121" i="117"/>
  <c r="AR166" i="117" a="1"/>
  <c r="AR166" i="117" s="1"/>
  <c r="AK92" i="117" a="1"/>
  <c r="AK92" i="117" s="1"/>
  <c r="AD158" i="117" a="1"/>
  <c r="AD158" i="117" s="1"/>
  <c r="AK177" i="117" a="1"/>
  <c r="AK177" i="117" s="1"/>
  <c r="AD166" i="117" a="1"/>
  <c r="AD166" i="117" s="1"/>
  <c r="AK190" i="117" a="1"/>
  <c r="AK190" i="117" s="1"/>
  <c r="O29" i="117"/>
  <c r="AC31" i="117"/>
  <c r="AQ48" i="117"/>
  <c r="AR49" i="117" a="1"/>
  <c r="AR49" i="117" s="1"/>
  <c r="AR56" i="117" a="1"/>
  <c r="AR56" i="117" s="1"/>
  <c r="O56" i="117"/>
  <c r="AR73" i="117" a="1"/>
  <c r="AR73" i="117" s="1"/>
  <c r="O74" i="117"/>
  <c r="AR75" i="117" a="1"/>
  <c r="AR75" i="117" s="1"/>
  <c r="AC88" i="117"/>
  <c r="AR130" i="117" a="1"/>
  <c r="AR130" i="117" s="1"/>
  <c r="O183" i="117"/>
  <c r="O33" i="117"/>
  <c r="AD36" i="117" a="1"/>
  <c r="AD36" i="117" s="1"/>
  <c r="O84" i="117"/>
  <c r="AK90" i="117" a="1"/>
  <c r="AK90" i="117" s="1"/>
  <c r="AR91" i="117" a="1"/>
  <c r="AR91" i="117" s="1"/>
  <c r="AR95" i="117" a="1"/>
  <c r="AR95" i="117" s="1"/>
  <c r="AK104" i="117" a="1"/>
  <c r="AK104" i="117" s="1"/>
  <c r="AK134" i="117" a="1"/>
  <c r="AK134" i="117" s="1"/>
  <c r="AD140" i="117" a="1"/>
  <c r="AD140" i="117" s="1"/>
  <c r="AQ152" i="117"/>
  <c r="AR153" i="117" a="1"/>
  <c r="AR153" i="117" s="1"/>
  <c r="O154" i="117"/>
  <c r="AR172" i="117" a="1"/>
  <c r="AR172" i="117" s="1"/>
  <c r="O173" i="117"/>
  <c r="AR87" i="117" a="1"/>
  <c r="AR87" i="117" s="1"/>
  <c r="AK96" i="117" a="1"/>
  <c r="AK96" i="117" s="1"/>
  <c r="AD96" i="117" a="1"/>
  <c r="AD96" i="117" s="1"/>
  <c r="O141" i="117"/>
  <c r="O146" i="117"/>
  <c r="AR173" i="117" a="1"/>
  <c r="AR173" i="117" s="1"/>
  <c r="AD173" i="117" a="1"/>
  <c r="AD173" i="117" s="1"/>
  <c r="AR20" i="117" a="1"/>
  <c r="AR20" i="117" s="1"/>
  <c r="AR26" i="117" a="1"/>
  <c r="AR26" i="117" s="1"/>
  <c r="AK65" i="117" a="1"/>
  <c r="AK65" i="117" s="1"/>
  <c r="O65" i="117"/>
  <c r="O75" i="117"/>
  <c r="AQ84" i="117"/>
  <c r="AR125" i="117" a="1"/>
  <c r="AR125" i="117" s="1"/>
  <c r="AK143" i="117" a="1"/>
  <c r="AK143" i="117" s="1"/>
  <c r="AK166" i="117" a="1"/>
  <c r="AK166" i="117" s="1"/>
  <c r="AK64" i="117" a="1"/>
  <c r="AK64" i="117" s="1"/>
  <c r="AF16" i="117"/>
  <c r="O24" i="117"/>
  <c r="AR41" i="117" a="1"/>
  <c r="AR41" i="117" s="1"/>
  <c r="AK57" i="117" a="1"/>
  <c r="AK57" i="117" s="1"/>
  <c r="AR18" i="117" a="1"/>
  <c r="AR18" i="117" s="1"/>
  <c r="AR24" i="117" a="1"/>
  <c r="AR24" i="117" s="1"/>
  <c r="AD24" i="117" a="1"/>
  <c r="AD24" i="117" s="1"/>
  <c r="O35" i="117"/>
  <c r="AK38" i="117" a="1"/>
  <c r="AK38" i="117" s="1"/>
  <c r="O49" i="117"/>
  <c r="AR62" i="117" a="1"/>
  <c r="AR62" i="117" s="1"/>
  <c r="AK63" i="117" a="1"/>
  <c r="AK63" i="117" s="1"/>
  <c r="AD65" i="117" a="1"/>
  <c r="AD65" i="117" s="1"/>
  <c r="AR70" i="117" a="1"/>
  <c r="AR70" i="117" s="1"/>
  <c r="AR72" i="117" a="1"/>
  <c r="AR72" i="117" s="1"/>
  <c r="AC114" i="117"/>
  <c r="AD136" i="117" a="1"/>
  <c r="AD136" i="117" s="1"/>
  <c r="O138" i="117"/>
  <c r="AR146" i="117" a="1"/>
  <c r="AR146" i="117" s="1"/>
  <c r="AR190" i="117" a="1"/>
  <c r="AR190" i="117" s="1"/>
  <c r="AK9" i="117" a="1"/>
  <c r="AK9" i="117" s="1"/>
  <c r="AK25" i="117" a="1"/>
  <c r="AK25" i="117" s="1"/>
  <c r="AK30" i="117" a="1"/>
  <c r="AK30" i="117" s="1"/>
  <c r="AD35" i="117" a="1"/>
  <c r="AD35" i="117" s="1"/>
  <c r="O59" i="117"/>
  <c r="O67" i="117"/>
  <c r="O70" i="117"/>
  <c r="AK75" i="117" a="1"/>
  <c r="AK75" i="117" s="1"/>
  <c r="AR108" i="117" a="1"/>
  <c r="AR108" i="117" s="1"/>
  <c r="O127" i="117"/>
  <c r="AR129" i="117" a="1"/>
  <c r="AR129" i="117" s="1"/>
  <c r="AK139" i="117" a="1"/>
  <c r="AK139" i="117" s="1"/>
  <c r="AD139" i="117" a="1"/>
  <c r="AD139" i="117" s="1"/>
  <c r="AK168" i="117" a="1"/>
  <c r="AK168" i="117" s="1"/>
  <c r="AR170" i="117" a="1"/>
  <c r="AR170" i="117" s="1"/>
  <c r="AR82" i="117" a="1"/>
  <c r="AR82" i="117" s="1"/>
  <c r="AK185" i="117" a="1"/>
  <c r="AK185" i="117" s="1"/>
  <c r="AK54" i="117" a="1"/>
  <c r="AK54" i="117" s="1"/>
  <c r="O64" i="117"/>
  <c r="O80" i="117"/>
  <c r="AK119" i="117" a="1"/>
  <c r="AK119" i="117" s="1"/>
  <c r="AR123" i="117" a="1"/>
  <c r="AR123" i="117" s="1"/>
  <c r="O145" i="117"/>
  <c r="AK161" i="117" a="1"/>
  <c r="AK161" i="117" s="1"/>
  <c r="AK187" i="117" a="1"/>
  <c r="AK187" i="117" s="1"/>
  <c r="AK35" i="117" a="1"/>
  <c r="AK35" i="117" s="1"/>
  <c r="AF37" i="117"/>
  <c r="AK67" i="117" a="1"/>
  <c r="AK67" i="117" s="1"/>
  <c r="O69" i="117"/>
  <c r="O96" i="117"/>
  <c r="O143" i="117"/>
  <c r="K29" i="116"/>
  <c r="K14" i="116"/>
  <c r="K294" i="116"/>
  <c r="K280" i="116"/>
  <c r="K125" i="116"/>
  <c r="M55" i="116"/>
  <c r="W286" i="117" a="1"/>
  <c r="W286" i="117" s="1"/>
  <c r="P274" i="117"/>
  <c r="P227" i="117"/>
  <c r="P297" i="117"/>
  <c r="P159" i="117"/>
  <c r="P153" i="117"/>
  <c r="W298" i="117" a="1"/>
  <c r="W298" i="117" s="1"/>
  <c r="P222" i="117"/>
  <c r="P185" i="117"/>
  <c r="W61" i="117" a="1"/>
  <c r="W61" i="117" s="1"/>
  <c r="W166" i="117" a="1"/>
  <c r="W166" i="117" s="1"/>
  <c r="W214" i="117" a="1"/>
  <c r="W214" i="117" s="1"/>
  <c r="W271" i="117" a="1"/>
  <c r="W271" i="117" s="1"/>
  <c r="W57" i="117" a="1"/>
  <c r="W57" i="117" s="1"/>
  <c r="W179" i="117" a="1"/>
  <c r="W179" i="117" s="1"/>
  <c r="V234" i="117"/>
  <c r="W265" i="117" a="1"/>
  <c r="W265" i="117" s="1"/>
  <c r="W128" i="117" a="1"/>
  <c r="W128" i="117" s="1"/>
  <c r="P290" i="117"/>
  <c r="W244" i="117" a="1"/>
  <c r="W244" i="117" s="1"/>
  <c r="W328" i="117" a="1"/>
  <c r="W328" i="117" s="1"/>
  <c r="V146" i="117"/>
  <c r="W176" i="117" a="1"/>
  <c r="W176" i="117" s="1"/>
  <c r="W276" i="117" a="1"/>
  <c r="W276" i="117" s="1"/>
  <c r="W122" i="117" a="1"/>
  <c r="W122" i="117" s="1"/>
  <c r="W178" i="117" a="1"/>
  <c r="W178" i="117" s="1"/>
  <c r="W199" i="117" a="1"/>
  <c r="W199" i="117" s="1"/>
  <c r="W229" i="117" a="1"/>
  <c r="W229" i="117" s="1"/>
  <c r="W234" i="117" a="1"/>
  <c r="W234" i="117" s="1"/>
  <c r="R157" i="117"/>
  <c r="W209" i="117" a="1"/>
  <c r="W209" i="117" s="1"/>
  <c r="P239" i="117"/>
  <c r="W283" i="117" a="1"/>
  <c r="W283" i="117" s="1"/>
  <c r="W146" i="117" a="1"/>
  <c r="W146" i="117" s="1"/>
  <c r="P170" i="117"/>
  <c r="W240" i="117" a="1"/>
  <c r="W240" i="117" s="1"/>
  <c r="P255" i="117"/>
  <c r="W279" i="117" a="1"/>
  <c r="W279" i="117" s="1"/>
  <c r="V298" i="117"/>
  <c r="P302" i="117"/>
  <c r="P195" i="117"/>
  <c r="P175" i="117"/>
  <c r="W282" i="117" a="1"/>
  <c r="W282" i="117" s="1"/>
  <c r="P194" i="117"/>
  <c r="W315" i="117" a="1"/>
  <c r="W315" i="117" s="1"/>
  <c r="P67" i="117"/>
  <c r="V82" i="117"/>
  <c r="T313" i="117"/>
  <c r="P150" i="117"/>
  <c r="V163" i="117"/>
  <c r="W182" i="117" a="1"/>
  <c r="W182" i="117" s="1"/>
  <c r="W309" i="117" a="1"/>
  <c r="W309" i="117" s="1"/>
  <c r="W188" i="117" a="1"/>
  <c r="W188" i="117" s="1"/>
  <c r="W223" i="117" a="1"/>
  <c r="W223" i="117" s="1"/>
  <c r="P226" i="117"/>
  <c r="P272" i="117"/>
  <c r="P280" i="117"/>
  <c r="W273" i="117" a="1"/>
  <c r="W273" i="117" s="1"/>
  <c r="W285" i="117" a="1"/>
  <c r="W285" i="117" s="1"/>
  <c r="W292" i="117" a="1"/>
  <c r="W292" i="117" s="1"/>
  <c r="R242" i="117"/>
  <c r="W210" i="117" a="1"/>
  <c r="W210" i="117" s="1"/>
  <c r="W221" i="117" a="1"/>
  <c r="W221" i="117" s="1"/>
  <c r="P134" i="117"/>
  <c r="W105" i="117" a="1"/>
  <c r="W105" i="117" s="1"/>
  <c r="W8" i="117" a="1"/>
  <c r="W8" i="117" s="1"/>
  <c r="P41" i="117"/>
  <c r="W81" i="117" a="1"/>
  <c r="W81" i="117" s="1"/>
  <c r="P114" i="117"/>
  <c r="P76" i="117"/>
  <c r="W130" i="117" a="1"/>
  <c r="W130" i="117" s="1"/>
  <c r="P161" i="117"/>
  <c r="P172" i="117"/>
  <c r="P191" i="117"/>
  <c r="W236" i="117" a="1"/>
  <c r="W236" i="117" s="1"/>
  <c r="W238" i="117" a="1"/>
  <c r="W238" i="117" s="1"/>
  <c r="W253" i="117" a="1"/>
  <c r="W253" i="117" s="1"/>
  <c r="V296" i="117"/>
  <c r="C148" i="117"/>
  <c r="V236" i="117"/>
  <c r="W303" i="117" a="1"/>
  <c r="W303" i="117" s="1"/>
  <c r="W135" i="117" a="1"/>
  <c r="W135" i="117" s="1"/>
  <c r="W220" i="117" a="1"/>
  <c r="W220" i="117" s="1"/>
  <c r="T223" i="117"/>
  <c r="P254" i="117"/>
  <c r="P56" i="117"/>
  <c r="W124" i="117" a="1"/>
  <c r="W124" i="117" s="1"/>
  <c r="P149" i="117"/>
  <c r="P201" i="117"/>
  <c r="T243" i="117"/>
  <c r="W245" i="117" a="1"/>
  <c r="W245" i="117" s="1"/>
  <c r="V265" i="117"/>
  <c r="T310" i="117"/>
  <c r="P100" i="117"/>
  <c r="P103" i="117"/>
  <c r="W123" i="117" a="1"/>
  <c r="W123" i="117" s="1"/>
  <c r="P132" i="117"/>
  <c r="W190" i="117" a="1"/>
  <c r="W190" i="117" s="1"/>
  <c r="W203" i="117" a="1"/>
  <c r="W203" i="117" s="1"/>
  <c r="W219" i="117" a="1"/>
  <c r="W219" i="117" s="1"/>
  <c r="W251" i="117" a="1"/>
  <c r="W251" i="117" s="1"/>
  <c r="V286" i="117"/>
  <c r="P296" i="117"/>
  <c r="P115" i="117"/>
  <c r="V134" i="117"/>
  <c r="P200" i="117"/>
  <c r="N266" i="117"/>
  <c r="R266" i="117" s="1"/>
  <c r="P281" i="117"/>
  <c r="P307" i="117"/>
  <c r="P94" i="117"/>
  <c r="W289" i="117" a="1"/>
  <c r="W289" i="117" s="1"/>
  <c r="W299" i="117" a="1"/>
  <c r="W299" i="117" s="1"/>
  <c r="W311" i="117" a="1"/>
  <c r="W311" i="117" s="1"/>
  <c r="M25" i="116"/>
  <c r="M219" i="116"/>
  <c r="W22" i="117" a="1"/>
  <c r="W22" i="117" s="1"/>
  <c r="P39" i="117"/>
  <c r="W106" i="117" a="1"/>
  <c r="W106" i="117" s="1"/>
  <c r="R210" i="117"/>
  <c r="W250" i="117" a="1"/>
  <c r="W250" i="117" s="1"/>
  <c r="W262" i="117" a="1"/>
  <c r="W262" i="117" s="1"/>
  <c r="W87" i="117" a="1"/>
  <c r="W87" i="117" s="1"/>
  <c r="W109" i="117" a="1"/>
  <c r="W109" i="117" s="1"/>
  <c r="W141" i="117" a="1"/>
  <c r="W141" i="117" s="1"/>
  <c r="W196" i="117" a="1"/>
  <c r="W196" i="117" s="1"/>
  <c r="W208" i="117" a="1"/>
  <c r="W208" i="117" s="1"/>
  <c r="C296" i="117"/>
  <c r="V299" i="117"/>
  <c r="J106" i="116"/>
  <c r="J96" i="116"/>
  <c r="J50" i="116"/>
  <c r="J206" i="116"/>
  <c r="J103" i="116"/>
  <c r="J220" i="116"/>
  <c r="J281" i="116"/>
  <c r="J6" i="116"/>
  <c r="J56" i="116"/>
  <c r="J68" i="116"/>
  <c r="J14" i="116"/>
  <c r="J17" i="116"/>
  <c r="J41" i="116"/>
  <c r="J179" i="116"/>
  <c r="J197" i="116"/>
  <c r="J245" i="116"/>
  <c r="J217" i="116"/>
  <c r="J235" i="116"/>
  <c r="J303" i="116"/>
  <c r="J312" i="116"/>
  <c r="J208" i="116"/>
  <c r="J117" i="116"/>
  <c r="J154" i="116"/>
  <c r="J160" i="116"/>
  <c r="J163" i="116"/>
  <c r="J175" i="116"/>
  <c r="J219" i="116"/>
  <c r="J240" i="116"/>
  <c r="J243" i="116"/>
  <c r="J252" i="116"/>
  <c r="J61" i="116"/>
  <c r="J236" i="116"/>
  <c r="J5" i="116"/>
  <c r="J44" i="116"/>
  <c r="J262" i="116"/>
  <c r="J111" i="116"/>
  <c r="J53" i="116"/>
  <c r="J67" i="116"/>
  <c r="J30" i="116"/>
  <c r="J205" i="116"/>
  <c r="J316" i="116"/>
  <c r="J27" i="116"/>
  <c r="J80" i="116"/>
  <c r="J107" i="116"/>
  <c r="J168" i="116"/>
  <c r="J174" i="116"/>
  <c r="J259" i="116"/>
  <c r="J292" i="116"/>
  <c r="J45" i="116"/>
  <c r="J241" i="116"/>
  <c r="J8" i="116"/>
  <c r="J40" i="116"/>
  <c r="J150" i="116"/>
  <c r="J196" i="116"/>
  <c r="J218" i="116"/>
  <c r="J32" i="116"/>
  <c r="J298" i="116"/>
  <c r="J55" i="116"/>
  <c r="J211" i="116"/>
  <c r="J184" i="116"/>
  <c r="J187" i="116"/>
  <c r="J270" i="116"/>
  <c r="J70" i="116"/>
  <c r="J301" i="116"/>
  <c r="J314" i="116"/>
  <c r="J323" i="116"/>
  <c r="P80" i="117"/>
  <c r="W29" i="117" a="1"/>
  <c r="W29" i="117" s="1"/>
  <c r="P32" i="117"/>
  <c r="P62" i="117"/>
  <c r="W46" i="117" a="1"/>
  <c r="W46" i="117" s="1"/>
  <c r="W63" i="117" a="1"/>
  <c r="W63" i="117" s="1"/>
  <c r="W79" i="117" a="1"/>
  <c r="W79" i="117" s="1"/>
  <c r="P15" i="117"/>
  <c r="M153" i="116"/>
  <c r="W47" i="117" a="1"/>
  <c r="W47" i="117" s="1"/>
  <c r="I6" i="114"/>
  <c r="J6" i="114"/>
  <c r="I7" i="114"/>
  <c r="J7" i="114"/>
  <c r="I3" i="114"/>
  <c r="J3" i="114"/>
  <c r="I4" i="114"/>
  <c r="J4" i="114"/>
  <c r="I5" i="114"/>
  <c r="J5" i="114"/>
  <c r="I8" i="114"/>
  <c r="J8" i="114"/>
  <c r="I9" i="114"/>
  <c r="J9" i="114"/>
  <c r="T54" i="117"/>
  <c r="AM54" i="117"/>
  <c r="AC76" i="117"/>
  <c r="AJ77" i="117"/>
  <c r="AO82" i="117"/>
  <c r="AO125" i="117"/>
  <c r="AJ236" i="117"/>
  <c r="V257" i="117"/>
  <c r="R257" i="117"/>
  <c r="AC257" i="117"/>
  <c r="AM257" i="117"/>
  <c r="AQ257" i="117"/>
  <c r="T296" i="117"/>
  <c r="AF296" i="117"/>
  <c r="AH299" i="117"/>
  <c r="AQ305" i="117"/>
  <c r="AA165" i="117"/>
  <c r="N196" i="117"/>
  <c r="AC196" i="117" s="1"/>
  <c r="N225" i="117"/>
  <c r="AC225" i="117" s="1"/>
  <c r="M162" i="116"/>
  <c r="AM130" i="117"/>
  <c r="AH236" i="117"/>
  <c r="N199" i="117"/>
  <c r="AM199" i="117" s="1"/>
  <c r="M217" i="116"/>
  <c r="M237" i="116"/>
  <c r="T236" i="117"/>
  <c r="AO236" i="117"/>
  <c r="M132" i="116"/>
  <c r="M184" i="116"/>
  <c r="N250" i="117"/>
  <c r="AJ250" i="117" s="1"/>
  <c r="M123" i="116"/>
  <c r="M171" i="116"/>
  <c r="M196" i="116"/>
  <c r="AA13" i="117"/>
  <c r="C275" i="117"/>
  <c r="M135" i="116"/>
  <c r="AM53" i="117"/>
  <c r="AQ54" i="117"/>
  <c r="V132" i="117"/>
  <c r="M7" i="116"/>
  <c r="M150" i="116"/>
  <c r="M326" i="116"/>
  <c r="AM76" i="117"/>
  <c r="R146" i="117"/>
  <c r="AM159" i="117"/>
  <c r="Y204" i="117"/>
  <c r="AO120" i="117"/>
  <c r="AF157" i="117"/>
  <c r="N233" i="117"/>
  <c r="Y233" i="117" s="1"/>
  <c r="N301" i="117"/>
  <c r="AJ301" i="117" s="1"/>
  <c r="C331" i="117"/>
  <c r="M265" i="116"/>
  <c r="T53" i="117"/>
  <c r="R96" i="117"/>
  <c r="AA204" i="117"/>
  <c r="N228" i="117"/>
  <c r="V228" i="117" s="1"/>
  <c r="M252" i="116"/>
  <c r="N74" i="117"/>
  <c r="Y74" i="117" s="1"/>
  <c r="Y159" i="117"/>
  <c r="T215" i="117"/>
  <c r="AF236" i="117"/>
  <c r="AJ257" i="117"/>
  <c r="N293" i="117"/>
  <c r="AM293" i="117" s="1"/>
  <c r="AH114" i="117"/>
  <c r="R126" i="117"/>
  <c r="AF152" i="117"/>
  <c r="AM208" i="117"/>
  <c r="AQ220" i="117"/>
  <c r="AO234" i="117"/>
  <c r="N256" i="117"/>
  <c r="R256" i="117" s="1"/>
  <c r="C259" i="117"/>
  <c r="N284" i="117"/>
  <c r="Y284" i="117" s="1"/>
  <c r="M77" i="116"/>
  <c r="M147" i="116"/>
  <c r="M288" i="116"/>
  <c r="R134" i="117"/>
  <c r="T159" i="117"/>
  <c r="Y291" i="117"/>
  <c r="AO136" i="117"/>
  <c r="AH203" i="117"/>
  <c r="AH212" i="117"/>
  <c r="C223" i="117"/>
  <c r="N253" i="117"/>
  <c r="V253" i="117" s="1"/>
  <c r="N254" i="117"/>
  <c r="T254" i="117" s="1"/>
  <c r="R261" i="117"/>
  <c r="AC265" i="117"/>
  <c r="N273" i="117"/>
  <c r="T273" i="117" s="1"/>
  <c r="AA292" i="117"/>
  <c r="N295" i="117"/>
  <c r="AF295" i="117" s="1"/>
  <c r="AM77" i="117"/>
  <c r="AJ203" i="117"/>
  <c r="AA220" i="117"/>
  <c r="C270" i="117"/>
  <c r="C332" i="117"/>
  <c r="M41" i="116"/>
  <c r="M120" i="116"/>
  <c r="M181" i="116"/>
  <c r="M303" i="116"/>
  <c r="AF80" i="117"/>
  <c r="AO114" i="117"/>
  <c r="AF132" i="117"/>
  <c r="R203" i="117"/>
  <c r="AA234" i="117"/>
  <c r="AO13" i="117"/>
  <c r="AM69" i="117"/>
  <c r="Y73" i="117"/>
  <c r="T114" i="117"/>
  <c r="AM147" i="117"/>
  <c r="N174" i="117"/>
  <c r="AJ174" i="117" s="1"/>
  <c r="AF220" i="117"/>
  <c r="AA223" i="117"/>
  <c r="AH230" i="117"/>
  <c r="AF243" i="117"/>
  <c r="R248" i="117"/>
  <c r="N267" i="117"/>
  <c r="AQ267" i="117" s="1"/>
  <c r="N294" i="117"/>
  <c r="AA294" i="117" s="1"/>
  <c r="M165" i="116"/>
  <c r="M192" i="116"/>
  <c r="M208" i="116"/>
  <c r="C68" i="117"/>
  <c r="T77" i="117"/>
  <c r="AA82" i="117"/>
  <c r="Y90" i="117"/>
  <c r="Y134" i="117"/>
  <c r="AC136" i="117"/>
  <c r="AM203" i="117"/>
  <c r="AC223" i="117"/>
  <c r="AH247" i="117"/>
  <c r="AA276" i="117"/>
  <c r="AF332" i="117"/>
  <c r="M168" i="116"/>
  <c r="M228" i="116"/>
  <c r="M281" i="116"/>
  <c r="M315" i="116"/>
  <c r="N75" i="117"/>
  <c r="V75" i="117" s="1"/>
  <c r="C141" i="117"/>
  <c r="T203" i="117"/>
  <c r="AO203" i="117"/>
  <c r="AF234" i="117"/>
  <c r="N124" i="117"/>
  <c r="V124" i="117" s="1"/>
  <c r="AH126" i="117"/>
  <c r="C203" i="117"/>
  <c r="AH205" i="117"/>
  <c r="AF242" i="117"/>
  <c r="C261" i="117"/>
  <c r="Y261" i="117"/>
  <c r="AA298" i="117"/>
  <c r="AA114" i="117"/>
  <c r="T163" i="117"/>
  <c r="R223" i="117"/>
  <c r="R230" i="117"/>
  <c r="AH242" i="117"/>
  <c r="R243" i="117"/>
  <c r="T311" i="117"/>
  <c r="AH331" i="117"/>
  <c r="M48" i="116"/>
  <c r="M99" i="116"/>
  <c r="M113" i="116"/>
  <c r="M293" i="116"/>
  <c r="M313" i="116"/>
  <c r="T110" i="117"/>
  <c r="AA152" i="117"/>
  <c r="Y203" i="117"/>
  <c r="AM220" i="117"/>
  <c r="AH223" i="117"/>
  <c r="AJ242" i="117"/>
  <c r="M108" i="116"/>
  <c r="M144" i="116"/>
  <c r="M174" i="116"/>
  <c r="M201" i="116"/>
  <c r="C152" i="117"/>
  <c r="AA203" i="117"/>
  <c r="C212" i="117"/>
  <c r="Y236" i="117"/>
  <c r="C237" i="117"/>
  <c r="T286" i="117"/>
  <c r="T31" i="117"/>
  <c r="AM132" i="117"/>
  <c r="AF136" i="117"/>
  <c r="W142" i="117" a="1"/>
  <c r="W142" i="117" s="1"/>
  <c r="C165" i="117"/>
  <c r="M17" i="116"/>
  <c r="P88" i="116"/>
  <c r="P91" i="116"/>
  <c r="M102" i="116"/>
  <c r="M114" i="116"/>
  <c r="M127" i="116"/>
  <c r="M185" i="116"/>
  <c r="M229" i="116"/>
  <c r="M325" i="116"/>
  <c r="P21" i="117"/>
  <c r="P40" i="117"/>
  <c r="P73" i="117"/>
  <c r="AA96" i="117"/>
  <c r="C107" i="117"/>
  <c r="P117" i="117"/>
  <c r="C132" i="117"/>
  <c r="R132" i="117"/>
  <c r="P140" i="117"/>
  <c r="P152" i="117"/>
  <c r="P168" i="117"/>
  <c r="AH121" i="117"/>
  <c r="P143" i="117"/>
  <c r="P155" i="117"/>
  <c r="AA163" i="117"/>
  <c r="W164" i="117" a="1"/>
  <c r="W164" i="117" s="1"/>
  <c r="M39" i="116"/>
  <c r="M53" i="116"/>
  <c r="M61" i="116"/>
  <c r="M87" i="116"/>
  <c r="M126" i="116"/>
  <c r="M138" i="116"/>
  <c r="M187" i="116"/>
  <c r="M195" i="116"/>
  <c r="M216" i="116"/>
  <c r="M235" i="116"/>
  <c r="M240" i="116"/>
  <c r="M324" i="116"/>
  <c r="W30" i="117" a="1"/>
  <c r="W30" i="117" s="1"/>
  <c r="W36" i="117" a="1"/>
  <c r="W36" i="117" s="1"/>
  <c r="Y54" i="117"/>
  <c r="P68" i="117"/>
  <c r="W71" i="117" a="1"/>
  <c r="W71" i="117" s="1"/>
  <c r="P74" i="117"/>
  <c r="T76" i="117"/>
  <c r="AM84" i="117"/>
  <c r="Y88" i="117"/>
  <c r="W113" i="117" a="1"/>
  <c r="W113" i="117" s="1"/>
  <c r="AM114" i="117"/>
  <c r="W137" i="117" a="1"/>
  <c r="W137" i="117" s="1"/>
  <c r="N142" i="117"/>
  <c r="V142" i="117" s="1"/>
  <c r="W145" i="117" a="1"/>
  <c r="W145" i="117" s="1"/>
  <c r="AQ31" i="117"/>
  <c r="AA54" i="117"/>
  <c r="AO54" i="117"/>
  <c r="AH59" i="117"/>
  <c r="R90" i="117"/>
  <c r="AF96" i="117"/>
  <c r="AH110" i="117"/>
  <c r="Y114" i="117"/>
  <c r="C139" i="117"/>
  <c r="T139" i="117"/>
  <c r="AO84" i="117"/>
  <c r="M36" i="116"/>
  <c r="M125" i="116"/>
  <c r="M145" i="116"/>
  <c r="M189" i="116"/>
  <c r="M213" i="116"/>
  <c r="M225" i="116"/>
  <c r="N29" i="117"/>
  <c r="AO29" i="117" s="1"/>
  <c r="R49" i="117"/>
  <c r="R54" i="117"/>
  <c r="AF54" i="117"/>
  <c r="T59" i="117"/>
  <c r="W78" i="117" a="1"/>
  <c r="W78" i="117" s="1"/>
  <c r="N87" i="117"/>
  <c r="V87" i="117" s="1"/>
  <c r="AF88" i="117"/>
  <c r="P98" i="117"/>
  <c r="W139" i="117" a="1"/>
  <c r="W139" i="117" s="1"/>
  <c r="W151" i="117" a="1"/>
  <c r="W151" i="117" s="1"/>
  <c r="M27" i="116"/>
  <c r="M67" i="116"/>
  <c r="M156" i="116"/>
  <c r="M173" i="116"/>
  <c r="M183" i="116"/>
  <c r="M220" i="116"/>
  <c r="M246" i="116"/>
  <c r="M301" i="116"/>
  <c r="M312" i="116"/>
  <c r="AF13" i="117"/>
  <c r="R31" i="117"/>
  <c r="N42" i="117"/>
  <c r="AO42" i="117" s="1"/>
  <c r="AF48" i="117"/>
  <c r="AH49" i="117"/>
  <c r="R84" i="117"/>
  <c r="R88" i="117"/>
  <c r="W93" i="117" a="1"/>
  <c r="W93" i="117" s="1"/>
  <c r="N113" i="117"/>
  <c r="AQ113" i="117" s="1"/>
  <c r="C114" i="117"/>
  <c r="W119" i="117" a="1"/>
  <c r="W119" i="117" s="1"/>
  <c r="AC121" i="117"/>
  <c r="AM126" i="117"/>
  <c r="AJ132" i="117"/>
  <c r="AO134" i="117"/>
  <c r="C98" i="117"/>
  <c r="C101" i="117"/>
  <c r="N101" i="117"/>
  <c r="Y101" i="117" s="1"/>
  <c r="R107" i="117"/>
  <c r="AF107" i="117"/>
  <c r="C110" i="117"/>
  <c r="T126" i="117"/>
  <c r="AF159" i="117"/>
  <c r="C160" i="117"/>
  <c r="N160" i="117"/>
  <c r="AM160" i="117" s="1"/>
  <c r="C210" i="117"/>
  <c r="AO212" i="117"/>
  <c r="AF237" i="117"/>
  <c r="C243" i="117"/>
  <c r="C278" i="117"/>
  <c r="C308" i="117"/>
  <c r="T308" i="117"/>
  <c r="V243" i="117"/>
  <c r="AM243" i="117"/>
  <c r="AM248" i="117"/>
  <c r="AA274" i="117"/>
  <c r="AO274" i="117"/>
  <c r="T300" i="117"/>
  <c r="AM308" i="117"/>
  <c r="AM311" i="117"/>
  <c r="P199" i="116"/>
  <c r="M199" i="116"/>
  <c r="C116" i="117"/>
  <c r="N116" i="117"/>
  <c r="AO116" i="117" s="1"/>
  <c r="C231" i="117"/>
  <c r="N231" i="117"/>
  <c r="AQ231" i="117" s="1"/>
  <c r="Y120" i="117"/>
  <c r="N175" i="117"/>
  <c r="T175" i="117" s="1"/>
  <c r="C175" i="117"/>
  <c r="T176" i="117"/>
  <c r="C200" i="117"/>
  <c r="N200" i="117"/>
  <c r="R200" i="117" s="1"/>
  <c r="AC208" i="117"/>
  <c r="AQ208" i="117"/>
  <c r="AJ230" i="117"/>
  <c r="P75" i="116"/>
  <c r="M75" i="116"/>
  <c r="C71" i="117"/>
  <c r="N71" i="117"/>
  <c r="AJ71" i="117" s="1"/>
  <c r="T152" i="117"/>
  <c r="AM230" i="117"/>
  <c r="P300" i="116"/>
  <c r="M300" i="116"/>
  <c r="P45" i="116"/>
  <c r="M45" i="116"/>
  <c r="C63" i="117"/>
  <c r="N63" i="117"/>
  <c r="AM63" i="117" s="1"/>
  <c r="Y140" i="117"/>
  <c r="V210" i="117"/>
  <c r="Y210" i="117"/>
  <c r="Y212" i="117"/>
  <c r="P15" i="116"/>
  <c r="M15" i="116"/>
  <c r="P231" i="116"/>
  <c r="M231" i="116"/>
  <c r="R14" i="117"/>
  <c r="C56" i="117"/>
  <c r="N56" i="117"/>
  <c r="AF56" i="117" s="1"/>
  <c r="AM82" i="117"/>
  <c r="N85" i="117"/>
  <c r="AH85" i="117" s="1"/>
  <c r="T90" i="117"/>
  <c r="AF90" i="117"/>
  <c r="AQ90" i="117"/>
  <c r="AQ110" i="117"/>
  <c r="R120" i="117"/>
  <c r="AJ120" i="117"/>
  <c r="C122" i="117"/>
  <c r="N122" i="117"/>
  <c r="AQ122" i="117" s="1"/>
  <c r="Y126" i="117"/>
  <c r="AO152" i="117"/>
  <c r="R159" i="117"/>
  <c r="AA159" i="117"/>
  <c r="C232" i="117"/>
  <c r="N232" i="117"/>
  <c r="Y232" i="117" s="1"/>
  <c r="Y308" i="117"/>
  <c r="AO308" i="117"/>
  <c r="N72" i="117"/>
  <c r="AH72" i="117" s="1"/>
  <c r="C72" i="117"/>
  <c r="M83" i="116"/>
  <c r="P83" i="116"/>
  <c r="P129" i="116"/>
  <c r="M129" i="116"/>
  <c r="AQ120" i="117"/>
  <c r="AH145" i="117"/>
  <c r="AH176" i="117"/>
  <c r="N252" i="117"/>
  <c r="AO252" i="117" s="1"/>
  <c r="C252" i="117"/>
  <c r="AJ145" i="117"/>
  <c r="AO208" i="117"/>
  <c r="C226" i="117"/>
  <c r="N226" i="117"/>
  <c r="AJ226" i="117" s="1"/>
  <c r="N280" i="117"/>
  <c r="AJ280" i="117" s="1"/>
  <c r="C280" i="117"/>
  <c r="C314" i="117"/>
  <c r="N314" i="117"/>
  <c r="AA314" i="117" s="1"/>
  <c r="AH139" i="117"/>
  <c r="R152" i="117"/>
  <c r="AJ152" i="117"/>
  <c r="V152" i="117"/>
  <c r="AH152" i="117"/>
  <c r="AF285" i="117"/>
  <c r="P72" i="116"/>
  <c r="M72" i="116"/>
  <c r="P279" i="116"/>
  <c r="M279" i="116"/>
  <c r="C40" i="117"/>
  <c r="N40" i="117"/>
  <c r="R40" i="117" s="1"/>
  <c r="AH120" i="117"/>
  <c r="AM140" i="117"/>
  <c r="C162" i="117"/>
  <c r="N162" i="117"/>
  <c r="T162" i="117" s="1"/>
  <c r="C209" i="117"/>
  <c r="N209" i="117"/>
  <c r="T209" i="117" s="1"/>
  <c r="M10" i="116"/>
  <c r="M49" i="116"/>
  <c r="M69" i="116"/>
  <c r="P204" i="116"/>
  <c r="M204" i="116"/>
  <c r="M209" i="116"/>
  <c r="M221" i="116"/>
  <c r="M233" i="116"/>
  <c r="M243" i="116"/>
  <c r="M258" i="116"/>
  <c r="M285" i="116"/>
  <c r="T14" i="117"/>
  <c r="AJ16" i="117"/>
  <c r="N78" i="117"/>
  <c r="Y78" i="117" s="1"/>
  <c r="C78" i="117"/>
  <c r="AJ107" i="117"/>
  <c r="AM118" i="117"/>
  <c r="T120" i="117"/>
  <c r="AM120" i="117"/>
  <c r="AA126" i="117"/>
  <c r="AQ126" i="117"/>
  <c r="AH208" i="117"/>
  <c r="C255" i="117"/>
  <c r="N255" i="117"/>
  <c r="V255" i="117" s="1"/>
  <c r="AO264" i="117"/>
  <c r="AF298" i="117"/>
  <c r="Y300" i="117"/>
  <c r="Y208" i="117"/>
  <c r="AH210" i="117"/>
  <c r="Y215" i="117"/>
  <c r="Y230" i="117"/>
  <c r="AM237" i="117"/>
  <c r="Y243" i="117"/>
  <c r="AO243" i="117"/>
  <c r="Y248" i="117"/>
  <c r="AO278" i="117"/>
  <c r="Y296" i="117"/>
  <c r="AM296" i="117"/>
  <c r="AJ298" i="117"/>
  <c r="AA299" i="117"/>
  <c r="AO299" i="117"/>
  <c r="AA308" i="117"/>
  <c r="AQ308" i="117"/>
  <c r="AO313" i="117"/>
  <c r="T13" i="117"/>
  <c r="R25" i="117"/>
  <c r="AA77" i="117"/>
  <c r="AH80" i="117"/>
  <c r="AA90" i="117"/>
  <c r="T96" i="117"/>
  <c r="AH96" i="117"/>
  <c r="R114" i="117"/>
  <c r="AA120" i="117"/>
  <c r="AO132" i="117"/>
  <c r="AF134" i="117"/>
  <c r="AF146" i="117"/>
  <c r="AO159" i="117"/>
  <c r="AA176" i="117"/>
  <c r="AA186" i="117"/>
  <c r="AA230" i="117"/>
  <c r="AJ234" i="117"/>
  <c r="Y237" i="117"/>
  <c r="AM242" i="117"/>
  <c r="AQ243" i="117"/>
  <c r="AO248" i="117"/>
  <c r="T257" i="117"/>
  <c r="AA259" i="117"/>
  <c r="AO259" i="117"/>
  <c r="AH274" i="117"/>
  <c r="Y286" i="117"/>
  <c r="AM310" i="117"/>
  <c r="Y329" i="117"/>
  <c r="AM31" i="117"/>
  <c r="AH66" i="117"/>
  <c r="AF69" i="117"/>
  <c r="AJ76" i="117"/>
  <c r="C80" i="117"/>
  <c r="T88" i="117"/>
  <c r="AM88" i="117"/>
  <c r="AM90" i="117"/>
  <c r="C96" i="117"/>
  <c r="AO107" i="117"/>
  <c r="AC120" i="117"/>
  <c r="C121" i="117"/>
  <c r="V121" i="117"/>
  <c r="R125" i="117"/>
  <c r="AF126" i="117"/>
  <c r="T132" i="117"/>
  <c r="V136" i="117"/>
  <c r="AC140" i="117"/>
  <c r="T146" i="117"/>
  <c r="AH146" i="117"/>
  <c r="AM157" i="117"/>
  <c r="R176" i="117"/>
  <c r="T204" i="117"/>
  <c r="R212" i="117"/>
  <c r="AJ220" i="117"/>
  <c r="C236" i="117"/>
  <c r="R236" i="117"/>
  <c r="AA236" i="117"/>
  <c r="AA237" i="117"/>
  <c r="AO237" i="117"/>
  <c r="AC243" i="117"/>
  <c r="AQ248" i="117"/>
  <c r="AF257" i="117"/>
  <c r="R265" i="117"/>
  <c r="AJ274" i="117"/>
  <c r="C291" i="117"/>
  <c r="AC296" i="117"/>
  <c r="C305" i="117"/>
  <c r="AF308" i="117"/>
  <c r="AJ66" i="117"/>
  <c r="Y96" i="117"/>
  <c r="AM96" i="117"/>
  <c r="AF118" i="117"/>
  <c r="AF120" i="117"/>
  <c r="AC159" i="117"/>
  <c r="AF176" i="117"/>
  <c r="AF203" i="117"/>
  <c r="AF230" i="117"/>
  <c r="Y234" i="117"/>
  <c r="AM234" i="117"/>
  <c r="AA242" i="117"/>
  <c r="AH257" i="117"/>
  <c r="Y270" i="117"/>
  <c r="AQ296" i="117"/>
  <c r="Y298" i="117"/>
  <c r="AO298" i="117"/>
  <c r="AF299" i="117"/>
  <c r="AH300" i="117"/>
  <c r="Y310" i="117"/>
  <c r="AO310" i="117"/>
  <c r="R311" i="117"/>
  <c r="P73" i="116"/>
  <c r="M73" i="116"/>
  <c r="Y14" i="117"/>
  <c r="AJ14" i="117"/>
  <c r="C22" i="117"/>
  <c r="N22" i="117"/>
  <c r="R22" i="117" s="1"/>
  <c r="W34" i="117" a="1"/>
  <c r="W34" i="117" s="1"/>
  <c r="W44" i="117" a="1"/>
  <c r="W44" i="117" s="1"/>
  <c r="P33" i="116"/>
  <c r="M33" i="116"/>
  <c r="P247" i="116"/>
  <c r="P305" i="116"/>
  <c r="M305" i="116"/>
  <c r="P4" i="116"/>
  <c r="P16" i="116"/>
  <c r="P269" i="116"/>
  <c r="M269" i="116"/>
  <c r="P316" i="116"/>
  <c r="Y16" i="117"/>
  <c r="AO16" i="117"/>
  <c r="P180" i="116"/>
  <c r="M180" i="116"/>
  <c r="P223" i="116"/>
  <c r="P323" i="116"/>
  <c r="AQ14" i="117"/>
  <c r="AA16" i="117"/>
  <c r="AQ16" i="117"/>
  <c r="P27" i="117"/>
  <c r="W27" i="117" a="1"/>
  <c r="W27" i="117" s="1"/>
  <c r="P4" i="117"/>
  <c r="M3" i="116"/>
  <c r="M9" i="116"/>
  <c r="M29" i="116"/>
  <c r="M37" i="116"/>
  <c r="P51" i="116"/>
  <c r="M51" i="116"/>
  <c r="M57" i="116"/>
  <c r="M63" i="116"/>
  <c r="M89" i="116"/>
  <c r="M115" i="116"/>
  <c r="M157" i="116"/>
  <c r="M175" i="116"/>
  <c r="P211" i="116"/>
  <c r="M282" i="116"/>
  <c r="C33" i="117"/>
  <c r="N33" i="117"/>
  <c r="AM33" i="117" s="1"/>
  <c r="P33" i="117"/>
  <c r="W33" i="117" a="1"/>
  <c r="W33" i="117" s="1"/>
  <c r="AF14" i="117"/>
  <c r="C23" i="117"/>
  <c r="N23" i="117"/>
  <c r="AF23" i="117" s="1"/>
  <c r="AH14" i="117"/>
  <c r="AA38" i="117"/>
  <c r="P5" i="116"/>
  <c r="M5" i="116"/>
  <c r="M22" i="116"/>
  <c r="P28" i="116"/>
  <c r="M65" i="116"/>
  <c r="P97" i="116"/>
  <c r="P100" i="116"/>
  <c r="M117" i="116"/>
  <c r="P177" i="116"/>
  <c r="M177" i="116"/>
  <c r="P232" i="116"/>
  <c r="M253" i="116"/>
  <c r="M264" i="116"/>
  <c r="M289" i="116"/>
  <c r="M322" i="116"/>
  <c r="R20" i="117"/>
  <c r="W28" i="117" a="1"/>
  <c r="W28" i="117" s="1"/>
  <c r="C48" i="117"/>
  <c r="AH48" i="117"/>
  <c r="AA60" i="117"/>
  <c r="R48" i="117"/>
  <c r="AJ48" i="117"/>
  <c r="P70" i="117"/>
  <c r="Y20" i="117"/>
  <c r="AQ25" i="117"/>
  <c r="AA43" i="117"/>
  <c r="AM48" i="117"/>
  <c r="W49" i="117" a="1"/>
  <c r="W49" i="117" s="1"/>
  <c r="W17" i="117" a="1"/>
  <c r="W17" i="117" s="1"/>
  <c r="Y48" i="117"/>
  <c r="AM49" i="117"/>
  <c r="AC53" i="117"/>
  <c r="AJ90" i="117"/>
  <c r="Y13" i="117"/>
  <c r="AM13" i="117"/>
  <c r="T16" i="117"/>
  <c r="C31" i="117"/>
  <c r="AM38" i="117"/>
  <c r="P43" i="117"/>
  <c r="AO48" i="117"/>
  <c r="AF53" i="117"/>
  <c r="AH60" i="117"/>
  <c r="AJ31" i="117"/>
  <c r="N39" i="117"/>
  <c r="AM39" i="117" s="1"/>
  <c r="AC48" i="117"/>
  <c r="R53" i="117"/>
  <c r="C90" i="117"/>
  <c r="Y60" i="117"/>
  <c r="AO77" i="117"/>
  <c r="AR12" i="117" a="1"/>
  <c r="AR12" i="117" s="1"/>
  <c r="AK12" i="117" a="1"/>
  <c r="AK12" i="117" s="1"/>
  <c r="P24" i="116"/>
  <c r="M24" i="116"/>
  <c r="P261" i="116"/>
  <c r="M261" i="116"/>
  <c r="M35" i="116"/>
  <c r="P35" i="116"/>
  <c r="M71" i="116"/>
  <c r="P71" i="116"/>
  <c r="P142" i="116"/>
  <c r="M142" i="116"/>
  <c r="P214" i="116"/>
  <c r="M214" i="116"/>
  <c r="M292" i="116"/>
  <c r="P292" i="116"/>
  <c r="P307" i="116"/>
  <c r="P309" i="116"/>
  <c r="P311" i="116"/>
  <c r="P317" i="116"/>
  <c r="M317" i="116"/>
  <c r="P18" i="116"/>
  <c r="M18" i="116"/>
  <c r="M31" i="116"/>
  <c r="M46" i="116"/>
  <c r="P82" i="116"/>
  <c r="M82" i="116"/>
  <c r="M121" i="116"/>
  <c r="M149" i="116"/>
  <c r="M151" i="116"/>
  <c r="P166" i="116"/>
  <c r="M166" i="116"/>
  <c r="M255" i="116"/>
  <c r="M297" i="116"/>
  <c r="P299" i="116"/>
  <c r="AR17" i="117" a="1"/>
  <c r="AR17" i="117" s="1"/>
  <c r="AD17" i="117" a="1"/>
  <c r="AD17" i="117" s="1"/>
  <c r="AK17" i="117" a="1"/>
  <c r="AK17" i="117" s="1"/>
  <c r="P12" i="116"/>
  <c r="M12" i="116"/>
  <c r="M59" i="116"/>
  <c r="P59" i="116"/>
  <c r="P198" i="116"/>
  <c r="M198" i="116"/>
  <c r="M295" i="116"/>
  <c r="P295" i="116"/>
  <c r="C4" i="117"/>
  <c r="M21" i="116"/>
  <c r="M34" i="116"/>
  <c r="M70" i="116"/>
  <c r="M85" i="116"/>
  <c r="P96" i="116"/>
  <c r="M96" i="116"/>
  <c r="M111" i="116"/>
  <c r="M141" i="116"/>
  <c r="M169" i="116"/>
  <c r="P190" i="116"/>
  <c r="M190" i="116"/>
  <c r="M207" i="116"/>
  <c r="P238" i="116"/>
  <c r="M238" i="116"/>
  <c r="P249" i="116"/>
  <c r="M249" i="116"/>
  <c r="P271" i="116"/>
  <c r="P280" i="116"/>
  <c r="P40" i="116"/>
  <c r="P76" i="116"/>
  <c r="P130" i="116"/>
  <c r="M130" i="116"/>
  <c r="P273" i="116"/>
  <c r="P6" i="116"/>
  <c r="M6" i="116"/>
  <c r="M19" i="116"/>
  <c r="M109" i="116"/>
  <c r="M137" i="116"/>
  <c r="M139" i="116"/>
  <c r="P154" i="116"/>
  <c r="M154" i="116"/>
  <c r="P186" i="116"/>
  <c r="M186" i="116"/>
  <c r="M205" i="116"/>
  <c r="P234" i="116"/>
  <c r="M234" i="116"/>
  <c r="M267" i="116"/>
  <c r="P291" i="116"/>
  <c r="M291" i="116"/>
  <c r="AR8" i="117" a="1"/>
  <c r="AR8" i="117" s="1"/>
  <c r="M13" i="116"/>
  <c r="P30" i="116"/>
  <c r="M30" i="116"/>
  <c r="M43" i="116"/>
  <c r="M60" i="116"/>
  <c r="P64" i="116"/>
  <c r="M79" i="116"/>
  <c r="P81" i="116"/>
  <c r="M105" i="116"/>
  <c r="M133" i="116"/>
  <c r="M161" i="116"/>
  <c r="M163" i="116"/>
  <c r="P178" i="116"/>
  <c r="M178" i="116"/>
  <c r="P226" i="116"/>
  <c r="M226" i="116"/>
  <c r="M327" i="116"/>
  <c r="N4" i="117"/>
  <c r="R4" i="117" s="1"/>
  <c r="AK14" i="117" a="1"/>
  <c r="AK14" i="117" s="1"/>
  <c r="AD14" i="117" a="1"/>
  <c r="AD14" i="117" s="1"/>
  <c r="P52" i="116"/>
  <c r="P84" i="116"/>
  <c r="M84" i="116"/>
  <c r="M95" i="116"/>
  <c r="P95" i="116"/>
  <c r="P210" i="116"/>
  <c r="M210" i="116"/>
  <c r="P257" i="116"/>
  <c r="M257" i="116"/>
  <c r="P259" i="116"/>
  <c r="P277" i="116"/>
  <c r="M277" i="116"/>
  <c r="M93" i="116"/>
  <c r="P93" i="116"/>
  <c r="P106" i="116"/>
  <c r="M106" i="116"/>
  <c r="P202" i="116"/>
  <c r="M202" i="116"/>
  <c r="P244" i="116"/>
  <c r="M244" i="116"/>
  <c r="M47" i="116"/>
  <c r="P47" i="116"/>
  <c r="P94" i="116"/>
  <c r="M94" i="116"/>
  <c r="P245" i="116"/>
  <c r="M245" i="116"/>
  <c r="P256" i="116"/>
  <c r="M256" i="116"/>
  <c r="P321" i="116"/>
  <c r="M321" i="116"/>
  <c r="M58" i="116"/>
  <c r="M101" i="116"/>
  <c r="M103" i="116"/>
  <c r="P118" i="116"/>
  <c r="M118" i="116"/>
  <c r="M159" i="116"/>
  <c r="M193" i="116"/>
  <c r="P222" i="116"/>
  <c r="M222" i="116"/>
  <c r="M241" i="116"/>
  <c r="M319" i="116"/>
  <c r="P319" i="116"/>
  <c r="N8" i="117"/>
  <c r="AF8" i="117" s="1"/>
  <c r="C8" i="117"/>
  <c r="AR13" i="117" a="1"/>
  <c r="AR13" i="117" s="1"/>
  <c r="AD13" i="117" a="1"/>
  <c r="AD13" i="117" s="1"/>
  <c r="AK13" i="117" a="1"/>
  <c r="AK13" i="117" s="1"/>
  <c r="AD10" i="117" a="1"/>
  <c r="AD10" i="117" s="1"/>
  <c r="AR10" i="117" a="1"/>
  <c r="AR10" i="117" s="1"/>
  <c r="C16" i="117"/>
  <c r="N32" i="117"/>
  <c r="R32" i="117" s="1"/>
  <c r="C32" i="117"/>
  <c r="AQ43" i="117"/>
  <c r="C47" i="117"/>
  <c r="N47" i="117"/>
  <c r="AC47" i="117" s="1"/>
  <c r="AM68" i="117"/>
  <c r="AO68" i="117"/>
  <c r="O8" i="117"/>
  <c r="O10" i="117"/>
  <c r="AK19" i="117" a="1"/>
  <c r="AK19" i="117" s="1"/>
  <c r="O30" i="117"/>
  <c r="Y43" i="117"/>
  <c r="AK44" i="117" a="1"/>
  <c r="AK44" i="117" s="1"/>
  <c r="AD44" i="117" a="1"/>
  <c r="AD44" i="117" s="1"/>
  <c r="AC62" i="117"/>
  <c r="R62" i="117"/>
  <c r="AM62" i="117"/>
  <c r="N34" i="117"/>
  <c r="AF34" i="117" s="1"/>
  <c r="N35" i="117"/>
  <c r="AM35" i="117" s="1"/>
  <c r="AM37" i="117"/>
  <c r="AO43" i="117"/>
  <c r="V43" i="117"/>
  <c r="AJ43" i="117"/>
  <c r="C17" i="114"/>
  <c r="C16" i="114"/>
  <c r="C15" i="114"/>
  <c r="M283" i="116"/>
  <c r="P283" i="116"/>
  <c r="AD9" i="117" a="1"/>
  <c r="AD9" i="117" s="1"/>
  <c r="AR25" i="117" a="1"/>
  <c r="AR25" i="117" s="1"/>
  <c r="P112" i="116"/>
  <c r="P124" i="116"/>
  <c r="P136" i="116"/>
  <c r="P148" i="116"/>
  <c r="P160" i="116"/>
  <c r="P172" i="116"/>
  <c r="P304" i="116"/>
  <c r="O15" i="117"/>
  <c r="AD21" i="117" a="1"/>
  <c r="AD21" i="117" s="1"/>
  <c r="AR21" i="117" a="1"/>
  <c r="AR21" i="117" s="1"/>
  <c r="AK21" i="117" a="1"/>
  <c r="AK21" i="117" s="1"/>
  <c r="AR23" i="117" a="1"/>
  <c r="AR23" i="117" s="1"/>
  <c r="AK23" i="117" a="1"/>
  <c r="AK23" i="117" s="1"/>
  <c r="AA25" i="117"/>
  <c r="N26" i="117"/>
  <c r="AC26" i="117" s="1"/>
  <c r="C26" i="117"/>
  <c r="N28" i="117"/>
  <c r="V28" i="117" s="1"/>
  <c r="AK10" i="117" a="1"/>
  <c r="AK10" i="117" s="1"/>
  <c r="O25" i="117"/>
  <c r="O27" i="117"/>
  <c r="Y37" i="117"/>
  <c r="AH62" i="117"/>
  <c r="AR29" i="117" a="1"/>
  <c r="AR29" i="117" s="1"/>
  <c r="AK29" i="117" a="1"/>
  <c r="AK29" i="117" s="1"/>
  <c r="C38" i="117"/>
  <c r="AD38" i="117" a="1"/>
  <c r="AD38" i="117" s="1"/>
  <c r="N19" i="117"/>
  <c r="AM19" i="117" s="1"/>
  <c r="C19" i="117"/>
  <c r="AO27" i="117"/>
  <c r="AK37" i="117" a="1"/>
  <c r="AK37" i="117" s="1"/>
  <c r="AR37" i="117" a="1"/>
  <c r="AR37" i="117" s="1"/>
  <c r="AD37" i="117" a="1"/>
  <c r="AD37" i="117" s="1"/>
  <c r="AC38" i="117"/>
  <c r="AM43" i="117"/>
  <c r="AR31" i="117" a="1"/>
  <c r="AR31" i="117" s="1"/>
  <c r="AR50" i="117" a="1"/>
  <c r="AR50" i="117" s="1"/>
  <c r="AK50" i="117" a="1"/>
  <c r="AK50" i="117" s="1"/>
  <c r="Y68" i="117"/>
  <c r="AH69" i="117"/>
  <c r="AR16" i="117" a="1"/>
  <c r="AR16" i="117" s="1"/>
  <c r="AD16" i="117" a="1"/>
  <c r="AD16" i="117" s="1"/>
  <c r="O17" i="117"/>
  <c r="AK28" i="117" a="1"/>
  <c r="AK28" i="117" s="1"/>
  <c r="AD28" i="117" a="1"/>
  <c r="AD28" i="117" s="1"/>
  <c r="AR32" i="117" a="1"/>
  <c r="AR32" i="117" s="1"/>
  <c r="AK32" i="117" a="1"/>
  <c r="AK32" i="117" s="1"/>
  <c r="Y59" i="117"/>
  <c r="AO59" i="117"/>
  <c r="T62" i="117"/>
  <c r="AJ62" i="117"/>
  <c r="O63" i="117"/>
  <c r="AF65" i="117"/>
  <c r="Y69" i="117"/>
  <c r="AA102" i="117"/>
  <c r="AJ140" i="117"/>
  <c r="V140" i="117"/>
  <c r="AA140" i="117"/>
  <c r="AR27" i="117" a="1"/>
  <c r="AR27" i="117" s="1"/>
  <c r="Y27" i="117"/>
  <c r="O32" i="117"/>
  <c r="O36" i="117"/>
  <c r="AH37" i="117"/>
  <c r="AF38" i="117"/>
  <c r="O43" i="117"/>
  <c r="C44" i="117"/>
  <c r="O46" i="117"/>
  <c r="T48" i="117"/>
  <c r="O54" i="117"/>
  <c r="C62" i="117"/>
  <c r="C69" i="117"/>
  <c r="AA69" i="117"/>
  <c r="AO69" i="117"/>
  <c r="AK70" i="117" a="1"/>
  <c r="AK70" i="117" s="1"/>
  <c r="AD72" i="117" a="1"/>
  <c r="AD72" i="117" s="1"/>
  <c r="O76" i="117"/>
  <c r="AQ82" i="117"/>
  <c r="AK83" i="117" a="1"/>
  <c r="AK83" i="117" s="1"/>
  <c r="O91" i="117"/>
  <c r="AJ96" i="117"/>
  <c r="AC102" i="117"/>
  <c r="O106" i="117"/>
  <c r="AK133" i="117" a="1"/>
  <c r="AK133" i="117" s="1"/>
  <c r="AD133" i="117" a="1"/>
  <c r="AD133" i="117" s="1"/>
  <c r="AJ37" i="117"/>
  <c r="AH38" i="117"/>
  <c r="AF43" i="117"/>
  <c r="O47" i="117"/>
  <c r="O53" i="117"/>
  <c r="AA59" i="117"/>
  <c r="AQ69" i="117"/>
  <c r="C128" i="117"/>
  <c r="N128" i="117"/>
  <c r="AJ128" i="117" s="1"/>
  <c r="C129" i="117"/>
  <c r="N129" i="117"/>
  <c r="AF129" i="117" s="1"/>
  <c r="N135" i="117"/>
  <c r="AH135" i="117" s="1"/>
  <c r="C135" i="117"/>
  <c r="AF139" i="117"/>
  <c r="Y165" i="117"/>
  <c r="O11" i="117"/>
  <c r="AJ38" i="117"/>
  <c r="V48" i="117"/>
  <c r="AF60" i="117"/>
  <c r="AD60" i="117" a="1"/>
  <c r="AD60" i="117" s="1"/>
  <c r="AO62" i="117"/>
  <c r="R65" i="117"/>
  <c r="R66" i="117"/>
  <c r="AD69" i="117" a="1"/>
  <c r="AD69" i="117" s="1"/>
  <c r="AC82" i="117"/>
  <c r="Y84" i="117"/>
  <c r="O87" i="117"/>
  <c r="N95" i="117"/>
  <c r="AF95" i="117" s="1"/>
  <c r="N99" i="117"/>
  <c r="AA99" i="117" s="1"/>
  <c r="AD114" i="117" a="1"/>
  <c r="AD114" i="117" s="1"/>
  <c r="AK114" i="117" a="1"/>
  <c r="AK114" i="117" s="1"/>
  <c r="O115" i="117"/>
  <c r="O124" i="117"/>
  <c r="C127" i="117"/>
  <c r="N127" i="117"/>
  <c r="AJ127" i="117" s="1"/>
  <c r="AC139" i="117"/>
  <c r="Y139" i="117"/>
  <c r="V139" i="117"/>
  <c r="R37" i="117"/>
  <c r="AH43" i="117"/>
  <c r="AA44" i="117"/>
  <c r="AK58" i="117" a="1"/>
  <c r="AK58" i="117" s="1"/>
  <c r="AC59" i="117"/>
  <c r="Y62" i="117"/>
  <c r="T65" i="117"/>
  <c r="AM65" i="117"/>
  <c r="T66" i="117"/>
  <c r="AO66" i="117"/>
  <c r="AF68" i="117"/>
  <c r="AC73" i="117"/>
  <c r="AF82" i="117"/>
  <c r="C83" i="117"/>
  <c r="AA84" i="117"/>
  <c r="AR84" i="117" a="1"/>
  <c r="AR84" i="117" s="1"/>
  <c r="AR89" i="117" a="1"/>
  <c r="AR89" i="117" s="1"/>
  <c r="R92" i="117"/>
  <c r="AH102" i="117"/>
  <c r="AR107" i="117" a="1"/>
  <c r="AR107" i="117" s="1"/>
  <c r="AM110" i="117"/>
  <c r="AK112" i="117" a="1"/>
  <c r="AK112" i="117" s="1"/>
  <c r="AD112" i="117" a="1"/>
  <c r="AD112" i="117" s="1"/>
  <c r="R118" i="117"/>
  <c r="AJ118" i="117"/>
  <c r="C14" i="117"/>
  <c r="AA14" i="117"/>
  <c r="AK15" i="117" a="1"/>
  <c r="AK15" i="117" s="1"/>
  <c r="AK20" i="117" a="1"/>
  <c r="AK20" i="117" s="1"/>
  <c r="AA20" i="117"/>
  <c r="AK34" i="117" a="1"/>
  <c r="AK34" i="117" s="1"/>
  <c r="O34" i="117"/>
  <c r="T37" i="117"/>
  <c r="O44" i="117"/>
  <c r="AA48" i="117"/>
  <c r="AK49" i="117" a="1"/>
  <c r="AK49" i="117" s="1"/>
  <c r="AF59" i="117"/>
  <c r="AR63" i="117" a="1"/>
  <c r="AR63" i="117" s="1"/>
  <c r="AO65" i="117"/>
  <c r="AQ66" i="117"/>
  <c r="AH68" i="117"/>
  <c r="R82" i="117"/>
  <c r="AK85" i="117" a="1"/>
  <c r="AK85" i="117" s="1"/>
  <c r="AR90" i="117" a="1"/>
  <c r="AR90" i="117" s="1"/>
  <c r="O95" i="117"/>
  <c r="AK98" i="117" a="1"/>
  <c r="AK98" i="117" s="1"/>
  <c r="AJ102" i="117"/>
  <c r="N104" i="117"/>
  <c r="AH104" i="117" s="1"/>
  <c r="C112" i="117"/>
  <c r="N112" i="117"/>
  <c r="AQ112" i="117" s="1"/>
  <c r="AH136" i="117"/>
  <c r="R165" i="117"/>
  <c r="AC165" i="117"/>
  <c r="AC14" i="117"/>
  <c r="AO14" i="117"/>
  <c r="R16" i="117"/>
  <c r="AH16" i="117"/>
  <c r="AH20" i="117"/>
  <c r="O22" i="117"/>
  <c r="T25" i="117"/>
  <c r="AJ25" i="117"/>
  <c r="AH27" i="117"/>
  <c r="V37" i="117"/>
  <c r="R38" i="117"/>
  <c r="AO38" i="117"/>
  <c r="R43" i="117"/>
  <c r="O45" i="117"/>
  <c r="AR55" i="117" a="1"/>
  <c r="AR55" i="117" s="1"/>
  <c r="AA62" i="117"/>
  <c r="Y66" i="117"/>
  <c r="R68" i="117"/>
  <c r="AH82" i="117"/>
  <c r="AF84" i="117"/>
  <c r="AM102" i="117"/>
  <c r="AO118" i="117"/>
  <c r="AK136" i="117" a="1"/>
  <c r="AK136" i="117" s="1"/>
  <c r="AJ136" i="117"/>
  <c r="AO37" i="117"/>
  <c r="T38" i="117"/>
  <c r="AQ38" i="117"/>
  <c r="T43" i="117"/>
  <c r="R59" i="117"/>
  <c r="O60" i="117"/>
  <c r="AR64" i="117" a="1"/>
  <c r="AR64" i="117" s="1"/>
  <c r="AR65" i="117" a="1"/>
  <c r="AR65" i="117" s="1"/>
  <c r="AA66" i="117"/>
  <c r="T68" i="117"/>
  <c r="AK72" i="117" a="1"/>
  <c r="AK72" i="117" s="1"/>
  <c r="AH73" i="117"/>
  <c r="AR76" i="117" a="1"/>
  <c r="AR76" i="117" s="1"/>
  <c r="Y76" i="117"/>
  <c r="AK77" i="117" a="1"/>
  <c r="AK77" i="117" s="1"/>
  <c r="AF77" i="117"/>
  <c r="AR79" i="117" a="1"/>
  <c r="AR79" i="117" s="1"/>
  <c r="AK79" i="117" a="1"/>
  <c r="AK79" i="117" s="1"/>
  <c r="T82" i="117"/>
  <c r="AJ82" i="117"/>
  <c r="AH90" i="117"/>
  <c r="O92" i="117"/>
  <c r="AK94" i="117" a="1"/>
  <c r="AK94" i="117" s="1"/>
  <c r="AR94" i="117" a="1"/>
  <c r="AR94" i="117" s="1"/>
  <c r="AR101" i="117" a="1"/>
  <c r="AR101" i="117" s="1"/>
  <c r="R102" i="117"/>
  <c r="AO102" i="117"/>
  <c r="AK111" i="117" a="1"/>
  <c r="AK111" i="117" s="1"/>
  <c r="AD111" i="117" a="1"/>
  <c r="AD111" i="117" s="1"/>
  <c r="AR111" i="117" a="1"/>
  <c r="AR111" i="117" s="1"/>
  <c r="AQ114" i="117"/>
  <c r="O142" i="117"/>
  <c r="V16" i="117"/>
  <c r="AM16" i="117"/>
  <c r="R27" i="117"/>
  <c r="AR30" i="117" a="1"/>
  <c r="AR30" i="117" s="1"/>
  <c r="AA37" i="117"/>
  <c r="AQ37" i="117"/>
  <c r="V38" i="117"/>
  <c r="AK39" i="117" a="1"/>
  <c r="AK39" i="117" s="1"/>
  <c r="AR46" i="117" a="1"/>
  <c r="AR46" i="117" s="1"/>
  <c r="O48" i="117"/>
  <c r="AF49" i="117"/>
  <c r="Y49" i="117"/>
  <c r="O50" i="117"/>
  <c r="AR53" i="117" a="1"/>
  <c r="AR53" i="117" s="1"/>
  <c r="AR57" i="117" a="1"/>
  <c r="AR57" i="117" s="1"/>
  <c r="R60" i="117"/>
  <c r="O62" i="117"/>
  <c r="AR67" i="117" a="1"/>
  <c r="AR67" i="117" s="1"/>
  <c r="AD70" i="117" a="1"/>
  <c r="AD70" i="117" s="1"/>
  <c r="AK82" i="117" a="1"/>
  <c r="AK82" i="117" s="1"/>
  <c r="AD83" i="117" a="1"/>
  <c r="AD83" i="117" s="1"/>
  <c r="AH84" i="117"/>
  <c r="N89" i="117"/>
  <c r="AO89" i="117" s="1"/>
  <c r="AR109" i="117" a="1"/>
  <c r="AR109" i="117" s="1"/>
  <c r="R121" i="117"/>
  <c r="AQ121" i="117"/>
  <c r="AR121" i="117" a="1"/>
  <c r="AR121" i="117" s="1"/>
  <c r="AK128" i="117" a="1"/>
  <c r="AK128" i="117" s="1"/>
  <c r="AM25" i="117"/>
  <c r="AC37" i="117"/>
  <c r="Y38" i="117"/>
  <c r="N41" i="117"/>
  <c r="AC41" i="117" s="1"/>
  <c r="AR42" i="117" a="1"/>
  <c r="AR42" i="117" s="1"/>
  <c r="R44" i="117"/>
  <c r="N46" i="117"/>
  <c r="AA46" i="117" s="1"/>
  <c r="AD46" i="117" a="1"/>
  <c r="AD46" i="117" s="1"/>
  <c r="AR47" i="117" a="1"/>
  <c r="AR47" i="117" s="1"/>
  <c r="AA49" i="117"/>
  <c r="AQ49" i="117"/>
  <c r="AK52" i="117" a="1"/>
  <c r="AK52" i="117" s="1"/>
  <c r="AA53" i="117"/>
  <c r="AH54" i="117"/>
  <c r="AJ59" i="117"/>
  <c r="T60" i="117"/>
  <c r="AF62" i="117"/>
  <c r="AA65" i="117"/>
  <c r="C66" i="117"/>
  <c r="R69" i="117"/>
  <c r="O78" i="117"/>
  <c r="T102" i="117"/>
  <c r="O103" i="117"/>
  <c r="AD106" i="117" a="1"/>
  <c r="AD106" i="117" s="1"/>
  <c r="AR106" i="117" a="1"/>
  <c r="AR106" i="117" s="1"/>
  <c r="O114" i="117"/>
  <c r="AR132" i="117" a="1"/>
  <c r="AR132" i="117" s="1"/>
  <c r="AO140" i="117"/>
  <c r="AM59" i="117"/>
  <c r="Y65" i="117"/>
  <c r="AF66" i="117"/>
  <c r="T69" i="117"/>
  <c r="T73" i="117"/>
  <c r="AM73" i="117"/>
  <c r="C82" i="117"/>
  <c r="AK84" i="117" a="1"/>
  <c r="AK84" i="117" s="1"/>
  <c r="AK87" i="117" a="1"/>
  <c r="AK87" i="117" s="1"/>
  <c r="C92" i="117"/>
  <c r="O93" i="117"/>
  <c r="AR97" i="117" a="1"/>
  <c r="AR97" i="117" s="1"/>
  <c r="O100" i="117"/>
  <c r="AR102" i="117" a="1"/>
  <c r="AR102" i="117" s="1"/>
  <c r="V102" i="117"/>
  <c r="C123" i="117"/>
  <c r="N123" i="117"/>
  <c r="V123" i="117" s="1"/>
  <c r="AD125" i="117" a="1"/>
  <c r="AD125" i="117" s="1"/>
  <c r="AJ130" i="117"/>
  <c r="T130" i="117"/>
  <c r="AA130" i="117"/>
  <c r="AQ139" i="117"/>
  <c r="R141" i="117"/>
  <c r="C59" i="117"/>
  <c r="AR60" i="117" a="1"/>
  <c r="AR60" i="117" s="1"/>
  <c r="AR61" i="117" a="1"/>
  <c r="AR61" i="117" s="1"/>
  <c r="Y82" i="117"/>
  <c r="AR96" i="117" a="1"/>
  <c r="AR96" i="117" s="1"/>
  <c r="C102" i="117"/>
  <c r="Y102" i="117"/>
  <c r="AR105" i="117" a="1"/>
  <c r="AR105" i="117" s="1"/>
  <c r="AK105" i="117" a="1"/>
  <c r="AK105" i="117" s="1"/>
  <c r="AA118" i="117"/>
  <c r="V118" i="117"/>
  <c r="AD138" i="117" a="1"/>
  <c r="AD138" i="117" s="1"/>
  <c r="R136" i="117"/>
  <c r="AM148" i="117"/>
  <c r="C150" i="117"/>
  <c r="N150" i="117"/>
  <c r="AO150" i="117" s="1"/>
  <c r="AO165" i="117"/>
  <c r="O168" i="117"/>
  <c r="O180" i="117"/>
  <c r="AK204" i="117" a="1"/>
  <c r="AK204" i="117" s="1"/>
  <c r="O98" i="117"/>
  <c r="AF102" i="117"/>
  <c r="O105" i="117"/>
  <c r="AM107" i="117"/>
  <c r="R110" i="117"/>
  <c r="AR115" i="117" a="1"/>
  <c r="AR115" i="117" s="1"/>
  <c r="T118" i="117"/>
  <c r="AD119" i="117" a="1"/>
  <c r="AD119" i="117" s="1"/>
  <c r="AF121" i="117"/>
  <c r="AH124" i="117"/>
  <c r="T125" i="117"/>
  <c r="AQ125" i="117"/>
  <c r="AK127" i="117" a="1"/>
  <c r="AK127" i="117" s="1"/>
  <c r="Y130" i="117"/>
  <c r="T136" i="117"/>
  <c r="R145" i="117"/>
  <c r="AJ146" i="117"/>
  <c r="R147" i="117"/>
  <c r="T148" i="117"/>
  <c r="AR154" i="117" a="1"/>
  <c r="AR154" i="117" s="1"/>
  <c r="AJ157" i="117"/>
  <c r="R163" i="117"/>
  <c r="O163" i="117"/>
  <c r="AQ165" i="117"/>
  <c r="AD189" i="117" a="1"/>
  <c r="AD189" i="117" s="1"/>
  <c r="N191" i="117"/>
  <c r="AF191" i="117" s="1"/>
  <c r="C191" i="117"/>
  <c r="C194" i="117"/>
  <c r="AQ147" i="117"/>
  <c r="N154" i="117"/>
  <c r="AO154" i="117" s="1"/>
  <c r="C154" i="117"/>
  <c r="AR186" i="117" a="1"/>
  <c r="AR186" i="117" s="1"/>
  <c r="AK186" i="117" a="1"/>
  <c r="AK186" i="117" s="1"/>
  <c r="Y194" i="117"/>
  <c r="V110" i="117"/>
  <c r="AO110" i="117"/>
  <c r="AR118" i="117" a="1"/>
  <c r="AR118" i="117" s="1"/>
  <c r="AJ121" i="117"/>
  <c r="AJ126" i="117"/>
  <c r="Y136" i="117"/>
  <c r="AJ139" i="117"/>
  <c r="AR143" i="117" a="1"/>
  <c r="AR143" i="117" s="1"/>
  <c r="AO145" i="117"/>
  <c r="AM146" i="117"/>
  <c r="T147" i="117"/>
  <c r="AK148" i="117" a="1"/>
  <c r="AK148" i="117" s="1"/>
  <c r="Y148" i="117"/>
  <c r="AR148" i="117" a="1"/>
  <c r="AR148" i="117" s="1"/>
  <c r="O153" i="117"/>
  <c r="AD154" i="117" a="1"/>
  <c r="AD154" i="117" s="1"/>
  <c r="AK162" i="117" a="1"/>
  <c r="AK162" i="117" s="1"/>
  <c r="AM163" i="117"/>
  <c r="C118" i="117"/>
  <c r="Y118" i="117"/>
  <c r="C134" i="117"/>
  <c r="C136" i="117"/>
  <c r="AA136" i="117"/>
  <c r="AF140" i="117"/>
  <c r="AK141" i="117" a="1"/>
  <c r="AK141" i="117" s="1"/>
  <c r="AK144" i="117" a="1"/>
  <c r="AK144" i="117" s="1"/>
  <c r="N153" i="117"/>
  <c r="AA153" i="117" s="1"/>
  <c r="AR155" i="117" a="1"/>
  <c r="AR155" i="117" s="1"/>
  <c r="T157" i="117"/>
  <c r="Y163" i="117"/>
  <c r="AK164" i="117" a="1"/>
  <c r="AK164" i="117" s="1"/>
  <c r="N169" i="117"/>
  <c r="AJ169" i="117" s="1"/>
  <c r="O176" i="117"/>
  <c r="AD184" i="117" a="1"/>
  <c r="AD184" i="117" s="1"/>
  <c r="AK184" i="117" a="1"/>
  <c r="AK184" i="117" s="1"/>
  <c r="AD186" i="117" a="1"/>
  <c r="AD186" i="117" s="1"/>
  <c r="N207" i="117"/>
  <c r="R207" i="117" s="1"/>
  <c r="AR216" i="117" a="1"/>
  <c r="AR216" i="117" s="1"/>
  <c r="AD216" i="117" a="1"/>
  <c r="AD216" i="117" s="1"/>
  <c r="AO121" i="117"/>
  <c r="AA139" i="117"/>
  <c r="AM139" i="117"/>
  <c r="AH140" i="117"/>
  <c r="AO146" i="117"/>
  <c r="Y147" i="117"/>
  <c r="AK156" i="117" a="1"/>
  <c r="AK156" i="117" s="1"/>
  <c r="AR156" i="117" a="1"/>
  <c r="AR156" i="117" s="1"/>
  <c r="AQ157" i="117"/>
  <c r="AR159" i="117" a="1"/>
  <c r="AR159" i="117" s="1"/>
  <c r="AO163" i="117"/>
  <c r="AR199" i="117" a="1"/>
  <c r="AR199" i="117" s="1"/>
  <c r="AD199" i="117" a="1"/>
  <c r="AD199" i="117" s="1"/>
  <c r="AK199" i="117" a="1"/>
  <c r="AK199" i="117" s="1"/>
  <c r="AK206" i="117" a="1"/>
  <c r="AK206" i="117" s="1"/>
  <c r="AM136" i="117"/>
  <c r="AO139" i="117"/>
  <c r="R140" i="117"/>
  <c r="O140" i="117"/>
  <c r="O144" i="117"/>
  <c r="AR145" i="117" a="1"/>
  <c r="AR145" i="117" s="1"/>
  <c r="C146" i="117"/>
  <c r="Y146" i="117"/>
  <c r="AQ146" i="117"/>
  <c r="Y152" i="117"/>
  <c r="AD155" i="117" a="1"/>
  <c r="AD155" i="117" s="1"/>
  <c r="AK157" i="117" a="1"/>
  <c r="AK157" i="117" s="1"/>
  <c r="Y157" i="117"/>
  <c r="AJ159" i="117"/>
  <c r="AQ163" i="117"/>
  <c r="N171" i="117"/>
  <c r="V171" i="117" s="1"/>
  <c r="AR183" i="117" a="1"/>
  <c r="AR183" i="117" s="1"/>
  <c r="AK183" i="117" a="1"/>
  <c r="AK183" i="117" s="1"/>
  <c r="O184" i="117"/>
  <c r="AK201" i="117" a="1"/>
  <c r="AK201" i="117" s="1"/>
  <c r="AQ203" i="117"/>
  <c r="AR203" i="117" a="1"/>
  <c r="AR203" i="117" s="1"/>
  <c r="O203" i="117"/>
  <c r="R208" i="117"/>
  <c r="AK100" i="117" a="1"/>
  <c r="AK100" i="117" s="1"/>
  <c r="O118" i="117"/>
  <c r="T121" i="117"/>
  <c r="R130" i="117"/>
  <c r="AF130" i="117"/>
  <c r="AK131" i="117" a="1"/>
  <c r="AK131" i="117" s="1"/>
  <c r="AK132" i="117" a="1"/>
  <c r="AK132" i="117" s="1"/>
  <c r="T140" i="117"/>
  <c r="AA146" i="117"/>
  <c r="AR147" i="117" a="1"/>
  <c r="AR147" i="117" s="1"/>
  <c r="O147" i="117"/>
  <c r="C157" i="117"/>
  <c r="AF165" i="117"/>
  <c r="AK170" i="117" a="1"/>
  <c r="AK170" i="117" s="1"/>
  <c r="O174" i="117"/>
  <c r="AR179" i="117" a="1"/>
  <c r="AR179" i="117" s="1"/>
  <c r="AK179" i="117" a="1"/>
  <c r="AK179" i="117" s="1"/>
  <c r="O199" i="117"/>
  <c r="AA157" i="117"/>
  <c r="AR161" i="117" a="1"/>
  <c r="AR161" i="117" s="1"/>
  <c r="AD161" i="117" a="1"/>
  <c r="AD161" i="117" s="1"/>
  <c r="N179" i="117"/>
  <c r="AC179" i="117" s="1"/>
  <c r="C179" i="117"/>
  <c r="O198" i="117"/>
  <c r="AD214" i="117" a="1"/>
  <c r="AD214" i="117" s="1"/>
  <c r="AR214" i="117" a="1"/>
  <c r="AR214" i="117" s="1"/>
  <c r="AK214" i="117" a="1"/>
  <c r="AK214" i="117" s="1"/>
  <c r="AM115" i="117"/>
  <c r="AK120" i="117" a="1"/>
  <c r="AK120" i="117" s="1"/>
  <c r="AD120" i="117" a="1"/>
  <c r="AD120" i="117" s="1"/>
  <c r="Y121" i="117"/>
  <c r="AR122" i="117" a="1"/>
  <c r="AR122" i="117" s="1"/>
  <c r="AQ132" i="117"/>
  <c r="AC134" i="117"/>
  <c r="AQ136" i="117"/>
  <c r="R139" i="117"/>
  <c r="AF145" i="117"/>
  <c r="AC146" i="117"/>
  <c r="AF148" i="117"/>
  <c r="N151" i="117"/>
  <c r="AJ151" i="117" s="1"/>
  <c r="O157" i="117"/>
  <c r="AR160" i="117" a="1"/>
  <c r="AR160" i="117" s="1"/>
  <c r="AJ165" i="117"/>
  <c r="AK169" i="117" a="1"/>
  <c r="AK169" i="117" s="1"/>
  <c r="N173" i="117"/>
  <c r="AF173" i="117" s="1"/>
  <c r="AR181" i="117" a="1"/>
  <c r="AR181" i="117" s="1"/>
  <c r="AK181" i="117" a="1"/>
  <c r="AK181" i="117" s="1"/>
  <c r="C213" i="117"/>
  <c r="N213" i="117"/>
  <c r="AF114" i="117"/>
  <c r="AK121" i="117" a="1"/>
  <c r="AK121" i="117" s="1"/>
  <c r="AA121" i="117"/>
  <c r="AK123" i="117" a="1"/>
  <c r="AK123" i="117" s="1"/>
  <c r="AD131" i="117" a="1"/>
  <c r="AD131" i="117" s="1"/>
  <c r="AQ134" i="117"/>
  <c r="AK137" i="117" a="1"/>
  <c r="AK137" i="117" s="1"/>
  <c r="AD141" i="117" a="1"/>
  <c r="AD141" i="117" s="1"/>
  <c r="N144" i="117"/>
  <c r="V144" i="117" s="1"/>
  <c r="AH148" i="117"/>
  <c r="N149" i="117"/>
  <c r="AO149" i="117" s="1"/>
  <c r="AR149" i="117" a="1"/>
  <c r="AR149" i="117" s="1"/>
  <c r="AC152" i="117"/>
  <c r="AD159" i="117" a="1"/>
  <c r="AD159" i="117" s="1"/>
  <c r="T165" i="117"/>
  <c r="AM165" i="117"/>
  <c r="N167" i="117"/>
  <c r="AH167" i="117" s="1"/>
  <c r="AR169" i="117" a="1"/>
  <c r="AR169" i="117" s="1"/>
  <c r="O178" i="117"/>
  <c r="AR180" i="117" a="1"/>
  <c r="AR180" i="117" s="1"/>
  <c r="AK180" i="117" a="1"/>
  <c r="AK180" i="117" s="1"/>
  <c r="O181" i="117"/>
  <c r="AD213" i="117" a="1"/>
  <c r="AD213" i="117" s="1"/>
  <c r="O161" i="117"/>
  <c r="C208" i="117"/>
  <c r="O215" i="117"/>
  <c r="N218" i="117"/>
  <c r="V218" i="117" s="1"/>
  <c r="Y220" i="117"/>
  <c r="N222" i="117"/>
  <c r="AH222" i="117" s="1"/>
  <c r="AR224" i="117" a="1"/>
  <c r="AR224" i="117" s="1"/>
  <c r="AO242" i="117"/>
  <c r="Y242" i="117"/>
  <c r="AJ275" i="117"/>
  <c r="O218" i="117"/>
  <c r="C258" i="117"/>
  <c r="N258" i="117"/>
  <c r="AJ258" i="117" s="1"/>
  <c r="C271" i="117"/>
  <c r="N271" i="117"/>
  <c r="AH271" i="117" s="1"/>
  <c r="AM275" i="117"/>
  <c r="R275" i="117"/>
  <c r="AH165" i="117"/>
  <c r="AR202" i="117" a="1"/>
  <c r="AR202" i="117" s="1"/>
  <c r="O216" i="117"/>
  <c r="AK222" i="117" a="1"/>
  <c r="AK222" i="117" s="1"/>
  <c r="AR232" i="117" a="1"/>
  <c r="AR232" i="117" s="1"/>
  <c r="AO265" i="117"/>
  <c r="AK272" i="117" a="1"/>
  <c r="AK272" i="117" s="1"/>
  <c r="AO275" i="117"/>
  <c r="AK278" i="117" a="1"/>
  <c r="AK278" i="117" s="1"/>
  <c r="AD278" i="117" a="1"/>
  <c r="AD278" i="117" s="1"/>
  <c r="AR278" i="117" a="1"/>
  <c r="AR278" i="117" s="1"/>
  <c r="AK207" i="117" a="1"/>
  <c r="AK207" i="117" s="1"/>
  <c r="AF208" i="117"/>
  <c r="AH215" i="117"/>
  <c r="O227" i="117"/>
  <c r="AK231" i="117" a="1"/>
  <c r="AK231" i="117" s="1"/>
  <c r="Y266" i="117"/>
  <c r="AD289" i="117" a="1"/>
  <c r="AD289" i="117" s="1"/>
  <c r="AK289" i="117" a="1"/>
  <c r="AK289" i="117" s="1"/>
  <c r="O295" i="117"/>
  <c r="AM152" i="117"/>
  <c r="O160" i="117"/>
  <c r="O164" i="117"/>
  <c r="AK165" i="117" a="1"/>
  <c r="AK165" i="117" s="1"/>
  <c r="O177" i="117"/>
  <c r="AK193" i="117" a="1"/>
  <c r="AK193" i="117" s="1"/>
  <c r="R204" i="117"/>
  <c r="AM204" i="117"/>
  <c r="R220" i="117"/>
  <c r="N229" i="117"/>
  <c r="Y229" i="117" s="1"/>
  <c r="AK230" i="117" a="1"/>
  <c r="AK230" i="117" s="1"/>
  <c r="AD230" i="117" a="1"/>
  <c r="AD230" i="117" s="1"/>
  <c r="AC234" i="117"/>
  <c r="AR240" i="117" a="1"/>
  <c r="AR240" i="117" s="1"/>
  <c r="O242" i="117"/>
  <c r="AR249" i="117" a="1"/>
  <c r="AR249" i="117" s="1"/>
  <c r="AK266" i="117" a="1"/>
  <c r="AK266" i="117" s="1"/>
  <c r="AR272" i="117" a="1"/>
  <c r="AR272" i="117" s="1"/>
  <c r="T275" i="117"/>
  <c r="AJ208" i="117"/>
  <c r="AR212" i="117" a="1"/>
  <c r="AR212" i="117" s="1"/>
  <c r="AH220" i="117"/>
  <c r="AD225" i="117" a="1"/>
  <c r="AD225" i="117" s="1"/>
  <c r="AQ230" i="117"/>
  <c r="AR230" i="117" a="1"/>
  <c r="AR230" i="117" s="1"/>
  <c r="R234" i="117"/>
  <c r="AM236" i="117"/>
  <c r="AQ236" i="117"/>
  <c r="R237" i="117"/>
  <c r="N238" i="117"/>
  <c r="AC238" i="117" s="1"/>
  <c r="AA243" i="117"/>
  <c r="N246" i="117"/>
  <c r="AQ246" i="117" s="1"/>
  <c r="C246" i="117"/>
  <c r="AR247" i="117" a="1"/>
  <c r="AR247" i="117" s="1"/>
  <c r="AD251" i="117" a="1"/>
  <c r="AD251" i="117" s="1"/>
  <c r="AJ259" i="117"/>
  <c r="Y274" i="117"/>
  <c r="N282" i="117"/>
  <c r="T282" i="117" s="1"/>
  <c r="C227" i="117"/>
  <c r="N227" i="117"/>
  <c r="AM227" i="117" s="1"/>
  <c r="C241" i="117"/>
  <c r="N241" i="117"/>
  <c r="AH241" i="117" s="1"/>
  <c r="AD256" i="117" a="1"/>
  <c r="AD256" i="117" s="1"/>
  <c r="AM259" i="117"/>
  <c r="Y265" i="117"/>
  <c r="AR188" i="117" a="1"/>
  <c r="AR188" i="117" s="1"/>
  <c r="O207" i="117"/>
  <c r="T208" i="117"/>
  <c r="AA210" i="117"/>
  <c r="AC212" i="117"/>
  <c r="T220" i="117"/>
  <c r="T234" i="117"/>
  <c r="AH234" i="117"/>
  <c r="T237" i="117"/>
  <c r="N239" i="117"/>
  <c r="AC239" i="117" s="1"/>
  <c r="T242" i="117"/>
  <c r="AK242" i="117" a="1"/>
  <c r="AK242" i="117" s="1"/>
  <c r="T259" i="117"/>
  <c r="AD261" i="117" a="1"/>
  <c r="AD261" i="117" s="1"/>
  <c r="AK261" i="117" a="1"/>
  <c r="AK261" i="117" s="1"/>
  <c r="AR263" i="117" a="1"/>
  <c r="AR263" i="117" s="1"/>
  <c r="O264" i="117"/>
  <c r="AA265" i="117"/>
  <c r="O266" i="117"/>
  <c r="N272" i="117"/>
  <c r="AF272" i="117" s="1"/>
  <c r="AD274" i="117" a="1"/>
  <c r="AD274" i="117" s="1"/>
  <c r="AK274" i="117" a="1"/>
  <c r="AK274" i="117" s="1"/>
  <c r="AA275" i="117"/>
  <c r="C297" i="117"/>
  <c r="N297" i="117"/>
  <c r="AJ297" i="117" s="1"/>
  <c r="N268" i="117"/>
  <c r="AO268" i="117" s="1"/>
  <c r="C268" i="117"/>
  <c r="AQ274" i="117"/>
  <c r="AM274" i="117"/>
  <c r="V274" i="117"/>
  <c r="AK295" i="117" a="1"/>
  <c r="AK295" i="117" s="1"/>
  <c r="V220" i="117"/>
  <c r="AO223" i="117"/>
  <c r="O230" i="117"/>
  <c r="O231" i="117"/>
  <c r="AK232" i="117" a="1"/>
  <c r="AK232" i="117" s="1"/>
  <c r="AK234" i="117" a="1"/>
  <c r="AK234" i="117" s="1"/>
  <c r="O240" i="117"/>
  <c r="V242" i="117"/>
  <c r="AH243" i="117"/>
  <c r="AD247" i="117" a="1"/>
  <c r="AD247" i="117" s="1"/>
  <c r="Y259" i="117"/>
  <c r="C262" i="117"/>
  <c r="N262" i="117"/>
  <c r="AO262" i="117" s="1"/>
  <c r="O267" i="117"/>
  <c r="AF275" i="117"/>
  <c r="AD294" i="117" a="1"/>
  <c r="AD294" i="117" s="1"/>
  <c r="AK294" i="117" a="1"/>
  <c r="AK294" i="117" s="1"/>
  <c r="AK220" i="117" a="1"/>
  <c r="AK220" i="117" s="1"/>
  <c r="AO220" i="117"/>
  <c r="O243" i="117"/>
  <c r="AJ243" i="117"/>
  <c r="O249" i="117"/>
  <c r="AK251" i="117" a="1"/>
  <c r="AK251" i="117" s="1"/>
  <c r="AH275" i="117"/>
  <c r="V305" i="117"/>
  <c r="AM305" i="117"/>
  <c r="Y305" i="117"/>
  <c r="R274" i="117"/>
  <c r="Y275" i="117"/>
  <c r="AR284" i="117" a="1"/>
  <c r="AR284" i="117" s="1"/>
  <c r="N289" i="117"/>
  <c r="AC289" i="117" s="1"/>
  <c r="T291" i="117"/>
  <c r="AJ308" i="117"/>
  <c r="AH308" i="117"/>
  <c r="AM313" i="117"/>
  <c r="T274" i="117"/>
  <c r="AQ275" i="117"/>
  <c r="AR280" i="117" a="1"/>
  <c r="AR280" i="117" s="1"/>
  <c r="AO291" i="117"/>
  <c r="T292" i="117"/>
  <c r="AM292" i="117"/>
  <c r="R298" i="117"/>
  <c r="O308" i="117"/>
  <c r="O317" i="117"/>
  <c r="AC242" i="117"/>
  <c r="AH248" i="117"/>
  <c r="O248" i="117"/>
  <c r="AR257" i="117" a="1"/>
  <c r="AR257" i="117" s="1"/>
  <c r="AR276" i="117" a="1"/>
  <c r="AR276" i="117" s="1"/>
  <c r="T278" i="117"/>
  <c r="AD290" i="117" a="1"/>
  <c r="AD290" i="117" s="1"/>
  <c r="AD297" i="117" a="1"/>
  <c r="AD297" i="117" s="1"/>
  <c r="T298" i="117"/>
  <c r="R299" i="117"/>
  <c r="AM300" i="117"/>
  <c r="AA305" i="117"/>
  <c r="AR326" i="117" a="1"/>
  <c r="AR326" i="117" s="1"/>
  <c r="AO257" i="117"/>
  <c r="Y257" i="117"/>
  <c r="R259" i="117"/>
  <c r="AH259" i="117"/>
  <c r="R264" i="117"/>
  <c r="AJ264" i="117"/>
  <c r="AF265" i="117"/>
  <c r="O268" i="117"/>
  <c r="AR269" i="117" a="1"/>
  <c r="AR269" i="117" s="1"/>
  <c r="AF270" i="117"/>
  <c r="C276" i="117"/>
  <c r="C281" i="117"/>
  <c r="AK282" i="117" a="1"/>
  <c r="AK282" i="117" s="1"/>
  <c r="AD284" i="117" a="1"/>
  <c r="AD284" i="117" s="1"/>
  <c r="C285" i="117"/>
  <c r="AM286" i="117"/>
  <c r="AK287" i="117" a="1"/>
  <c r="AK287" i="117" s="1"/>
  <c r="T299" i="117"/>
  <c r="N304" i="117"/>
  <c r="AJ304" i="117" s="1"/>
  <c r="O305" i="117"/>
  <c r="Y306" i="117"/>
  <c r="R308" i="117"/>
  <c r="AO311" i="117"/>
  <c r="O312" i="117"/>
  <c r="V313" i="117"/>
  <c r="AC331" i="117"/>
  <c r="AA291" i="117"/>
  <c r="C292" i="117"/>
  <c r="AF305" i="117"/>
  <c r="C306" i="117"/>
  <c r="AK313" i="117" a="1"/>
  <c r="AK313" i="117" s="1"/>
  <c r="Y313" i="117"/>
  <c r="AQ313" i="117"/>
  <c r="AH292" i="117"/>
  <c r="Y292" i="117"/>
  <c r="O300" i="117"/>
  <c r="AO306" i="117"/>
  <c r="C307" i="117"/>
  <c r="AK312" i="117" a="1"/>
  <c r="AK312" i="117" s="1"/>
  <c r="C313" i="117"/>
  <c r="AH305" i="117"/>
  <c r="AO307" i="117"/>
  <c r="AJ270" i="117"/>
  <c r="AO270" i="117"/>
  <c r="AD277" i="117" a="1"/>
  <c r="AD277" i="117" s="1"/>
  <c r="O281" i="117"/>
  <c r="AH296" i="117"/>
  <c r="AQ298" i="117"/>
  <c r="AJ305" i="117"/>
  <c r="AA311" i="117"/>
  <c r="AC313" i="117"/>
  <c r="AR316" i="117" a="1"/>
  <c r="AR316" i="117" s="1"/>
  <c r="AK318" i="117" a="1"/>
  <c r="AK318" i="117" s="1"/>
  <c r="AK319" i="117" a="1"/>
  <c r="AK319" i="117" s="1"/>
  <c r="AK320" i="117" a="1"/>
  <c r="AK320" i="117" s="1"/>
  <c r="AR320" i="117" a="1"/>
  <c r="AR320" i="117" s="1"/>
  <c r="R329" i="117"/>
  <c r="O329" i="117"/>
  <c r="O234" i="117"/>
  <c r="AQ234" i="117"/>
  <c r="AQ259" i="117"/>
  <c r="AA261" i="117"/>
  <c r="AR264" i="117" a="1"/>
  <c r="AR264" i="117" s="1"/>
  <c r="T265" i="117"/>
  <c r="O274" i="117"/>
  <c r="O278" i="117"/>
  <c r="AK279" i="117" a="1"/>
  <c r="AK279" i="117" s="1"/>
  <c r="O284" i="117"/>
  <c r="AK290" i="117" a="1"/>
  <c r="AK290" i="117" s="1"/>
  <c r="AF292" i="117"/>
  <c r="AC299" i="117"/>
  <c r="C300" i="117"/>
  <c r="AR303" i="117" a="1"/>
  <c r="AR303" i="117" s="1"/>
  <c r="R305" i="117"/>
  <c r="AD311" i="117" a="1"/>
  <c r="AD311" i="117" s="1"/>
  <c r="AF313" i="117"/>
  <c r="AK321" i="117" a="1"/>
  <c r="AK321" i="117" s="1"/>
  <c r="AK322" i="117" a="1"/>
  <c r="AK322" i="117" s="1"/>
  <c r="AM329" i="117"/>
  <c r="AF274" i="117"/>
  <c r="AR294" i="117" a="1"/>
  <c r="AR294" i="117" s="1"/>
  <c r="R296" i="117"/>
  <c r="AC298" i="117"/>
  <c r="AJ300" i="117"/>
  <c r="AA300" i="117"/>
  <c r="T305" i="117"/>
  <c r="AF311" i="117"/>
  <c r="AH313" i="117"/>
  <c r="AD318" i="117" a="1"/>
  <c r="AD318" i="117" s="1"/>
  <c r="AD319" i="117" a="1"/>
  <c r="AD319" i="117" s="1"/>
  <c r="O325" i="117"/>
  <c r="T329" i="117"/>
  <c r="V329" i="117"/>
  <c r="R292" i="117"/>
  <c r="AD301" i="117" a="1"/>
  <c r="AD301" i="117" s="1"/>
  <c r="R313" i="117"/>
  <c r="AJ20" i="117"/>
  <c r="C25" i="117"/>
  <c r="Y25" i="117"/>
  <c r="O28" i="117"/>
  <c r="C30" i="117"/>
  <c r="N30" i="117"/>
  <c r="AA30" i="117" s="1"/>
  <c r="AF31" i="117"/>
  <c r="AR11" i="117" a="1"/>
  <c r="AR11" i="117" s="1"/>
  <c r="W11" i="117" a="1"/>
  <c r="W11" i="117" s="1"/>
  <c r="C12" i="117"/>
  <c r="N12" i="117"/>
  <c r="AQ12" i="117" s="1"/>
  <c r="AR14" i="117" a="1"/>
  <c r="AR14" i="117" s="1"/>
  <c r="AR5" i="117" a="1"/>
  <c r="AR5" i="117" s="1"/>
  <c r="N7" i="117"/>
  <c r="V7" i="117" s="1"/>
  <c r="W12" i="117" a="1"/>
  <c r="W12" i="117" s="1"/>
  <c r="C13" i="117"/>
  <c r="P13" i="117"/>
  <c r="V13" i="117"/>
  <c r="AR15" i="117" a="1"/>
  <c r="AR15" i="117" s="1"/>
  <c r="C18" i="117"/>
  <c r="N18" i="117"/>
  <c r="AM18" i="117" s="1"/>
  <c r="AA27" i="117"/>
  <c r="AJ44" i="117"/>
  <c r="AQ44" i="117"/>
  <c r="AM44" i="117"/>
  <c r="Y44" i="117"/>
  <c r="AO44" i="117"/>
  <c r="AH13" i="117"/>
  <c r="AK16" i="117" a="1"/>
  <c r="AK16" i="117" s="1"/>
  <c r="W18" i="117" a="1"/>
  <c r="W18" i="117" s="1"/>
  <c r="AK18" i="117" a="1"/>
  <c r="AK18" i="117" s="1"/>
  <c r="AM20" i="117"/>
  <c r="O26" i="117"/>
  <c r="AQ27" i="117"/>
  <c r="AH31" i="117"/>
  <c r="C6" i="117"/>
  <c r="N6" i="117"/>
  <c r="P14" i="117"/>
  <c r="W14" i="117" a="1"/>
  <c r="W14" i="117" s="1"/>
  <c r="V14" i="117"/>
  <c r="N15" i="117"/>
  <c r="AJ15" i="117" s="1"/>
  <c r="C15" i="117"/>
  <c r="N10" i="117"/>
  <c r="AC10" i="117" s="1"/>
  <c r="AK11" i="117" a="1"/>
  <c r="AK11" i="117" s="1"/>
  <c r="N5" i="117"/>
  <c r="V5" i="117" s="1"/>
  <c r="N11" i="117"/>
  <c r="AC11" i="117" s="1"/>
  <c r="AJ13" i="117"/>
  <c r="W16" i="117" a="1"/>
  <c r="W16" i="117" s="1"/>
  <c r="AO20" i="117"/>
  <c r="W24" i="117" a="1"/>
  <c r="W24" i="117" s="1"/>
  <c r="AO25" i="117"/>
  <c r="AK5" i="117" a="1"/>
  <c r="AK5" i="117" s="1"/>
  <c r="N9" i="117"/>
  <c r="AM9" i="117" s="1"/>
  <c r="C9" i="117"/>
  <c r="P10" i="117"/>
  <c r="O12" i="117"/>
  <c r="AC20" i="117"/>
  <c r="C24" i="117"/>
  <c r="N24" i="117"/>
  <c r="Y24" i="117" s="1"/>
  <c r="AQ20" i="117"/>
  <c r="AR22" i="117" a="1"/>
  <c r="AR22" i="117" s="1"/>
  <c r="AD27" i="117" a="1"/>
  <c r="AD27" i="117" s="1"/>
  <c r="AK27" i="117" a="1"/>
  <c r="AK27" i="117" s="1"/>
  <c r="AK31" i="117" a="1"/>
  <c r="AK31" i="117" s="1"/>
  <c r="AD31" i="117" a="1"/>
  <c r="AD31" i="117" s="1"/>
  <c r="Y31" i="117"/>
  <c r="AO31" i="117"/>
  <c r="W9" i="117" a="1"/>
  <c r="W9" i="117" s="1"/>
  <c r="AM14" i="117"/>
  <c r="AF20" i="117"/>
  <c r="AC27" i="117"/>
  <c r="T27" i="117"/>
  <c r="V27" i="117"/>
  <c r="AF44" i="117"/>
  <c r="P7" i="117"/>
  <c r="AD12" i="117" a="1"/>
  <c r="AD12" i="117" s="1"/>
  <c r="N17" i="117"/>
  <c r="AJ17" i="117" s="1"/>
  <c r="AD18" i="117" a="1"/>
  <c r="AD18" i="117" s="1"/>
  <c r="AR19" i="117" a="1"/>
  <c r="AR19" i="117" s="1"/>
  <c r="AD22" i="117" a="1"/>
  <c r="AD22" i="117" s="1"/>
  <c r="AK22" i="117" a="1"/>
  <c r="AK22" i="117" s="1"/>
  <c r="W23" i="117" a="1"/>
  <c r="W23" i="117" s="1"/>
  <c r="AF25" i="117"/>
  <c r="AJ27" i="117"/>
  <c r="AA31" i="117"/>
  <c r="R13" i="117"/>
  <c r="O14" i="117"/>
  <c r="AM27" i="117"/>
  <c r="O31" i="117"/>
  <c r="T44" i="117"/>
  <c r="AH44" i="117"/>
  <c r="O16" i="117"/>
  <c r="T20" i="117"/>
  <c r="N21" i="117"/>
  <c r="V21" i="117" s="1"/>
  <c r="C21" i="117"/>
  <c r="AH25" i="117"/>
  <c r="P9" i="117"/>
  <c r="W10" i="117" a="1"/>
  <c r="W10" i="117" s="1"/>
  <c r="AQ13" i="117"/>
  <c r="P16" i="117"/>
  <c r="AC16" i="117"/>
  <c r="P19" i="117"/>
  <c r="C20" i="117"/>
  <c r="P20" i="117"/>
  <c r="W20" i="117" a="1"/>
  <c r="W20" i="117" s="1"/>
  <c r="V20" i="117"/>
  <c r="P25" i="117"/>
  <c r="W25" i="117" a="1"/>
  <c r="W25" i="117" s="1"/>
  <c r="V25" i="117"/>
  <c r="W37" i="117" a="1"/>
  <c r="W37" i="117" s="1"/>
  <c r="AR51" i="117" a="1"/>
  <c r="AR51" i="117" s="1"/>
  <c r="AD53" i="117" a="1"/>
  <c r="AD53" i="117" s="1"/>
  <c r="AO53" i="117"/>
  <c r="AC54" i="117"/>
  <c r="AK56" i="117" a="1"/>
  <c r="AK56" i="117" s="1"/>
  <c r="C60" i="117"/>
  <c r="P60" i="117"/>
  <c r="W60" i="117" a="1"/>
  <c r="W60" i="117" s="1"/>
  <c r="V60" i="117"/>
  <c r="N61" i="117"/>
  <c r="AA61" i="117" s="1"/>
  <c r="C61" i="117"/>
  <c r="V62" i="117"/>
  <c r="AR66" i="117" a="1"/>
  <c r="AR66" i="117" s="1"/>
  <c r="AH76" i="117"/>
  <c r="R77" i="117"/>
  <c r="AJ80" i="117"/>
  <c r="AO80" i="117"/>
  <c r="V80" i="117"/>
  <c r="AA80" i="117"/>
  <c r="T83" i="117"/>
  <c r="AH92" i="117"/>
  <c r="O39" i="117"/>
  <c r="AR40" i="117" a="1"/>
  <c r="AR40" i="117" s="1"/>
  <c r="AK42" i="117" a="1"/>
  <c r="AK42" i="117" s="1"/>
  <c r="C43" i="117"/>
  <c r="AC43" i="117"/>
  <c r="AC44" i="117"/>
  <c r="W48" i="117" a="1"/>
  <c r="W48" i="117" s="1"/>
  <c r="W50" i="117" a="1"/>
  <c r="W50" i="117" s="1"/>
  <c r="AR52" i="117" a="1"/>
  <c r="AR52" i="117" s="1"/>
  <c r="AQ53" i="117"/>
  <c r="AD54" i="117" a="1"/>
  <c r="AD54" i="117" s="1"/>
  <c r="AC65" i="117"/>
  <c r="AQ65" i="117"/>
  <c r="AD68" i="117" a="1"/>
  <c r="AD68" i="117" s="1"/>
  <c r="AK68" i="117" a="1"/>
  <c r="AK68" i="117" s="1"/>
  <c r="AR33" i="117" a="1"/>
  <c r="AR33" i="117" s="1"/>
  <c r="C27" i="117"/>
  <c r="V31" i="117"/>
  <c r="P35" i="117"/>
  <c r="N36" i="117"/>
  <c r="AM36" i="117" s="1"/>
  <c r="O37" i="117"/>
  <c r="O38" i="117"/>
  <c r="AK41" i="117" a="1"/>
  <c r="AK41" i="117" s="1"/>
  <c r="AD43" i="117" a="1"/>
  <c r="AD43" i="117" s="1"/>
  <c r="W51" i="117" a="1"/>
  <c r="W51" i="117" s="1"/>
  <c r="C52" i="117"/>
  <c r="N52" i="117"/>
  <c r="AQ52" i="117" s="1"/>
  <c r="N57" i="117"/>
  <c r="AQ57" i="117" s="1"/>
  <c r="AK59" i="117" a="1"/>
  <c r="AK59" i="117" s="1"/>
  <c r="AJ60" i="117"/>
  <c r="AK61" i="117" a="1"/>
  <c r="AK61" i="117" s="1"/>
  <c r="O68" i="117"/>
  <c r="AJ68" i="117"/>
  <c r="AA73" i="117"/>
  <c r="AO83" i="117"/>
  <c r="Y98" i="117"/>
  <c r="AR28" i="117" a="1"/>
  <c r="AR28" i="117" s="1"/>
  <c r="W31" i="117" a="1"/>
  <c r="W31" i="117" s="1"/>
  <c r="AD32" i="117" a="1"/>
  <c r="AD32" i="117" s="1"/>
  <c r="AK33" i="117" a="1"/>
  <c r="AK33" i="117" s="1"/>
  <c r="AR34" i="117" a="1"/>
  <c r="AR34" i="117" s="1"/>
  <c r="P37" i="117"/>
  <c r="P38" i="117"/>
  <c r="AR38" i="117" a="1"/>
  <c r="AR38" i="117" s="1"/>
  <c r="AK40" i="117" a="1"/>
  <c r="AK40" i="117" s="1"/>
  <c r="V44" i="117"/>
  <c r="W45" i="117" a="1"/>
  <c r="W45" i="117" s="1"/>
  <c r="AR48" i="117" a="1"/>
  <c r="AR48" i="117" s="1"/>
  <c r="W52" i="117" a="1"/>
  <c r="W52" i="117" s="1"/>
  <c r="C53" i="117"/>
  <c r="P53" i="117"/>
  <c r="V53" i="117"/>
  <c r="AD55" i="117" a="1"/>
  <c r="AD55" i="117" s="1"/>
  <c r="O58" i="117"/>
  <c r="N67" i="117"/>
  <c r="AC67" i="117" s="1"/>
  <c r="C67" i="117"/>
  <c r="AQ83" i="117"/>
  <c r="AJ39" i="117"/>
  <c r="AH53" i="117"/>
  <c r="AR54" i="117" a="1"/>
  <c r="AR54" i="117" s="1"/>
  <c r="AM60" i="117"/>
  <c r="P66" i="117"/>
  <c r="W66" i="117" a="1"/>
  <c r="W66" i="117" s="1"/>
  <c r="V66" i="117"/>
  <c r="AD71" i="117" a="1"/>
  <c r="AD71" i="117" s="1"/>
  <c r="AK71" i="117" a="1"/>
  <c r="AK71" i="117" s="1"/>
  <c r="AM83" i="117"/>
  <c r="AA83" i="117"/>
  <c r="AJ83" i="117"/>
  <c r="AH83" i="117"/>
  <c r="Y83" i="117"/>
  <c r="AM98" i="117"/>
  <c r="AA98" i="117"/>
  <c r="AR36" i="117" a="1"/>
  <c r="AR36" i="117" s="1"/>
  <c r="AD41" i="117" a="1"/>
  <c r="AD41" i="117" s="1"/>
  <c r="N45" i="117"/>
  <c r="AR45" i="117" a="1"/>
  <c r="AR45" i="117" s="1"/>
  <c r="N50" i="117"/>
  <c r="AA50" i="117" s="1"/>
  <c r="AK51" i="117" a="1"/>
  <c r="AK51" i="117" s="1"/>
  <c r="C54" i="117"/>
  <c r="P54" i="117"/>
  <c r="V54" i="117"/>
  <c r="AD56" i="117" a="1"/>
  <c r="AD56" i="117" s="1"/>
  <c r="P65" i="117"/>
  <c r="V65" i="117"/>
  <c r="AH65" i="117"/>
  <c r="AC69" i="117"/>
  <c r="AJ69" i="117"/>
  <c r="AC77" i="117"/>
  <c r="W26" i="117" a="1"/>
  <c r="W26" i="117" s="1"/>
  <c r="W42" i="117" a="1"/>
  <c r="W42" i="117" s="1"/>
  <c r="AK48" i="117" a="1"/>
  <c r="AK48" i="117" s="1"/>
  <c r="C49" i="117"/>
  <c r="AO49" i="117"/>
  <c r="N51" i="117"/>
  <c r="V51" i="117" s="1"/>
  <c r="Y53" i="117"/>
  <c r="AJ53" i="117"/>
  <c r="AD58" i="117" a="1"/>
  <c r="AD58" i="117" s="1"/>
  <c r="AC60" i="117"/>
  <c r="AO60" i="117"/>
  <c r="C65" i="117"/>
  <c r="W65" i="117" a="1"/>
  <c r="W65" i="117" s="1"/>
  <c r="R80" i="117"/>
  <c r="AM80" i="117"/>
  <c r="AC83" i="117"/>
  <c r="AF98" i="117"/>
  <c r="T49" i="117"/>
  <c r="P50" i="117"/>
  <c r="O51" i="117"/>
  <c r="O52" i="117"/>
  <c r="N55" i="117"/>
  <c r="R55" i="117" s="1"/>
  <c r="C55" i="117"/>
  <c r="AJ65" i="117"/>
  <c r="AK66" i="117" a="1"/>
  <c r="AK66" i="117" s="1"/>
  <c r="R73" i="117"/>
  <c r="AJ73" i="117"/>
  <c r="AO76" i="117"/>
  <c r="AF76" i="117"/>
  <c r="V76" i="117"/>
  <c r="AA76" i="117"/>
  <c r="R76" i="117"/>
  <c r="AH77" i="117"/>
  <c r="Y77" i="117"/>
  <c r="AQ77" i="117"/>
  <c r="T80" i="117"/>
  <c r="Y92" i="117"/>
  <c r="AH98" i="117"/>
  <c r="C37" i="117"/>
  <c r="AR44" i="117" a="1"/>
  <c r="AR44" i="117" s="1"/>
  <c r="AK45" i="117" a="1"/>
  <c r="AK45" i="117" s="1"/>
  <c r="V49" i="117"/>
  <c r="AJ54" i="117"/>
  <c r="W55" i="117" a="1"/>
  <c r="W55" i="117" s="1"/>
  <c r="AD59" i="117" a="1"/>
  <c r="AD59" i="117" s="1"/>
  <c r="AQ59" i="117"/>
  <c r="AQ60" i="117"/>
  <c r="AQ62" i="117"/>
  <c r="AM66" i="117"/>
  <c r="V68" i="117"/>
  <c r="AC68" i="117"/>
  <c r="AA68" i="117"/>
  <c r="AQ68" i="117"/>
  <c r="C70" i="117"/>
  <c r="N70" i="117"/>
  <c r="AC70" i="117" s="1"/>
  <c r="AR71" i="117" a="1"/>
  <c r="AR71" i="117" s="1"/>
  <c r="AF83" i="117"/>
  <c r="AR43" i="117" a="1"/>
  <c r="AR43" i="117" s="1"/>
  <c r="AD50" i="117" a="1"/>
  <c r="AD50" i="117" s="1"/>
  <c r="C64" i="117"/>
  <c r="N64" i="117"/>
  <c r="R64" i="117" s="1"/>
  <c r="W64" i="117" a="1"/>
  <c r="W64" i="117" s="1"/>
  <c r="AR68" i="117" a="1"/>
  <c r="AR68" i="117" s="1"/>
  <c r="W69" i="117" a="1"/>
  <c r="W69" i="117" s="1"/>
  <c r="P69" i="117"/>
  <c r="C58" i="117"/>
  <c r="N58" i="117"/>
  <c r="T58" i="117" s="1"/>
  <c r="O66" i="117"/>
  <c r="AC66" i="117"/>
  <c r="AR69" i="117" a="1"/>
  <c r="AR69" i="117" s="1"/>
  <c r="V69" i="117"/>
  <c r="Y80" i="117"/>
  <c r="R83" i="117"/>
  <c r="AO92" i="117"/>
  <c r="AM92" i="117"/>
  <c r="AA92" i="117"/>
  <c r="AJ92" i="117"/>
  <c r="R98" i="117"/>
  <c r="AO98" i="117"/>
  <c r="W38" i="117" a="1"/>
  <c r="W38" i="117" s="1"/>
  <c r="AJ49" i="117"/>
  <c r="W58" i="117" a="1"/>
  <c r="W58" i="117" s="1"/>
  <c r="P59" i="117"/>
  <c r="V59" i="117"/>
  <c r="AD62" i="117" a="1"/>
  <c r="AD62" i="117" s="1"/>
  <c r="AK62" i="117" a="1"/>
  <c r="AK62" i="117" s="1"/>
  <c r="O71" i="117"/>
  <c r="O72" i="117"/>
  <c r="AQ73" i="117"/>
  <c r="AO73" i="117"/>
  <c r="AF73" i="117"/>
  <c r="V73" i="117"/>
  <c r="AF92" i="117"/>
  <c r="C73" i="117"/>
  <c r="P75" i="117"/>
  <c r="AK76" i="117" a="1"/>
  <c r="AK76" i="117" s="1"/>
  <c r="C77" i="117"/>
  <c r="AD77" i="117" a="1"/>
  <c r="AD77" i="117" s="1"/>
  <c r="N81" i="117"/>
  <c r="AJ81" i="117" s="1"/>
  <c r="AR81" i="117" a="1"/>
  <c r="AR81" i="117" s="1"/>
  <c r="P83" i="117"/>
  <c r="V83" i="117"/>
  <c r="W86" i="117" a="1"/>
  <c r="W86" i="117" s="1"/>
  <c r="C88" i="117"/>
  <c r="O89" i="117"/>
  <c r="AK89" i="117" a="1"/>
  <c r="AK89" i="117" s="1"/>
  <c r="W90" i="117" a="1"/>
  <c r="W90" i="117" s="1"/>
  <c r="AO96" i="117"/>
  <c r="AR98" i="117" a="1"/>
  <c r="AR98" i="117" s="1"/>
  <c r="AD99" i="117" a="1"/>
  <c r="AD99" i="117" s="1"/>
  <c r="AK106" i="117" a="1"/>
  <c r="AK106" i="117" s="1"/>
  <c r="AQ107" i="117"/>
  <c r="AQ119" i="117"/>
  <c r="AK73" i="117" a="1"/>
  <c r="AK73" i="117" s="1"/>
  <c r="AR74" i="117" a="1"/>
  <c r="AR74" i="117" s="1"/>
  <c r="AR78" i="117" a="1"/>
  <c r="AR78" i="117" s="1"/>
  <c r="O81" i="117"/>
  <c r="P84" i="117"/>
  <c r="AJ84" i="117"/>
  <c r="AO88" i="117"/>
  <c r="AD91" i="117" a="1"/>
  <c r="AD91" i="117" s="1"/>
  <c r="AK103" i="117" a="1"/>
  <c r="AK103" i="117" s="1"/>
  <c r="AA107" i="117"/>
  <c r="AJ110" i="117"/>
  <c r="O110" i="117"/>
  <c r="Y119" i="117"/>
  <c r="P77" i="117"/>
  <c r="V77" i="117"/>
  <c r="AD85" i="117" a="1"/>
  <c r="AD85" i="117" s="1"/>
  <c r="AR86" i="117" a="1"/>
  <c r="AR86" i="117" s="1"/>
  <c r="V88" i="117"/>
  <c r="AQ88" i="117"/>
  <c r="AR93" i="117" a="1"/>
  <c r="AR93" i="117" s="1"/>
  <c r="V96" i="117"/>
  <c r="AQ96" i="117"/>
  <c r="AK101" i="117" a="1"/>
  <c r="AK101" i="117" s="1"/>
  <c r="AK102" i="117" a="1"/>
  <c r="AK102" i="117" s="1"/>
  <c r="C106" i="117"/>
  <c r="N106" i="117"/>
  <c r="R106" i="117" s="1"/>
  <c r="P108" i="117"/>
  <c r="W108" i="117" a="1"/>
  <c r="W108" i="117" s="1"/>
  <c r="AJ119" i="117"/>
  <c r="AA119" i="117"/>
  <c r="R119" i="117"/>
  <c r="V119" i="117"/>
  <c r="T119" i="117"/>
  <c r="AC119" i="117"/>
  <c r="AJ125" i="117"/>
  <c r="W72" i="117" a="1"/>
  <c r="W72" i="117" s="1"/>
  <c r="AD73" i="117" a="1"/>
  <c r="AD73" i="117" s="1"/>
  <c r="AK74" i="117" a="1"/>
  <c r="AK74" i="117" s="1"/>
  <c r="C76" i="117"/>
  <c r="W77" i="117" a="1"/>
  <c r="W77" i="117" s="1"/>
  <c r="AQ80" i="117"/>
  <c r="AK81" i="117" a="1"/>
  <c r="AK81" i="117" s="1"/>
  <c r="N86" i="117"/>
  <c r="AF86" i="117" s="1"/>
  <c r="W88" i="117" a="1"/>
  <c r="W88" i="117" s="1"/>
  <c r="AR88" i="117" a="1"/>
  <c r="AR88" i="117" s="1"/>
  <c r="N91" i="117"/>
  <c r="C91" i="117"/>
  <c r="AK95" i="117" a="1"/>
  <c r="AK95" i="117" s="1"/>
  <c r="W96" i="117" a="1"/>
  <c r="W96" i="117" s="1"/>
  <c r="AD110" i="117" a="1"/>
  <c r="AD110" i="117" s="1"/>
  <c r="AK110" i="117" a="1"/>
  <c r="AK110" i="117" s="1"/>
  <c r="AK78" i="117" a="1"/>
  <c r="AK78" i="117" s="1"/>
  <c r="AR80" i="117" a="1"/>
  <c r="AR80" i="117" s="1"/>
  <c r="AC84" i="117"/>
  <c r="O86" i="117"/>
  <c r="AD87" i="117" a="1"/>
  <c r="AD87" i="117" s="1"/>
  <c r="AH88" i="117"/>
  <c r="C94" i="117"/>
  <c r="N94" i="117"/>
  <c r="AJ94" i="117" s="1"/>
  <c r="AJ98" i="117"/>
  <c r="AD100" i="117" a="1"/>
  <c r="AD100" i="117" s="1"/>
  <c r="N108" i="117"/>
  <c r="AJ108" i="117" s="1"/>
  <c r="C108" i="117"/>
  <c r="AR77" i="117" a="1"/>
  <c r="AR77" i="117" s="1"/>
  <c r="W82" i="117" a="1"/>
  <c r="W82" i="117" s="1"/>
  <c r="O83" i="117"/>
  <c r="W85" i="117" a="1"/>
  <c r="W85" i="117" s="1"/>
  <c r="P86" i="117"/>
  <c r="AJ88" i="117"/>
  <c r="W91" i="117" a="1"/>
  <c r="W91" i="117" s="1"/>
  <c r="AC92" i="117"/>
  <c r="N93" i="117"/>
  <c r="AJ93" i="117" s="1"/>
  <c r="W99" i="117" a="1"/>
  <c r="W99" i="117" s="1"/>
  <c r="AR99" i="117" a="1"/>
  <c r="AR99" i="117" s="1"/>
  <c r="O101" i="117"/>
  <c r="O102" i="117"/>
  <c r="T107" i="117"/>
  <c r="AR110" i="117" a="1"/>
  <c r="AR110" i="117" s="1"/>
  <c r="C84" i="117"/>
  <c r="T84" i="117"/>
  <c r="AK86" i="117" a="1"/>
  <c r="AK86" i="117" s="1"/>
  <c r="O88" i="117"/>
  <c r="AK88" i="117" a="1"/>
  <c r="AK88" i="117" s="1"/>
  <c r="P89" i="117"/>
  <c r="AC90" i="117"/>
  <c r="AD92" i="117" a="1"/>
  <c r="AD92" i="117" s="1"/>
  <c r="AK93" i="117" a="1"/>
  <c r="AK93" i="117" s="1"/>
  <c r="N97" i="117"/>
  <c r="AO97" i="117" s="1"/>
  <c r="C97" i="117"/>
  <c r="AD102" i="117" a="1"/>
  <c r="AD102" i="117" s="1"/>
  <c r="O104" i="117"/>
  <c r="AD104" i="117" a="1"/>
  <c r="AD104" i="117" s="1"/>
  <c r="AR104" i="117" a="1"/>
  <c r="AR104" i="117" s="1"/>
  <c r="P107" i="117"/>
  <c r="V107" i="117"/>
  <c r="AH107" i="117"/>
  <c r="AF119" i="117"/>
  <c r="O77" i="117"/>
  <c r="AR85" i="117" a="1"/>
  <c r="AR85" i="117" s="1"/>
  <c r="T92" i="117"/>
  <c r="C100" i="117"/>
  <c r="N100" i="117"/>
  <c r="AA100" i="117" s="1"/>
  <c r="AR100" i="117" a="1"/>
  <c r="AR100" i="117" s="1"/>
  <c r="AD101" i="117" a="1"/>
  <c r="AD101" i="117" s="1"/>
  <c r="AK109" i="117" a="1"/>
  <c r="AK109" i="117" s="1"/>
  <c r="AA110" i="117"/>
  <c r="AQ76" i="117"/>
  <c r="AK80" i="117" a="1"/>
  <c r="AK80" i="117" s="1"/>
  <c r="V84" i="117"/>
  <c r="AA88" i="117"/>
  <c r="AK91" i="117" a="1"/>
  <c r="AK91" i="117" s="1"/>
  <c r="V92" i="117"/>
  <c r="AQ92" i="117"/>
  <c r="W97" i="117" a="1"/>
  <c r="W97" i="117" s="1"/>
  <c r="AC98" i="117"/>
  <c r="C105" i="117"/>
  <c r="N105" i="117"/>
  <c r="AC105" i="117" s="1"/>
  <c r="AK107" i="117" a="1"/>
  <c r="AK107" i="117" s="1"/>
  <c r="AH119" i="117"/>
  <c r="AA125" i="117"/>
  <c r="N79" i="117"/>
  <c r="R79" i="117" s="1"/>
  <c r="P85" i="117"/>
  <c r="AO90" i="117"/>
  <c r="P91" i="117"/>
  <c r="W92" i="117" a="1"/>
  <c r="W92" i="117" s="1"/>
  <c r="P95" i="117"/>
  <c r="AC96" i="117"/>
  <c r="P101" i="117"/>
  <c r="AR103" i="117" a="1"/>
  <c r="AR103" i="117" s="1"/>
  <c r="O108" i="117"/>
  <c r="T115" i="117"/>
  <c r="AC125" i="117"/>
  <c r="AC80" i="117"/>
  <c r="T98" i="117"/>
  <c r="P104" i="117"/>
  <c r="Y107" i="117"/>
  <c r="N109" i="117"/>
  <c r="AJ109" i="117" s="1"/>
  <c r="C109" i="117"/>
  <c r="AC110" i="117"/>
  <c r="Y110" i="117"/>
  <c r="AF110" i="117"/>
  <c r="AM119" i="117"/>
  <c r="V90" i="117"/>
  <c r="AK97" i="117" a="1"/>
  <c r="AK97" i="117" s="1"/>
  <c r="V98" i="117"/>
  <c r="AQ98" i="117"/>
  <c r="AH101" i="117"/>
  <c r="P102" i="117"/>
  <c r="W102" i="117" a="1"/>
  <c r="W102" i="117" s="1"/>
  <c r="N103" i="117"/>
  <c r="AM103" i="117" s="1"/>
  <c r="C103" i="117"/>
  <c r="AO115" i="117"/>
  <c r="AF115" i="117"/>
  <c r="AC115" i="117"/>
  <c r="AA115" i="117"/>
  <c r="R115" i="117"/>
  <c r="AJ115" i="117"/>
  <c r="AQ115" i="117"/>
  <c r="AH115" i="117"/>
  <c r="AO119" i="117"/>
  <c r="AM125" i="117"/>
  <c r="AH125" i="117"/>
  <c r="Y125" i="117"/>
  <c r="AF125" i="117"/>
  <c r="W110" i="117" a="1"/>
  <c r="W110" i="117" s="1"/>
  <c r="W112" i="117" a="1"/>
  <c r="W112" i="117" s="1"/>
  <c r="P116" i="117"/>
  <c r="AR116" i="117" a="1"/>
  <c r="AR116" i="117" s="1"/>
  <c r="AK118" i="117" a="1"/>
  <c r="AK118" i="117" s="1"/>
  <c r="C119" i="117"/>
  <c r="O125" i="117"/>
  <c r="AC126" i="117"/>
  <c r="AA141" i="117"/>
  <c r="AJ147" i="117"/>
  <c r="AO147" i="117"/>
  <c r="AC147" i="117"/>
  <c r="AA147" i="117"/>
  <c r="AD126" i="117" a="1"/>
  <c r="AD126" i="117" s="1"/>
  <c r="P131" i="117"/>
  <c r="AC141" i="117"/>
  <c r="AF147" i="117"/>
  <c r="Y156" i="117"/>
  <c r="W111" i="117" a="1"/>
  <c r="W111" i="117" s="1"/>
  <c r="O113" i="117"/>
  <c r="AC118" i="117"/>
  <c r="V120" i="117"/>
  <c r="W121" i="117" a="1"/>
  <c r="W121" i="117" s="1"/>
  <c r="O123" i="117"/>
  <c r="AR124" i="117" a="1"/>
  <c r="AR124" i="117" s="1"/>
  <c r="C126" i="117"/>
  <c r="AR127" i="117" a="1"/>
  <c r="AR127" i="117" s="1"/>
  <c r="W129" i="117" a="1"/>
  <c r="W129" i="117" s="1"/>
  <c r="W131" i="117" a="1"/>
  <c r="W131" i="117" s="1"/>
  <c r="AH132" i="117"/>
  <c r="T134" i="117"/>
  <c r="AD135" i="117" a="1"/>
  <c r="AD135" i="117" s="1"/>
  <c r="AK135" i="117" a="1"/>
  <c r="AK135" i="117" s="1"/>
  <c r="AH147" i="117"/>
  <c r="AC107" i="117"/>
  <c r="P110" i="117"/>
  <c r="N111" i="117"/>
  <c r="AM111" i="117" s="1"/>
  <c r="AR113" i="117" a="1"/>
  <c r="AR113" i="117" s="1"/>
  <c r="AJ114" i="117"/>
  <c r="AK116" i="117" a="1"/>
  <c r="AK116" i="117" s="1"/>
  <c r="W120" i="117" a="1"/>
  <c r="W120" i="117" s="1"/>
  <c r="AK125" i="117" a="1"/>
  <c r="AK125" i="117" s="1"/>
  <c r="AC130" i="117"/>
  <c r="W133" i="117" a="1"/>
  <c r="W133" i="117" s="1"/>
  <c r="P133" i="117"/>
  <c r="AM141" i="117"/>
  <c r="AJ141" i="117"/>
  <c r="AO141" i="117"/>
  <c r="AF141" i="117"/>
  <c r="P112" i="117"/>
  <c r="AR112" i="117" a="1"/>
  <c r="AR112" i="117" s="1"/>
  <c r="AK115" i="117" a="1"/>
  <c r="AK115" i="117" s="1"/>
  <c r="O122" i="117"/>
  <c r="AJ124" i="117"/>
  <c r="V126" i="117"/>
  <c r="AO126" i="117"/>
  <c r="AH134" i="117"/>
  <c r="O135" i="117"/>
  <c r="AF156" i="117"/>
  <c r="T156" i="117"/>
  <c r="AC156" i="117"/>
  <c r="R156" i="117"/>
  <c r="C115" i="117"/>
  <c r="W118" i="117" a="1"/>
  <c r="W118" i="117" s="1"/>
  <c r="O120" i="117"/>
  <c r="O121" i="117"/>
  <c r="AK124" i="117" a="1"/>
  <c r="AK124" i="117" s="1"/>
  <c r="C125" i="117"/>
  <c r="W126" i="117" a="1"/>
  <c r="W126" i="117" s="1"/>
  <c r="P127" i="117"/>
  <c r="C130" i="117"/>
  <c r="N131" i="117"/>
  <c r="Y131" i="117" s="1"/>
  <c r="AJ134" i="117"/>
  <c r="AH141" i="117"/>
  <c r="AK113" i="117" a="1"/>
  <c r="AK113" i="117" s="1"/>
  <c r="P121" i="117"/>
  <c r="V130" i="117"/>
  <c r="O131" i="117"/>
  <c r="Y132" i="117"/>
  <c r="T145" i="117"/>
  <c r="O119" i="117"/>
  <c r="AR120" i="117" a="1"/>
  <c r="AR120" i="117" s="1"/>
  <c r="AR126" i="117" a="1"/>
  <c r="AR126" i="117" s="1"/>
  <c r="AO130" i="117"/>
  <c r="T141" i="117"/>
  <c r="V115" i="117"/>
  <c r="N117" i="117"/>
  <c r="AA117" i="117" s="1"/>
  <c r="AQ118" i="117"/>
  <c r="AR119" i="117" a="1"/>
  <c r="AR119" i="117" s="1"/>
  <c r="V125" i="117"/>
  <c r="O126" i="117"/>
  <c r="AR128" i="117" a="1"/>
  <c r="AR128" i="117" s="1"/>
  <c r="AQ130" i="117"/>
  <c r="N133" i="117"/>
  <c r="T133" i="117" s="1"/>
  <c r="AM134" i="117"/>
  <c r="V114" i="117"/>
  <c r="O117" i="117"/>
  <c r="AH118" i="117"/>
  <c r="W125" i="117" a="1"/>
  <c r="W125" i="117" s="1"/>
  <c r="AH130" i="117"/>
  <c r="O134" i="117"/>
  <c r="AQ154" i="117"/>
  <c r="AK129" i="117" a="1"/>
  <c r="AK129" i="117" s="1"/>
  <c r="AD129" i="117" a="1"/>
  <c r="AD129" i="117" s="1"/>
  <c r="O132" i="117"/>
  <c r="AC132" i="117"/>
  <c r="O133" i="117"/>
  <c r="AA134" i="117"/>
  <c r="N137" i="117"/>
  <c r="AH137" i="117" s="1"/>
  <c r="C137" i="117"/>
  <c r="P138" i="117"/>
  <c r="W138" i="117" a="1"/>
  <c r="W138" i="117" s="1"/>
  <c r="Y141" i="117"/>
  <c r="AQ141" i="117"/>
  <c r="O116" i="117"/>
  <c r="C120" i="117"/>
  <c r="O128" i="117"/>
  <c r="AR135" i="117" a="1"/>
  <c r="AR135" i="117" s="1"/>
  <c r="P136" i="117"/>
  <c r="W136" i="117" a="1"/>
  <c r="W136" i="117" s="1"/>
  <c r="AQ145" i="117"/>
  <c r="Y145" i="117"/>
  <c r="AM145" i="117"/>
  <c r="V145" i="117"/>
  <c r="AA145" i="117"/>
  <c r="AM156" i="117"/>
  <c r="P144" i="117"/>
  <c r="AK147" i="117" a="1"/>
  <c r="AK147" i="117" s="1"/>
  <c r="AC148" i="117"/>
  <c r="C155" i="117"/>
  <c r="N155" i="117"/>
  <c r="AJ155" i="117" s="1"/>
  <c r="C161" i="117"/>
  <c r="N161" i="117"/>
  <c r="AJ161" i="117" s="1"/>
  <c r="AJ163" i="117"/>
  <c r="AK167" i="117" a="1"/>
  <c r="AK167" i="117" s="1"/>
  <c r="N170" i="117"/>
  <c r="AO170" i="117" s="1"/>
  <c r="C170" i="117"/>
  <c r="AM186" i="117"/>
  <c r="C147" i="117"/>
  <c r="O152" i="117"/>
  <c r="P154" i="117"/>
  <c r="AC157" i="117"/>
  <c r="O158" i="117"/>
  <c r="O169" i="117"/>
  <c r="AK145" i="117" a="1"/>
  <c r="AK145" i="117" s="1"/>
  <c r="AO156" i="117"/>
  <c r="AD157" i="117" a="1"/>
  <c r="AD157" i="117" s="1"/>
  <c r="AJ160" i="117"/>
  <c r="W167" i="117" a="1"/>
  <c r="W167" i="117" s="1"/>
  <c r="P167" i="117"/>
  <c r="AR142" i="117" a="1"/>
  <c r="AR142" i="117" s="1"/>
  <c r="C145" i="117"/>
  <c r="AC145" i="117"/>
  <c r="AD146" i="117" a="1"/>
  <c r="AD146" i="117" s="1"/>
  <c r="AD147" i="117" a="1"/>
  <c r="AD147" i="117" s="1"/>
  <c r="V148" i="117"/>
  <c r="O151" i="117"/>
  <c r="AR152" i="117" a="1"/>
  <c r="AR152" i="117" s="1"/>
  <c r="AQ156" i="117"/>
  <c r="AO157" i="117"/>
  <c r="O159" i="117"/>
  <c r="AK160" i="117" a="1"/>
  <c r="AK160" i="117" s="1"/>
  <c r="AC163" i="117"/>
  <c r="O170" i="117"/>
  <c r="P171" i="117"/>
  <c r="W171" i="117" a="1"/>
  <c r="W171" i="117" s="1"/>
  <c r="AQ140" i="117"/>
  <c r="AR141" i="117" a="1"/>
  <c r="AR141" i="117" s="1"/>
  <c r="AD145" i="117" a="1"/>
  <c r="AD145" i="117" s="1"/>
  <c r="V147" i="117"/>
  <c r="W148" i="117" a="1"/>
  <c r="W148" i="117" s="1"/>
  <c r="O150" i="117"/>
  <c r="AR151" i="117" a="1"/>
  <c r="AR151" i="117" s="1"/>
  <c r="C156" i="117"/>
  <c r="N138" i="117"/>
  <c r="Y138" i="117" s="1"/>
  <c r="O139" i="117"/>
  <c r="W147" i="117" a="1"/>
  <c r="W147" i="117" s="1"/>
  <c r="AO148" i="117"/>
  <c r="AR150" i="117" a="1"/>
  <c r="AR150" i="117" s="1"/>
  <c r="AK152" i="117" a="1"/>
  <c r="AK152" i="117" s="1"/>
  <c r="AK153" i="117" a="1"/>
  <c r="AK153" i="117" s="1"/>
  <c r="P156" i="117"/>
  <c r="V156" i="117"/>
  <c r="AR157" i="117" a="1"/>
  <c r="AR157" i="117" s="1"/>
  <c r="O162" i="117"/>
  <c r="P169" i="117"/>
  <c r="W169" i="117" a="1"/>
  <c r="W169" i="117" s="1"/>
  <c r="AM183" i="117"/>
  <c r="AA183" i="117"/>
  <c r="AJ183" i="117"/>
  <c r="Y183" i="117"/>
  <c r="AJ186" i="117"/>
  <c r="Y186" i="117"/>
  <c r="AK142" i="117" a="1"/>
  <c r="AK142" i="117" s="1"/>
  <c r="W156" i="117" a="1"/>
  <c r="W156" i="117" s="1"/>
  <c r="V157" i="117"/>
  <c r="AK175" i="117" a="1"/>
  <c r="AK175" i="117" s="1"/>
  <c r="AR138" i="117" a="1"/>
  <c r="AR138" i="117" s="1"/>
  <c r="O148" i="117"/>
  <c r="AQ148" i="117"/>
  <c r="AK151" i="117" a="1"/>
  <c r="AK151" i="117" s="1"/>
  <c r="AH156" i="117"/>
  <c r="W157" i="117" a="1"/>
  <c r="W157" i="117" s="1"/>
  <c r="AH157" i="117"/>
  <c r="AR158" i="117" a="1"/>
  <c r="AR158" i="117" s="1"/>
  <c r="AQ159" i="117"/>
  <c r="AD160" i="117" a="1"/>
  <c r="AD160" i="117" s="1"/>
  <c r="AD162" i="117" a="1"/>
  <c r="AD162" i="117" s="1"/>
  <c r="AR163" i="117" a="1"/>
  <c r="AR163" i="117" s="1"/>
  <c r="AR171" i="117" a="1"/>
  <c r="AR171" i="117" s="1"/>
  <c r="AF183" i="117"/>
  <c r="AF186" i="117"/>
  <c r="AK150" i="117" a="1"/>
  <c r="AK150" i="117" s="1"/>
  <c r="AJ156" i="117"/>
  <c r="N158" i="117"/>
  <c r="C158" i="117"/>
  <c r="P158" i="117"/>
  <c r="P163" i="117"/>
  <c r="W163" i="117" a="1"/>
  <c r="W163" i="117" s="1"/>
  <c r="AF163" i="117"/>
  <c r="AO176" i="117"/>
  <c r="AR137" i="117" a="1"/>
  <c r="AR137" i="117" s="1"/>
  <c r="C140" i="117"/>
  <c r="P147" i="117"/>
  <c r="W158" i="117" a="1"/>
  <c r="W158" i="117" s="1"/>
  <c r="C159" i="117"/>
  <c r="V159" i="117"/>
  <c r="C163" i="117"/>
  <c r="AR164" i="117" a="1"/>
  <c r="AR164" i="117" s="1"/>
  <c r="AD167" i="117" a="1"/>
  <c r="AD167" i="117" s="1"/>
  <c r="AR167" i="117" a="1"/>
  <c r="AR167" i="117" s="1"/>
  <c r="AD171" i="117" a="1"/>
  <c r="AD171" i="117" s="1"/>
  <c r="N172" i="117"/>
  <c r="AA172" i="117" s="1"/>
  <c r="C172" i="117"/>
  <c r="AJ148" i="117"/>
  <c r="AH159" i="117"/>
  <c r="T160" i="117"/>
  <c r="P162" i="117"/>
  <c r="AH163" i="117"/>
  <c r="N164" i="117"/>
  <c r="R164" i="117" s="1"/>
  <c r="C164" i="117"/>
  <c r="O166" i="117"/>
  <c r="O171" i="117"/>
  <c r="P173" i="117"/>
  <c r="W173" i="117" a="1"/>
  <c r="W173" i="117" s="1"/>
  <c r="O175" i="117"/>
  <c r="R183" i="117"/>
  <c r="R186" i="117"/>
  <c r="V141" i="117"/>
  <c r="N143" i="117"/>
  <c r="R148" i="117"/>
  <c r="O156" i="117"/>
  <c r="AA156" i="117"/>
  <c r="V160" i="117"/>
  <c r="P160" i="117"/>
  <c r="W162" i="117" a="1"/>
  <c r="W162" i="117" s="1"/>
  <c r="W165" i="117" a="1"/>
  <c r="W165" i="117" s="1"/>
  <c r="V165" i="117"/>
  <c r="N166" i="117"/>
  <c r="AQ166" i="117" s="1"/>
  <c r="C168" i="117"/>
  <c r="N168" i="117"/>
  <c r="AA168" i="117" s="1"/>
  <c r="AQ176" i="117"/>
  <c r="AM176" i="117"/>
  <c r="AC176" i="117"/>
  <c r="Y176" i="117"/>
  <c r="T183" i="117"/>
  <c r="T186" i="117"/>
  <c r="C176" i="117"/>
  <c r="O179" i="117"/>
  <c r="C183" i="117"/>
  <c r="P183" i="117"/>
  <c r="V183" i="117"/>
  <c r="AD185" i="117" a="1"/>
  <c r="AD185" i="117" s="1"/>
  <c r="AC186" i="117"/>
  <c r="O188" i="117"/>
  <c r="AK189" i="117" a="1"/>
  <c r="AK189" i="117" s="1"/>
  <c r="AO194" i="117"/>
  <c r="AK174" i="117" a="1"/>
  <c r="AK174" i="117" s="1"/>
  <c r="AR184" i="117" a="1"/>
  <c r="AR184" i="117" s="1"/>
  <c r="AO186" i="117"/>
  <c r="AD187" i="117" a="1"/>
  <c r="AD187" i="117" s="1"/>
  <c r="AQ194" i="117"/>
  <c r="AK173" i="117" a="1"/>
  <c r="AK173" i="117" s="1"/>
  <c r="N177" i="117"/>
  <c r="Y177" i="117" s="1"/>
  <c r="N178" i="117"/>
  <c r="AJ178" i="117" s="1"/>
  <c r="C178" i="117"/>
  <c r="N180" i="117"/>
  <c r="AQ180" i="117" s="1"/>
  <c r="AK182" i="117" a="1"/>
  <c r="AK182" i="117" s="1"/>
  <c r="AH183" i="117"/>
  <c r="N184" i="117"/>
  <c r="AC184" i="117" s="1"/>
  <c r="C184" i="117"/>
  <c r="AR185" i="117" a="1"/>
  <c r="AR185" i="117" s="1"/>
  <c r="AQ186" i="117"/>
  <c r="N189" i="117"/>
  <c r="AH189" i="117" s="1"/>
  <c r="AD170" i="117" a="1"/>
  <c r="AD170" i="117" s="1"/>
  <c r="AD174" i="117" a="1"/>
  <c r="AD174" i="117" s="1"/>
  <c r="V176" i="117"/>
  <c r="W184" i="117" a="1"/>
  <c r="W184" i="117" s="1"/>
  <c r="C185" i="117"/>
  <c r="N185" i="117"/>
  <c r="V185" i="117" s="1"/>
  <c r="O189" i="117"/>
  <c r="AD193" i="117" a="1"/>
  <c r="AD193" i="117" s="1"/>
  <c r="R194" i="117"/>
  <c r="AF194" i="117"/>
  <c r="P177" i="117"/>
  <c r="AR178" i="117" a="1"/>
  <c r="AR178" i="117" s="1"/>
  <c r="AD179" i="117" a="1"/>
  <c r="AD179" i="117" s="1"/>
  <c r="O182" i="117"/>
  <c r="C186" i="117"/>
  <c r="P186" i="117"/>
  <c r="V186" i="117"/>
  <c r="AR192" i="117" a="1"/>
  <c r="AR192" i="117" s="1"/>
  <c r="C195" i="117"/>
  <c r="N195" i="117"/>
  <c r="AJ195" i="117" s="1"/>
  <c r="AK195" i="117" a="1"/>
  <c r="AK195" i="117" s="1"/>
  <c r="P197" i="117"/>
  <c r="W197" i="117" a="1"/>
  <c r="W197" i="117" s="1"/>
  <c r="AM205" i="117"/>
  <c r="AA205" i="117"/>
  <c r="AJ205" i="117"/>
  <c r="Y205" i="117"/>
  <c r="AF205" i="117"/>
  <c r="AR187" i="117" a="1"/>
  <c r="AR187" i="117" s="1"/>
  <c r="N192" i="117"/>
  <c r="V192" i="117" s="1"/>
  <c r="C192" i="117"/>
  <c r="AR193" i="117" a="1"/>
  <c r="AR193" i="117" s="1"/>
  <c r="AH194" i="117"/>
  <c r="W174" i="117" a="1"/>
  <c r="W174" i="117" s="1"/>
  <c r="AH186" i="117"/>
  <c r="C187" i="117"/>
  <c r="N187" i="117"/>
  <c r="T187" i="117" s="1"/>
  <c r="W192" i="117" a="1"/>
  <c r="W192" i="117" s="1"/>
  <c r="W193" i="117" a="1"/>
  <c r="W193" i="117" s="1"/>
  <c r="AJ194" i="117"/>
  <c r="AK194" i="117" a="1"/>
  <c r="AK194" i="117" s="1"/>
  <c r="AR168" i="117" a="1"/>
  <c r="AR168" i="117" s="1"/>
  <c r="AD177" i="117" a="1"/>
  <c r="AD177" i="117" s="1"/>
  <c r="AK178" i="117" a="1"/>
  <c r="AK178" i="117" s="1"/>
  <c r="W187" i="117" a="1"/>
  <c r="W187" i="117" s="1"/>
  <c r="N188" i="117"/>
  <c r="AH188" i="117" s="1"/>
  <c r="C188" i="117"/>
  <c r="AK191" i="117" a="1"/>
  <c r="AK191" i="117" s="1"/>
  <c r="AR191" i="117" a="1"/>
  <c r="AR191" i="117" s="1"/>
  <c r="V194" i="117"/>
  <c r="AJ176" i="117"/>
  <c r="P180" i="117"/>
  <c r="AD182" i="117" a="1"/>
  <c r="AD182" i="117" s="1"/>
  <c r="AC183" i="117"/>
  <c r="O185" i="117"/>
  <c r="P189" i="117"/>
  <c r="W189" i="117" a="1"/>
  <c r="W189" i="117" s="1"/>
  <c r="N190" i="117"/>
  <c r="AJ190" i="117" s="1"/>
  <c r="C190" i="117"/>
  <c r="AR195" i="117" a="1"/>
  <c r="AR195" i="117" s="1"/>
  <c r="N197" i="117"/>
  <c r="AF197" i="117" s="1"/>
  <c r="C197" i="117"/>
  <c r="O197" i="117"/>
  <c r="AO183" i="117"/>
  <c r="O195" i="117"/>
  <c r="AR198" i="117" a="1"/>
  <c r="AR198" i="117" s="1"/>
  <c r="AD198" i="117" a="1"/>
  <c r="AD198" i="117" s="1"/>
  <c r="R205" i="117"/>
  <c r="C181" i="117"/>
  <c r="N181" i="117"/>
  <c r="AM181" i="117" s="1"/>
  <c r="AQ183" i="117"/>
  <c r="N198" i="117"/>
  <c r="V198" i="117" s="1"/>
  <c r="C198" i="117"/>
  <c r="T205" i="117"/>
  <c r="W181" i="117" a="1"/>
  <c r="W181" i="117" s="1"/>
  <c r="N182" i="117"/>
  <c r="Y182" i="117" s="1"/>
  <c r="C182" i="117"/>
  <c r="O186" i="117"/>
  <c r="O187" i="117"/>
  <c r="P192" i="117"/>
  <c r="AA194" i="117"/>
  <c r="AQ205" i="117"/>
  <c r="AD206" i="117" a="1"/>
  <c r="AD206" i="117" s="1"/>
  <c r="N193" i="117"/>
  <c r="Y193" i="117" s="1"/>
  <c r="AQ196" i="117"/>
  <c r="AK197" i="117" a="1"/>
  <c r="AK197" i="117" s="1"/>
  <c r="AK200" i="117" a="1"/>
  <c r="AK200" i="117" s="1"/>
  <c r="N202" i="117"/>
  <c r="AA202" i="117" s="1"/>
  <c r="AJ204" i="117"/>
  <c r="C205" i="117"/>
  <c r="AR205" i="117" a="1"/>
  <c r="AR205" i="117" s="1"/>
  <c r="O204" i="117"/>
  <c r="P205" i="117"/>
  <c r="V205" i="117"/>
  <c r="AJ210" i="117"/>
  <c r="AH196" i="117"/>
  <c r="W205" i="117" a="1"/>
  <c r="W205" i="117" s="1"/>
  <c r="W198" i="117" a="1"/>
  <c r="W198" i="117" s="1"/>
  <c r="AD200" i="117" a="1"/>
  <c r="AD200" i="117" s="1"/>
  <c r="AK202" i="117" a="1"/>
  <c r="AK202" i="117" s="1"/>
  <c r="N206" i="117"/>
  <c r="T206" i="117" s="1"/>
  <c r="C206" i="117"/>
  <c r="AM210" i="117"/>
  <c r="O214" i="117"/>
  <c r="AC194" i="117"/>
  <c r="AJ196" i="117"/>
  <c r="N201" i="117"/>
  <c r="AR201" i="117" a="1"/>
  <c r="AR201" i="117" s="1"/>
  <c r="V203" i="117"/>
  <c r="AA208" i="117"/>
  <c r="AO210" i="117"/>
  <c r="AC204" i="117"/>
  <c r="O208" i="117"/>
  <c r="T212" i="117"/>
  <c r="AM212" i="117"/>
  <c r="T194" i="117"/>
  <c r="AD204" i="117" a="1"/>
  <c r="AD204" i="117" s="1"/>
  <c r="AK205" i="117" a="1"/>
  <c r="AK205" i="117" s="1"/>
  <c r="O209" i="117"/>
  <c r="AC210" i="117"/>
  <c r="AQ210" i="117"/>
  <c r="P198" i="117"/>
  <c r="AC199" i="117"/>
  <c r="C204" i="117"/>
  <c r="AO204" i="117"/>
  <c r="AD211" i="117" a="1"/>
  <c r="AD211" i="117" s="1"/>
  <c r="AK211" i="117" a="1"/>
  <c r="AK211" i="117" s="1"/>
  <c r="AR211" i="117" a="1"/>
  <c r="AR211" i="117" s="1"/>
  <c r="V204" i="117"/>
  <c r="AQ204" i="117"/>
  <c r="N211" i="117"/>
  <c r="Y211" i="117" s="1"/>
  <c r="C211" i="117"/>
  <c r="P213" i="117"/>
  <c r="W213" i="117" a="1"/>
  <c r="W213" i="117" s="1"/>
  <c r="W202" i="117" a="1"/>
  <c r="W202" i="117" s="1"/>
  <c r="W204" i="117" a="1"/>
  <c r="W204" i="117" s="1"/>
  <c r="AC205" i="117"/>
  <c r="AO205" i="117"/>
  <c r="P206" i="117"/>
  <c r="AK208" i="117" a="1"/>
  <c r="AK208" i="117" s="1"/>
  <c r="AR208" i="117" a="1"/>
  <c r="AR208" i="117" s="1"/>
  <c r="AF210" i="117"/>
  <c r="V196" i="117"/>
  <c r="O200" i="117"/>
  <c r="AH204" i="117"/>
  <c r="V208" i="117"/>
  <c r="AD209" i="117" a="1"/>
  <c r="AD209" i="117" s="1"/>
  <c r="AR209" i="117" a="1"/>
  <c r="AR209" i="117" s="1"/>
  <c r="T210" i="117"/>
  <c r="W218" i="117" a="1"/>
  <c r="W218" i="117" s="1"/>
  <c r="P218" i="117"/>
  <c r="N214" i="117"/>
  <c r="C214" i="117"/>
  <c r="AA215" i="117"/>
  <c r="AK218" i="117" a="1"/>
  <c r="AK218" i="117" s="1"/>
  <c r="P211" i="117"/>
  <c r="R215" i="117"/>
  <c r="AM215" i="117"/>
  <c r="AR220" i="117" a="1"/>
  <c r="AR220" i="117" s="1"/>
  <c r="AQ223" i="117"/>
  <c r="Y223" i="117"/>
  <c r="V223" i="117"/>
  <c r="AM223" i="117"/>
  <c r="T228" i="117"/>
  <c r="AD212" i="117" a="1"/>
  <c r="AD212" i="117" s="1"/>
  <c r="AC215" i="117"/>
  <c r="C217" i="117"/>
  <c r="N217" i="117"/>
  <c r="V217" i="117" s="1"/>
  <c r="N216" i="117"/>
  <c r="V216" i="117" s="1"/>
  <c r="N219" i="117"/>
  <c r="T219" i="117" s="1"/>
  <c r="AK219" i="117" a="1"/>
  <c r="AK219" i="117" s="1"/>
  <c r="V212" i="117"/>
  <c r="AQ212" i="117"/>
  <c r="C215" i="117"/>
  <c r="AO215" i="117"/>
  <c r="AK216" i="117" a="1"/>
  <c r="AK216" i="117" s="1"/>
  <c r="W217" i="117" a="1"/>
  <c r="W217" i="117" s="1"/>
  <c r="AR217" i="117" a="1"/>
  <c r="AR217" i="117" s="1"/>
  <c r="V215" i="117"/>
  <c r="AQ215" i="117"/>
  <c r="P224" i="117"/>
  <c r="W224" i="117" a="1"/>
  <c r="W224" i="117" s="1"/>
  <c r="W215" i="117" a="1"/>
  <c r="W215" i="117" s="1"/>
  <c r="AR215" i="117" a="1"/>
  <c r="AR215" i="117" s="1"/>
  <c r="O220" i="117"/>
  <c r="N224" i="117"/>
  <c r="C224" i="117"/>
  <c r="O226" i="117"/>
  <c r="AQ228" i="117"/>
  <c r="AJ212" i="117"/>
  <c r="O222" i="117"/>
  <c r="AF223" i="117"/>
  <c r="AK225" i="117" a="1"/>
  <c r="AK225" i="117" s="1"/>
  <c r="AC228" i="117"/>
  <c r="AJ215" i="117"/>
  <c r="O221" i="117"/>
  <c r="P212" i="117"/>
  <c r="P216" i="117"/>
  <c r="AR219" i="117" a="1"/>
  <c r="AR219" i="117" s="1"/>
  <c r="AD220" i="117" a="1"/>
  <c r="AD220" i="117" s="1"/>
  <c r="AR222" i="117" a="1"/>
  <c r="AR222" i="117" s="1"/>
  <c r="P225" i="117"/>
  <c r="W225" i="117" a="1"/>
  <c r="W225" i="117" s="1"/>
  <c r="AA228" i="117"/>
  <c r="AJ228" i="117"/>
  <c r="R228" i="117"/>
  <c r="AO228" i="117"/>
  <c r="AF228" i="117"/>
  <c r="AA212" i="117"/>
  <c r="P215" i="117"/>
  <c r="W216" i="117" a="1"/>
  <c r="W216" i="117" s="1"/>
  <c r="AR221" i="117" a="1"/>
  <c r="AR221" i="117" s="1"/>
  <c r="AJ223" i="117"/>
  <c r="O223" i="117"/>
  <c r="O228" i="117"/>
  <c r="AR233" i="117" a="1"/>
  <c r="AR233" i="117" s="1"/>
  <c r="P235" i="117"/>
  <c r="AK236" i="117" a="1"/>
  <c r="AK236" i="117" s="1"/>
  <c r="AQ237" i="117"/>
  <c r="AR244" i="117" a="1"/>
  <c r="AR244" i="117" s="1"/>
  <c r="AD244" i="117" a="1"/>
  <c r="AD244" i="117" s="1"/>
  <c r="AK244" i="117" a="1"/>
  <c r="AK244" i="117" s="1"/>
  <c r="AR239" i="117" a="1"/>
  <c r="AR239" i="117" s="1"/>
  <c r="AD239" i="117" a="1"/>
  <c r="AD239" i="117" s="1"/>
  <c r="AK239" i="117" a="1"/>
  <c r="AK239" i="117" s="1"/>
  <c r="AF247" i="117"/>
  <c r="C220" i="117"/>
  <c r="P228" i="117"/>
  <c r="AR228" i="117" a="1"/>
  <c r="AR228" i="117" s="1"/>
  <c r="W232" i="117" a="1"/>
  <c r="W232" i="117" s="1"/>
  <c r="C234" i="117"/>
  <c r="AD234" i="117" a="1"/>
  <c r="AD234" i="117" s="1"/>
  <c r="AR235" i="117" a="1"/>
  <c r="AR235" i="117" s="1"/>
  <c r="V237" i="117"/>
  <c r="AK233" i="117" a="1"/>
  <c r="AK233" i="117" s="1"/>
  <c r="AC236" i="117"/>
  <c r="AK245" i="117" a="1"/>
  <c r="AK245" i="117" s="1"/>
  <c r="AK229" i="117" a="1"/>
  <c r="AK229" i="117" s="1"/>
  <c r="C230" i="117"/>
  <c r="AC230" i="117"/>
  <c r="N235" i="117"/>
  <c r="Y235" i="117" s="1"/>
  <c r="AH237" i="117"/>
  <c r="O245" i="117"/>
  <c r="R247" i="117"/>
  <c r="AJ247" i="117"/>
  <c r="O225" i="117"/>
  <c r="AK228" i="117" a="1"/>
  <c r="AK228" i="117" s="1"/>
  <c r="T230" i="117"/>
  <c r="AJ237" i="117"/>
  <c r="AK241" i="117" a="1"/>
  <c r="AK241" i="117" s="1"/>
  <c r="P241" i="117"/>
  <c r="W241" i="117" a="1"/>
  <c r="W241" i="117" s="1"/>
  <c r="AK227" i="117" a="1"/>
  <c r="AK227" i="117" s="1"/>
  <c r="N240" i="117"/>
  <c r="AH240" i="117" s="1"/>
  <c r="AR242" i="117" a="1"/>
  <c r="AR242" i="117" s="1"/>
  <c r="AQ242" i="117"/>
  <c r="V230" i="117"/>
  <c r="W231" i="117" a="1"/>
  <c r="W231" i="117" s="1"/>
  <c r="AR234" i="117" a="1"/>
  <c r="AR234" i="117" s="1"/>
  <c r="AK235" i="117" a="1"/>
  <c r="AK235" i="117" s="1"/>
  <c r="AD243" i="117" a="1"/>
  <c r="AD243" i="117" s="1"/>
  <c r="AK243" i="117" a="1"/>
  <c r="AK243" i="117" s="1"/>
  <c r="AR243" i="117" a="1"/>
  <c r="AR243" i="117" s="1"/>
  <c r="AO247" i="117"/>
  <c r="N221" i="117"/>
  <c r="Y221" i="117" s="1"/>
  <c r="AR223" i="117" a="1"/>
  <c r="AR223" i="117" s="1"/>
  <c r="AJ225" i="117"/>
  <c r="AK226" i="117" a="1"/>
  <c r="AK226" i="117" s="1"/>
  <c r="W230" i="117" a="1"/>
  <c r="W230" i="117" s="1"/>
  <c r="P237" i="117"/>
  <c r="O239" i="117"/>
  <c r="T247" i="117"/>
  <c r="AM247" i="117"/>
  <c r="AC247" i="117"/>
  <c r="Y247" i="117"/>
  <c r="AQ247" i="117"/>
  <c r="W233" i="117" a="1"/>
  <c r="W233" i="117" s="1"/>
  <c r="AA247" i="117"/>
  <c r="P231" i="117"/>
  <c r="AD237" i="117" a="1"/>
  <c r="AD237" i="117" s="1"/>
  <c r="O238" i="117"/>
  <c r="AR238" i="117" a="1"/>
  <c r="AR238" i="117" s="1"/>
  <c r="AK240" i="117" a="1"/>
  <c r="AK240" i="117" s="1"/>
  <c r="N244" i="117"/>
  <c r="R244" i="117" s="1"/>
  <c r="W246" i="117" a="1"/>
  <c r="W246" i="117" s="1"/>
  <c r="AR250" i="117" a="1"/>
  <c r="AR250" i="117" s="1"/>
  <c r="AR254" i="117" a="1"/>
  <c r="AR254" i="117" s="1"/>
  <c r="AD254" i="117" a="1"/>
  <c r="AD254" i="117" s="1"/>
  <c r="P259" i="117"/>
  <c r="W259" i="117" a="1"/>
  <c r="W259" i="117" s="1"/>
  <c r="V259" i="117"/>
  <c r="AD245" i="117" a="1"/>
  <c r="AD245" i="117" s="1"/>
  <c r="C248" i="117"/>
  <c r="T248" i="117"/>
  <c r="AR259" i="117" a="1"/>
  <c r="AR259" i="117" s="1"/>
  <c r="AD259" i="117" a="1"/>
  <c r="AD259" i="117" s="1"/>
  <c r="P260" i="117"/>
  <c r="W260" i="117" a="1"/>
  <c r="W260" i="117" s="1"/>
  <c r="AM261" i="117"/>
  <c r="W243" i="117" a="1"/>
  <c r="W243" i="117" s="1"/>
  <c r="AF248" i="117"/>
  <c r="AO261" i="117"/>
  <c r="W242" i="117" a="1"/>
  <c r="W242" i="117" s="1"/>
  <c r="O246" i="117"/>
  <c r="V248" i="117"/>
  <c r="C251" i="117"/>
  <c r="N251" i="117"/>
  <c r="AA251" i="117" s="1"/>
  <c r="AD252" i="117" a="1"/>
  <c r="AD252" i="117" s="1"/>
  <c r="AK253" i="117" a="1"/>
  <c r="AK253" i="117" s="1"/>
  <c r="P246" i="117"/>
  <c r="W248" i="117" a="1"/>
  <c r="W248" i="117" s="1"/>
  <c r="AR248" i="117" a="1"/>
  <c r="AR248" i="117" s="1"/>
  <c r="AK254" i="117" a="1"/>
  <c r="AK254" i="117" s="1"/>
  <c r="C247" i="117"/>
  <c r="AD249" i="117" a="1"/>
  <c r="AD249" i="117" s="1"/>
  <c r="O250" i="117"/>
  <c r="AK250" i="117" a="1"/>
  <c r="AK250" i="117" s="1"/>
  <c r="P243" i="117"/>
  <c r="AJ248" i="117"/>
  <c r="W252" i="117" a="1"/>
  <c r="W252" i="117" s="1"/>
  <c r="AR252" i="117" a="1"/>
  <c r="AR252" i="117" s="1"/>
  <c r="O255" i="117"/>
  <c r="N245" i="117"/>
  <c r="T245" i="117" s="1"/>
  <c r="AR245" i="117" a="1"/>
  <c r="AR245" i="117" s="1"/>
  <c r="P247" i="117"/>
  <c r="V247" i="117"/>
  <c r="AK248" i="117" a="1"/>
  <c r="AK248" i="117" s="1"/>
  <c r="AC264" i="117"/>
  <c r="Y264" i="117"/>
  <c r="AF264" i="117"/>
  <c r="T264" i="117"/>
  <c r="AA264" i="117"/>
  <c r="AR241" i="117" a="1"/>
  <c r="AR241" i="117" s="1"/>
  <c r="W247" i="117" a="1"/>
  <c r="W247" i="117" s="1"/>
  <c r="W249" i="117" a="1"/>
  <c r="W249" i="117" s="1"/>
  <c r="O254" i="117"/>
  <c r="O257" i="117"/>
  <c r="O259" i="117"/>
  <c r="AF261" i="117"/>
  <c r="AA248" i="117"/>
  <c r="AK258" i="117" a="1"/>
  <c r="AK258" i="117" s="1"/>
  <c r="AR258" i="117" a="1"/>
  <c r="AR258" i="117" s="1"/>
  <c r="AH261" i="117"/>
  <c r="AC248" i="117"/>
  <c r="AR253" i="117" a="1"/>
  <c r="AR253" i="117" s="1"/>
  <c r="AJ261" i="117"/>
  <c r="C242" i="117"/>
  <c r="N249" i="117"/>
  <c r="AF249" i="117" s="1"/>
  <c r="V250" i="117"/>
  <c r="AQ250" i="117"/>
  <c r="AR255" i="117" a="1"/>
  <c r="AR255" i="117" s="1"/>
  <c r="AD255" i="117" a="1"/>
  <c r="AD255" i="117" s="1"/>
  <c r="AK259" i="117" a="1"/>
  <c r="AK259" i="117" s="1"/>
  <c r="C264" i="117"/>
  <c r="AD266" i="117" a="1"/>
  <c r="AD266" i="117" s="1"/>
  <c r="AA267" i="117"/>
  <c r="AR260" i="117" a="1"/>
  <c r="AR260" i="117" s="1"/>
  <c r="AC261" i="117"/>
  <c r="P264" i="117"/>
  <c r="W264" i="117" a="1"/>
  <c r="W264" i="117" s="1"/>
  <c r="V264" i="117"/>
  <c r="AK257" i="117" a="1"/>
  <c r="AK257" i="117" s="1"/>
  <c r="P258" i="117"/>
  <c r="AC259" i="117"/>
  <c r="AK263" i="117" a="1"/>
  <c r="AK263" i="117" s="1"/>
  <c r="AO267" i="117"/>
  <c r="AQ270" i="117"/>
  <c r="AQ276" i="117"/>
  <c r="AO276" i="117"/>
  <c r="AF276" i="117"/>
  <c r="V276" i="117"/>
  <c r="Y276" i="117"/>
  <c r="V281" i="117"/>
  <c r="AJ281" i="117"/>
  <c r="AM281" i="117"/>
  <c r="AC281" i="117"/>
  <c r="AA281" i="117"/>
  <c r="R281" i="117"/>
  <c r="Y281" i="117"/>
  <c r="P257" i="117"/>
  <c r="W258" i="117" a="1"/>
  <c r="W258" i="117" s="1"/>
  <c r="T261" i="117"/>
  <c r="AH264" i="117"/>
  <c r="C265" i="117"/>
  <c r="W266" i="117" a="1"/>
  <c r="W266" i="117" s="1"/>
  <c r="V266" i="117"/>
  <c r="AF266" i="117"/>
  <c r="AD267" i="117" a="1"/>
  <c r="AD267" i="117" s="1"/>
  <c r="P269" i="117"/>
  <c r="AA270" i="117"/>
  <c r="W256" i="117" a="1"/>
  <c r="W256" i="117" s="1"/>
  <c r="AA257" i="117"/>
  <c r="O260" i="117"/>
  <c r="AK260" i="117" a="1"/>
  <c r="AK260" i="117" s="1"/>
  <c r="V261" i="117"/>
  <c r="AQ261" i="117"/>
  <c r="AD262" i="117" a="1"/>
  <c r="AD262" i="117" s="1"/>
  <c r="P263" i="117"/>
  <c r="AH265" i="117"/>
  <c r="AR266" i="117" a="1"/>
  <c r="AR266" i="117" s="1"/>
  <c r="AC270" i="117"/>
  <c r="O270" i="117"/>
  <c r="AJ265" i="117"/>
  <c r="AF267" i="117"/>
  <c r="C269" i="117"/>
  <c r="N269" i="117"/>
  <c r="AC269" i="117" s="1"/>
  <c r="AK269" i="117" a="1"/>
  <c r="AK269" i="117" s="1"/>
  <c r="AJ278" i="117"/>
  <c r="R278" i="117"/>
  <c r="Y278" i="117"/>
  <c r="AM278" i="117"/>
  <c r="V278" i="117"/>
  <c r="AA278" i="117"/>
  <c r="O263" i="117"/>
  <c r="AK265" i="117" a="1"/>
  <c r="AK265" i="117" s="1"/>
  <c r="AF281" i="117"/>
  <c r="O256" i="117"/>
  <c r="AD257" i="117" a="1"/>
  <c r="AD257" i="117" s="1"/>
  <c r="P267" i="117"/>
  <c r="W267" i="117" a="1"/>
  <c r="W267" i="117" s="1"/>
  <c r="AH267" i="117"/>
  <c r="O273" i="117"/>
  <c r="AH281" i="117"/>
  <c r="C257" i="117"/>
  <c r="O258" i="117"/>
  <c r="AD263" i="117" a="1"/>
  <c r="AD263" i="117" s="1"/>
  <c r="AM264" i="117"/>
  <c r="AM265" i="117"/>
  <c r="W268" i="117" a="1"/>
  <c r="W268" i="117" s="1"/>
  <c r="AK268" i="117" a="1"/>
  <c r="AK268" i="117" s="1"/>
  <c r="R270" i="117"/>
  <c r="AH270" i="117"/>
  <c r="AK273" i="117" a="1"/>
  <c r="AK273" i="117" s="1"/>
  <c r="AD275" i="117" a="1"/>
  <c r="AD275" i="117" s="1"/>
  <c r="AR275" i="117" a="1"/>
  <c r="AR275" i="117" s="1"/>
  <c r="R276" i="117"/>
  <c r="AH276" i="117"/>
  <c r="AH255" i="117"/>
  <c r="O265" i="117"/>
  <c r="AK267" i="117" a="1"/>
  <c r="AK267" i="117" s="1"/>
  <c r="T270" i="117"/>
  <c r="T276" i="117"/>
  <c r="AJ276" i="117"/>
  <c r="AF278" i="117"/>
  <c r="O261" i="117"/>
  <c r="P270" i="117"/>
  <c r="W270" i="117" a="1"/>
  <c r="W270" i="117" s="1"/>
  <c r="AM276" i="117"/>
  <c r="T281" i="117"/>
  <c r="N260" i="117"/>
  <c r="V260" i="117" s="1"/>
  <c r="C260" i="117"/>
  <c r="P261" i="117"/>
  <c r="C263" i="117"/>
  <c r="N263" i="117"/>
  <c r="AA263" i="117" s="1"/>
  <c r="AQ264" i="117"/>
  <c r="AQ265" i="117"/>
  <c r="AD269" i="117" a="1"/>
  <c r="AD269" i="117" s="1"/>
  <c r="V270" i="117"/>
  <c r="AM270" i="117"/>
  <c r="AO281" i="117"/>
  <c r="AH285" i="117"/>
  <c r="AK286" i="117" a="1"/>
  <c r="AK286" i="117" s="1"/>
  <c r="AH286" i="117"/>
  <c r="AR274" i="117" a="1"/>
  <c r="AR274" i="117" s="1"/>
  <c r="AC278" i="117"/>
  <c r="C286" i="117"/>
  <c r="AJ286" i="117"/>
  <c r="AK276" i="117" a="1"/>
  <c r="AK276" i="117" s="1"/>
  <c r="O280" i="117"/>
  <c r="Y285" i="117"/>
  <c r="AJ285" i="117"/>
  <c r="AC276" i="117"/>
  <c r="AD292" i="117" a="1"/>
  <c r="AD292" i="117" s="1"/>
  <c r="AK292" i="117" a="1"/>
  <c r="AK292" i="117" s="1"/>
  <c r="AR292" i="117" a="1"/>
  <c r="AR292" i="117" s="1"/>
  <c r="AJ292" i="117"/>
  <c r="AD276" i="117" a="1"/>
  <c r="AD276" i="117" s="1"/>
  <c r="W278" i="117" a="1"/>
  <c r="W278" i="117" s="1"/>
  <c r="AK280" i="117" a="1"/>
  <c r="AK280" i="117" s="1"/>
  <c r="AK283" i="117" a="1"/>
  <c r="AK283" i="117" s="1"/>
  <c r="AR271" i="117" a="1"/>
  <c r="AR271" i="117" s="1"/>
  <c r="C274" i="117"/>
  <c r="AC274" i="117"/>
  <c r="AC275" i="117"/>
  <c r="N279" i="117"/>
  <c r="AO279" i="117" s="1"/>
  <c r="AR279" i="117" a="1"/>
  <c r="AR279" i="117" s="1"/>
  <c r="N283" i="117"/>
  <c r="AA283" i="117" s="1"/>
  <c r="C283" i="117"/>
  <c r="V284" i="117"/>
  <c r="AA285" i="117"/>
  <c r="AA286" i="117"/>
  <c r="N287" i="117"/>
  <c r="AJ287" i="117" s="1"/>
  <c r="P288" i="117"/>
  <c r="W288" i="117" a="1"/>
  <c r="W288" i="117" s="1"/>
  <c r="O269" i="117"/>
  <c r="AR270" i="117" a="1"/>
  <c r="AR270" i="117" s="1"/>
  <c r="W277" i="117" a="1"/>
  <c r="W277" i="117" s="1"/>
  <c r="O279" i="117"/>
  <c r="O282" i="117"/>
  <c r="W284" i="117" a="1"/>
  <c r="W284" i="117" s="1"/>
  <c r="R285" i="117"/>
  <c r="O289" i="117"/>
  <c r="AQ291" i="117"/>
  <c r="AF291" i="117"/>
  <c r="AC291" i="117"/>
  <c r="R291" i="117"/>
  <c r="AJ296" i="117"/>
  <c r="O296" i="117"/>
  <c r="V275" i="117"/>
  <c r="N277" i="117"/>
  <c r="Y277" i="117" s="1"/>
  <c r="AQ278" i="117"/>
  <c r="AQ281" i="117"/>
  <c r="AR285" i="117" a="1"/>
  <c r="AR285" i="117" s="1"/>
  <c r="AD285" i="117" a="1"/>
  <c r="AD285" i="117" s="1"/>
  <c r="AC285" i="117"/>
  <c r="AM285" i="117"/>
  <c r="O286" i="117"/>
  <c r="AC286" i="117"/>
  <c r="AO286" i="117"/>
  <c r="AR289" i="117" a="1"/>
  <c r="AR289" i="117" s="1"/>
  <c r="AR295" i="117" a="1"/>
  <c r="AR295" i="117" s="1"/>
  <c r="AD295" i="117" a="1"/>
  <c r="AD295" i="117" s="1"/>
  <c r="W275" i="117" a="1"/>
  <c r="W275" i="117" s="1"/>
  <c r="AH278" i="117"/>
  <c r="AR281" i="117" a="1"/>
  <c r="AR281" i="117" s="1"/>
  <c r="T285" i="117"/>
  <c r="AQ286" i="117"/>
  <c r="AK270" i="117" a="1"/>
  <c r="AK270" i="117" s="1"/>
  <c r="AD282" i="117" a="1"/>
  <c r="AD282" i="117" s="1"/>
  <c r="AJ284" i="117"/>
  <c r="AO285" i="117"/>
  <c r="R286" i="117"/>
  <c r="AR286" i="117" a="1"/>
  <c r="AR286" i="117" s="1"/>
  <c r="C288" i="117"/>
  <c r="N288" i="117"/>
  <c r="AM288" i="117" s="1"/>
  <c r="N290" i="117"/>
  <c r="AH290" i="117" s="1"/>
  <c r="C290" i="117"/>
  <c r="AH291" i="117"/>
  <c r="O276" i="117"/>
  <c r="O283" i="117"/>
  <c r="AK284" i="117" a="1"/>
  <c r="AK284" i="117" s="1"/>
  <c r="V285" i="117"/>
  <c r="AF286" i="117"/>
  <c r="AJ291" i="117"/>
  <c r="O291" i="117"/>
  <c r="AK293" i="117" a="1"/>
  <c r="AK293" i="117" s="1"/>
  <c r="AD293" i="117" a="1"/>
  <c r="AD293" i="117" s="1"/>
  <c r="AK281" i="117" a="1"/>
  <c r="AK281" i="117" s="1"/>
  <c r="O288" i="117"/>
  <c r="AR288" i="117" a="1"/>
  <c r="AR288" i="117" s="1"/>
  <c r="AR291" i="117" a="1"/>
  <c r="AR291" i="117" s="1"/>
  <c r="AK291" i="117" a="1"/>
  <c r="AK291" i="117" s="1"/>
  <c r="AH284" i="117"/>
  <c r="AC292" i="117"/>
  <c r="W293" i="117" a="1"/>
  <c r="W293" i="117" s="1"/>
  <c r="O298" i="117"/>
  <c r="AM298" i="117"/>
  <c r="O299" i="117"/>
  <c r="AK299" i="117" a="1"/>
  <c r="AK299" i="117" s="1"/>
  <c r="AA301" i="117"/>
  <c r="AD304" i="117" a="1"/>
  <c r="AD304" i="117" s="1"/>
  <c r="AA306" i="117"/>
  <c r="AQ306" i="117"/>
  <c r="T307" i="117"/>
  <c r="AR302" i="117" a="1"/>
  <c r="AR302" i="117" s="1"/>
  <c r="O306" i="117"/>
  <c r="AC306" i="117"/>
  <c r="AM299" i="117"/>
  <c r="AC301" i="117"/>
  <c r="AD305" i="117" a="1"/>
  <c r="AD305" i="117" s="1"/>
  <c r="AR305" i="117" a="1"/>
  <c r="AR305" i="117" s="1"/>
  <c r="AO292" i="117"/>
  <c r="AC300" i="117"/>
  <c r="C303" i="117"/>
  <c r="N303" i="117"/>
  <c r="T303" i="117" s="1"/>
  <c r="Y307" i="117"/>
  <c r="V292" i="117"/>
  <c r="AA295" i="117"/>
  <c r="AM295" i="117"/>
  <c r="AR298" i="117" a="1"/>
  <c r="AR298" i="117" s="1"/>
  <c r="AD298" i="117" a="1"/>
  <c r="AD298" i="117" s="1"/>
  <c r="AO300" i="117"/>
  <c r="AF306" i="117"/>
  <c r="W287" i="117" a="1"/>
  <c r="W287" i="117" s="1"/>
  <c r="AQ292" i="117"/>
  <c r="W294" i="117" a="1"/>
  <c r="W294" i="117" s="1"/>
  <c r="AC295" i="117"/>
  <c r="AA296" i="117"/>
  <c r="AO296" i="117"/>
  <c r="O297" i="117"/>
  <c r="AH298" i="117"/>
  <c r="R300" i="117"/>
  <c r="AQ300" i="117"/>
  <c r="O290" i="117"/>
  <c r="AM291" i="117"/>
  <c r="R295" i="117"/>
  <c r="AO295" i="117"/>
  <c r="AK297" i="117" a="1"/>
  <c r="AK297" i="117" s="1"/>
  <c r="C299" i="117"/>
  <c r="AQ299" i="117"/>
  <c r="AF300" i="117"/>
  <c r="AK302" i="117" a="1"/>
  <c r="AK302" i="117" s="1"/>
  <c r="W304" i="117" a="1"/>
  <c r="W304" i="117" s="1"/>
  <c r="P304" i="117"/>
  <c r="R306" i="117"/>
  <c r="AC307" i="117"/>
  <c r="AK304" i="117" a="1"/>
  <c r="AK304" i="117" s="1"/>
  <c r="AJ306" i="117"/>
  <c r="AK306" i="117" a="1"/>
  <c r="AK306" i="117" s="1"/>
  <c r="AF307" i="117"/>
  <c r="AK300" i="117" a="1"/>
  <c r="AK300" i="117" s="1"/>
  <c r="AR300" i="117" a="1"/>
  <c r="AR300" i="117" s="1"/>
  <c r="V301" i="117"/>
  <c r="P301" i="117"/>
  <c r="W301" i="117" a="1"/>
  <c r="W301" i="117" s="1"/>
  <c r="AC305" i="117"/>
  <c r="V295" i="117"/>
  <c r="W295" i="117" a="1"/>
  <c r="W295" i="117" s="1"/>
  <c r="P300" i="117"/>
  <c r="W300" i="117" a="1"/>
  <c r="W300" i="117" s="1"/>
  <c r="V300" i="117"/>
  <c r="T306" i="117"/>
  <c r="AM306" i="117"/>
  <c r="R307" i="117"/>
  <c r="AF310" i="117"/>
  <c r="P291" i="117"/>
  <c r="W291" i="117" a="1"/>
  <c r="W291" i="117" s="1"/>
  <c r="V291" i="117"/>
  <c r="AK296" i="117" a="1"/>
  <c r="AK296" i="117" s="1"/>
  <c r="Y299" i="117"/>
  <c r="P306" i="117"/>
  <c r="W306" i="117" a="1"/>
  <c r="W306" i="117" s="1"/>
  <c r="V306" i="117"/>
  <c r="AJ307" i="117"/>
  <c r="AH310" i="117"/>
  <c r="AQ284" i="117"/>
  <c r="AJ299" i="117"/>
  <c r="AM307" i="117"/>
  <c r="R310" i="117"/>
  <c r="AD308" i="117" a="1"/>
  <c r="AD308" i="117" s="1"/>
  <c r="AK309" i="117" a="1"/>
  <c r="AK309" i="117" s="1"/>
  <c r="C310" i="117"/>
  <c r="AC311" i="117"/>
  <c r="P316" i="117"/>
  <c r="O318" i="117"/>
  <c r="C320" i="117"/>
  <c r="N320" i="117"/>
  <c r="AM320" i="117" s="1"/>
  <c r="AH307" i="117"/>
  <c r="AQ310" i="117"/>
  <c r="P318" i="117"/>
  <c r="W318" i="117" a="1"/>
  <c r="W318" i="117" s="1"/>
  <c r="V310" i="117"/>
  <c r="AR310" i="117" a="1"/>
  <c r="AR310" i="117" s="1"/>
  <c r="N316" i="117"/>
  <c r="AQ316" i="117" s="1"/>
  <c r="C316" i="117"/>
  <c r="AK316" i="117" a="1"/>
  <c r="AK316" i="117" s="1"/>
  <c r="P308" i="117"/>
  <c r="V308" i="117"/>
  <c r="W310" i="117" a="1"/>
  <c r="W310" i="117" s="1"/>
  <c r="AQ311" i="117"/>
  <c r="AD312" i="117" a="1"/>
  <c r="AD312" i="117" s="1"/>
  <c r="O313" i="117"/>
  <c r="AA313" i="117"/>
  <c r="N302" i="117"/>
  <c r="V302" i="117" s="1"/>
  <c r="AR306" i="117" a="1"/>
  <c r="AR306" i="117" s="1"/>
  <c r="O307" i="117"/>
  <c r="AK307" i="117" a="1"/>
  <c r="AK307" i="117" s="1"/>
  <c r="W308" i="117" a="1"/>
  <c r="W308" i="117" s="1"/>
  <c r="AR308" i="117" a="1"/>
  <c r="AR308" i="117" s="1"/>
  <c r="AD309" i="117" a="1"/>
  <c r="AD309" i="117" s="1"/>
  <c r="C311" i="117"/>
  <c r="V311" i="117"/>
  <c r="P313" i="117"/>
  <c r="AD314" i="117" a="1"/>
  <c r="AD314" i="117" s="1"/>
  <c r="AR314" i="117" a="1"/>
  <c r="AR314" i="117" s="1"/>
  <c r="C318" i="117"/>
  <c r="N318" i="117"/>
  <c r="AO318" i="117" s="1"/>
  <c r="AA307" i="117"/>
  <c r="AJ310" i="117"/>
  <c r="AD313" i="117" a="1"/>
  <c r="AD313" i="117" s="1"/>
  <c r="AR315" i="117" a="1"/>
  <c r="AR315" i="117" s="1"/>
  <c r="AK315" i="117" a="1"/>
  <c r="AK315" i="117" s="1"/>
  <c r="AK310" i="117" a="1"/>
  <c r="AK310" i="117" s="1"/>
  <c r="N315" i="117"/>
  <c r="AJ315" i="117" s="1"/>
  <c r="C315" i="117"/>
  <c r="AR301" i="117" a="1"/>
  <c r="AR301" i="117" s="1"/>
  <c r="AK303" i="117" a="1"/>
  <c r="AK303" i="117" s="1"/>
  <c r="N309" i="117"/>
  <c r="Y309" i="117" s="1"/>
  <c r="C309" i="117"/>
  <c r="O310" i="117"/>
  <c r="AH311" i="117"/>
  <c r="C312" i="117"/>
  <c r="N312" i="117"/>
  <c r="AA312" i="117" s="1"/>
  <c r="P312" i="117"/>
  <c r="AR312" i="117" a="1"/>
  <c r="AR312" i="117" s="1"/>
  <c r="AR313" i="117" a="1"/>
  <c r="AR313" i="117" s="1"/>
  <c r="O316" i="117"/>
  <c r="AH306" i="117"/>
  <c r="AD307" i="117" a="1"/>
  <c r="AD307" i="117" s="1"/>
  <c r="Y311" i="117"/>
  <c r="AJ311" i="117"/>
  <c r="P314" i="117"/>
  <c r="V314" i="117"/>
  <c r="C319" i="117"/>
  <c r="N319" i="117"/>
  <c r="Y319" i="117" s="1"/>
  <c r="AA310" i="117"/>
  <c r="AK311" i="117" a="1"/>
  <c r="AK311" i="117" s="1"/>
  <c r="W314" i="117" a="1"/>
  <c r="W314" i="117" s="1"/>
  <c r="P317" i="117"/>
  <c r="W317" i="117" a="1"/>
  <c r="W317" i="117" s="1"/>
  <c r="O321" i="117"/>
  <c r="W305" i="117" a="1"/>
  <c r="W305" i="117" s="1"/>
  <c r="V307" i="117"/>
  <c r="AQ307" i="117"/>
  <c r="AC310" i="117"/>
  <c r="O311" i="117"/>
  <c r="W313" i="117" a="1"/>
  <c r="W313" i="117" s="1"/>
  <c r="AJ313" i="117"/>
  <c r="O314" i="117"/>
  <c r="AK317" i="117" a="1"/>
  <c r="AK317" i="117" s="1"/>
  <c r="AO305" i="117"/>
  <c r="AC308" i="117"/>
  <c r="O315" i="117"/>
  <c r="N317" i="117"/>
  <c r="C317" i="117"/>
  <c r="P321" i="117"/>
  <c r="W321" i="117" a="1"/>
  <c r="W321" i="117" s="1"/>
  <c r="C324" i="117"/>
  <c r="N324" i="117"/>
  <c r="T324" i="117" s="1"/>
  <c r="AD325" i="117" a="1"/>
  <c r="AD325" i="117" s="1"/>
  <c r="AR325" i="117" a="1"/>
  <c r="AR325" i="117" s="1"/>
  <c r="P326" i="117"/>
  <c r="AK328" i="117" a="1"/>
  <c r="AK328" i="117" s="1"/>
  <c r="AF329" i="117"/>
  <c r="Y332" i="117"/>
  <c r="AK326" i="117" a="1"/>
  <c r="AK326" i="117" s="1"/>
  <c r="AA331" i="117"/>
  <c r="C326" i="117"/>
  <c r="N326" i="117"/>
  <c r="O327" i="117"/>
  <c r="AD327" i="117" a="1"/>
  <c r="AD327" i="117" s="1"/>
  <c r="AH329" i="117"/>
  <c r="AA332" i="117"/>
  <c r="N321" i="117"/>
  <c r="AH321" i="117" s="1"/>
  <c r="C321" i="117"/>
  <c r="O322" i="117"/>
  <c r="AD322" i="117" a="1"/>
  <c r="AD322" i="117" s="1"/>
  <c r="AR322" i="117" a="1"/>
  <c r="AR322" i="117" s="1"/>
  <c r="P323" i="117"/>
  <c r="N328" i="117"/>
  <c r="Y328" i="117" s="1"/>
  <c r="C328" i="117"/>
  <c r="AJ329" i="117"/>
  <c r="AF331" i="117"/>
  <c r="AC332" i="117"/>
  <c r="W323" i="117" a="1"/>
  <c r="W323" i="117" s="1"/>
  <c r="AK323" i="117" a="1"/>
  <c r="AK323" i="117" s="1"/>
  <c r="N323" i="117"/>
  <c r="AH323" i="117" s="1"/>
  <c r="C323" i="117"/>
  <c r="O324" i="117"/>
  <c r="AD324" i="117" a="1"/>
  <c r="AD324" i="117" s="1"/>
  <c r="AR324" i="117" a="1"/>
  <c r="AR324" i="117" s="1"/>
  <c r="P325" i="117"/>
  <c r="AR328" i="117" a="1"/>
  <c r="AR328" i="117" s="1"/>
  <c r="P320" i="117"/>
  <c r="AD329" i="117" a="1"/>
  <c r="AD329" i="117" s="1"/>
  <c r="AK329" i="117" a="1"/>
  <c r="AK329" i="117" s="1"/>
  <c r="AO329" i="117"/>
  <c r="AJ331" i="117"/>
  <c r="AH332" i="117"/>
  <c r="W320" i="117" a="1"/>
  <c r="W320" i="117" s="1"/>
  <c r="C325" i="117"/>
  <c r="N325" i="117"/>
  <c r="R325" i="117" s="1"/>
  <c r="AD326" i="117" a="1"/>
  <c r="AD326" i="117" s="1"/>
  <c r="P327" i="117"/>
  <c r="AQ329" i="117"/>
  <c r="R331" i="117"/>
  <c r="AM331" i="117"/>
  <c r="AJ332" i="117"/>
  <c r="P322" i="117"/>
  <c r="O328" i="117"/>
  <c r="AR329" i="117" a="1"/>
  <c r="AR329" i="117" s="1"/>
  <c r="T331" i="117"/>
  <c r="R332" i="117"/>
  <c r="AM332" i="117"/>
  <c r="W322" i="117" a="1"/>
  <c r="W322" i="117" s="1"/>
  <c r="N327" i="117"/>
  <c r="AQ327" i="117" s="1"/>
  <c r="C327" i="117"/>
  <c r="AO331" i="117"/>
  <c r="T332" i="117"/>
  <c r="N322" i="117"/>
  <c r="AO322" i="117" s="1"/>
  <c r="C322" i="117"/>
  <c r="O323" i="117"/>
  <c r="AD323" i="117" a="1"/>
  <c r="AD323" i="117" s="1"/>
  <c r="P324" i="117"/>
  <c r="AA329" i="117"/>
  <c r="AQ331" i="117"/>
  <c r="V332" i="117"/>
  <c r="P319" i="117"/>
  <c r="AC329" i="117"/>
  <c r="Y331" i="117"/>
  <c r="AQ332" i="117"/>
  <c r="AD331" i="117" a="1"/>
  <c r="AD331" i="117" s="1"/>
  <c r="AK332" i="117" a="1"/>
  <c r="AK332" i="117" s="1"/>
  <c r="P329" i="117"/>
  <c r="N330" i="117"/>
  <c r="AA330" i="117" s="1"/>
  <c r="V331" i="117"/>
  <c r="AD332" i="117" a="1"/>
  <c r="AD332" i="117" s="1"/>
  <c r="C329" i="117"/>
  <c r="AR330" i="117" a="1"/>
  <c r="AR330" i="117" s="1"/>
  <c r="AK330" i="117" a="1"/>
  <c r="AK330" i="117" s="1"/>
  <c r="AR331" i="117" a="1"/>
  <c r="AR331" i="117" s="1"/>
  <c r="P20" i="116"/>
  <c r="P128" i="116"/>
  <c r="P152" i="116"/>
  <c r="P164" i="116"/>
  <c r="P176" i="116"/>
  <c r="P188" i="116"/>
  <c r="P200" i="116"/>
  <c r="P212" i="116"/>
  <c r="P224" i="116"/>
  <c r="P236" i="116"/>
  <c r="P248" i="116"/>
  <c r="M250" i="116"/>
  <c r="P260" i="116"/>
  <c r="M262" i="116"/>
  <c r="P272" i="116"/>
  <c r="M274" i="116"/>
  <c r="P284" i="116"/>
  <c r="M286" i="116"/>
  <c r="P296" i="116"/>
  <c r="M298" i="116"/>
  <c r="P308" i="116"/>
  <c r="M310" i="116"/>
  <c r="P320" i="116"/>
  <c r="M329" i="116"/>
  <c r="P44" i="116"/>
  <c r="P104" i="116"/>
  <c r="M276" i="116"/>
  <c r="P8" i="116"/>
  <c r="P32" i="116"/>
  <c r="P56" i="116"/>
  <c r="P92" i="116"/>
  <c r="P11" i="116"/>
  <c r="P68" i="116"/>
  <c r="P80" i="116"/>
  <c r="P116" i="116"/>
  <c r="P140" i="116"/>
  <c r="M2" i="116"/>
  <c r="M14" i="116"/>
  <c r="M26" i="116"/>
  <c r="M38" i="116"/>
  <c r="M50" i="116"/>
  <c r="M62" i="116"/>
  <c r="M74" i="116"/>
  <c r="M86" i="116"/>
  <c r="M98" i="116"/>
  <c r="M110" i="116"/>
  <c r="M122" i="116"/>
  <c r="M134" i="116"/>
  <c r="M146" i="116"/>
  <c r="M158" i="116"/>
  <c r="M170" i="116"/>
  <c r="M182" i="116"/>
  <c r="M194" i="116"/>
  <c r="M206" i="116"/>
  <c r="M218" i="116"/>
  <c r="M230" i="116"/>
  <c r="M242" i="116"/>
  <c r="M254" i="116"/>
  <c r="M266" i="116"/>
  <c r="M278" i="116"/>
  <c r="M290" i="116"/>
  <c r="M302" i="116"/>
  <c r="M314" i="116"/>
  <c r="M268" i="116"/>
  <c r="M328" i="116"/>
  <c r="M23" i="116"/>
  <c r="M107" i="116"/>
  <c r="M119" i="116"/>
  <c r="M131" i="116"/>
  <c r="M143" i="116"/>
  <c r="M155" i="116"/>
  <c r="M167" i="116"/>
  <c r="M179" i="116"/>
  <c r="M191" i="116"/>
  <c r="M203" i="116"/>
  <c r="M215" i="116"/>
  <c r="M227" i="116"/>
  <c r="M239" i="116"/>
  <c r="M251" i="116"/>
  <c r="M263" i="116"/>
  <c r="M275" i="116"/>
  <c r="M287" i="116"/>
  <c r="M42" i="116"/>
  <c r="M54" i="116"/>
  <c r="M66" i="116"/>
  <c r="M78" i="116"/>
  <c r="M90" i="116"/>
  <c r="M270" i="116"/>
  <c r="M294" i="116"/>
  <c r="M306" i="116"/>
  <c r="M318" i="116"/>
  <c r="M330" i="116"/>
  <c r="V293" i="117" l="1"/>
  <c r="AC128" i="117"/>
  <c r="AJ267" i="117"/>
  <c r="AO256" i="117"/>
  <c r="V74" i="117"/>
  <c r="AQ304" i="117"/>
  <c r="V267" i="117"/>
  <c r="AC256" i="117"/>
  <c r="T267" i="117"/>
  <c r="R225" i="117"/>
  <c r="V225" i="117"/>
  <c r="AQ266" i="117"/>
  <c r="AC266" i="117"/>
  <c r="AJ256" i="117"/>
  <c r="R267" i="117"/>
  <c r="T122" i="117"/>
  <c r="T200" i="117"/>
  <c r="V200" i="117"/>
  <c r="V280" i="117"/>
  <c r="AC122" i="117"/>
  <c r="V256" i="117"/>
  <c r="AJ252" i="117"/>
  <c r="AM253" i="117"/>
  <c r="AJ162" i="117"/>
  <c r="AQ87" i="117"/>
  <c r="V162" i="117"/>
  <c r="AH75" i="117"/>
  <c r="AQ301" i="117"/>
  <c r="AF246" i="117"/>
  <c r="T301" i="117"/>
  <c r="AA293" i="117"/>
  <c r="AA271" i="117"/>
  <c r="AQ273" i="117"/>
  <c r="AJ273" i="117"/>
  <c r="V199" i="117"/>
  <c r="AC273" i="117"/>
  <c r="V101" i="117"/>
  <c r="T232" i="117"/>
  <c r="AQ272" i="117"/>
  <c r="AJ293" i="117"/>
  <c r="AQ293" i="117"/>
  <c r="AF301" i="117"/>
  <c r="V273" i="117"/>
  <c r="AO301" i="117"/>
  <c r="R301" i="117"/>
  <c r="AA256" i="117"/>
  <c r="AQ101" i="117"/>
  <c r="T6" i="117"/>
  <c r="H5" i="83"/>
  <c r="H4" i="83"/>
  <c r="H6" i="83"/>
  <c r="H3" i="83"/>
  <c r="H7" i="83"/>
  <c r="AQ232" i="117"/>
  <c r="AC314" i="117"/>
  <c r="AH162" i="117"/>
  <c r="AC231" i="117"/>
  <c r="AJ222" i="117"/>
  <c r="V252" i="117"/>
  <c r="AQ162" i="117"/>
  <c r="AO162" i="117"/>
  <c r="AA162" i="117"/>
  <c r="AC74" i="117"/>
  <c r="R233" i="117"/>
  <c r="AJ233" i="117"/>
  <c r="AJ272" i="117"/>
  <c r="F17" i="114"/>
  <c r="E17" i="114"/>
  <c r="AC232" i="117"/>
  <c r="V231" i="117"/>
  <c r="AM252" i="117"/>
  <c r="AQ173" i="117"/>
  <c r="AM75" i="117"/>
  <c r="T225" i="117"/>
  <c r="R262" i="117"/>
  <c r="AC252" i="117"/>
  <c r="AJ231" i="117"/>
  <c r="AH232" i="117"/>
  <c r="AH293" i="117"/>
  <c r="AJ99" i="117"/>
  <c r="AM173" i="117"/>
  <c r="T284" i="117"/>
  <c r="AH301" i="117"/>
  <c r="AF225" i="117"/>
  <c r="AM301" i="117"/>
  <c r="Y273" i="117"/>
  <c r="Y225" i="117"/>
  <c r="AJ207" i="117"/>
  <c r="V116" i="117"/>
  <c r="AJ75" i="117"/>
  <c r="T231" i="117"/>
  <c r="AC142" i="117"/>
  <c r="AC284" i="117"/>
  <c r="AA128" i="117"/>
  <c r="T293" i="117"/>
  <c r="R293" i="117"/>
  <c r="AF273" i="117"/>
  <c r="AO284" i="117"/>
  <c r="AF284" i="117"/>
  <c r="AA233" i="117"/>
  <c r="AA284" i="117"/>
  <c r="AA174" i="117"/>
  <c r="AM74" i="117"/>
  <c r="AA273" i="117"/>
  <c r="R226" i="117"/>
  <c r="AM267" i="117"/>
  <c r="AJ85" i="117"/>
  <c r="AM273" i="117"/>
  <c r="AC174" i="117"/>
  <c r="R174" i="117"/>
  <c r="AQ75" i="117"/>
  <c r="AH233" i="117"/>
  <c r="T75" i="117"/>
  <c r="AC39" i="117"/>
  <c r="AC233" i="117"/>
  <c r="AF233" i="117"/>
  <c r="AQ233" i="117"/>
  <c r="AC293" i="117"/>
  <c r="V19" i="117"/>
  <c r="AF174" i="117"/>
  <c r="AO174" i="117"/>
  <c r="Y75" i="117"/>
  <c r="AM113" i="117"/>
  <c r="AA56" i="117"/>
  <c r="AC267" i="117"/>
  <c r="AM284" i="117"/>
  <c r="AO75" i="117"/>
  <c r="AC40" i="117"/>
  <c r="Y174" i="117"/>
  <c r="AF75" i="117"/>
  <c r="Y295" i="117"/>
  <c r="T250" i="117"/>
  <c r="AC85" i="117"/>
  <c r="Y196" i="117"/>
  <c r="AQ256" i="117"/>
  <c r="V72" i="117"/>
  <c r="AH272" i="117"/>
  <c r="AJ95" i="117"/>
  <c r="R250" i="117"/>
  <c r="AM71" i="117"/>
  <c r="AH29" i="117"/>
  <c r="Y29" i="117"/>
  <c r="AF232" i="117"/>
  <c r="AO200" i="117"/>
  <c r="AF72" i="117"/>
  <c r="AF271" i="117"/>
  <c r="AO196" i="117"/>
  <c r="V42" i="117"/>
  <c r="T42" i="117"/>
  <c r="AA42" i="117"/>
  <c r="AH199" i="117"/>
  <c r="V40" i="117"/>
  <c r="AA250" i="117"/>
  <c r="T199" i="117"/>
  <c r="AJ199" i="117"/>
  <c r="AA142" i="117"/>
  <c r="AA199" i="117"/>
  <c r="AA29" i="117"/>
  <c r="V173" i="117"/>
  <c r="AC72" i="117"/>
  <c r="AJ26" i="117"/>
  <c r="R284" i="117"/>
  <c r="AQ174" i="117"/>
  <c r="V174" i="117"/>
  <c r="AM42" i="117"/>
  <c r="AJ266" i="117"/>
  <c r="AH19" i="117"/>
  <c r="AA253" i="117"/>
  <c r="AO199" i="117"/>
  <c r="AF29" i="117"/>
  <c r="AH256" i="117"/>
  <c r="R42" i="117"/>
  <c r="T253" i="117"/>
  <c r="AO253" i="117"/>
  <c r="V56" i="117"/>
  <c r="T72" i="117"/>
  <c r="Y199" i="117"/>
  <c r="AF162" i="117"/>
  <c r="V113" i="117"/>
  <c r="T295" i="117"/>
  <c r="AJ295" i="117"/>
  <c r="R199" i="117"/>
  <c r="AQ74" i="117"/>
  <c r="AO19" i="117"/>
  <c r="R85" i="117"/>
  <c r="AM29" i="117"/>
  <c r="AC29" i="117"/>
  <c r="AF252" i="117"/>
  <c r="R253" i="117"/>
  <c r="AC254" i="117"/>
  <c r="AO250" i="117"/>
  <c r="AM196" i="117"/>
  <c r="R71" i="117"/>
  <c r="AA85" i="117"/>
  <c r="AH175" i="117"/>
  <c r="AC250" i="117"/>
  <c r="T99" i="117"/>
  <c r="AJ74" i="117"/>
  <c r="AQ39" i="117"/>
  <c r="AH252" i="117"/>
  <c r="AO273" i="117"/>
  <c r="AA266" i="117"/>
  <c r="Y250" i="117"/>
  <c r="AM256" i="117"/>
  <c r="T174" i="117"/>
  <c r="AF101" i="117"/>
  <c r="AC75" i="117"/>
  <c r="AA101" i="117"/>
  <c r="V29" i="117"/>
  <c r="AF74" i="117"/>
  <c r="V22" i="117"/>
  <c r="R74" i="117"/>
  <c r="AH250" i="117"/>
  <c r="V85" i="117"/>
  <c r="AJ87" i="117"/>
  <c r="V71" i="117"/>
  <c r="AH295" i="117"/>
  <c r="V233" i="117"/>
  <c r="AA225" i="117"/>
  <c r="AO232" i="117"/>
  <c r="AM228" i="117"/>
  <c r="AF293" i="117"/>
  <c r="AM233" i="117"/>
  <c r="R56" i="117"/>
  <c r="V99" i="117"/>
  <c r="AM255" i="117"/>
  <c r="T256" i="117"/>
  <c r="R196" i="117"/>
  <c r="T29" i="117"/>
  <c r="AM250" i="117"/>
  <c r="AQ199" i="117"/>
  <c r="R63" i="117"/>
  <c r="AC253" i="117"/>
  <c r="AM225" i="117"/>
  <c r="Y256" i="117"/>
  <c r="Y175" i="117"/>
  <c r="AF199" i="117"/>
  <c r="AC87" i="117"/>
  <c r="AQ42" i="117"/>
  <c r="AH266" i="117"/>
  <c r="AQ253" i="117"/>
  <c r="AO113" i="117"/>
  <c r="AF229" i="117"/>
  <c r="Y255" i="117"/>
  <c r="AH33" i="117"/>
  <c r="Y253" i="117"/>
  <c r="T196" i="117"/>
  <c r="AC280" i="117"/>
  <c r="AQ255" i="117"/>
  <c r="AC255" i="117"/>
  <c r="AC226" i="117"/>
  <c r="R162" i="117"/>
  <c r="AO87" i="117"/>
  <c r="AQ85" i="117"/>
  <c r="Y301" i="117"/>
  <c r="AF250" i="117"/>
  <c r="R229" i="117"/>
  <c r="T266" i="117"/>
  <c r="Y162" i="117"/>
  <c r="R75" i="117"/>
  <c r="AH74" i="117"/>
  <c r="AC160" i="117"/>
  <c r="AM85" i="117"/>
  <c r="AH273" i="117"/>
  <c r="AH228" i="117"/>
  <c r="AA75" i="117"/>
  <c r="AJ253" i="117"/>
  <c r="AH253" i="117"/>
  <c r="AM122" i="117"/>
  <c r="T39" i="117"/>
  <c r="AO160" i="117"/>
  <c r="R87" i="117"/>
  <c r="AJ113" i="117"/>
  <c r="AM266" i="117"/>
  <c r="AF256" i="117"/>
  <c r="AO266" i="117"/>
  <c r="AH142" i="117"/>
  <c r="V39" i="117"/>
  <c r="R124" i="117"/>
  <c r="AH42" i="117"/>
  <c r="T87" i="117"/>
  <c r="AQ295" i="117"/>
  <c r="C8" i="114"/>
  <c r="F8" i="114" s="1"/>
  <c r="C9" i="114"/>
  <c r="E9" i="114" s="1"/>
  <c r="C7" i="114"/>
  <c r="F7" i="114" s="1"/>
  <c r="C6" i="114"/>
  <c r="E6" i="114" s="1"/>
  <c r="C3" i="114"/>
  <c r="C4" i="114"/>
  <c r="F4" i="114" s="1"/>
  <c r="C5" i="114"/>
  <c r="F5" i="114" s="1"/>
  <c r="AF196" i="117"/>
  <c r="T255" i="117"/>
  <c r="AO122" i="117"/>
  <c r="AO63" i="117"/>
  <c r="T74" i="117"/>
  <c r="AA74" i="117"/>
  <c r="AO8" i="117"/>
  <c r="AA15" i="117"/>
  <c r="AM231" i="117"/>
  <c r="AC229" i="117"/>
  <c r="AC113" i="117"/>
  <c r="T226" i="117"/>
  <c r="AJ255" i="117"/>
  <c r="V122" i="117"/>
  <c r="AH113" i="117"/>
  <c r="T63" i="117"/>
  <c r="AM46" i="117"/>
  <c r="AA18" i="117"/>
  <c r="AJ19" i="117"/>
  <c r="AO225" i="117"/>
  <c r="R255" i="117"/>
  <c r="AH225" i="117"/>
  <c r="AF85" i="117"/>
  <c r="T233" i="117"/>
  <c r="Y231" i="117"/>
  <c r="AO32" i="117"/>
  <c r="AA122" i="117"/>
  <c r="AH160" i="117"/>
  <c r="AC78" i="117"/>
  <c r="AF87" i="117"/>
  <c r="AH39" i="117"/>
  <c r="Y85" i="117"/>
  <c r="R122" i="117"/>
  <c r="AA87" i="117"/>
  <c r="AF280" i="117"/>
  <c r="T280" i="117"/>
  <c r="AQ63" i="117"/>
  <c r="AC63" i="117"/>
  <c r="AF255" i="117"/>
  <c r="T85" i="117"/>
  <c r="AA196" i="117"/>
  <c r="Y293" i="117"/>
  <c r="AQ29" i="117"/>
  <c r="R273" i="117"/>
  <c r="Y271" i="117"/>
  <c r="R209" i="117"/>
  <c r="AQ225" i="117"/>
  <c r="AJ122" i="117"/>
  <c r="AF122" i="117"/>
  <c r="AO233" i="117"/>
  <c r="Y280" i="117"/>
  <c r="AH12" i="117"/>
  <c r="R12" i="117"/>
  <c r="R29" i="117"/>
  <c r="AJ29" i="117"/>
  <c r="AO294" i="117"/>
  <c r="AF124" i="117"/>
  <c r="AF294" i="117"/>
  <c r="AA232" i="117"/>
  <c r="AQ142" i="117"/>
  <c r="AA124" i="117"/>
  <c r="T294" i="117"/>
  <c r="AM294" i="117"/>
  <c r="V294" i="117"/>
  <c r="AH294" i="117"/>
  <c r="AM72" i="117"/>
  <c r="AM142" i="117"/>
  <c r="AF142" i="117"/>
  <c r="AJ142" i="117"/>
  <c r="AC318" i="117"/>
  <c r="AC124" i="117"/>
  <c r="AO142" i="117"/>
  <c r="AO124" i="117"/>
  <c r="AC325" i="117"/>
  <c r="AO319" i="117"/>
  <c r="T124" i="117"/>
  <c r="Y124" i="117"/>
  <c r="AJ42" i="117"/>
  <c r="Y294" i="117"/>
  <c r="Y228" i="117"/>
  <c r="V153" i="117"/>
  <c r="AC46" i="117"/>
  <c r="AQ124" i="117"/>
  <c r="AJ294" i="117"/>
  <c r="AC294" i="117"/>
  <c r="AQ294" i="117"/>
  <c r="R294" i="117"/>
  <c r="R142" i="117"/>
  <c r="AM124" i="117"/>
  <c r="AA154" i="117"/>
  <c r="T142" i="117"/>
  <c r="R72" i="117"/>
  <c r="AF71" i="117"/>
  <c r="Y42" i="117"/>
  <c r="AO207" i="117"/>
  <c r="AJ271" i="117"/>
  <c r="AQ161" i="117"/>
  <c r="T61" i="117"/>
  <c r="AQ32" i="117"/>
  <c r="R160" i="117"/>
  <c r="AJ111" i="117"/>
  <c r="AJ123" i="117"/>
  <c r="AC57" i="117"/>
  <c r="T227" i="117"/>
  <c r="AQ207" i="117"/>
  <c r="AQ129" i="117"/>
  <c r="AO74" i="117"/>
  <c r="AA231" i="117"/>
  <c r="AQ160" i="117"/>
  <c r="AM87" i="117"/>
  <c r="AM174" i="117"/>
  <c r="AH87" i="117"/>
  <c r="AO293" i="117"/>
  <c r="T262" i="117"/>
  <c r="R246" i="117"/>
  <c r="T272" i="117"/>
  <c r="AC154" i="117"/>
  <c r="AJ104" i="117"/>
  <c r="AJ63" i="117"/>
  <c r="T5" i="117"/>
  <c r="AH254" i="117"/>
  <c r="V246" i="117"/>
  <c r="AJ101" i="117"/>
  <c r="R280" i="117"/>
  <c r="AO227" i="117"/>
  <c r="AM262" i="117"/>
  <c r="AH161" i="117"/>
  <c r="AQ258" i="117"/>
  <c r="AJ154" i="117"/>
  <c r="AO101" i="117"/>
  <c r="AC272" i="117"/>
  <c r="V258" i="117"/>
  <c r="AJ262" i="117"/>
  <c r="AJ153" i="117"/>
  <c r="AO123" i="117"/>
  <c r="AJ46" i="117"/>
  <c r="Y18" i="117"/>
  <c r="V254" i="117"/>
  <c r="AJ254" i="117"/>
  <c r="AQ123" i="117"/>
  <c r="AQ320" i="117"/>
  <c r="AQ262" i="117"/>
  <c r="AO171" i="117"/>
  <c r="T123" i="117"/>
  <c r="AF123" i="117"/>
  <c r="AJ277" i="117"/>
  <c r="V262" i="117"/>
  <c r="AC262" i="117"/>
  <c r="AH151" i="117"/>
  <c r="AC135" i="117"/>
  <c r="AF154" i="117"/>
  <c r="AC95" i="117"/>
  <c r="AA63" i="117"/>
  <c r="AO254" i="117"/>
  <c r="R271" i="117"/>
  <c r="AF254" i="117"/>
  <c r="AM254" i="117"/>
  <c r="V63" i="117"/>
  <c r="AH78" i="117"/>
  <c r="AQ280" i="117"/>
  <c r="AH174" i="117"/>
  <c r="AH63" i="117"/>
  <c r="R252" i="117"/>
  <c r="AO85" i="117"/>
  <c r="Y142" i="117"/>
  <c r="AA255" i="117"/>
  <c r="Y254" i="117"/>
  <c r="AA71" i="117"/>
  <c r="AH122" i="117"/>
  <c r="AA40" i="117"/>
  <c r="AF253" i="117"/>
  <c r="AQ254" i="117"/>
  <c r="Y267" i="117"/>
  <c r="AC104" i="117"/>
  <c r="V189" i="117"/>
  <c r="AO135" i="117"/>
  <c r="AO272" i="117"/>
  <c r="AH218" i="117"/>
  <c r="AA135" i="117"/>
  <c r="AQ95" i="117"/>
  <c r="AH57" i="117"/>
  <c r="R101" i="117"/>
  <c r="AQ135" i="117"/>
  <c r="Y63" i="117"/>
  <c r="R272" i="117"/>
  <c r="AA272" i="117"/>
  <c r="T154" i="117"/>
  <c r="AA161" i="117"/>
  <c r="AM127" i="117"/>
  <c r="V104" i="117"/>
  <c r="V95" i="117"/>
  <c r="AJ56" i="117"/>
  <c r="T46" i="117"/>
  <c r="AO57" i="117"/>
  <c r="AH51" i="117"/>
  <c r="AA11" i="117"/>
  <c r="AM258" i="117"/>
  <c r="AF135" i="117"/>
  <c r="AM135" i="117"/>
  <c r="AM101" i="117"/>
  <c r="R254" i="117"/>
  <c r="AA254" i="117"/>
  <c r="V103" i="117"/>
  <c r="AO320" i="117"/>
  <c r="AQ319" i="117"/>
  <c r="V319" i="117"/>
  <c r="AQ328" i="117"/>
  <c r="AC324" i="117"/>
  <c r="AM327" i="117"/>
  <c r="AA328" i="117"/>
  <c r="AC86" i="117"/>
  <c r="AF320" i="117"/>
  <c r="AH318" i="117"/>
  <c r="AA170" i="117"/>
  <c r="AC180" i="117"/>
  <c r="AQ86" i="117"/>
  <c r="AC290" i="117"/>
  <c r="AH32" i="117"/>
  <c r="Y200" i="117"/>
  <c r="AA113" i="117"/>
  <c r="V316" i="117"/>
  <c r="AH180" i="117"/>
  <c r="AQ103" i="117"/>
  <c r="AA103" i="117"/>
  <c r="AQ46" i="117"/>
  <c r="AC32" i="117"/>
  <c r="V4" i="117"/>
  <c r="AM226" i="117"/>
  <c r="AO282" i="117"/>
  <c r="AM282" i="117"/>
  <c r="AA226" i="117"/>
  <c r="AF200" i="117"/>
  <c r="AQ128" i="117"/>
  <c r="AO128" i="117"/>
  <c r="AQ200" i="117"/>
  <c r="R128" i="117"/>
  <c r="R26" i="117"/>
  <c r="AH71" i="117"/>
  <c r="AA32" i="117"/>
  <c r="Y32" i="117"/>
  <c r="AF42" i="117"/>
  <c r="R33" i="117"/>
  <c r="T113" i="117"/>
  <c r="AF160" i="117"/>
  <c r="AA252" i="117"/>
  <c r="AO133" i="117"/>
  <c r="AQ33" i="117"/>
  <c r="AH316" i="117"/>
  <c r="AJ316" i="117"/>
  <c r="AH319" i="117"/>
  <c r="V325" i="117"/>
  <c r="AC319" i="117"/>
  <c r="AO328" i="117"/>
  <c r="AF325" i="117"/>
  <c r="AH103" i="117"/>
  <c r="R17" i="117"/>
  <c r="AM32" i="117"/>
  <c r="AM232" i="117"/>
  <c r="AF226" i="117"/>
  <c r="AC200" i="117"/>
  <c r="Y282" i="117"/>
  <c r="AH200" i="117"/>
  <c r="R150" i="117"/>
  <c r="AF63" i="117"/>
  <c r="AQ72" i="117"/>
  <c r="T135" i="117"/>
  <c r="AO56" i="117"/>
  <c r="AF128" i="117"/>
  <c r="AC42" i="117"/>
  <c r="V33" i="117"/>
  <c r="AF113" i="117"/>
  <c r="AH116" i="117"/>
  <c r="AJ32" i="117"/>
  <c r="AQ18" i="117"/>
  <c r="AO18" i="117"/>
  <c r="T32" i="117"/>
  <c r="Y160" i="117"/>
  <c r="Y72" i="117"/>
  <c r="Y33" i="117"/>
  <c r="AF33" i="117"/>
  <c r="AA200" i="117"/>
  <c r="AM78" i="117"/>
  <c r="Y252" i="117"/>
  <c r="AF231" i="117"/>
  <c r="V32" i="117"/>
  <c r="AH282" i="117"/>
  <c r="AC33" i="117"/>
  <c r="T33" i="117"/>
  <c r="R113" i="117"/>
  <c r="AA160" i="117"/>
  <c r="AM200" i="117"/>
  <c r="R231" i="117"/>
  <c r="AO325" i="117"/>
  <c r="AA316" i="117"/>
  <c r="AA320" i="117"/>
  <c r="AC320" i="117"/>
  <c r="AJ319" i="117"/>
  <c r="R319" i="117"/>
  <c r="AQ198" i="117"/>
  <c r="AF202" i="117"/>
  <c r="AF32" i="117"/>
  <c r="AJ200" i="117"/>
  <c r="R218" i="117"/>
  <c r="T153" i="117"/>
  <c r="AQ116" i="117"/>
  <c r="Y116" i="117"/>
  <c r="T71" i="117"/>
  <c r="Y56" i="117"/>
  <c r="AM56" i="117"/>
  <c r="Y87" i="117"/>
  <c r="Y113" i="117"/>
  <c r="AO231" i="117"/>
  <c r="AO255" i="117"/>
  <c r="AA280" i="117"/>
  <c r="V79" i="117"/>
  <c r="AC91" i="117"/>
  <c r="AA91" i="117"/>
  <c r="AF40" i="117"/>
  <c r="T40" i="117"/>
  <c r="AJ22" i="117"/>
  <c r="AH22" i="117"/>
  <c r="AF314" i="117"/>
  <c r="Y218" i="117"/>
  <c r="AA173" i="117"/>
  <c r="R173" i="117"/>
  <c r="AF116" i="117"/>
  <c r="Y22" i="117"/>
  <c r="T112" i="117"/>
  <c r="AH26" i="117"/>
  <c r="AO26" i="117"/>
  <c r="AM22" i="117"/>
  <c r="AC162" i="117"/>
  <c r="AM162" i="117"/>
  <c r="AF175" i="117"/>
  <c r="AF10" i="117"/>
  <c r="T10" i="117"/>
  <c r="Y213" i="117"/>
  <c r="V213" i="117"/>
  <c r="AF213" i="117"/>
  <c r="AM28" i="117"/>
  <c r="R28" i="117"/>
  <c r="AF28" i="117"/>
  <c r="AJ28" i="117"/>
  <c r="Y35" i="117"/>
  <c r="AA35" i="117"/>
  <c r="AQ23" i="117"/>
  <c r="AO23" i="117"/>
  <c r="R23" i="117"/>
  <c r="AJ23" i="117"/>
  <c r="AF22" i="117"/>
  <c r="V209" i="117"/>
  <c r="Y209" i="117"/>
  <c r="AH209" i="117"/>
  <c r="AQ40" i="117"/>
  <c r="AQ169" i="117"/>
  <c r="V169" i="117"/>
  <c r="AH169" i="117"/>
  <c r="AF112" i="117"/>
  <c r="AA26" i="117"/>
  <c r="V78" i="117"/>
  <c r="AF78" i="117"/>
  <c r="AA78" i="117"/>
  <c r="AC116" i="117"/>
  <c r="AM116" i="117"/>
  <c r="R116" i="117"/>
  <c r="T116" i="117"/>
  <c r="AJ116" i="117"/>
  <c r="T289" i="117"/>
  <c r="AJ227" i="117"/>
  <c r="AF222" i="117"/>
  <c r="AM219" i="117"/>
  <c r="AH202" i="117"/>
  <c r="AH94" i="117"/>
  <c r="AQ94" i="117"/>
  <c r="Y79" i="117"/>
  <c r="T57" i="117"/>
  <c r="AA57" i="117"/>
  <c r="AO70" i="117"/>
  <c r="AJ57" i="117"/>
  <c r="AQ22" i="117"/>
  <c r="AO11" i="117"/>
  <c r="V11" i="117"/>
  <c r="R282" i="117"/>
  <c r="AJ282" i="117"/>
  <c r="AC246" i="117"/>
  <c r="AM229" i="117"/>
  <c r="T229" i="117"/>
  <c r="AQ209" i="117"/>
  <c r="AM272" i="117"/>
  <c r="AA171" i="117"/>
  <c r="AH171" i="117"/>
  <c r="AJ171" i="117"/>
  <c r="AA246" i="117"/>
  <c r="T23" i="117"/>
  <c r="Y28" i="117"/>
  <c r="AQ28" i="117"/>
  <c r="T78" i="117"/>
  <c r="R78" i="117"/>
  <c r="AJ78" i="117"/>
  <c r="AO78" i="117"/>
  <c r="AA190" i="117"/>
  <c r="T190" i="117"/>
  <c r="AA177" i="117"/>
  <c r="V177" i="117"/>
  <c r="AA22" i="117"/>
  <c r="T28" i="117"/>
  <c r="T222" i="117"/>
  <c r="R222" i="117"/>
  <c r="R179" i="117"/>
  <c r="V179" i="117"/>
  <c r="R314" i="117"/>
  <c r="T314" i="117"/>
  <c r="AM314" i="117"/>
  <c r="Y314" i="117"/>
  <c r="AH314" i="117"/>
  <c r="AO314" i="117"/>
  <c r="AQ314" i="117"/>
  <c r="AC213" i="117"/>
  <c r="Y227" i="117"/>
  <c r="AC177" i="117"/>
  <c r="AJ149" i="117"/>
  <c r="AA23" i="117"/>
  <c r="AA144" i="117"/>
  <c r="AH144" i="117"/>
  <c r="Y23" i="117"/>
  <c r="AQ213" i="117"/>
  <c r="AH227" i="117"/>
  <c r="AJ314" i="117"/>
  <c r="AF279" i="117"/>
  <c r="AC209" i="117"/>
  <c r="AJ191" i="117"/>
  <c r="AQ144" i="117"/>
  <c r="AO108" i="117"/>
  <c r="AM79" i="117"/>
  <c r="AJ35" i="117"/>
  <c r="AA34" i="117"/>
  <c r="AQ34" i="117"/>
  <c r="T22" i="117"/>
  <c r="AC22" i="117"/>
  <c r="AF12" i="117"/>
  <c r="AJ12" i="117"/>
  <c r="AC28" i="117"/>
  <c r="AA304" i="117"/>
  <c r="Y304" i="117"/>
  <c r="AA297" i="117"/>
  <c r="AM297" i="117"/>
  <c r="AO297" i="117"/>
  <c r="R297" i="117"/>
  <c r="AF209" i="117"/>
  <c r="AO229" i="117"/>
  <c r="AH229" i="117"/>
  <c r="AM169" i="117"/>
  <c r="AC207" i="117"/>
  <c r="AM207" i="117"/>
  <c r="V112" i="117"/>
  <c r="AQ41" i="117"/>
  <c r="AA41" i="117"/>
  <c r="AO22" i="117"/>
  <c r="AF99" i="117"/>
  <c r="AC99" i="117"/>
  <c r="AH128" i="117"/>
  <c r="Y128" i="117"/>
  <c r="AA116" i="117"/>
  <c r="AO33" i="117"/>
  <c r="AA33" i="117"/>
  <c r="AJ33" i="117"/>
  <c r="AO209" i="117"/>
  <c r="AQ226" i="117"/>
  <c r="AH226" i="117"/>
  <c r="V226" i="117"/>
  <c r="AO226" i="117"/>
  <c r="Y226" i="117"/>
  <c r="AJ72" i="117"/>
  <c r="AO72" i="117"/>
  <c r="AA72" i="117"/>
  <c r="AH56" i="117"/>
  <c r="AQ56" i="117"/>
  <c r="T56" i="117"/>
  <c r="AC56" i="117"/>
  <c r="AC317" i="117"/>
  <c r="AQ317" i="117"/>
  <c r="R260" i="117"/>
  <c r="AO40" i="117"/>
  <c r="AJ40" i="117"/>
  <c r="AC312" i="117"/>
  <c r="AJ312" i="117"/>
  <c r="V287" i="117"/>
  <c r="Y287" i="117"/>
  <c r="AH213" i="117"/>
  <c r="AC222" i="117"/>
  <c r="AA217" i="117"/>
  <c r="AC217" i="117"/>
  <c r="AQ227" i="117"/>
  <c r="Y289" i="117"/>
  <c r="AQ289" i="117"/>
  <c r="AH289" i="117"/>
  <c r="AQ151" i="117"/>
  <c r="AA151" i="117"/>
  <c r="AO28" i="117"/>
  <c r="AH28" i="117"/>
  <c r="AJ240" i="117"/>
  <c r="AA227" i="117"/>
  <c r="AM209" i="117"/>
  <c r="T179" i="117"/>
  <c r="AO218" i="117"/>
  <c r="AQ218" i="117"/>
  <c r="T218" i="117"/>
  <c r="V26" i="117"/>
  <c r="Y26" i="117"/>
  <c r="AM26" i="117"/>
  <c r="AH40" i="117"/>
  <c r="T217" i="117"/>
  <c r="AF327" i="117"/>
  <c r="AJ327" i="117"/>
  <c r="T317" i="117"/>
  <c r="AQ240" i="117"/>
  <c r="AJ218" i="117"/>
  <c r="AO222" i="117"/>
  <c r="AJ213" i="117"/>
  <c r="AA209" i="117"/>
  <c r="V191" i="117"/>
  <c r="AA79" i="117"/>
  <c r="AM40" i="117"/>
  <c r="AM94" i="117"/>
  <c r="AA28" i="117"/>
  <c r="AM289" i="117"/>
  <c r="AJ209" i="117"/>
  <c r="T213" i="117"/>
  <c r="Y246" i="117"/>
  <c r="AM246" i="117"/>
  <c r="AA191" i="117"/>
  <c r="AM144" i="117"/>
  <c r="AM23" i="117"/>
  <c r="R127" i="117"/>
  <c r="T127" i="117"/>
  <c r="AJ8" i="117"/>
  <c r="R8" i="117"/>
  <c r="V8" i="117"/>
  <c r="T8" i="117"/>
  <c r="AC23" i="117"/>
  <c r="Y40" i="117"/>
  <c r="AQ78" i="117"/>
  <c r="AQ71" i="117"/>
  <c r="Y71" i="117"/>
  <c r="AO71" i="117"/>
  <c r="AC71" i="117"/>
  <c r="AQ175" i="117"/>
  <c r="V175" i="117"/>
  <c r="AJ175" i="117"/>
  <c r="AA175" i="117"/>
  <c r="R175" i="117"/>
  <c r="AM175" i="117"/>
  <c r="AO175" i="117"/>
  <c r="AC175" i="117"/>
  <c r="Y122" i="117"/>
  <c r="Y39" i="117"/>
  <c r="AQ252" i="117"/>
  <c r="T252" i="117"/>
  <c r="AC101" i="117"/>
  <c r="T101" i="117"/>
  <c r="AH280" i="117"/>
  <c r="AO280" i="117"/>
  <c r="V232" i="117"/>
  <c r="R232" i="117"/>
  <c r="AH231" i="117"/>
  <c r="AM280" i="117"/>
  <c r="AJ232" i="117"/>
  <c r="AA322" i="117"/>
  <c r="AF211" i="117"/>
  <c r="AQ195" i="117"/>
  <c r="AJ138" i="117"/>
  <c r="V133" i="117"/>
  <c r="AJ91" i="117"/>
  <c r="AH17" i="117"/>
  <c r="AA268" i="117"/>
  <c r="AF289" i="117"/>
  <c r="AH207" i="117"/>
  <c r="AM191" i="117"/>
  <c r="Y169" i="117"/>
  <c r="Y191" i="117"/>
  <c r="AO169" i="117"/>
  <c r="T19" i="117"/>
  <c r="AQ8" i="117"/>
  <c r="AM8" i="117"/>
  <c r="AO39" i="117"/>
  <c r="AA323" i="117"/>
  <c r="AA327" i="117"/>
  <c r="Y327" i="117"/>
  <c r="AA197" i="117"/>
  <c r="AH182" i="117"/>
  <c r="AJ133" i="117"/>
  <c r="AM138" i="117"/>
  <c r="AF304" i="117"/>
  <c r="AQ282" i="117"/>
  <c r="R151" i="117"/>
  <c r="T207" i="117"/>
  <c r="AF169" i="117"/>
  <c r="Y8" i="117"/>
  <c r="R249" i="117"/>
  <c r="AO195" i="117"/>
  <c r="R202" i="117"/>
  <c r="AF168" i="117"/>
  <c r="AF133" i="117"/>
  <c r="AC151" i="117"/>
  <c r="V288" i="117"/>
  <c r="R288" i="117"/>
  <c r="AC260" i="117"/>
  <c r="R235" i="117"/>
  <c r="Y240" i="117"/>
  <c r="AC197" i="117"/>
  <c r="V180" i="117"/>
  <c r="R180" i="117"/>
  <c r="AO164" i="117"/>
  <c r="AQ168" i="117"/>
  <c r="AM133" i="117"/>
  <c r="Y164" i="117"/>
  <c r="AA131" i="117"/>
  <c r="AH133" i="117"/>
  <c r="AF64" i="117"/>
  <c r="AO17" i="117"/>
  <c r="AH18" i="117"/>
  <c r="AJ268" i="117"/>
  <c r="AO258" i="117"/>
  <c r="AA282" i="117"/>
  <c r="AO191" i="117"/>
  <c r="AA149" i="117"/>
  <c r="AO104" i="117"/>
  <c r="R169" i="117"/>
  <c r="AO151" i="117"/>
  <c r="V23" i="117"/>
  <c r="AA39" i="117"/>
  <c r="AC309" i="117"/>
  <c r="Y288" i="117"/>
  <c r="AJ288" i="117"/>
  <c r="AC323" i="117"/>
  <c r="AC322" i="117"/>
  <c r="AA325" i="117"/>
  <c r="R327" i="117"/>
  <c r="AQ288" i="117"/>
  <c r="V277" i="117"/>
  <c r="AJ260" i="117"/>
  <c r="AO197" i="117"/>
  <c r="Y202" i="117"/>
  <c r="AJ184" i="117"/>
  <c r="R138" i="117"/>
  <c r="R133" i="117"/>
  <c r="R91" i="117"/>
  <c r="AA55" i="117"/>
  <c r="T17" i="117"/>
  <c r="R268" i="117"/>
  <c r="Y207" i="117"/>
  <c r="T191" i="117"/>
  <c r="AF149" i="117"/>
  <c r="R104" i="117"/>
  <c r="R322" i="117"/>
  <c r="AO302" i="117"/>
  <c r="AJ309" i="117"/>
  <c r="T322" i="117"/>
  <c r="AH327" i="117"/>
  <c r="R328" i="117"/>
  <c r="T327" i="117"/>
  <c r="AJ320" i="117"/>
  <c r="AO315" i="117"/>
  <c r="R320" i="117"/>
  <c r="T309" i="117"/>
  <c r="AO288" i="117"/>
  <c r="AJ249" i="117"/>
  <c r="AM244" i="117"/>
  <c r="AM235" i="117"/>
  <c r="R219" i="117"/>
  <c r="T177" i="117"/>
  <c r="R206" i="117"/>
  <c r="AO190" i="117"/>
  <c r="AQ185" i="117"/>
  <c r="AO168" i="117"/>
  <c r="AQ164" i="117"/>
  <c r="AA94" i="117"/>
  <c r="AF109" i="117"/>
  <c r="AH52" i="117"/>
  <c r="AJ30" i="117"/>
  <c r="AQ26" i="117"/>
  <c r="R7" i="117"/>
  <c r="AH246" i="117"/>
  <c r="AC258" i="117"/>
  <c r="Y258" i="117"/>
  <c r="AF218" i="117"/>
  <c r="AC218" i="117"/>
  <c r="AA218" i="117"/>
  <c r="T150" i="117"/>
  <c r="AO213" i="117"/>
  <c r="AM149" i="117"/>
  <c r="AM218" i="117"/>
  <c r="Y173" i="117"/>
  <c r="R149" i="117"/>
  <c r="AC169" i="117"/>
  <c r="AF41" i="117"/>
  <c r="AF39" i="117"/>
  <c r="AH23" i="117"/>
  <c r="AM206" i="117"/>
  <c r="V206" i="117"/>
  <c r="AH138" i="117"/>
  <c r="AC15" i="117"/>
  <c r="T21" i="117"/>
  <c r="AC19" i="117"/>
  <c r="AF26" i="117"/>
  <c r="R6" i="117"/>
  <c r="T169" i="117"/>
  <c r="T173" i="117"/>
  <c r="AH173" i="117"/>
  <c r="AA169" i="117"/>
  <c r="AO99" i="117"/>
  <c r="R39" i="117"/>
  <c r="AH8" i="117"/>
  <c r="AC8" i="117"/>
  <c r="AA8" i="117"/>
  <c r="AQ277" i="117"/>
  <c r="AC206" i="117"/>
  <c r="AJ206" i="117"/>
  <c r="AH177" i="117"/>
  <c r="T138" i="117"/>
  <c r="AO161" i="117"/>
  <c r="Y91" i="117"/>
  <c r="T91" i="117"/>
  <c r="AF91" i="117"/>
  <c r="AQ263" i="117"/>
  <c r="T323" i="117"/>
  <c r="AQ322" i="117"/>
  <c r="AC315" i="117"/>
  <c r="R323" i="117"/>
  <c r="AA318" i="117"/>
  <c r="AA260" i="117"/>
  <c r="AM263" i="117"/>
  <c r="AC241" i="117"/>
  <c r="V244" i="117"/>
  <c r="AM238" i="117"/>
  <c r="V241" i="117"/>
  <c r="AC189" i="117"/>
  <c r="AH184" i="117"/>
  <c r="AA180" i="117"/>
  <c r="AA51" i="117"/>
  <c r="AJ86" i="117"/>
  <c r="AH304" i="117"/>
  <c r="V289" i="117"/>
  <c r="R289" i="117"/>
  <c r="AO289" i="117"/>
  <c r="AJ289" i="117"/>
  <c r="AC297" i="117"/>
  <c r="AF297" i="117"/>
  <c r="T297" i="117"/>
  <c r="Y297" i="117"/>
  <c r="V297" i="117"/>
  <c r="AQ239" i="117"/>
  <c r="AM239" i="117"/>
  <c r="T239" i="117"/>
  <c r="R239" i="117"/>
  <c r="AH239" i="117"/>
  <c r="V239" i="117"/>
  <c r="AA258" i="117"/>
  <c r="T258" i="117"/>
  <c r="R258" i="117"/>
  <c r="Y167" i="117"/>
  <c r="AM154" i="117"/>
  <c r="AH154" i="117"/>
  <c r="Y154" i="117"/>
  <c r="V154" i="117"/>
  <c r="R154" i="117"/>
  <c r="AO131" i="117"/>
  <c r="AO86" i="117"/>
  <c r="T86" i="117"/>
  <c r="AM86" i="117"/>
  <c r="AO52" i="117"/>
  <c r="AH79" i="117"/>
  <c r="AH297" i="117"/>
  <c r="AM268" i="117"/>
  <c r="Y239" i="117"/>
  <c r="AJ167" i="117"/>
  <c r="AO144" i="117"/>
  <c r="AM303" i="117"/>
  <c r="R303" i="117"/>
  <c r="AF303" i="117"/>
  <c r="R224" i="117"/>
  <c r="AA224" i="117"/>
  <c r="AJ224" i="117"/>
  <c r="V158" i="117"/>
  <c r="AH158" i="117"/>
  <c r="T318" i="117"/>
  <c r="AA324" i="117"/>
  <c r="AH324" i="117"/>
  <c r="AO324" i="117"/>
  <c r="AC263" i="117"/>
  <c r="AA238" i="117"/>
  <c r="T168" i="117"/>
  <c r="AM108" i="117"/>
  <c r="V108" i="117"/>
  <c r="R108" i="117"/>
  <c r="R51" i="117"/>
  <c r="AQ51" i="117"/>
  <c r="AH50" i="117"/>
  <c r="T50" i="117"/>
  <c r="V24" i="117"/>
  <c r="AF238" i="117"/>
  <c r="AA167" i="117"/>
  <c r="AC123" i="117"/>
  <c r="Y144" i="117"/>
  <c r="T41" i="117"/>
  <c r="AJ192" i="117"/>
  <c r="AA192" i="117"/>
  <c r="AO192" i="117"/>
  <c r="AA89" i="117"/>
  <c r="AM89" i="117"/>
  <c r="R89" i="117"/>
  <c r="T89" i="117"/>
  <c r="AC89" i="117"/>
  <c r="AF89" i="117"/>
  <c r="V47" i="117"/>
  <c r="AM47" i="117"/>
  <c r="AF47" i="117"/>
  <c r="T47" i="117"/>
  <c r="Y47" i="117"/>
  <c r="AJ238" i="117"/>
  <c r="AO158" i="117"/>
  <c r="Y45" i="117"/>
  <c r="AC45" i="117"/>
  <c r="AH262" i="117"/>
  <c r="AF262" i="117"/>
  <c r="AA262" i="117"/>
  <c r="AQ268" i="117"/>
  <c r="AC268" i="117"/>
  <c r="AF268" i="117"/>
  <c r="V268" i="117"/>
  <c r="Y268" i="117"/>
  <c r="AC153" i="117"/>
  <c r="R153" i="117"/>
  <c r="AF153" i="117"/>
  <c r="AO153" i="117"/>
  <c r="AQ153" i="117"/>
  <c r="AM153" i="117"/>
  <c r="Y153" i="117"/>
  <c r="AA47" i="117"/>
  <c r="AF241" i="117"/>
  <c r="AF198" i="117"/>
  <c r="AO198" i="117"/>
  <c r="AA198" i="117"/>
  <c r="AA188" i="117"/>
  <c r="T188" i="117"/>
  <c r="AM180" i="117"/>
  <c r="V312" i="117"/>
  <c r="R324" i="117"/>
  <c r="AA317" i="117"/>
  <c r="AQ315" i="117"/>
  <c r="AO309" i="117"/>
  <c r="T288" i="117"/>
  <c r="AF260" i="117"/>
  <c r="AF244" i="117"/>
  <c r="AQ202" i="117"/>
  <c r="AO184" i="117"/>
  <c r="AC195" i="117"/>
  <c r="AJ185" i="117"/>
  <c r="AJ168" i="117"/>
  <c r="AJ131" i="117"/>
  <c r="AF105" i="117"/>
  <c r="AA105" i="117"/>
  <c r="AQ89" i="117"/>
  <c r="Y64" i="117"/>
  <c r="V64" i="117"/>
  <c r="R24" i="117"/>
  <c r="AM11" i="117"/>
  <c r="T11" i="117"/>
  <c r="AQ11" i="117"/>
  <c r="R11" i="117"/>
  <c r="Y30" i="117"/>
  <c r="Y262" i="117"/>
  <c r="AA239" i="117"/>
  <c r="R213" i="117"/>
  <c r="AM213" i="117"/>
  <c r="V151" i="117"/>
  <c r="T151" i="117"/>
  <c r="AF151" i="117"/>
  <c r="Y151" i="117"/>
  <c r="AA213" i="117"/>
  <c r="V207" i="117"/>
  <c r="AA207" i="117"/>
  <c r="AF207" i="117"/>
  <c r="AO241" i="117"/>
  <c r="AC150" i="117"/>
  <c r="V150" i="117"/>
  <c r="Y150" i="117"/>
  <c r="AH150" i="117"/>
  <c r="AA150" i="117"/>
  <c r="AQ150" i="117"/>
  <c r="AJ150" i="117"/>
  <c r="AM150" i="117"/>
  <c r="V34" i="117"/>
  <c r="AA104" i="117"/>
  <c r="AO238" i="117"/>
  <c r="R238" i="117"/>
  <c r="R241" i="117"/>
  <c r="Y89" i="117"/>
  <c r="T325" i="117"/>
  <c r="AJ325" i="117"/>
  <c r="AH325" i="117"/>
  <c r="AJ323" i="117"/>
  <c r="AA315" i="117"/>
  <c r="AF322" i="117"/>
  <c r="Y290" i="117"/>
  <c r="AA290" i="117"/>
  <c r="AM290" i="117"/>
  <c r="AO290" i="117"/>
  <c r="AF287" i="117"/>
  <c r="AO287" i="117"/>
  <c r="AQ244" i="117"/>
  <c r="AA184" i="117"/>
  <c r="AA182" i="117"/>
  <c r="T180" i="117"/>
  <c r="AO189" i="117"/>
  <c r="AF117" i="117"/>
  <c r="V89" i="117"/>
  <c r="AA108" i="117"/>
  <c r="AH47" i="117"/>
  <c r="AQ47" i="117"/>
  <c r="AQ30" i="117"/>
  <c r="AH238" i="117"/>
  <c r="AM304" i="117"/>
  <c r="T268" i="117"/>
  <c r="AJ239" i="117"/>
  <c r="AF239" i="117"/>
  <c r="AC112" i="117"/>
  <c r="R112" i="117"/>
  <c r="AJ112" i="117"/>
  <c r="AM112" i="117"/>
  <c r="AO112" i="117"/>
  <c r="Y112" i="117"/>
  <c r="AH112" i="117"/>
  <c r="R47" i="117"/>
  <c r="AH99" i="117"/>
  <c r="V135" i="117"/>
  <c r="R135" i="117"/>
  <c r="Y135" i="117"/>
  <c r="AJ135" i="117"/>
  <c r="AJ41" i="117"/>
  <c r="Y263" i="117"/>
  <c r="AF263" i="117"/>
  <c r="Y238" i="117"/>
  <c r="AH309" i="117"/>
  <c r="R287" i="117"/>
  <c r="AA287" i="117"/>
  <c r="AH287" i="117"/>
  <c r="T260" i="117"/>
  <c r="Y260" i="117"/>
  <c r="AC244" i="117"/>
  <c r="AO251" i="117"/>
  <c r="V224" i="117"/>
  <c r="AH224" i="117"/>
  <c r="AO180" i="117"/>
  <c r="R198" i="117"/>
  <c r="AF180" i="117"/>
  <c r="AJ117" i="117"/>
  <c r="V106" i="117"/>
  <c r="AJ106" i="117"/>
  <c r="AA106" i="117"/>
  <c r="AH30" i="117"/>
  <c r="AF30" i="117"/>
  <c r="AA24" i="117"/>
  <c r="R30" i="117"/>
  <c r="AH24" i="117"/>
  <c r="AA289" i="117"/>
  <c r="AH153" i="117"/>
  <c r="V46" i="117"/>
  <c r="R46" i="117"/>
  <c r="AH46" i="117"/>
  <c r="AO46" i="117"/>
  <c r="AM151" i="117"/>
  <c r="Y46" i="117"/>
  <c r="Y99" i="117"/>
  <c r="AQ99" i="117"/>
  <c r="R99" i="117"/>
  <c r="AM99" i="117"/>
  <c r="AJ89" i="117"/>
  <c r="AF46" i="117"/>
  <c r="T241" i="117"/>
  <c r="AQ241" i="117"/>
  <c r="Y241" i="117"/>
  <c r="AJ241" i="117"/>
  <c r="AH192" i="117"/>
  <c r="AQ325" i="117"/>
  <c r="AJ324" i="117"/>
  <c r="AO323" i="117"/>
  <c r="AH322" i="117"/>
  <c r="AQ324" i="117"/>
  <c r="T326" i="117"/>
  <c r="AO326" i="117"/>
  <c r="T328" i="117"/>
  <c r="V317" i="117"/>
  <c r="AF323" i="117"/>
  <c r="AA309" i="117"/>
  <c r="R309" i="117"/>
  <c r="AF221" i="117"/>
  <c r="AQ221" i="117"/>
  <c r="T240" i="117"/>
  <c r="AO240" i="117"/>
  <c r="AM240" i="117"/>
  <c r="AO244" i="117"/>
  <c r="AQ217" i="117"/>
  <c r="AM202" i="117"/>
  <c r="T202" i="117"/>
  <c r="AQ192" i="117"/>
  <c r="AC190" i="117"/>
  <c r="AC187" i="117"/>
  <c r="AA158" i="117"/>
  <c r="AH89" i="117"/>
  <c r="V91" i="117"/>
  <c r="AA45" i="117"/>
  <c r="AJ64" i="117"/>
  <c r="AF11" i="117"/>
  <c r="AH258" i="117"/>
  <c r="AF258" i="117"/>
  <c r="AO239" i="117"/>
  <c r="AF150" i="117"/>
  <c r="AJ47" i="117"/>
  <c r="T129" i="117"/>
  <c r="V129" i="117"/>
  <c r="R129" i="117"/>
  <c r="Y129" i="117"/>
  <c r="AA129" i="117"/>
  <c r="AH129" i="117"/>
  <c r="AM129" i="117"/>
  <c r="AC129" i="117"/>
  <c r="AO129" i="117"/>
  <c r="AJ129" i="117"/>
  <c r="Y34" i="117"/>
  <c r="V35" i="117"/>
  <c r="AH35" i="117"/>
  <c r="T35" i="117"/>
  <c r="AC35" i="117"/>
  <c r="AQ35" i="117"/>
  <c r="AO35" i="117"/>
  <c r="R35" i="117"/>
  <c r="AF35" i="117"/>
  <c r="R189" i="117"/>
  <c r="AQ189" i="117"/>
  <c r="AJ189" i="117"/>
  <c r="AJ158" i="117"/>
  <c r="R137" i="117"/>
  <c r="AJ24" i="117"/>
  <c r="AQ24" i="117"/>
  <c r="AM24" i="117"/>
  <c r="AA241" i="117"/>
  <c r="V272" i="117"/>
  <c r="Y272" i="117"/>
  <c r="V227" i="117"/>
  <c r="R227" i="117"/>
  <c r="AC227" i="117"/>
  <c r="AF227" i="117"/>
  <c r="Y104" i="117"/>
  <c r="AM104" i="117"/>
  <c r="AF104" i="117"/>
  <c r="AQ104" i="117"/>
  <c r="T104" i="117"/>
  <c r="AM95" i="117"/>
  <c r="Y95" i="117"/>
  <c r="T95" i="117"/>
  <c r="AO95" i="117"/>
  <c r="R95" i="117"/>
  <c r="AH95" i="117"/>
  <c r="AA95" i="117"/>
  <c r="Y41" i="117"/>
  <c r="AQ238" i="117"/>
  <c r="V324" i="117"/>
  <c r="T315" i="117"/>
  <c r="AH315" i="117"/>
  <c r="Y317" i="117"/>
  <c r="AM315" i="117"/>
  <c r="AQ251" i="117"/>
  <c r="AJ244" i="117"/>
  <c r="V238" i="117"/>
  <c r="AO219" i="117"/>
  <c r="AA219" i="117"/>
  <c r="V182" i="117"/>
  <c r="Y198" i="117"/>
  <c r="AC168" i="117"/>
  <c r="AH106" i="117"/>
  <c r="V86" i="117"/>
  <c r="AO51" i="117"/>
  <c r="AA52" i="117"/>
  <c r="AO91" i="117"/>
  <c r="AM17" i="117"/>
  <c r="AQ17" i="117"/>
  <c r="AA17" i="117"/>
  <c r="AH268" i="117"/>
  <c r="T304" i="117"/>
  <c r="AQ297" i="117"/>
  <c r="T271" i="117"/>
  <c r="AQ271" i="117"/>
  <c r="V271" i="117"/>
  <c r="AM271" i="117"/>
  <c r="AO271" i="117"/>
  <c r="AC271" i="117"/>
  <c r="AO173" i="117"/>
  <c r="AC173" i="117"/>
  <c r="AJ173" i="117"/>
  <c r="AM179" i="117"/>
  <c r="AH179" i="117"/>
  <c r="AJ179" i="117"/>
  <c r="AO179" i="117"/>
  <c r="AF179" i="117"/>
  <c r="Y179" i="117"/>
  <c r="AQ179" i="117"/>
  <c r="AM241" i="117"/>
  <c r="AM123" i="117"/>
  <c r="R123" i="117"/>
  <c r="Y123" i="117"/>
  <c r="AH123" i="117"/>
  <c r="AA123" i="117"/>
  <c r="AC34" i="117"/>
  <c r="R34" i="117"/>
  <c r="AO34" i="117"/>
  <c r="AH34" i="117"/>
  <c r="T34" i="117"/>
  <c r="AJ34" i="117"/>
  <c r="AM34" i="117"/>
  <c r="AO283" i="117"/>
  <c r="R283" i="117"/>
  <c r="AF251" i="117"/>
  <c r="T244" i="117"/>
  <c r="Y224" i="117"/>
  <c r="T184" i="117"/>
  <c r="AJ137" i="117"/>
  <c r="AF106" i="117"/>
  <c r="AC304" i="117"/>
  <c r="AO304" i="117"/>
  <c r="R304" i="117"/>
  <c r="V304" i="117"/>
  <c r="T238" i="117"/>
  <c r="AM222" i="117"/>
  <c r="Y222" i="117"/>
  <c r="AA222" i="117"/>
  <c r="AQ222" i="117"/>
  <c r="V222" i="117"/>
  <c r="AQ167" i="117"/>
  <c r="T167" i="117"/>
  <c r="R167" i="117"/>
  <c r="AO167" i="117"/>
  <c r="V167" i="117"/>
  <c r="AC167" i="117"/>
  <c r="AF167" i="117"/>
  <c r="AC144" i="117"/>
  <c r="R144" i="117"/>
  <c r="T144" i="117"/>
  <c r="AJ144" i="117"/>
  <c r="AF144" i="117"/>
  <c r="AQ171" i="117"/>
  <c r="R171" i="117"/>
  <c r="AC171" i="117"/>
  <c r="AF171" i="117"/>
  <c r="T171" i="117"/>
  <c r="AM171" i="117"/>
  <c r="Y171" i="117"/>
  <c r="AM167" i="117"/>
  <c r="AO41" i="117"/>
  <c r="AH41" i="117"/>
  <c r="V41" i="117"/>
  <c r="R41" i="117"/>
  <c r="AM41" i="117"/>
  <c r="AA112" i="117"/>
  <c r="AC127" i="117"/>
  <c r="AQ127" i="117"/>
  <c r="AF127" i="117"/>
  <c r="AA127" i="117"/>
  <c r="V127" i="117"/>
  <c r="Y127" i="117"/>
  <c r="AO127" i="117"/>
  <c r="AH127" i="117"/>
  <c r="AA179" i="117"/>
  <c r="AO47" i="117"/>
  <c r="AA19" i="117"/>
  <c r="AF19" i="117"/>
  <c r="T4" i="117"/>
  <c r="AC191" i="117"/>
  <c r="R191" i="117"/>
  <c r="AO211" i="117"/>
  <c r="AH191" i="117"/>
  <c r="AA133" i="117"/>
  <c r="AJ246" i="117"/>
  <c r="T246" i="117"/>
  <c r="AJ229" i="117"/>
  <c r="V229" i="117"/>
  <c r="AQ229" i="117"/>
  <c r="AA229" i="117"/>
  <c r="AC149" i="117"/>
  <c r="V149" i="117"/>
  <c r="T149" i="117"/>
  <c r="AH149" i="117"/>
  <c r="AQ149" i="117"/>
  <c r="AM128" i="117"/>
  <c r="V128" i="117"/>
  <c r="AO246" i="117"/>
  <c r="AQ191" i="117"/>
  <c r="AQ138" i="117"/>
  <c r="AC18" i="117"/>
  <c r="AC282" i="117"/>
  <c r="V282" i="117"/>
  <c r="AF282" i="117"/>
  <c r="Y149" i="117"/>
  <c r="Y19" i="117"/>
  <c r="R19" i="117"/>
  <c r="T26" i="117"/>
  <c r="T128" i="117"/>
  <c r="AQ19" i="117"/>
  <c r="AH269" i="117"/>
  <c r="V330" i="117"/>
  <c r="Y330" i="117"/>
  <c r="AJ283" i="117"/>
  <c r="AM283" i="117"/>
  <c r="AF283" i="117"/>
  <c r="AM269" i="117"/>
  <c r="AF269" i="117"/>
  <c r="AM245" i="117"/>
  <c r="R245" i="117"/>
  <c r="AQ216" i="117"/>
  <c r="AA216" i="117"/>
  <c r="AH216" i="117"/>
  <c r="T214" i="117"/>
  <c r="Y214" i="117"/>
  <c r="AQ214" i="117"/>
  <c r="V214" i="117"/>
  <c r="AF214" i="117"/>
  <c r="AC181" i="117"/>
  <c r="AC143" i="117"/>
  <c r="AH143" i="117"/>
  <c r="AQ143" i="117"/>
  <c r="T161" i="117"/>
  <c r="Y178" i="117"/>
  <c r="T170" i="117"/>
  <c r="AC188" i="117"/>
  <c r="R168" i="117"/>
  <c r="AA164" i="117"/>
  <c r="AF177" i="117"/>
  <c r="AF143" i="117"/>
  <c r="AM155" i="117"/>
  <c r="AF158" i="117"/>
  <c r="AQ117" i="117"/>
  <c r="V117" i="117"/>
  <c r="T117" i="117"/>
  <c r="AC117" i="117"/>
  <c r="R117" i="117"/>
  <c r="AC158" i="117"/>
  <c r="R143" i="117"/>
  <c r="V97" i="117"/>
  <c r="AH111" i="117"/>
  <c r="AO100" i="117"/>
  <c r="V55" i="117"/>
  <c r="AJ45" i="117"/>
  <c r="AO81" i="117"/>
  <c r="T55" i="117"/>
  <c r="AM93" i="117"/>
  <c r="V57" i="117"/>
  <c r="Y57" i="117"/>
  <c r="T36" i="117"/>
  <c r="AC36" i="117"/>
  <c r="AJ36" i="117"/>
  <c r="AA36" i="117"/>
  <c r="R36" i="117"/>
  <c r="AQ36" i="117"/>
  <c r="Y36" i="117"/>
  <c r="V36" i="117"/>
  <c r="AF52" i="117"/>
  <c r="AO12" i="117"/>
  <c r="AC17" i="117"/>
  <c r="AM58" i="117"/>
  <c r="AM51" i="117"/>
  <c r="V6" i="117"/>
  <c r="R57" i="117"/>
  <c r="AJ18" i="117"/>
  <c r="V10" i="117"/>
  <c r="AF21" i="117"/>
  <c r="Y21" i="117"/>
  <c r="AO21" i="117"/>
  <c r="AH330" i="117"/>
  <c r="AM321" i="117"/>
  <c r="Y321" i="117"/>
  <c r="T321" i="117"/>
  <c r="AJ214" i="117"/>
  <c r="AF206" i="117"/>
  <c r="AO206" i="117"/>
  <c r="AF182" i="117"/>
  <c r="T182" i="117"/>
  <c r="AO182" i="117"/>
  <c r="AC182" i="117"/>
  <c r="AM182" i="117"/>
  <c r="AQ197" i="117"/>
  <c r="AJ197" i="117"/>
  <c r="AJ187" i="117"/>
  <c r="V193" i="117"/>
  <c r="AH206" i="117"/>
  <c r="Y195" i="117"/>
  <c r="AF195" i="117"/>
  <c r="T195" i="117"/>
  <c r="AJ182" i="117"/>
  <c r="AO172" i="117"/>
  <c r="AH168" i="117"/>
  <c r="AF187" i="117"/>
  <c r="Y185" i="117"/>
  <c r="AA138" i="117"/>
  <c r="AO138" i="117"/>
  <c r="AF138" i="117"/>
  <c r="AC138" i="117"/>
  <c r="AC170" i="117"/>
  <c r="AQ155" i="117"/>
  <c r="V138" i="117"/>
  <c r="T155" i="117"/>
  <c r="AH155" i="117"/>
  <c r="V143" i="117"/>
  <c r="AJ79" i="117"/>
  <c r="AH100" i="117"/>
  <c r="AH109" i="117"/>
  <c r="AF131" i="117"/>
  <c r="AM91" i="117"/>
  <c r="AQ91" i="117"/>
  <c r="R111" i="117"/>
  <c r="Y109" i="117"/>
  <c r="R97" i="117"/>
  <c r="AC51" i="117"/>
  <c r="AQ81" i="117"/>
  <c r="R81" i="117"/>
  <c r="AH91" i="117"/>
  <c r="AC55" i="117"/>
  <c r="AF81" i="117"/>
  <c r="AF51" i="117"/>
  <c r="AJ21" i="117"/>
  <c r="Y17" i="117"/>
  <c r="V17" i="117"/>
  <c r="AO36" i="117"/>
  <c r="AA12" i="117"/>
  <c r="AH36" i="117"/>
  <c r="AF50" i="117"/>
  <c r="V18" i="117"/>
  <c r="AF24" i="117"/>
  <c r="AO10" i="117"/>
  <c r="Y15" i="117"/>
  <c r="AF18" i="117"/>
  <c r="AA279" i="117"/>
  <c r="R279" i="117"/>
  <c r="AO269" i="117"/>
  <c r="AO330" i="117"/>
  <c r="AH277" i="117"/>
  <c r="AQ279" i="117"/>
  <c r="AH263" i="117"/>
  <c r="T263" i="117"/>
  <c r="AC201" i="117"/>
  <c r="AO201" i="117"/>
  <c r="V201" i="117"/>
  <c r="AM201" i="117"/>
  <c r="T201" i="117"/>
  <c r="R201" i="117"/>
  <c r="AQ177" i="117"/>
  <c r="Y197" i="117"/>
  <c r="AO187" i="117"/>
  <c r="AJ172" i="117"/>
  <c r="AO178" i="117"/>
  <c r="R182" i="117"/>
  <c r="AJ164" i="117"/>
  <c r="R197" i="117"/>
  <c r="R193" i="117"/>
  <c r="AM178" i="117"/>
  <c r="AC161" i="117"/>
  <c r="Y190" i="117"/>
  <c r="Y137" i="117"/>
  <c r="Y161" i="117"/>
  <c r="AF155" i="117"/>
  <c r="R161" i="117"/>
  <c r="AQ137" i="117"/>
  <c r="T103" i="117"/>
  <c r="AO103" i="117"/>
  <c r="AC103" i="117"/>
  <c r="R103" i="117"/>
  <c r="AA93" i="117"/>
  <c r="AO117" i="117"/>
  <c r="AO94" i="117"/>
  <c r="AC94" i="117"/>
  <c r="AM117" i="117"/>
  <c r="AQ106" i="117"/>
  <c r="AC106" i="117"/>
  <c r="AM106" i="117"/>
  <c r="AF93" i="117"/>
  <c r="AC50" i="117"/>
  <c r="Y108" i="117"/>
  <c r="AJ52" i="117"/>
  <c r="V52" i="117"/>
  <c r="AM45" i="117"/>
  <c r="AM57" i="117"/>
  <c r="AF57" i="117"/>
  <c r="Y10" i="117"/>
  <c r="AM10" i="117"/>
  <c r="AF17" i="117"/>
  <c r="AF312" i="117"/>
  <c r="AO277" i="117"/>
  <c r="T277" i="117"/>
  <c r="AC277" i="117"/>
  <c r="AQ211" i="117"/>
  <c r="AC211" i="117"/>
  <c r="T211" i="117"/>
  <c r="AQ201" i="117"/>
  <c r="AQ206" i="117"/>
  <c r="Y206" i="117"/>
  <c r="AJ188" i="117"/>
  <c r="AM185" i="117"/>
  <c r="AF185" i="117"/>
  <c r="T185" i="117"/>
  <c r="AO185" i="117"/>
  <c r="R181" i="117"/>
  <c r="V172" i="117"/>
  <c r="AH172" i="117"/>
  <c r="Y172" i="117"/>
  <c r="AQ172" i="117"/>
  <c r="AC172" i="117"/>
  <c r="AA189" i="117"/>
  <c r="V170" i="117"/>
  <c r="AJ170" i="117"/>
  <c r="AM170" i="117"/>
  <c r="Y170" i="117"/>
  <c r="AA143" i="117"/>
  <c r="Y143" i="117"/>
  <c r="AO143" i="117"/>
  <c r="Y158" i="117"/>
  <c r="V131" i="117"/>
  <c r="AA137" i="117"/>
  <c r="AM137" i="117"/>
  <c r="AJ97" i="117"/>
  <c r="AJ100" i="117"/>
  <c r="V81" i="117"/>
  <c r="AM131" i="117"/>
  <c r="Y111" i="117"/>
  <c r="V94" i="117"/>
  <c r="Y117" i="117"/>
  <c r="AO111" i="117"/>
  <c r="AH70" i="117"/>
  <c r="AF103" i="117"/>
  <c r="AM67" i="117"/>
  <c r="AQ108" i="117"/>
  <c r="AJ51" i="117"/>
  <c r="AJ67" i="117"/>
  <c r="AC52" i="117"/>
  <c r="R52" i="117"/>
  <c r="T52" i="117"/>
  <c r="AM61" i="117"/>
  <c r="V61" i="117"/>
  <c r="AQ61" i="117"/>
  <c r="AF61" i="117"/>
  <c r="AO61" i="117"/>
  <c r="AH21" i="117"/>
  <c r="AQ21" i="117"/>
  <c r="AM55" i="117"/>
  <c r="Y9" i="117"/>
  <c r="AM15" i="117"/>
  <c r="AO321" i="117"/>
  <c r="AJ302" i="117"/>
  <c r="AA302" i="117"/>
  <c r="AM302" i="117"/>
  <c r="Y302" i="117"/>
  <c r="AH302" i="117"/>
  <c r="AQ302" i="117"/>
  <c r="R302" i="117"/>
  <c r="AC316" i="117"/>
  <c r="AM316" i="117"/>
  <c r="Y326" i="117"/>
  <c r="AQ303" i="117"/>
  <c r="AC303" i="117"/>
  <c r="Y303" i="117"/>
  <c r="V303" i="117"/>
  <c r="AH303" i="117"/>
  <c r="AF328" i="117"/>
  <c r="AC328" i="117"/>
  <c r="AA321" i="117"/>
  <c r="AJ326" i="117"/>
  <c r="AA303" i="117"/>
  <c r="AJ303" i="117"/>
  <c r="V290" i="117"/>
  <c r="AJ290" i="117"/>
  <c r="AA277" i="117"/>
  <c r="R277" i="117"/>
  <c r="AC279" i="117"/>
  <c r="AM279" i="117"/>
  <c r="AH260" i="117"/>
  <c r="AC221" i="117"/>
  <c r="V221" i="117"/>
  <c r="T221" i="117"/>
  <c r="R221" i="117"/>
  <c r="V240" i="117"/>
  <c r="AA240" i="117"/>
  <c r="AC240" i="117"/>
  <c r="AC235" i="117"/>
  <c r="AH235" i="117"/>
  <c r="AQ235" i="117"/>
  <c r="AF235" i="117"/>
  <c r="AA235" i="117"/>
  <c r="AC224" i="117"/>
  <c r="AO224" i="117"/>
  <c r="T224" i="117"/>
  <c r="AH217" i="117"/>
  <c r="Y217" i="117"/>
  <c r="AA206" i="117"/>
  <c r="AA185" i="117"/>
  <c r="V187" i="117"/>
  <c r="AH198" i="117"/>
  <c r="AM187" i="117"/>
  <c r="AO166" i="117"/>
  <c r="AA187" i="117"/>
  <c r="AM195" i="117"/>
  <c r="R158" i="117"/>
  <c r="AC133" i="117"/>
  <c r="Y133" i="117"/>
  <c r="AQ133" i="117"/>
  <c r="AC155" i="117"/>
  <c r="AQ79" i="117"/>
  <c r="AF79" i="117"/>
  <c r="AA111" i="117"/>
  <c r="AO106" i="117"/>
  <c r="AQ111" i="117"/>
  <c r="T111" i="117"/>
  <c r="AA86" i="117"/>
  <c r="R86" i="117"/>
  <c r="R105" i="117"/>
  <c r="T108" i="117"/>
  <c r="AQ105" i="117"/>
  <c r="Y70" i="117"/>
  <c r="T51" i="117"/>
  <c r="AO79" i="117"/>
  <c r="AM100" i="117"/>
  <c r="AH86" i="117"/>
  <c r="R70" i="117"/>
  <c r="AJ61" i="117"/>
  <c r="V50" i="117"/>
  <c r="AJ9" i="117"/>
  <c r="AQ10" i="117"/>
  <c r="AA10" i="117"/>
  <c r="AO55" i="117"/>
  <c r="AO45" i="117"/>
  <c r="R10" i="117"/>
  <c r="V269" i="117"/>
  <c r="AF245" i="117"/>
  <c r="V245" i="117"/>
  <c r="AC245" i="117"/>
  <c r="AO245" i="117"/>
  <c r="AJ245" i="117"/>
  <c r="T302" i="117"/>
  <c r="AF321" i="117"/>
  <c r="AQ249" i="117"/>
  <c r="AO263" i="117"/>
  <c r="AC251" i="117"/>
  <c r="Y251" i="117"/>
  <c r="V251" i="117"/>
  <c r="T251" i="117"/>
  <c r="AF201" i="117"/>
  <c r="AC166" i="117"/>
  <c r="AA155" i="117"/>
  <c r="AF166" i="117"/>
  <c r="AM143" i="117"/>
  <c r="AQ100" i="117"/>
  <c r="AH93" i="117"/>
  <c r="AQ93" i="117"/>
  <c r="V93" i="117"/>
  <c r="V58" i="117"/>
  <c r="AF58" i="117"/>
  <c r="Y58" i="117"/>
  <c r="AO93" i="117"/>
  <c r="V67" i="117"/>
  <c r="AQ67" i="117"/>
  <c r="AO67" i="117"/>
  <c r="AF67" i="117"/>
  <c r="R67" i="117"/>
  <c r="T45" i="117"/>
  <c r="Y67" i="117"/>
  <c r="R15" i="117"/>
  <c r="AQ321" i="117"/>
  <c r="AQ326" i="117"/>
  <c r="R330" i="117"/>
  <c r="AM330" i="117"/>
  <c r="AC321" i="117"/>
  <c r="AC326" i="117"/>
  <c r="R318" i="117"/>
  <c r="AF318" i="117"/>
  <c r="Y318" i="117"/>
  <c r="AM318" i="117"/>
  <c r="Y283" i="117"/>
  <c r="AF277" i="117"/>
  <c r="T283" i="117"/>
  <c r="AA249" i="117"/>
  <c r="AC330" i="117"/>
  <c r="V326" i="117"/>
  <c r="V321" i="117"/>
  <c r="R316" i="117"/>
  <c r="AF316" i="117"/>
  <c r="Y316" i="117"/>
  <c r="Y312" i="117"/>
  <c r="AF302" i="117"/>
  <c r="AA288" i="117"/>
  <c r="AF288" i="117"/>
  <c r="AQ287" i="117"/>
  <c r="AC287" i="117"/>
  <c r="AM287" i="117"/>
  <c r="AF290" i="117"/>
  <c r="T269" i="117"/>
  <c r="V249" i="117"/>
  <c r="V263" i="117"/>
  <c r="AA269" i="117"/>
  <c r="AH245" i="117"/>
  <c r="AQ245" i="117"/>
  <c r="V235" i="117"/>
  <c r="AO221" i="117"/>
  <c r="AQ219" i="117"/>
  <c r="AC219" i="117"/>
  <c r="AF240" i="117"/>
  <c r="T235" i="117"/>
  <c r="AF224" i="117"/>
  <c r="Y216" i="117"/>
  <c r="AA221" i="117"/>
  <c r="AM217" i="117"/>
  <c r="AH195" i="117"/>
  <c r="AH201" i="117"/>
  <c r="Y219" i="117"/>
  <c r="V195" i="117"/>
  <c r="AH211" i="117"/>
  <c r="AC202" i="117"/>
  <c r="AJ202" i="117"/>
  <c r="V202" i="117"/>
  <c r="AH197" i="117"/>
  <c r="AQ182" i="117"/>
  <c r="T181" i="117"/>
  <c r="AO202" i="117"/>
  <c r="AM197" i="117"/>
  <c r="V178" i="117"/>
  <c r="R184" i="117"/>
  <c r="AM184" i="117"/>
  <c r="Y184" i="117"/>
  <c r="V184" i="117"/>
  <c r="AQ184" i="117"/>
  <c r="AF184" i="117"/>
  <c r="AJ181" i="117"/>
  <c r="AH185" i="117"/>
  <c r="AO193" i="117"/>
  <c r="AF189" i="117"/>
  <c r="AM172" i="117"/>
  <c r="AM177" i="117"/>
  <c r="AA181" i="117"/>
  <c r="Y188" i="117"/>
  <c r="T166" i="117"/>
  <c r="AF178" i="117"/>
  <c r="V155" i="117"/>
  <c r="T143" i="117"/>
  <c r="AF111" i="117"/>
  <c r="AC93" i="117"/>
  <c r="AC108" i="117"/>
  <c r="AH105" i="117"/>
  <c r="AJ103" i="117"/>
  <c r="AF94" i="117"/>
  <c r="AQ64" i="117"/>
  <c r="AC64" i="117"/>
  <c r="AH64" i="117"/>
  <c r="Y94" i="117"/>
  <c r="T79" i="117"/>
  <c r="AO64" i="117"/>
  <c r="AH45" i="117"/>
  <c r="R61" i="117"/>
  <c r="AO24" i="117"/>
  <c r="AC24" i="117"/>
  <c r="T64" i="117"/>
  <c r="V12" i="117"/>
  <c r="T12" i="117"/>
  <c r="AC12" i="117"/>
  <c r="AJ279" i="117"/>
  <c r="AH279" i="117"/>
  <c r="Y279" i="117"/>
  <c r="V279" i="117"/>
  <c r="R321" i="117"/>
  <c r="AO312" i="117"/>
  <c r="AM312" i="117"/>
  <c r="V328" i="117"/>
  <c r="AJ328" i="117"/>
  <c r="AM322" i="117"/>
  <c r="Y322" i="117"/>
  <c r="V327" i="117"/>
  <c r="T330" i="117"/>
  <c r="V320" i="117"/>
  <c r="AF330" i="117"/>
  <c r="AM328" i="117"/>
  <c r="AC302" i="117"/>
  <c r="R326" i="117"/>
  <c r="Y249" i="117"/>
  <c r="AM251" i="117"/>
  <c r="AH249" i="117"/>
  <c r="AO214" i="117"/>
  <c r="AM317" i="117"/>
  <c r="R317" i="117"/>
  <c r="AF317" i="117"/>
  <c r="AJ321" i="117"/>
  <c r="AH317" i="117"/>
  <c r="Y315" i="117"/>
  <c r="V315" i="117"/>
  <c r="AF315" i="117"/>
  <c r="AJ318" i="117"/>
  <c r="R315" i="117"/>
  <c r="R312" i="117"/>
  <c r="T290" i="117"/>
  <c r="AM277" i="117"/>
  <c r="AO260" i="117"/>
  <c r="AQ260" i="117"/>
  <c r="R263" i="117"/>
  <c r="AH244" i="117"/>
  <c r="AO235" i="117"/>
  <c r="AQ224" i="117"/>
  <c r="Y245" i="117"/>
  <c r="AJ221" i="117"/>
  <c r="AH221" i="117"/>
  <c r="AA195" i="117"/>
  <c r="AF219" i="117"/>
  <c r="AM216" i="117"/>
  <c r="AM221" i="117"/>
  <c r="AJ201" i="117"/>
  <c r="AM211" i="117"/>
  <c r="AF216" i="117"/>
  <c r="AM224" i="117"/>
  <c r="R211" i="117"/>
  <c r="AJ198" i="117"/>
  <c r="AM198" i="117"/>
  <c r="AC198" i="117"/>
  <c r="T198" i="117"/>
  <c r="AO177" i="117"/>
  <c r="AC192" i="117"/>
  <c r="Y192" i="117"/>
  <c r="AF192" i="117"/>
  <c r="T192" i="117"/>
  <c r="R192" i="117"/>
  <c r="AM192" i="117"/>
  <c r="T197" i="117"/>
  <c r="AM189" i="117"/>
  <c r="R188" i="117"/>
  <c r="AF188" i="117"/>
  <c r="T172" i="117"/>
  <c r="AJ177" i="117"/>
  <c r="AJ143" i="117"/>
  <c r="AQ170" i="117"/>
  <c r="T189" i="117"/>
  <c r="R131" i="117"/>
  <c r="AH131" i="117"/>
  <c r="AQ131" i="117"/>
  <c r="T131" i="117"/>
  <c r="Y166" i="117"/>
  <c r="AM109" i="117"/>
  <c r="V109" i="117"/>
  <c r="AQ109" i="117"/>
  <c r="AO109" i="117"/>
  <c r="AQ97" i="117"/>
  <c r="AF97" i="117"/>
  <c r="T97" i="117"/>
  <c r="AM97" i="117"/>
  <c r="AC109" i="117"/>
  <c r="AJ70" i="117"/>
  <c r="AQ70" i="117"/>
  <c r="V70" i="117"/>
  <c r="AF70" i="117"/>
  <c r="Y93" i="117"/>
  <c r="R50" i="117"/>
  <c r="AM50" i="117"/>
  <c r="Y97" i="117"/>
  <c r="AC58" i="117"/>
  <c r="Y52" i="117"/>
  <c r="AQ9" i="117"/>
  <c r="AF9" i="117"/>
  <c r="T9" i="117"/>
  <c r="AC9" i="117"/>
  <c r="AH61" i="117"/>
  <c r="V15" i="117"/>
  <c r="AF36" i="117"/>
  <c r="T15" i="117"/>
  <c r="AO30" i="117"/>
  <c r="V30" i="117"/>
  <c r="AC30" i="117"/>
  <c r="R5" i="117"/>
  <c r="AH283" i="117"/>
  <c r="AQ283" i="117"/>
  <c r="AC283" i="117"/>
  <c r="AH312" i="117"/>
  <c r="Y320" i="117"/>
  <c r="V283" i="117"/>
  <c r="R216" i="117"/>
  <c r="Y187" i="117"/>
  <c r="AQ187" i="117"/>
  <c r="R187" i="117"/>
  <c r="AO327" i="117"/>
  <c r="AQ330" i="117"/>
  <c r="AM323" i="117"/>
  <c r="Y323" i="117"/>
  <c r="V323" i="117"/>
  <c r="AC327" i="117"/>
  <c r="AM319" i="117"/>
  <c r="AF319" i="117"/>
  <c r="AH326" i="117"/>
  <c r="T319" i="117"/>
  <c r="AJ322" i="117"/>
  <c r="AJ330" i="117"/>
  <c r="AH320" i="117"/>
  <c r="Y269" i="117"/>
  <c r="AJ269" i="117"/>
  <c r="T287" i="117"/>
  <c r="AJ263" i="117"/>
  <c r="AH328" i="117"/>
  <c r="AQ318" i="117"/>
  <c r="AQ323" i="117"/>
  <c r="V322" i="117"/>
  <c r="AM325" i="117"/>
  <c r="Y325" i="117"/>
  <c r="T320" i="117"/>
  <c r="AM324" i="117"/>
  <c r="Y324" i="117"/>
  <c r="T316" i="117"/>
  <c r="AA319" i="117"/>
  <c r="AJ317" i="117"/>
  <c r="AO316" i="117"/>
  <c r="AQ309" i="117"/>
  <c r="V309" i="117"/>
  <c r="AQ312" i="117"/>
  <c r="AF324" i="117"/>
  <c r="V318" i="117"/>
  <c r="AO317" i="117"/>
  <c r="T312" i="117"/>
  <c r="AF309" i="117"/>
  <c r="AO303" i="117"/>
  <c r="AQ290" i="117"/>
  <c r="AM309" i="117"/>
  <c r="AC288" i="117"/>
  <c r="AH288" i="117"/>
  <c r="R290" i="117"/>
  <c r="T279" i="117"/>
  <c r="AM260" i="117"/>
  <c r="AJ251" i="117"/>
  <c r="AA244" i="117"/>
  <c r="Y244" i="117"/>
  <c r="R240" i="117"/>
  <c r="AH251" i="117"/>
  <c r="V211" i="117"/>
  <c r="AJ217" i="117"/>
  <c r="AJ235" i="117"/>
  <c r="AH219" i="117"/>
  <c r="AO217" i="117"/>
  <c r="AO216" i="117"/>
  <c r="AA211" i="117"/>
  <c r="R217" i="117"/>
  <c r="R195" i="117"/>
  <c r="AA201" i="117"/>
  <c r="AH190" i="117"/>
  <c r="V190" i="117"/>
  <c r="AQ190" i="117"/>
  <c r="AF190" i="117"/>
  <c r="AM190" i="117"/>
  <c r="V188" i="117"/>
  <c r="Y201" i="117"/>
  <c r="AO181" i="117"/>
  <c r="AQ188" i="117"/>
  <c r="V197" i="117"/>
  <c r="V168" i="117"/>
  <c r="AM168" i="117"/>
  <c r="Y168" i="117"/>
  <c r="V164" i="117"/>
  <c r="AH164" i="117"/>
  <c r="T164" i="117"/>
  <c r="AC164" i="117"/>
  <c r="AM164" i="117"/>
  <c r="AA166" i="117"/>
  <c r="AH187" i="117"/>
  <c r="AF164" i="117"/>
  <c r="AH170" i="117"/>
  <c r="R177" i="117"/>
  <c r="AF172" i="117"/>
  <c r="AF161" i="117"/>
  <c r="V161" i="117"/>
  <c r="AO137" i="117"/>
  <c r="AF137" i="117"/>
  <c r="V137" i="117"/>
  <c r="T137" i="117"/>
  <c r="AC137" i="117"/>
  <c r="AM161" i="117"/>
  <c r="T109" i="117"/>
  <c r="AF108" i="117"/>
  <c r="AH108" i="117"/>
  <c r="Y106" i="117"/>
  <c r="AA97" i="117"/>
  <c r="AQ50" i="117"/>
  <c r="AJ55" i="117"/>
  <c r="AC61" i="117"/>
  <c r="AJ50" i="117"/>
  <c r="T67" i="117"/>
  <c r="R94" i="117"/>
  <c r="T106" i="117"/>
  <c r="AM70" i="117"/>
  <c r="AJ58" i="117"/>
  <c r="AH67" i="117"/>
  <c r="Y51" i="117"/>
  <c r="R58" i="117"/>
  <c r="T18" i="117"/>
  <c r="R18" i="117"/>
  <c r="AA21" i="117"/>
  <c r="AH9" i="117"/>
  <c r="R21" i="117"/>
  <c r="R251" i="117"/>
  <c r="AA245" i="117"/>
  <c r="AC216" i="117"/>
  <c r="V219" i="117"/>
  <c r="AJ219" i="117"/>
  <c r="AJ211" i="117"/>
  <c r="AM214" i="117"/>
  <c r="T216" i="117"/>
  <c r="AH214" i="117"/>
  <c r="AC214" i="117"/>
  <c r="AF217" i="117"/>
  <c r="AA178" i="117"/>
  <c r="AJ180" i="117"/>
  <c r="Y180" i="117"/>
  <c r="R190" i="117"/>
  <c r="AH181" i="117"/>
  <c r="AC185" i="117"/>
  <c r="AQ158" i="117"/>
  <c r="AM158" i="117"/>
  <c r="R170" i="117"/>
  <c r="AF170" i="117"/>
  <c r="R172" i="117"/>
  <c r="Y189" i="117"/>
  <c r="R166" i="117"/>
  <c r="R185" i="117"/>
  <c r="T158" i="117"/>
  <c r="AH117" i="117"/>
  <c r="AO105" i="117"/>
  <c r="T105" i="117"/>
  <c r="AC97" i="117"/>
  <c r="AA109" i="117"/>
  <c r="AM81" i="117"/>
  <c r="T81" i="117"/>
  <c r="AH81" i="117"/>
  <c r="Y81" i="117"/>
  <c r="AC81" i="117"/>
  <c r="AA81" i="117"/>
  <c r="AQ58" i="117"/>
  <c r="AO58" i="117"/>
  <c r="R45" i="117"/>
  <c r="AQ45" i="117"/>
  <c r="V45" i="117"/>
  <c r="Y105" i="117"/>
  <c r="AA58" i="117"/>
  <c r="R109" i="117"/>
  <c r="R93" i="117"/>
  <c r="AM105" i="117"/>
  <c r="AA70" i="117"/>
  <c r="AA67" i="117"/>
  <c r="AO50" i="117"/>
  <c r="V9" i="117"/>
  <c r="AQ55" i="117"/>
  <c r="AO15" i="117"/>
  <c r="AH15" i="117"/>
  <c r="AQ15" i="117"/>
  <c r="AF15" i="117"/>
  <c r="AH10" i="117"/>
  <c r="Y12" i="117"/>
  <c r="AM12" i="117"/>
  <c r="R9" i="117"/>
  <c r="AF326" i="117"/>
  <c r="AM326" i="117"/>
  <c r="AQ269" i="117"/>
  <c r="AO249" i="117"/>
  <c r="T249" i="117"/>
  <c r="AC249" i="117"/>
  <c r="R269" i="117"/>
  <c r="AM249" i="117"/>
  <c r="R214" i="117"/>
  <c r="AA214" i="117"/>
  <c r="AC193" i="117"/>
  <c r="AJ193" i="117"/>
  <c r="AH193" i="117"/>
  <c r="AF193" i="117"/>
  <c r="T193" i="117"/>
  <c r="AQ193" i="117"/>
  <c r="AA193" i="117"/>
  <c r="AM193" i="117"/>
  <c r="AO188" i="117"/>
  <c r="AM188" i="117"/>
  <c r="R155" i="117"/>
  <c r="Y155" i="117"/>
  <c r="AO155" i="117"/>
  <c r="AC111" i="117"/>
  <c r="V111" i="117"/>
  <c r="V100" i="117"/>
  <c r="T100" i="117"/>
  <c r="AC100" i="117"/>
  <c r="R100" i="117"/>
  <c r="AJ105" i="117"/>
  <c r="AH58" i="117"/>
  <c r="Y103" i="117"/>
  <c r="Y61" i="117"/>
  <c r="AH55" i="117"/>
  <c r="AF55" i="117"/>
  <c r="AC21" i="117"/>
  <c r="Y55" i="117"/>
  <c r="AM30" i="117"/>
  <c r="AJ11" i="117"/>
  <c r="AM21" i="117"/>
  <c r="AH11" i="117"/>
  <c r="AA9" i="117"/>
  <c r="Y11" i="117"/>
  <c r="AO9" i="117"/>
  <c r="T7" i="117"/>
  <c r="AA326" i="117"/>
  <c r="AJ216" i="117"/>
  <c r="V181" i="117"/>
  <c r="AQ181" i="117"/>
  <c r="AF181" i="117"/>
  <c r="Y181" i="117"/>
  <c r="AC178" i="117"/>
  <c r="R178" i="117"/>
  <c r="AH178" i="117"/>
  <c r="T178" i="117"/>
  <c r="V166" i="117"/>
  <c r="AJ166" i="117"/>
  <c r="AM166" i="117"/>
  <c r="AQ178" i="117"/>
  <c r="AH166" i="117"/>
  <c r="T93" i="117"/>
  <c r="V105" i="117"/>
  <c r="AC131" i="117"/>
  <c r="Y100" i="117"/>
  <c r="AH97" i="117"/>
  <c r="T94" i="117"/>
  <c r="AF100" i="117"/>
  <c r="AC79" i="117"/>
  <c r="Y86" i="117"/>
  <c r="AA64" i="117"/>
  <c r="Y50" i="117"/>
  <c r="AF45" i="117"/>
  <c r="AM64" i="117"/>
  <c r="AM52" i="117"/>
  <c r="T70" i="117"/>
  <c r="AJ10" i="117"/>
  <c r="T24" i="117"/>
  <c r="T30" i="117"/>
  <c r="F9" i="114" l="1"/>
  <c r="E8" i="114"/>
  <c r="C10" i="114"/>
  <c r="E5" i="114"/>
  <c r="F6" i="114"/>
  <c r="E4" i="114"/>
  <c r="E7" i="114"/>
  <c r="B6" i="68"/>
  <c r="B5" i="68"/>
  <c r="B4" i="68"/>
  <c r="M49" i="112" l="1"/>
  <c r="M48" i="112"/>
  <c r="M47" i="112"/>
  <c r="M46" i="112"/>
  <c r="M45" i="112"/>
  <c r="M44" i="112"/>
  <c r="M43" i="112"/>
  <c r="M42" i="112"/>
  <c r="M41" i="112"/>
  <c r="M40" i="112"/>
  <c r="M39" i="112"/>
  <c r="M38" i="112"/>
  <c r="M37" i="112"/>
  <c r="M36" i="112"/>
  <c r="M35" i="112"/>
  <c r="M34" i="112"/>
  <c r="M33" i="112"/>
  <c r="M32" i="112"/>
  <c r="M31" i="112"/>
  <c r="M30" i="112"/>
  <c r="M29" i="112"/>
  <c r="M28" i="112"/>
  <c r="M27" i="112"/>
  <c r="M26" i="112"/>
  <c r="M25" i="112"/>
  <c r="M24" i="112"/>
  <c r="M23" i="112"/>
  <c r="M22" i="112"/>
  <c r="M21" i="112"/>
  <c r="M20" i="112"/>
  <c r="M19" i="112"/>
  <c r="M18" i="112"/>
  <c r="M17" i="112"/>
  <c r="M16" i="112"/>
  <c r="M15" i="112"/>
  <c r="M14" i="112"/>
  <c r="M13" i="112"/>
  <c r="M12" i="112"/>
  <c r="M11" i="112"/>
  <c r="M10" i="112"/>
  <c r="M9" i="112"/>
  <c r="M8" i="112"/>
  <c r="M7" i="112"/>
  <c r="M6" i="112"/>
  <c r="M5" i="112"/>
  <c r="M4" i="112"/>
  <c r="M3" i="112"/>
  <c r="M2" i="112"/>
  <c r="F3" i="114" l="1"/>
  <c r="E3" i="114"/>
  <c r="Q1047" i="100" l="1"/>
  <c r="P1047" i="100"/>
  <c r="Q840" i="100"/>
  <c r="P840" i="100"/>
  <c r="Q609" i="100"/>
  <c r="P609" i="100"/>
  <c r="Q386" i="100"/>
  <c r="P386" i="100"/>
  <c r="Q164" i="100"/>
  <c r="P164" i="100"/>
  <c r="Q76" i="100"/>
  <c r="P76" i="100"/>
  <c r="Q774" i="100"/>
  <c r="P774" i="100"/>
  <c r="Q541" i="100"/>
  <c r="P541" i="100"/>
  <c r="Q974" i="100"/>
  <c r="P974" i="100"/>
  <c r="Q772" i="100"/>
  <c r="P772" i="100"/>
  <c r="Q548" i="100"/>
  <c r="P548" i="100"/>
  <c r="Q311" i="100"/>
  <c r="P311" i="100"/>
  <c r="Q91" i="100"/>
  <c r="P91" i="100"/>
  <c r="Q960" i="100"/>
  <c r="P960" i="100"/>
  <c r="Q739" i="100"/>
  <c r="P739" i="100"/>
  <c r="Q274" i="100"/>
  <c r="P274" i="100"/>
  <c r="Q234" i="100"/>
  <c r="P234" i="100"/>
  <c r="Q20" i="100"/>
  <c r="P20" i="100"/>
  <c r="Q484" i="100"/>
  <c r="P484" i="100"/>
  <c r="Q245" i="100"/>
  <c r="P245" i="100"/>
  <c r="Q485" i="100"/>
  <c r="P485" i="100"/>
  <c r="Q242" i="100"/>
  <c r="P242" i="100"/>
  <c r="Q25" i="100"/>
  <c r="P25" i="100"/>
  <c r="Q703" i="100"/>
  <c r="P703" i="100"/>
  <c r="Q459" i="100"/>
  <c r="P459" i="100"/>
  <c r="Q293" i="100"/>
  <c r="P293" i="100"/>
  <c r="Q2" i="100"/>
  <c r="P2" i="100"/>
  <c r="Q1110" i="100"/>
  <c r="P1110" i="100"/>
  <c r="Q692" i="100"/>
  <c r="P692" i="100"/>
  <c r="Q509" i="100"/>
  <c r="P509" i="100"/>
  <c r="Q495" i="100"/>
  <c r="P495" i="100"/>
  <c r="Q273" i="100"/>
  <c r="P273" i="100"/>
  <c r="Q255" i="100"/>
  <c r="P255" i="100"/>
  <c r="Q214" i="100"/>
  <c r="P214" i="100"/>
  <c r="Q49" i="100"/>
  <c r="P49" i="100"/>
  <c r="Q28" i="100"/>
  <c r="P28" i="100"/>
  <c r="Q408" i="100"/>
  <c r="P408" i="100"/>
  <c r="Q723" i="100"/>
  <c r="P723" i="100"/>
  <c r="Q33" i="100"/>
  <c r="P33" i="100"/>
  <c r="Q104" i="100"/>
  <c r="P104" i="100"/>
  <c r="Q1005" i="100"/>
  <c r="P1005" i="100"/>
  <c r="Q813" i="100"/>
  <c r="P813" i="100"/>
  <c r="Q582" i="100"/>
  <c r="P582" i="100"/>
  <c r="Q322" i="100"/>
  <c r="P322" i="100"/>
  <c r="Q103" i="100"/>
  <c r="P103" i="100"/>
  <c r="Q469" i="100"/>
  <c r="P469" i="100"/>
  <c r="Q229" i="100"/>
  <c r="P229" i="100"/>
  <c r="Q7" i="100"/>
  <c r="P7" i="100"/>
  <c r="Q1061" i="100"/>
  <c r="P1061" i="100"/>
  <c r="Q879" i="100"/>
  <c r="P879" i="100"/>
  <c r="Q681" i="100"/>
  <c r="P681" i="100"/>
  <c r="Q438" i="100"/>
  <c r="P438" i="100"/>
  <c r="Q200" i="100"/>
  <c r="P200" i="100"/>
  <c r="Q1004" i="100"/>
  <c r="P1004" i="100"/>
  <c r="Q764" i="100"/>
  <c r="P764" i="100"/>
  <c r="Q557" i="100"/>
  <c r="P557" i="100"/>
  <c r="Q317" i="100"/>
  <c r="P317" i="100"/>
  <c r="Q1119" i="100"/>
  <c r="P1119" i="100"/>
  <c r="Q904" i="100"/>
  <c r="P904" i="100"/>
  <c r="Q457" i="100"/>
  <c r="P457" i="100"/>
  <c r="Q1057" i="100"/>
  <c r="P1057" i="100"/>
  <c r="Q838" i="100"/>
  <c r="P838" i="100"/>
  <c r="Q618" i="100"/>
  <c r="P618" i="100"/>
  <c r="Q417" i="100"/>
  <c r="P417" i="100"/>
  <c r="Q184" i="100"/>
  <c r="P184" i="100"/>
  <c r="Q155" i="100"/>
  <c r="P155" i="100"/>
  <c r="Q175" i="100"/>
  <c r="P175" i="100"/>
  <c r="Q657" i="100"/>
  <c r="P657" i="100"/>
  <c r="Q399" i="100"/>
  <c r="P399" i="100"/>
  <c r="Q1072" i="100"/>
  <c r="P1072" i="100"/>
  <c r="Q78" i="100"/>
  <c r="P78" i="100"/>
  <c r="Q241" i="100"/>
  <c r="P241" i="100"/>
  <c r="Q943" i="100"/>
  <c r="P943" i="100"/>
  <c r="Q747" i="100"/>
  <c r="P747" i="100"/>
  <c r="Q519" i="100"/>
  <c r="P519" i="100"/>
  <c r="Q1036" i="100"/>
  <c r="P1036" i="100"/>
  <c r="Q1028" i="100"/>
  <c r="P1028" i="100"/>
  <c r="Q1016" i="100"/>
  <c r="P1016" i="100"/>
  <c r="Q954" i="100"/>
  <c r="P954" i="100"/>
  <c r="Q892" i="100"/>
  <c r="P892" i="100"/>
  <c r="Q807" i="100"/>
  <c r="P807" i="100"/>
  <c r="Q796" i="100"/>
  <c r="P796" i="100"/>
  <c r="Q787" i="100"/>
  <c r="P787" i="100"/>
  <c r="Q767" i="100"/>
  <c r="P767" i="100"/>
  <c r="Q647" i="100"/>
  <c r="P647" i="100"/>
  <c r="Q645" i="100"/>
  <c r="P645" i="100"/>
  <c r="Q625" i="100"/>
  <c r="P625" i="100"/>
  <c r="Q608" i="100"/>
  <c r="P608" i="100"/>
  <c r="Q590" i="100"/>
  <c r="P590" i="100"/>
  <c r="Q555" i="100"/>
  <c r="P555" i="100"/>
  <c r="Q449" i="100"/>
  <c r="P449" i="100"/>
  <c r="Q427" i="100"/>
  <c r="P427" i="100"/>
  <c r="Q421" i="100"/>
  <c r="P421" i="100"/>
  <c r="Q401" i="100"/>
  <c r="P401" i="100"/>
  <c r="Q396" i="100"/>
  <c r="P396" i="100"/>
  <c r="Q350" i="100"/>
  <c r="P350" i="100"/>
  <c r="Q186" i="100"/>
  <c r="P186" i="100"/>
  <c r="Q179" i="100"/>
  <c r="P179" i="100"/>
  <c r="Q166" i="100"/>
  <c r="P166" i="100"/>
  <c r="Q162" i="100"/>
  <c r="P162" i="100"/>
  <c r="Q137" i="100"/>
  <c r="P137" i="100"/>
  <c r="Q106" i="100"/>
  <c r="P106" i="100"/>
  <c r="Q935" i="100"/>
  <c r="P935" i="100"/>
  <c r="Q707" i="100"/>
  <c r="P707" i="100"/>
  <c r="Q464" i="100"/>
  <c r="P464" i="100"/>
  <c r="Q223" i="100"/>
  <c r="P223" i="100"/>
  <c r="Q5" i="100"/>
  <c r="P5" i="100"/>
  <c r="Q978" i="100"/>
  <c r="P978" i="100"/>
  <c r="Q936" i="100"/>
  <c r="P936" i="100"/>
  <c r="Q736" i="100"/>
  <c r="P736" i="100"/>
  <c r="Q505" i="100"/>
  <c r="P505" i="100"/>
  <c r="Q272" i="100"/>
  <c r="P272" i="100"/>
  <c r="Q1021" i="100"/>
  <c r="P1021" i="100"/>
  <c r="Q1011" i="100"/>
  <c r="P1011" i="100"/>
  <c r="Q998" i="100"/>
  <c r="P998" i="100"/>
  <c r="Q831" i="100"/>
  <c r="P831" i="100"/>
  <c r="Q822" i="100"/>
  <c r="P822" i="100"/>
  <c r="Q806" i="100"/>
  <c r="P806" i="100"/>
  <c r="Q598" i="100"/>
  <c r="P598" i="100"/>
  <c r="Q585" i="100"/>
  <c r="P585" i="100"/>
  <c r="Q571" i="100"/>
  <c r="P571" i="100"/>
  <c r="Q400" i="100"/>
  <c r="P400" i="100"/>
  <c r="Q383" i="100"/>
  <c r="P383" i="100"/>
  <c r="Q376" i="100"/>
  <c r="P376" i="100"/>
  <c r="Q368" i="100"/>
  <c r="P368" i="100"/>
  <c r="Q366" i="100"/>
  <c r="P366" i="100"/>
  <c r="Q363" i="100"/>
  <c r="P363" i="100"/>
  <c r="Q140" i="100"/>
  <c r="P140" i="100"/>
  <c r="Q121" i="100"/>
  <c r="P121" i="100"/>
  <c r="Q89" i="100"/>
  <c r="P89" i="100"/>
  <c r="Q60" i="100"/>
  <c r="P60" i="100"/>
  <c r="Q1073" i="100"/>
  <c r="P1073" i="100"/>
  <c r="Q877" i="100"/>
  <c r="P877" i="100"/>
  <c r="Q636" i="100"/>
  <c r="P636" i="100"/>
  <c r="Q435" i="100"/>
  <c r="P435" i="100"/>
  <c r="Q150" i="100"/>
  <c r="P150" i="100"/>
  <c r="Q1097" i="100"/>
  <c r="P1097" i="100"/>
  <c r="Q882" i="100"/>
  <c r="P882" i="100"/>
  <c r="Q673" i="100"/>
  <c r="P673" i="100"/>
  <c r="Q422" i="100"/>
  <c r="P422" i="100"/>
  <c r="Q192" i="100"/>
  <c r="P192" i="100"/>
  <c r="Q1077" i="100"/>
  <c r="P1077" i="100"/>
  <c r="Q865" i="100"/>
  <c r="P865" i="100"/>
  <c r="Q651" i="100"/>
  <c r="P651" i="100"/>
  <c r="Q373" i="100"/>
  <c r="P373" i="100"/>
  <c r="Q171" i="100"/>
  <c r="P171" i="100"/>
  <c r="Q939" i="100"/>
  <c r="P939" i="100"/>
  <c r="Q741" i="100"/>
  <c r="P741" i="100"/>
  <c r="Q279" i="100"/>
  <c r="P279" i="100"/>
  <c r="Q994" i="100"/>
  <c r="P994" i="100"/>
  <c r="Q793" i="100"/>
  <c r="P793" i="100"/>
  <c r="Q575" i="100"/>
  <c r="P575" i="100"/>
  <c r="Q687" i="100"/>
  <c r="P687" i="100"/>
  <c r="Q1092" i="100"/>
  <c r="P1092" i="100"/>
  <c r="Q906" i="100"/>
  <c r="P906" i="100"/>
  <c r="Q665" i="100"/>
  <c r="P665" i="100"/>
  <c r="Q458" i="100"/>
  <c r="P458" i="100"/>
  <c r="Q219" i="100"/>
  <c r="P219" i="100"/>
  <c r="Q1114" i="100"/>
  <c r="P1114" i="100"/>
  <c r="Q901" i="100"/>
  <c r="P901" i="100"/>
  <c r="Q694" i="100"/>
  <c r="P694" i="100"/>
  <c r="Q451" i="100"/>
  <c r="P451" i="100"/>
  <c r="Q212" i="100"/>
  <c r="P212" i="100"/>
  <c r="Q1108" i="100"/>
  <c r="P1108" i="100"/>
  <c r="Q1101" i="100"/>
  <c r="P1101" i="100"/>
  <c r="Q895" i="100"/>
  <c r="P895" i="100"/>
  <c r="Q889" i="100"/>
  <c r="P889" i="100"/>
  <c r="Q689" i="100"/>
  <c r="P689" i="100"/>
  <c r="Q682" i="100"/>
  <c r="P682" i="100"/>
  <c r="Q442" i="100"/>
  <c r="P442" i="100"/>
  <c r="Q439" i="100"/>
  <c r="P439" i="100"/>
  <c r="Q990" i="100"/>
  <c r="P990" i="100"/>
  <c r="Q795" i="100"/>
  <c r="P795" i="100"/>
  <c r="Q568" i="100"/>
  <c r="P568" i="100"/>
  <c r="Q332" i="100"/>
  <c r="P332" i="100"/>
  <c r="Q109" i="100"/>
  <c r="P109" i="100"/>
  <c r="Q989" i="100"/>
  <c r="P989" i="100"/>
  <c r="Q789" i="100"/>
  <c r="P789" i="100"/>
  <c r="Q428" i="100"/>
  <c r="P428" i="100"/>
  <c r="Q196" i="100"/>
  <c r="P196" i="100"/>
  <c r="Q1029" i="100"/>
  <c r="P1029" i="100"/>
  <c r="Q997" i="100"/>
  <c r="P997" i="100"/>
  <c r="Q788" i="100"/>
  <c r="P788" i="100"/>
  <c r="Q769" i="100"/>
  <c r="P769" i="100"/>
  <c r="Q529" i="100"/>
  <c r="P529" i="100"/>
  <c r="Q525" i="100"/>
  <c r="P525" i="100"/>
  <c r="Q762" i="100"/>
  <c r="P762" i="100"/>
  <c r="Q538" i="100"/>
  <c r="P538" i="100"/>
  <c r="Q295" i="100"/>
  <c r="P295" i="100"/>
  <c r="Q82" i="100"/>
  <c r="P82" i="100"/>
  <c r="Q944" i="100"/>
  <c r="P944" i="100"/>
  <c r="Q748" i="100"/>
  <c r="P748" i="100"/>
  <c r="Q521" i="100"/>
  <c r="P521" i="100"/>
  <c r="Q276" i="100"/>
  <c r="P276" i="100"/>
  <c r="Q62" i="100"/>
  <c r="P62" i="100"/>
  <c r="Q391" i="100"/>
  <c r="P391" i="100"/>
  <c r="Q158" i="100"/>
  <c r="P158" i="100"/>
  <c r="Q1007" i="100"/>
  <c r="P1007" i="100"/>
  <c r="Q811" i="100"/>
  <c r="P811" i="100"/>
  <c r="Q983" i="100"/>
  <c r="P983" i="100"/>
  <c r="Q779" i="100"/>
  <c r="P779" i="100"/>
  <c r="Q956" i="100"/>
  <c r="P956" i="100"/>
  <c r="Q1027" i="100"/>
  <c r="P1027" i="100"/>
  <c r="Q825" i="100"/>
  <c r="P825" i="100"/>
  <c r="Q604" i="100"/>
  <c r="P604" i="100"/>
  <c r="Q958" i="100"/>
  <c r="P958" i="100"/>
  <c r="Q761" i="100"/>
  <c r="P761" i="100"/>
  <c r="Q544" i="100"/>
  <c r="P544" i="100"/>
  <c r="Q285" i="100"/>
  <c r="P285" i="100"/>
  <c r="Q74" i="100"/>
  <c r="P74" i="100"/>
  <c r="Q1094" i="100"/>
  <c r="P1094" i="100"/>
  <c r="Q885" i="100"/>
  <c r="P885" i="100"/>
  <c r="Q674" i="100"/>
  <c r="P674" i="100"/>
  <c r="Q437" i="100"/>
  <c r="P437" i="100"/>
  <c r="Q199" i="100"/>
  <c r="P199" i="100"/>
  <c r="Q773" i="100"/>
  <c r="P773" i="100"/>
  <c r="Q965" i="100"/>
  <c r="P965" i="100"/>
  <c r="Q821" i="100"/>
  <c r="P821" i="100"/>
  <c r="Q607" i="100"/>
  <c r="P607" i="100"/>
  <c r="Q372" i="100"/>
  <c r="P372" i="100"/>
  <c r="Q136" i="100"/>
  <c r="P136" i="100"/>
  <c r="Q1010" i="100"/>
  <c r="P1010" i="100"/>
  <c r="Q814" i="100"/>
  <c r="P814" i="100"/>
  <c r="Q615" i="100"/>
  <c r="P615" i="100"/>
  <c r="Q331" i="100"/>
  <c r="P331" i="100"/>
  <c r="Q122" i="100"/>
  <c r="P122" i="100"/>
  <c r="Q1031" i="100"/>
  <c r="P1031" i="100"/>
  <c r="Q619" i="100"/>
  <c r="P619" i="100"/>
  <c r="Q395" i="100"/>
  <c r="P395" i="100"/>
  <c r="Q216" i="100"/>
  <c r="P216" i="100"/>
  <c r="Q127" i="100"/>
  <c r="P127" i="100"/>
  <c r="Q948" i="100"/>
  <c r="P948" i="100"/>
  <c r="Q501" i="100"/>
  <c r="P501" i="100"/>
  <c r="Q265" i="100"/>
  <c r="P265" i="100"/>
  <c r="Q42" i="100"/>
  <c r="P42" i="100"/>
  <c r="Q1026" i="100"/>
  <c r="P1026" i="100"/>
  <c r="Q862" i="100"/>
  <c r="P862" i="100"/>
  <c r="Q963" i="100"/>
  <c r="P963" i="100"/>
  <c r="Q766" i="100"/>
  <c r="P766" i="100"/>
  <c r="Q543" i="100"/>
  <c r="P543" i="100"/>
  <c r="Q126" i="100"/>
  <c r="P126" i="100"/>
  <c r="Q1023" i="100"/>
  <c r="P1023" i="100"/>
  <c r="Q823" i="100"/>
  <c r="P823" i="100"/>
  <c r="Q621" i="100"/>
  <c r="P621" i="100"/>
  <c r="Q1086" i="100"/>
  <c r="P1086" i="100"/>
  <c r="Q878" i="100"/>
  <c r="P878" i="100"/>
  <c r="Q638" i="100"/>
  <c r="P638" i="100"/>
  <c r="Q418" i="100"/>
  <c r="P418" i="100"/>
  <c r="Q176" i="100"/>
  <c r="P176" i="100"/>
  <c r="Q43" i="100"/>
  <c r="P43" i="100"/>
  <c r="Q39" i="100"/>
  <c r="P39" i="100"/>
  <c r="Q38" i="100"/>
  <c r="P38" i="100"/>
  <c r="Q32" i="100"/>
  <c r="P32" i="100"/>
  <c r="Q927" i="100"/>
  <c r="P927" i="100"/>
  <c r="Q532" i="100"/>
  <c r="P532" i="100"/>
  <c r="Q289" i="100"/>
  <c r="P289" i="100"/>
  <c r="Q54" i="100"/>
  <c r="P54" i="100"/>
  <c r="Q232" i="100"/>
  <c r="P232" i="100"/>
  <c r="Q65" i="100"/>
  <c r="P65" i="100"/>
  <c r="Q924" i="100"/>
  <c r="P924" i="100"/>
  <c r="Q716" i="100"/>
  <c r="P716" i="100"/>
  <c r="Q477" i="100"/>
  <c r="P477" i="100"/>
  <c r="Q237" i="100"/>
  <c r="P237" i="100"/>
  <c r="Q16" i="100"/>
  <c r="P16" i="100"/>
  <c r="Q988" i="100"/>
  <c r="P988" i="100"/>
  <c r="Q945" i="100"/>
  <c r="P945" i="100"/>
  <c r="Q759" i="100"/>
  <c r="P759" i="100"/>
  <c r="Q749" i="100"/>
  <c r="P749" i="100"/>
  <c r="Q563" i="100"/>
  <c r="P563" i="100"/>
  <c r="Q522" i="100"/>
  <c r="P522" i="100"/>
  <c r="Q315" i="100"/>
  <c r="P315" i="100"/>
  <c r="Q277" i="100"/>
  <c r="P277" i="100"/>
  <c r="Q100" i="100"/>
  <c r="P100" i="100"/>
  <c r="Q81" i="100"/>
  <c r="P81" i="100"/>
  <c r="Q917" i="100"/>
  <c r="P917" i="100"/>
  <c r="Q738" i="100"/>
  <c r="P738" i="100"/>
  <c r="Q462" i="100"/>
  <c r="P462" i="100"/>
  <c r="Q222" i="100"/>
  <c r="P222" i="100"/>
  <c r="Q9" i="100"/>
  <c r="P9" i="100"/>
  <c r="Q1105" i="100"/>
  <c r="P1105" i="100"/>
  <c r="Q869" i="100"/>
  <c r="P869" i="100"/>
  <c r="Q678" i="100"/>
  <c r="P678" i="100"/>
  <c r="Q282" i="100"/>
  <c r="P282" i="100"/>
  <c r="Q55" i="100"/>
  <c r="P55" i="100"/>
  <c r="Q286" i="100"/>
  <c r="P286" i="100"/>
  <c r="Q68" i="100"/>
  <c r="P68" i="100"/>
  <c r="Q992" i="100"/>
  <c r="P992" i="100"/>
  <c r="Q799" i="100"/>
  <c r="P799" i="100"/>
  <c r="Q574" i="100"/>
  <c r="P574" i="100"/>
  <c r="Q337" i="100"/>
  <c r="P337" i="100"/>
  <c r="Q115" i="100"/>
  <c r="P115" i="100"/>
  <c r="Q1044" i="100"/>
  <c r="P1044" i="100"/>
  <c r="Q817" i="100"/>
  <c r="P817" i="100"/>
  <c r="Q591" i="100"/>
  <c r="P591" i="100"/>
  <c r="Q354" i="100"/>
  <c r="P354" i="100"/>
  <c r="Q128" i="100"/>
  <c r="P128" i="100"/>
  <c r="Q1060" i="100"/>
  <c r="P1060" i="100"/>
  <c r="Q851" i="100"/>
  <c r="P851" i="100"/>
  <c r="Q644" i="100"/>
  <c r="P644" i="100"/>
  <c r="Q398" i="100"/>
  <c r="P398" i="100"/>
  <c r="Q169" i="100"/>
  <c r="P169" i="100"/>
  <c r="Q1099" i="100"/>
  <c r="P1099" i="100"/>
  <c r="Q886" i="100"/>
  <c r="P886" i="100"/>
  <c r="Q680" i="100"/>
  <c r="P680" i="100"/>
  <c r="Q440" i="100"/>
  <c r="P440" i="100"/>
  <c r="Q203" i="100"/>
  <c r="P203" i="100"/>
  <c r="Q257" i="100"/>
  <c r="P257" i="100"/>
  <c r="Q36" i="100"/>
  <c r="P36" i="100"/>
  <c r="Q908" i="100"/>
  <c r="P908" i="100"/>
  <c r="Q704" i="100"/>
  <c r="P704" i="100"/>
  <c r="Q928" i="100"/>
  <c r="P928" i="100"/>
  <c r="Q728" i="100"/>
  <c r="P728" i="100"/>
  <c r="Q497" i="100"/>
  <c r="P497" i="100"/>
  <c r="Q258" i="100"/>
  <c r="P258" i="100"/>
  <c r="Q52" i="100"/>
  <c r="P52" i="100"/>
  <c r="Q986" i="100"/>
  <c r="P986" i="100"/>
  <c r="Q848" i="100"/>
  <c r="P848" i="100"/>
  <c r="Q588" i="100"/>
  <c r="P588" i="100"/>
  <c r="Q346" i="100"/>
  <c r="P346" i="100"/>
  <c r="Q119" i="100"/>
  <c r="P119" i="100"/>
  <c r="Q993" i="100"/>
  <c r="P993" i="100"/>
  <c r="Q800" i="100"/>
  <c r="P800" i="100"/>
  <c r="Q573" i="100"/>
  <c r="P573" i="100"/>
  <c r="Q335" i="100"/>
  <c r="P335" i="100"/>
  <c r="Q114" i="100"/>
  <c r="P114" i="100"/>
  <c r="Q987" i="100"/>
  <c r="P987" i="100"/>
  <c r="Q794" i="100"/>
  <c r="P794" i="100"/>
  <c r="Q570" i="100"/>
  <c r="P570" i="100"/>
  <c r="Q324" i="100"/>
  <c r="P324" i="100"/>
  <c r="Q117" i="100"/>
  <c r="P117" i="100"/>
  <c r="Q488" i="100"/>
  <c r="P488" i="100"/>
  <c r="Q1041" i="100"/>
  <c r="P1041" i="100"/>
  <c r="Q836" i="100"/>
  <c r="P836" i="100"/>
  <c r="Q629" i="100"/>
  <c r="P629" i="100"/>
  <c r="Q390" i="100"/>
  <c r="P390" i="100"/>
  <c r="Q160" i="100"/>
  <c r="P160" i="100"/>
  <c r="Q476" i="100"/>
  <c r="P476" i="100"/>
  <c r="Q235" i="100"/>
  <c r="P235" i="100"/>
  <c r="Q14" i="100"/>
  <c r="P14" i="100"/>
  <c r="Q884" i="100"/>
  <c r="P884" i="100"/>
  <c r="Q662" i="100"/>
  <c r="P662" i="100"/>
  <c r="Q375" i="100"/>
  <c r="P375" i="100"/>
  <c r="Q170" i="100"/>
  <c r="P170" i="100"/>
  <c r="Q1001" i="100"/>
  <c r="P1001" i="100"/>
  <c r="Q756" i="100"/>
  <c r="P756" i="100"/>
  <c r="Q528" i="100"/>
  <c r="P528" i="100"/>
  <c r="Q278" i="100"/>
  <c r="P278" i="100"/>
  <c r="Q61" i="100"/>
  <c r="P61" i="100"/>
  <c r="Q929" i="100"/>
  <c r="P929" i="100"/>
  <c r="Q512" i="100"/>
  <c r="P512" i="100"/>
  <c r="Q263" i="100"/>
  <c r="P263" i="100"/>
  <c r="Q45" i="100"/>
  <c r="P45" i="100"/>
  <c r="Q897" i="100"/>
  <c r="P897" i="100"/>
  <c r="Q564" i="100"/>
  <c r="P564" i="100"/>
  <c r="Q313" i="100"/>
  <c r="P313" i="100"/>
  <c r="Q819" i="100"/>
  <c r="P819" i="100"/>
  <c r="Q602" i="100"/>
  <c r="P602" i="100"/>
  <c r="Q1096" i="100"/>
  <c r="P1096" i="100"/>
  <c r="Q268" i="100"/>
  <c r="P268" i="100"/>
  <c r="Q19" i="100"/>
  <c r="P19" i="100"/>
  <c r="Q1052" i="100"/>
  <c r="P1052" i="100"/>
  <c r="Q719" i="100"/>
  <c r="P719" i="100"/>
  <c r="Q610" i="100"/>
  <c r="P610" i="100"/>
  <c r="Q409" i="100"/>
  <c r="P409" i="100"/>
  <c r="Q138" i="100"/>
  <c r="P138" i="100"/>
  <c r="Q930" i="100"/>
  <c r="P930" i="100"/>
  <c r="Q732" i="100"/>
  <c r="P732" i="100"/>
  <c r="Q504" i="100"/>
  <c r="P504" i="100"/>
  <c r="Q259" i="100"/>
  <c r="P259" i="100"/>
  <c r="Q46" i="100"/>
  <c r="P46" i="100"/>
  <c r="Q1106" i="100"/>
  <c r="P1106" i="100"/>
  <c r="Q894" i="100"/>
  <c r="P894" i="100"/>
  <c r="Q698" i="100"/>
  <c r="P698" i="100"/>
  <c r="Q448" i="100"/>
  <c r="P448" i="100"/>
  <c r="Q209" i="100"/>
  <c r="P209" i="100"/>
  <c r="Q1053" i="100"/>
  <c r="P1053" i="100"/>
  <c r="Q858" i="100"/>
  <c r="P858" i="100"/>
  <c r="Q646" i="100"/>
  <c r="P646" i="100"/>
  <c r="Q481" i="100"/>
  <c r="P481" i="100"/>
  <c r="Q18" i="100"/>
  <c r="P18" i="100"/>
  <c r="Q605" i="100"/>
  <c r="P605" i="100"/>
  <c r="Q946" i="100"/>
  <c r="P946" i="100"/>
  <c r="Q752" i="100"/>
  <c r="P752" i="100"/>
  <c r="Q524" i="100"/>
  <c r="P524" i="100"/>
  <c r="Q290" i="100"/>
  <c r="P290" i="100"/>
  <c r="Q745" i="100"/>
  <c r="P745" i="100"/>
  <c r="Q622" i="100"/>
  <c r="P622" i="100"/>
  <c r="Q281" i="100"/>
  <c r="P281" i="100"/>
  <c r="Q99" i="100"/>
  <c r="P99" i="100"/>
  <c r="Q921" i="100"/>
  <c r="P921" i="100"/>
  <c r="Q757" i="100"/>
  <c r="P757" i="100"/>
  <c r="Q471" i="100"/>
  <c r="P471" i="100"/>
  <c r="Q224" i="100"/>
  <c r="P224" i="100"/>
  <c r="Q10" i="100"/>
  <c r="P10" i="100"/>
  <c r="Q952" i="100"/>
  <c r="P952" i="100"/>
  <c r="Q742" i="100"/>
  <c r="P742" i="100"/>
  <c r="Q513" i="100"/>
  <c r="P513" i="100"/>
  <c r="Q725" i="100"/>
  <c r="P725" i="100"/>
  <c r="Q503" i="100"/>
  <c r="P503" i="100"/>
  <c r="Q260" i="100"/>
  <c r="P260" i="100"/>
  <c r="Q358" i="100"/>
  <c r="P358" i="100"/>
  <c r="Q1091" i="100"/>
  <c r="P1091" i="100"/>
  <c r="Q1035" i="100"/>
  <c r="P1035" i="100"/>
  <c r="Q785" i="100"/>
  <c r="P785" i="100"/>
  <c r="Q740" i="100"/>
  <c r="P740" i="100"/>
  <c r="Q685" i="100"/>
  <c r="P685" i="100"/>
  <c r="Q656" i="100"/>
  <c r="P656" i="100"/>
  <c r="Q614" i="100"/>
  <c r="P614" i="100"/>
  <c r="Q1013" i="100"/>
  <c r="P1013" i="100"/>
  <c r="Q808" i="100"/>
  <c r="P808" i="100"/>
  <c r="Q572" i="100"/>
  <c r="P572" i="100"/>
  <c r="Q344" i="100"/>
  <c r="P344" i="100"/>
  <c r="Q125" i="100"/>
  <c r="P125" i="100"/>
  <c r="Q530" i="100"/>
  <c r="P530" i="100"/>
  <c r="Q307" i="100"/>
  <c r="P307" i="100"/>
  <c r="Q59" i="100"/>
  <c r="P59" i="100"/>
  <c r="Q465" i="100"/>
  <c r="P465" i="100"/>
  <c r="Q380" i="100"/>
  <c r="P380" i="100"/>
  <c r="Q567" i="100"/>
  <c r="P567" i="100"/>
  <c r="Q782" i="100"/>
  <c r="P782" i="100"/>
  <c r="Q1118" i="100"/>
  <c r="P1118" i="100"/>
  <c r="Q890" i="100"/>
  <c r="P890" i="100"/>
  <c r="Q133" i="100"/>
  <c r="P133" i="100"/>
  <c r="Q1000" i="100"/>
  <c r="P1000" i="100"/>
  <c r="Q393" i="100"/>
  <c r="P393" i="100"/>
  <c r="Q246" i="100"/>
  <c r="P246" i="100"/>
  <c r="Q1120" i="100"/>
  <c r="P1120" i="100"/>
  <c r="Q905" i="100"/>
  <c r="P905" i="100"/>
  <c r="Q700" i="100"/>
  <c r="P700" i="100"/>
  <c r="Q456" i="100"/>
  <c r="P456" i="100"/>
  <c r="Q218" i="100"/>
  <c r="P218" i="100"/>
  <c r="Q479" i="100"/>
  <c r="P479" i="100"/>
  <c r="Q238" i="100"/>
  <c r="P238" i="100"/>
  <c r="Q15" i="100"/>
  <c r="P15" i="100"/>
  <c r="Q966" i="100"/>
  <c r="P966" i="100"/>
  <c r="Q964" i="100"/>
  <c r="P964" i="100"/>
  <c r="Q721" i="100"/>
  <c r="P721" i="100"/>
  <c r="Q482" i="100"/>
  <c r="P482" i="100"/>
  <c r="Q231" i="100"/>
  <c r="P231" i="100"/>
  <c r="Q256" i="100"/>
  <c r="P256" i="100"/>
  <c r="Q41" i="100"/>
  <c r="P41" i="100"/>
  <c r="Q1117" i="100"/>
  <c r="P1117" i="100"/>
  <c r="Q1113" i="100"/>
  <c r="P1113" i="100"/>
  <c r="Q902" i="100"/>
  <c r="P902" i="100"/>
  <c r="Q900" i="100"/>
  <c r="P900" i="100"/>
  <c r="Q699" i="100"/>
  <c r="P699" i="100"/>
  <c r="Q696" i="100"/>
  <c r="P696" i="100"/>
  <c r="Q455" i="100"/>
  <c r="P455" i="100"/>
  <c r="Q453" i="100"/>
  <c r="P453" i="100"/>
  <c r="Q217" i="100"/>
  <c r="P217" i="100"/>
  <c r="Q215" i="100"/>
  <c r="P215" i="100"/>
  <c r="Q976" i="100"/>
  <c r="P976" i="100"/>
  <c r="Q783" i="100"/>
  <c r="P783" i="100"/>
  <c r="Q539" i="100"/>
  <c r="P539" i="100"/>
  <c r="Q326" i="100"/>
  <c r="P326" i="100"/>
  <c r="Q1112" i="100"/>
  <c r="P1112" i="100"/>
  <c r="Q898" i="100"/>
  <c r="P898" i="100"/>
  <c r="Q695" i="100"/>
  <c r="P695" i="100"/>
  <c r="Q452" i="100"/>
  <c r="P452" i="100"/>
  <c r="Q213" i="100"/>
  <c r="P213" i="100"/>
  <c r="Q720" i="100"/>
  <c r="P720" i="100"/>
  <c r="Q1107" i="100"/>
  <c r="P1107" i="100"/>
  <c r="Q893" i="100"/>
  <c r="P893" i="100"/>
  <c r="Q691" i="100"/>
  <c r="P691" i="100"/>
  <c r="Q450" i="100"/>
  <c r="P450" i="100"/>
  <c r="Q208" i="100"/>
  <c r="P208" i="100"/>
  <c r="Q1104" i="100"/>
  <c r="P1104" i="100"/>
  <c r="Q891" i="100"/>
  <c r="P891" i="100"/>
  <c r="Q684" i="100"/>
  <c r="P684" i="100"/>
  <c r="Q444" i="100"/>
  <c r="P444" i="100"/>
  <c r="Q205" i="100"/>
  <c r="P205" i="100"/>
  <c r="Q683" i="100"/>
  <c r="P683" i="100"/>
  <c r="Q443" i="100"/>
  <c r="P443" i="100"/>
  <c r="Q436" i="100"/>
  <c r="P436" i="100"/>
  <c r="Q1095" i="100"/>
  <c r="P1095" i="100"/>
  <c r="Q888" i="100"/>
  <c r="P888" i="100"/>
  <c r="Q676" i="100"/>
  <c r="P676" i="100"/>
  <c r="Q429" i="100"/>
  <c r="P429" i="100"/>
  <c r="Q202" i="100"/>
  <c r="P202" i="100"/>
  <c r="Q1085" i="100"/>
  <c r="P1085" i="100"/>
  <c r="Q856" i="100"/>
  <c r="P856" i="100"/>
  <c r="Q669" i="100"/>
  <c r="P669" i="100"/>
  <c r="Q431" i="100"/>
  <c r="P431" i="100"/>
  <c r="Q204" i="100"/>
  <c r="P204" i="100"/>
  <c r="Q1089" i="100"/>
  <c r="P1089" i="100"/>
  <c r="Q1088" i="100"/>
  <c r="P1088" i="100"/>
  <c r="Q881" i="100"/>
  <c r="P881" i="100"/>
  <c r="Q880" i="100"/>
  <c r="P880" i="100"/>
  <c r="Q672" i="100"/>
  <c r="P672" i="100"/>
  <c r="Q670" i="100"/>
  <c r="P670" i="100"/>
  <c r="Q426" i="100"/>
  <c r="P426" i="100"/>
  <c r="Q424" i="100"/>
  <c r="P424" i="100"/>
  <c r="Q197" i="100"/>
  <c r="P197" i="100"/>
  <c r="Q195" i="100"/>
  <c r="P195" i="100"/>
  <c r="Q80" i="100"/>
  <c r="P80" i="100"/>
  <c r="Q967" i="100"/>
  <c r="P967" i="100"/>
  <c r="Q883" i="100"/>
  <c r="P883" i="100"/>
  <c r="Q653" i="100"/>
  <c r="P653" i="100"/>
  <c r="Q123" i="100"/>
  <c r="P123" i="100"/>
  <c r="Q768" i="100"/>
  <c r="P768" i="100"/>
  <c r="Q494" i="100"/>
  <c r="P494" i="100"/>
  <c r="Q250" i="100"/>
  <c r="P250" i="100"/>
  <c r="Q35" i="100"/>
  <c r="P35" i="100"/>
  <c r="Q194" i="100"/>
  <c r="P194" i="100"/>
  <c r="Q1083" i="100"/>
  <c r="P1083" i="100"/>
  <c r="Q876" i="100"/>
  <c r="P876" i="100"/>
  <c r="Q668" i="100"/>
  <c r="P668" i="100"/>
  <c r="Q423" i="100"/>
  <c r="P423" i="100"/>
  <c r="Q193" i="100"/>
  <c r="P193" i="100"/>
  <c r="Q717" i="100"/>
  <c r="P717" i="100"/>
  <c r="Q468" i="100"/>
  <c r="P468" i="100"/>
  <c r="Q239" i="100"/>
  <c r="P239" i="100"/>
  <c r="Q875" i="100"/>
  <c r="P875" i="100"/>
  <c r="Q667" i="100"/>
  <c r="P667" i="100"/>
  <c r="Q420" i="100"/>
  <c r="P420" i="100"/>
  <c r="Q67" i="100"/>
  <c r="P67" i="100"/>
  <c r="Q26" i="100"/>
  <c r="P26" i="100"/>
  <c r="Q502" i="100"/>
  <c r="P502" i="100"/>
  <c r="Q254" i="100"/>
  <c r="P254" i="100"/>
  <c r="Q44" i="100"/>
  <c r="P44" i="100"/>
  <c r="Q1043" i="100"/>
  <c r="P1043" i="100"/>
  <c r="Q805" i="100"/>
  <c r="P805" i="100"/>
  <c r="Q666" i="100"/>
  <c r="P666" i="100"/>
  <c r="Q419" i="100"/>
  <c r="P419" i="100"/>
  <c r="Q191" i="100"/>
  <c r="P191" i="100"/>
  <c r="Q1082" i="100"/>
  <c r="P1082" i="100"/>
  <c r="Q873" i="100"/>
  <c r="P873" i="100"/>
  <c r="Q663" i="100"/>
  <c r="P663" i="100"/>
  <c r="Q416" i="100"/>
  <c r="P416" i="100"/>
  <c r="Q190" i="100"/>
  <c r="P190" i="100"/>
  <c r="Q1018" i="100"/>
  <c r="P1018" i="100"/>
  <c r="Q1015" i="100"/>
  <c r="P1015" i="100"/>
  <c r="Q697" i="100"/>
  <c r="P697" i="100"/>
  <c r="Q589" i="100"/>
  <c r="P589" i="100"/>
  <c r="Q377" i="100"/>
  <c r="P377" i="100"/>
  <c r="Q349" i="100"/>
  <c r="P349" i="100"/>
  <c r="Q415" i="100"/>
  <c r="P415" i="100"/>
  <c r="Q189" i="100"/>
  <c r="P189" i="100"/>
  <c r="Q1093" i="100"/>
  <c r="P1093" i="100"/>
  <c r="Q492" i="100"/>
  <c r="P492" i="100"/>
  <c r="Q414" i="100"/>
  <c r="P414" i="100"/>
  <c r="Q934" i="100"/>
  <c r="P934" i="100"/>
  <c r="Q261" i="100"/>
  <c r="P261" i="100"/>
  <c r="Q1040" i="100"/>
  <c r="P1040" i="100"/>
  <c r="Q780" i="100"/>
  <c r="P780" i="100"/>
  <c r="Q540" i="100"/>
  <c r="P540" i="100"/>
  <c r="Q304" i="100"/>
  <c r="P304" i="100"/>
  <c r="Q94" i="100"/>
  <c r="P94" i="100"/>
  <c r="Q70" i="100"/>
  <c r="P70" i="100"/>
  <c r="Q971" i="100"/>
  <c r="P971" i="100"/>
  <c r="Q770" i="100"/>
  <c r="P770" i="100"/>
  <c r="Q549" i="100"/>
  <c r="P549" i="100"/>
  <c r="Q333" i="100"/>
  <c r="P333" i="100"/>
  <c r="Q90" i="100"/>
  <c r="P90" i="100"/>
  <c r="Q1081" i="100"/>
  <c r="P1081" i="100"/>
  <c r="Q871" i="100"/>
  <c r="P871" i="100"/>
  <c r="Q661" i="100"/>
  <c r="P661" i="100"/>
  <c r="Q413" i="100"/>
  <c r="P413" i="100"/>
  <c r="Q480" i="100"/>
  <c r="P480" i="100"/>
  <c r="Q1079" i="100"/>
  <c r="P1079" i="100"/>
  <c r="Q868" i="100"/>
  <c r="P868" i="100"/>
  <c r="Q659" i="100"/>
  <c r="P659" i="100"/>
  <c r="Q412" i="100"/>
  <c r="P412" i="100"/>
  <c r="Q188" i="100"/>
  <c r="P188" i="100"/>
  <c r="Q507" i="100"/>
  <c r="P507" i="100"/>
  <c r="Q271" i="100"/>
  <c r="P271" i="100"/>
  <c r="Q1076" i="100"/>
  <c r="P1076" i="100"/>
  <c r="Q1062" i="100"/>
  <c r="P1062" i="100"/>
  <c r="Q896" i="100"/>
  <c r="P896" i="100"/>
  <c r="Q688" i="100"/>
  <c r="P688" i="100"/>
  <c r="Q445" i="100"/>
  <c r="P445" i="100"/>
  <c r="Q206" i="100"/>
  <c r="P206" i="100"/>
  <c r="Q561" i="100"/>
  <c r="P561" i="100"/>
  <c r="Q968" i="100"/>
  <c r="P968" i="100"/>
  <c r="Q737" i="100"/>
  <c r="P737" i="100"/>
  <c r="Q478" i="100"/>
  <c r="P478" i="100"/>
  <c r="Q243" i="100"/>
  <c r="P243" i="100"/>
  <c r="Q31" i="100"/>
  <c r="P31" i="100"/>
  <c r="Q1071" i="100"/>
  <c r="P1071" i="100"/>
  <c r="Q866" i="100"/>
  <c r="P866" i="100"/>
  <c r="Q658" i="100"/>
  <c r="P658" i="100"/>
  <c r="Q411" i="100"/>
  <c r="P411" i="100"/>
  <c r="Q185" i="100"/>
  <c r="P185" i="100"/>
  <c r="Q533" i="100"/>
  <c r="P533" i="100"/>
  <c r="Q283" i="100"/>
  <c r="P283" i="100"/>
  <c r="Q1070" i="100"/>
  <c r="P1070" i="100"/>
  <c r="Q864" i="100"/>
  <c r="P864" i="100"/>
  <c r="Q654" i="100"/>
  <c r="P654" i="100"/>
  <c r="Q407" i="100"/>
  <c r="P407" i="100"/>
  <c r="Q183" i="100"/>
  <c r="P183" i="100"/>
  <c r="Q1069" i="100"/>
  <c r="P1069" i="100"/>
  <c r="Q953" i="100"/>
  <c r="P953" i="100"/>
  <c r="Q746" i="100"/>
  <c r="P746" i="100"/>
  <c r="Q518" i="100"/>
  <c r="P518" i="100"/>
  <c r="Q288" i="100"/>
  <c r="P288" i="100"/>
  <c r="Q71" i="100"/>
  <c r="P71" i="100"/>
  <c r="Q511" i="100"/>
  <c r="P511" i="100"/>
  <c r="Q226" i="100"/>
  <c r="P226" i="100"/>
  <c r="Q4" i="100"/>
  <c r="P4" i="100"/>
  <c r="Q693" i="100"/>
  <c r="P693" i="100"/>
  <c r="Q430" i="100"/>
  <c r="P430" i="100"/>
  <c r="Q211" i="100"/>
  <c r="P211" i="100"/>
  <c r="Q1103" i="100"/>
  <c r="P1103" i="100"/>
  <c r="Q980" i="100"/>
  <c r="P980" i="100"/>
  <c r="Q975" i="100"/>
  <c r="P975" i="100"/>
  <c r="Q763" i="100"/>
  <c r="P763" i="100"/>
  <c r="Q751" i="100"/>
  <c r="P751" i="100"/>
  <c r="Q633" i="100"/>
  <c r="P633" i="100"/>
  <c r="Q630" i="100"/>
  <c r="P630" i="100"/>
  <c r="Q1045" i="100"/>
  <c r="P1045" i="100"/>
  <c r="Q1033" i="100"/>
  <c r="P1033" i="100"/>
  <c r="Q977" i="100"/>
  <c r="P977" i="100"/>
  <c r="Q847" i="100"/>
  <c r="P847" i="100"/>
  <c r="Q832" i="100"/>
  <c r="P832" i="100"/>
  <c r="Q771" i="100"/>
  <c r="P771" i="100"/>
  <c r="Q637" i="100"/>
  <c r="P637" i="100"/>
  <c r="Q613" i="100"/>
  <c r="P613" i="100"/>
  <c r="Q461" i="100"/>
  <c r="P461" i="100"/>
  <c r="Q384" i="100"/>
  <c r="P384" i="100"/>
  <c r="Q338" i="100"/>
  <c r="P338" i="100"/>
  <c r="Q302" i="100"/>
  <c r="P302" i="100"/>
  <c r="Q73" i="100"/>
  <c r="P73" i="100"/>
  <c r="Q1068" i="100"/>
  <c r="P1068" i="100"/>
  <c r="Q1066" i="100"/>
  <c r="P1066" i="100"/>
  <c r="Q1065" i="100"/>
  <c r="P1065" i="100"/>
  <c r="Q1063" i="100"/>
  <c r="P1063" i="100"/>
  <c r="Q863" i="100"/>
  <c r="P863" i="100"/>
  <c r="Q860" i="100"/>
  <c r="P860" i="100"/>
  <c r="Q859" i="100"/>
  <c r="P859" i="100"/>
  <c r="Q855" i="100"/>
  <c r="P855" i="100"/>
  <c r="Q652" i="100"/>
  <c r="P652" i="100"/>
  <c r="Q649" i="100"/>
  <c r="P649" i="100"/>
  <c r="Q648" i="100"/>
  <c r="P648" i="100"/>
  <c r="Q643" i="100"/>
  <c r="P643" i="100"/>
  <c r="Q405" i="100"/>
  <c r="P405" i="100"/>
  <c r="Q403" i="100"/>
  <c r="P403" i="100"/>
  <c r="Q402" i="100"/>
  <c r="P402" i="100"/>
  <c r="Q397" i="100"/>
  <c r="P397" i="100"/>
  <c r="Q180" i="100"/>
  <c r="P180" i="100"/>
  <c r="Q178" i="100"/>
  <c r="P178" i="100"/>
  <c r="Q177" i="100"/>
  <c r="P177" i="100"/>
  <c r="Q174" i="100"/>
  <c r="P174" i="100"/>
  <c r="Q853" i="100"/>
  <c r="P853" i="100"/>
  <c r="Q640" i="100"/>
  <c r="P640" i="100"/>
  <c r="Q173" i="100"/>
  <c r="P173" i="100"/>
  <c r="Q778" i="100"/>
  <c r="P778" i="100"/>
  <c r="Q526" i="100"/>
  <c r="P526" i="100"/>
  <c r="Q510" i="100"/>
  <c r="P510" i="100"/>
  <c r="Q298" i="100"/>
  <c r="P298" i="100"/>
  <c r="Q269" i="100"/>
  <c r="P269" i="100"/>
  <c r="Q1059" i="100"/>
  <c r="P1059" i="100"/>
  <c r="Q852" i="100"/>
  <c r="P852" i="100"/>
  <c r="Q639" i="100"/>
  <c r="P639" i="100"/>
  <c r="Q394" i="100"/>
  <c r="P394" i="100"/>
  <c r="Q472" i="100"/>
  <c r="P472" i="100"/>
  <c r="Q244" i="100"/>
  <c r="P244" i="100"/>
  <c r="Q22" i="100"/>
  <c r="P22" i="100"/>
  <c r="Q1050" i="100"/>
  <c r="P1050" i="100"/>
  <c r="Q845" i="100"/>
  <c r="P845" i="100"/>
  <c r="Q635" i="100"/>
  <c r="P635" i="100"/>
  <c r="Q392" i="100"/>
  <c r="P392" i="100"/>
  <c r="Q168" i="100"/>
  <c r="P168" i="100"/>
  <c r="Q92" i="100"/>
  <c r="P92" i="100"/>
  <c r="Q923" i="100"/>
  <c r="P923" i="100"/>
  <c r="Q487" i="100"/>
  <c r="P487" i="100"/>
  <c r="Q252" i="100"/>
  <c r="P252" i="100"/>
  <c r="Q34" i="100"/>
  <c r="P34" i="100"/>
  <c r="Q167" i="100"/>
  <c r="P167" i="100"/>
  <c r="Q710" i="100"/>
  <c r="P710" i="100"/>
  <c r="Q470" i="100"/>
  <c r="P470" i="100"/>
  <c r="Q228" i="100"/>
  <c r="P228" i="100"/>
  <c r="Q12" i="100"/>
  <c r="P12" i="100"/>
  <c r="Q1084" i="100"/>
  <c r="P1084" i="100"/>
  <c r="Q872" i="100"/>
  <c r="P872" i="100"/>
  <c r="Q664" i="100"/>
  <c r="P664" i="100"/>
  <c r="Q631" i="100"/>
  <c r="P631" i="100"/>
  <c r="Q389" i="100"/>
  <c r="P389" i="100"/>
  <c r="Q1048" i="100"/>
  <c r="P1048" i="100"/>
  <c r="Q841" i="100"/>
  <c r="P841" i="100"/>
  <c r="Q628" i="100"/>
  <c r="P628" i="100"/>
  <c r="Q385" i="100"/>
  <c r="P385" i="100"/>
  <c r="Q163" i="100"/>
  <c r="P163" i="100"/>
  <c r="Q1046" i="100"/>
  <c r="P1046" i="100"/>
  <c r="Q837" i="100"/>
  <c r="P837" i="100"/>
  <c r="Q627" i="100"/>
  <c r="P627" i="100"/>
  <c r="Q381" i="100"/>
  <c r="P381" i="100"/>
  <c r="Q161" i="100"/>
  <c r="P161" i="100"/>
  <c r="Q931" i="100"/>
  <c r="P931" i="100"/>
  <c r="Q731" i="100"/>
  <c r="P731" i="100"/>
  <c r="Q499" i="100"/>
  <c r="P499" i="100"/>
  <c r="Q270" i="100"/>
  <c r="P270" i="100"/>
  <c r="Q50" i="100"/>
  <c r="P50" i="100"/>
  <c r="Q410" i="100"/>
  <c r="P410" i="100"/>
  <c r="Q159" i="100"/>
  <c r="P159" i="100"/>
  <c r="Q1037" i="100"/>
  <c r="P1037" i="100"/>
  <c r="Q834" i="100"/>
  <c r="P834" i="100"/>
  <c r="Q812" i="100"/>
  <c r="P812" i="100"/>
  <c r="Q565" i="100"/>
  <c r="P565" i="100"/>
  <c r="Q321" i="100"/>
  <c r="P321" i="100"/>
  <c r="Q57" i="100"/>
  <c r="P57" i="100"/>
  <c r="Q516" i="100"/>
  <c r="P516" i="100"/>
  <c r="Q267" i="100"/>
  <c r="P267" i="100"/>
  <c r="Q961" i="100"/>
  <c r="P961" i="100"/>
  <c r="Q729" i="100"/>
  <c r="P729" i="100"/>
  <c r="Q489" i="100"/>
  <c r="P489" i="100"/>
  <c r="Q294" i="100"/>
  <c r="P294" i="100"/>
  <c r="Q77" i="100"/>
  <c r="P77" i="100"/>
  <c r="Q1034" i="100"/>
  <c r="P1034" i="100"/>
  <c r="Q833" i="100"/>
  <c r="P833" i="100"/>
  <c r="Q616" i="100"/>
  <c r="P616" i="100"/>
  <c r="Q374" i="100"/>
  <c r="P374" i="100"/>
  <c r="Q157" i="100"/>
  <c r="P157" i="100"/>
  <c r="Q1038" i="100"/>
  <c r="P1038" i="100"/>
  <c r="Q835" i="100"/>
  <c r="P835" i="100"/>
  <c r="Q599" i="100"/>
  <c r="P599" i="100"/>
  <c r="Q360" i="100"/>
  <c r="P360" i="100"/>
  <c r="Q132" i="100"/>
  <c r="P132" i="100"/>
  <c r="Q1087" i="100"/>
  <c r="P1087" i="100"/>
  <c r="Q919" i="100"/>
  <c r="P919" i="100"/>
  <c r="Q909" i="100"/>
  <c r="P909" i="100"/>
  <c r="Q734" i="100"/>
  <c r="P734" i="100"/>
  <c r="Q714" i="100"/>
  <c r="P714" i="100"/>
  <c r="Q566" i="100"/>
  <c r="P566" i="100"/>
  <c r="Q517" i="100"/>
  <c r="P517" i="100"/>
  <c r="Q371" i="100"/>
  <c r="P371" i="100"/>
  <c r="Q320" i="100"/>
  <c r="P320" i="100"/>
  <c r="Q149" i="100"/>
  <c r="P149" i="100"/>
  <c r="Q105" i="100"/>
  <c r="P105" i="100"/>
  <c r="Q490" i="100"/>
  <c r="P490" i="100"/>
  <c r="Q249" i="100"/>
  <c r="P249" i="100"/>
  <c r="Q24" i="100"/>
  <c r="P24" i="100"/>
  <c r="Q922" i="100"/>
  <c r="P922" i="100"/>
  <c r="Q483" i="100"/>
  <c r="P483" i="100"/>
  <c r="Q920" i="100"/>
  <c r="P920" i="100"/>
  <c r="Q715" i="100"/>
  <c r="P715" i="100"/>
  <c r="Q370" i="100"/>
  <c r="P370" i="100"/>
  <c r="Q156" i="100"/>
  <c r="P156" i="100"/>
  <c r="Q1032" i="100"/>
  <c r="P1032" i="100"/>
  <c r="Q829" i="100"/>
  <c r="P829" i="100"/>
  <c r="Q606" i="100"/>
  <c r="P606" i="100"/>
  <c r="Q365" i="100"/>
  <c r="P365" i="100"/>
  <c r="Q153" i="100"/>
  <c r="P153" i="100"/>
  <c r="Q937" i="100"/>
  <c r="P937" i="100"/>
  <c r="Q730" i="100"/>
  <c r="P730" i="100"/>
  <c r="Q506" i="100"/>
  <c r="P506" i="100"/>
  <c r="Q262" i="100"/>
  <c r="P262" i="100"/>
  <c r="Q29" i="100"/>
  <c r="P29" i="100"/>
  <c r="Q1030" i="100"/>
  <c r="P1030" i="100"/>
  <c r="Q827" i="100"/>
  <c r="P827" i="100"/>
  <c r="Q364" i="100"/>
  <c r="P364" i="100"/>
  <c r="Q147" i="100"/>
  <c r="P147" i="100"/>
  <c r="Q912" i="100"/>
  <c r="P912" i="100"/>
  <c r="Q1024" i="100"/>
  <c r="P1024" i="100"/>
  <c r="Q824" i="100"/>
  <c r="P824" i="100"/>
  <c r="Q603" i="100"/>
  <c r="P603" i="100"/>
  <c r="Q361" i="100"/>
  <c r="P361" i="100"/>
  <c r="Q145" i="100"/>
  <c r="P145" i="100"/>
  <c r="Q1025" i="100"/>
  <c r="P1025" i="100"/>
  <c r="Q339" i="100"/>
  <c r="P339" i="100"/>
  <c r="Q95" i="100"/>
  <c r="P95" i="100"/>
  <c r="Q359" i="100"/>
  <c r="P359" i="100"/>
  <c r="Q144" i="100"/>
  <c r="P144" i="100"/>
  <c r="Q355" i="100"/>
  <c r="P355" i="100"/>
  <c r="Q141" i="100"/>
  <c r="P141" i="100"/>
  <c r="Q820" i="100"/>
  <c r="P820" i="100"/>
  <c r="Q597" i="100"/>
  <c r="P597" i="100"/>
  <c r="Q903" i="100"/>
  <c r="P903" i="100"/>
  <c r="Q690" i="100"/>
  <c r="P690" i="100"/>
  <c r="Q447" i="100"/>
  <c r="P447" i="100"/>
  <c r="Q207" i="100"/>
  <c r="P207" i="100"/>
  <c r="Q1020" i="100"/>
  <c r="P1020" i="100"/>
  <c r="Q1019" i="100"/>
  <c r="P1019" i="100"/>
  <c r="Q594" i="100"/>
  <c r="P594" i="100"/>
  <c r="Q352" i="100"/>
  <c r="P352" i="100"/>
  <c r="Q135" i="100"/>
  <c r="P135" i="100"/>
  <c r="Q592" i="100"/>
  <c r="P592" i="100"/>
  <c r="Q675" i="100"/>
  <c r="P675" i="100"/>
  <c r="Q345" i="100"/>
  <c r="P345" i="100"/>
  <c r="Q139" i="100"/>
  <c r="P139" i="100"/>
  <c r="Q914" i="100"/>
  <c r="P914" i="100"/>
  <c r="Q709" i="100"/>
  <c r="P709" i="100"/>
  <c r="Q473" i="100"/>
  <c r="P473" i="100"/>
  <c r="Q230" i="100"/>
  <c r="P230" i="100"/>
  <c r="Q11" i="100"/>
  <c r="P11" i="100"/>
  <c r="Q547" i="100"/>
  <c r="P547" i="100"/>
  <c r="Q309" i="100"/>
  <c r="P309" i="100"/>
  <c r="Q79" i="100"/>
  <c r="P79" i="100"/>
  <c r="Q1014" i="100"/>
  <c r="P1014" i="100"/>
  <c r="Q810" i="100"/>
  <c r="P810" i="100"/>
  <c r="Q587" i="100"/>
  <c r="P587" i="100"/>
  <c r="Q348" i="100"/>
  <c r="P348" i="100"/>
  <c r="Q130" i="100"/>
  <c r="P130" i="100"/>
  <c r="Q809" i="100"/>
  <c r="P809" i="100"/>
  <c r="Q584" i="100"/>
  <c r="P584" i="100"/>
  <c r="Q686" i="100"/>
  <c r="P686" i="100"/>
  <c r="Q446" i="100"/>
  <c r="P446" i="100"/>
  <c r="Q201" i="100"/>
  <c r="P201" i="100"/>
  <c r="Q938" i="100"/>
  <c r="P938" i="100"/>
  <c r="Q491" i="100"/>
  <c r="P491" i="100"/>
  <c r="Q63" i="100"/>
  <c r="P63" i="100"/>
  <c r="Q51" i="100"/>
  <c r="P51" i="100"/>
  <c r="Q47" i="100"/>
  <c r="P47" i="100"/>
  <c r="Q30" i="100"/>
  <c r="P30" i="100"/>
  <c r="Q949" i="100"/>
  <c r="P949" i="100"/>
  <c r="Q932" i="100"/>
  <c r="P932" i="100"/>
  <c r="Q781" i="100"/>
  <c r="P781" i="100"/>
  <c r="Q760" i="100"/>
  <c r="P760" i="100"/>
  <c r="Q556" i="100"/>
  <c r="P556" i="100"/>
  <c r="Q520" i="100"/>
  <c r="P520" i="100"/>
  <c r="Q299" i="100"/>
  <c r="P299" i="100"/>
  <c r="Q275" i="100"/>
  <c r="P275" i="100"/>
  <c r="Q87" i="100"/>
  <c r="P87" i="100"/>
  <c r="Q56" i="100"/>
  <c r="P56" i="100"/>
  <c r="Q708" i="100"/>
  <c r="P708" i="100"/>
  <c r="Q467" i="100"/>
  <c r="P467" i="100"/>
  <c r="Q225" i="100"/>
  <c r="P225" i="100"/>
  <c r="Q13" i="100"/>
  <c r="P13" i="100"/>
  <c r="Q523" i="100"/>
  <c r="P523" i="100"/>
  <c r="Q296" i="100"/>
  <c r="P296" i="100"/>
  <c r="Q85" i="100"/>
  <c r="P85" i="100"/>
  <c r="Q1003" i="100"/>
  <c r="P1003" i="100"/>
  <c r="Q950" i="100"/>
  <c r="P950" i="100"/>
  <c r="Q735" i="100"/>
  <c r="P735" i="100"/>
  <c r="Q498" i="100"/>
  <c r="P498" i="100"/>
  <c r="Q957" i="100"/>
  <c r="P957" i="100"/>
  <c r="Q755" i="100"/>
  <c r="P755" i="100"/>
  <c r="Q531" i="100"/>
  <c r="P531" i="100"/>
  <c r="Q301" i="100"/>
  <c r="P301" i="100"/>
  <c r="Q88" i="100"/>
  <c r="P88" i="100"/>
  <c r="Q999" i="100"/>
  <c r="P999" i="100"/>
  <c r="Q802" i="100"/>
  <c r="P802" i="100"/>
  <c r="Q581" i="100"/>
  <c r="P581" i="100"/>
  <c r="Q343" i="100"/>
  <c r="P343" i="100"/>
  <c r="Q118" i="100"/>
  <c r="P118" i="100"/>
  <c r="Q995" i="100"/>
  <c r="P995" i="100"/>
  <c r="Q798" i="100"/>
  <c r="P798" i="100"/>
  <c r="Q577" i="100"/>
  <c r="P577" i="100"/>
  <c r="Q341" i="100"/>
  <c r="P341" i="100"/>
  <c r="Q112" i="100"/>
  <c r="P112" i="100"/>
  <c r="Q790" i="100"/>
  <c r="P790" i="100"/>
  <c r="Q786" i="100"/>
  <c r="P786" i="100"/>
  <c r="Q560" i="100"/>
  <c r="P560" i="100"/>
  <c r="Q559" i="100"/>
  <c r="P559" i="100"/>
  <c r="Q329" i="100"/>
  <c r="P329" i="100"/>
  <c r="Q325" i="100"/>
  <c r="P325" i="100"/>
  <c r="Q1008" i="100"/>
  <c r="P1008" i="100"/>
  <c r="Q1056" i="100"/>
  <c r="P1056" i="100"/>
  <c r="Q850" i="100"/>
  <c r="P850" i="100"/>
  <c r="Q632" i="100"/>
  <c r="P632" i="100"/>
  <c r="Q319" i="100"/>
  <c r="P319" i="100"/>
  <c r="Q48" i="100"/>
  <c r="P48" i="100"/>
  <c r="Q915" i="100"/>
  <c r="P915" i="100"/>
  <c r="Q913" i="100"/>
  <c r="P913" i="100"/>
  <c r="Q713" i="100"/>
  <c r="P713" i="100"/>
  <c r="Q712" i="100"/>
  <c r="P712" i="100"/>
  <c r="Q711" i="100"/>
  <c r="P711" i="100"/>
  <c r="Q474" i="100"/>
  <c r="P474" i="100"/>
  <c r="Q233" i="100"/>
  <c r="P233" i="100"/>
  <c r="Q17" i="100"/>
  <c r="P17" i="100"/>
  <c r="Q969" i="100"/>
  <c r="P969" i="100"/>
  <c r="Q918" i="100"/>
  <c r="P918" i="100"/>
  <c r="Q75" i="100"/>
  <c r="P75" i="100"/>
  <c r="Q441" i="100"/>
  <c r="P441" i="100"/>
  <c r="Q318" i="100"/>
  <c r="P318" i="100"/>
  <c r="Q101" i="100"/>
  <c r="P101" i="100"/>
  <c r="Q972" i="100"/>
  <c r="P972" i="100"/>
  <c r="Q777" i="100"/>
  <c r="P777" i="100"/>
  <c r="Q554" i="100"/>
  <c r="P554" i="100"/>
  <c r="Q316" i="100"/>
  <c r="P316" i="100"/>
  <c r="Q98" i="100"/>
  <c r="P98" i="100"/>
  <c r="Q861" i="100"/>
  <c r="P861" i="100"/>
  <c r="Q612" i="100"/>
  <c r="P612" i="100"/>
  <c r="Q382" i="100"/>
  <c r="P382" i="100"/>
  <c r="Q151" i="100"/>
  <c r="P151" i="100"/>
  <c r="Q552" i="100"/>
  <c r="P552" i="100"/>
  <c r="Q545" i="100"/>
  <c r="P545" i="100"/>
  <c r="Q1067" i="100"/>
  <c r="P1067" i="100"/>
  <c r="Q857" i="100"/>
  <c r="P857" i="100"/>
  <c r="Q655" i="100"/>
  <c r="P655" i="100"/>
  <c r="Q404" i="100"/>
  <c r="P404" i="100"/>
  <c r="Q181" i="100"/>
  <c r="P181" i="100"/>
  <c r="Q569" i="100"/>
  <c r="P569" i="100"/>
  <c r="Q907" i="100"/>
  <c r="P907" i="100"/>
  <c r="Q702" i="100"/>
  <c r="P702" i="100"/>
  <c r="Q460" i="100"/>
  <c r="P460" i="100"/>
  <c r="Q220" i="100"/>
  <c r="P220" i="100"/>
  <c r="Q3" i="100"/>
  <c r="P3" i="100"/>
  <c r="Q973" i="100"/>
  <c r="P973" i="100"/>
  <c r="Q744" i="100"/>
  <c r="P744" i="100"/>
  <c r="Q515" i="100"/>
  <c r="P515" i="100"/>
  <c r="Q314" i="100"/>
  <c r="P314" i="100"/>
  <c r="Q97" i="100"/>
  <c r="P97" i="100"/>
  <c r="Q562" i="100"/>
  <c r="P562" i="100"/>
  <c r="Q347" i="100"/>
  <c r="P347" i="100"/>
  <c r="Q650" i="100"/>
  <c r="P650" i="100"/>
  <c r="Q387" i="100"/>
  <c r="P387" i="100"/>
  <c r="Q152" i="100"/>
  <c r="P152" i="100"/>
  <c r="Q1090" i="100"/>
  <c r="P1090" i="100"/>
  <c r="Q911" i="100"/>
  <c r="P911" i="100"/>
  <c r="Q705" i="100"/>
  <c r="P705" i="100"/>
  <c r="Q463" i="100"/>
  <c r="P463" i="100"/>
  <c r="Q107" i="100"/>
  <c r="P107" i="100"/>
  <c r="Q925" i="100"/>
  <c r="P925" i="100"/>
  <c r="Q726" i="100"/>
  <c r="P726" i="100"/>
  <c r="Q493" i="100"/>
  <c r="P493" i="100"/>
  <c r="Q1022" i="100"/>
  <c r="P1022" i="100"/>
  <c r="Q1055" i="100"/>
  <c r="P1055" i="100"/>
  <c r="Q1064" i="100"/>
  <c r="P1064" i="100"/>
  <c r="Q641" i="100"/>
  <c r="P641" i="100"/>
  <c r="Q1042" i="100"/>
  <c r="P1042" i="100"/>
  <c r="Q120" i="100"/>
  <c r="P120" i="100"/>
  <c r="Q982" i="100"/>
  <c r="P982" i="100"/>
  <c r="Q792" i="100"/>
  <c r="P792" i="100"/>
  <c r="Q576" i="100"/>
  <c r="P576" i="100"/>
  <c r="Q340" i="100"/>
  <c r="P340" i="100"/>
  <c r="Q116" i="100"/>
  <c r="P116" i="100"/>
  <c r="Q542" i="100"/>
  <c r="P542" i="100"/>
  <c r="Q996" i="100"/>
  <c r="P996" i="100"/>
  <c r="Q804" i="100"/>
  <c r="P804" i="100"/>
  <c r="Q580" i="100"/>
  <c r="P580" i="100"/>
  <c r="Q1075" i="100"/>
  <c r="P1075" i="100"/>
  <c r="Q874" i="100"/>
  <c r="P874" i="100"/>
  <c r="Q677" i="100"/>
  <c r="P677" i="100"/>
  <c r="Q110" i="100"/>
  <c r="P110" i="100"/>
  <c r="Q933" i="100"/>
  <c r="P933" i="100"/>
  <c r="Q727" i="100"/>
  <c r="P727" i="100"/>
  <c r="Q27" i="100"/>
  <c r="P27" i="100"/>
  <c r="Q308" i="100"/>
  <c r="P308" i="100"/>
  <c r="Q679" i="100"/>
  <c r="P679" i="100"/>
  <c r="Q434" i="100"/>
  <c r="P434" i="100"/>
  <c r="Q962" i="100"/>
  <c r="P962" i="100"/>
  <c r="Q701" i="100"/>
  <c r="P701" i="100"/>
  <c r="Q537" i="100"/>
  <c r="P537" i="100"/>
  <c r="Q221" i="100"/>
  <c r="P221" i="100"/>
  <c r="Q84" i="100"/>
  <c r="P84" i="100"/>
  <c r="Q601" i="100"/>
  <c r="P601" i="100"/>
  <c r="Q1058" i="100"/>
  <c r="P1058" i="100"/>
  <c r="Q839" i="100"/>
  <c r="P839" i="100"/>
  <c r="Q626" i="100"/>
  <c r="P626" i="100"/>
  <c r="Q379" i="100"/>
  <c r="P379" i="100"/>
  <c r="Q165" i="100"/>
  <c r="P165" i="100"/>
  <c r="Q1039" i="100"/>
  <c r="P1039" i="100"/>
  <c r="Q830" i="100"/>
  <c r="P830" i="100"/>
  <c r="Q600" i="100"/>
  <c r="P600" i="100"/>
  <c r="Q369" i="100"/>
  <c r="P369" i="100"/>
  <c r="Q148" i="100"/>
  <c r="P148" i="100"/>
  <c r="Q328" i="100"/>
  <c r="P328" i="100"/>
  <c r="Q111" i="100"/>
  <c r="P111" i="100"/>
  <c r="Q947" i="100"/>
  <c r="P947" i="100"/>
  <c r="Q743" i="100"/>
  <c r="P743" i="100"/>
  <c r="Q514" i="100"/>
  <c r="P514" i="100"/>
  <c r="Q300" i="100"/>
  <c r="P300" i="100"/>
  <c r="Q83" i="100"/>
  <c r="P83" i="100"/>
  <c r="Q1054" i="100"/>
  <c r="P1054" i="100"/>
  <c r="Q842" i="100"/>
  <c r="P842" i="100"/>
  <c r="Q624" i="100"/>
  <c r="P624" i="100"/>
  <c r="Q388" i="100"/>
  <c r="P388" i="100"/>
  <c r="Q154" i="100"/>
  <c r="P154" i="100"/>
  <c r="Q970" i="100"/>
  <c r="P970" i="100"/>
  <c r="Q750" i="100"/>
  <c r="P750" i="100"/>
  <c r="Q1102" i="100"/>
  <c r="P1102" i="100"/>
  <c r="Q500" i="100"/>
  <c r="P500" i="100"/>
  <c r="Q248" i="100"/>
  <c r="P248" i="100"/>
  <c r="Q23" i="100"/>
  <c r="P23" i="100"/>
  <c r="Q910" i="100"/>
  <c r="P910" i="100"/>
  <c r="Q706" i="100"/>
  <c r="P706" i="100"/>
  <c r="Q466" i="100"/>
  <c r="P466" i="100"/>
  <c r="Q227" i="100"/>
  <c r="P227" i="100"/>
  <c r="Q6" i="100"/>
  <c r="P6" i="100"/>
  <c r="Q791" i="100"/>
  <c r="P791" i="100"/>
  <c r="Q765" i="100"/>
  <c r="P765" i="100"/>
  <c r="Q758" i="100"/>
  <c r="P758" i="100"/>
  <c r="Q578" i="100"/>
  <c r="P578" i="100"/>
  <c r="Q553" i="100"/>
  <c r="P553" i="100"/>
  <c r="Q546" i="100"/>
  <c r="P546" i="100"/>
  <c r="Q323" i="100"/>
  <c r="P323" i="100"/>
  <c r="Q297" i="100"/>
  <c r="P297" i="100"/>
  <c r="Q287" i="100"/>
  <c r="P287" i="100"/>
  <c r="Q926" i="100"/>
  <c r="P926" i="100"/>
  <c r="Q247" i="100"/>
  <c r="P247" i="100"/>
  <c r="Q21" i="100"/>
  <c r="P21" i="100"/>
  <c r="Q951" i="100"/>
  <c r="P951" i="100"/>
  <c r="Q754" i="100"/>
  <c r="P754" i="100"/>
  <c r="Q527" i="100"/>
  <c r="P527" i="100"/>
  <c r="Q280" i="100"/>
  <c r="P280" i="100"/>
  <c r="Q236" i="100"/>
  <c r="P236" i="100"/>
  <c r="Q64" i="100"/>
  <c r="P64" i="100"/>
  <c r="Q40" i="100"/>
  <c r="P40" i="100"/>
  <c r="Q264" i="100"/>
  <c r="P264" i="100"/>
  <c r="Q984" i="100"/>
  <c r="P984" i="100"/>
  <c r="Q797" i="100"/>
  <c r="P797" i="100"/>
  <c r="Q617" i="100"/>
  <c r="P617" i="100"/>
  <c r="Q330" i="100"/>
  <c r="P330" i="100"/>
  <c r="Q102" i="100"/>
  <c r="P102" i="100"/>
  <c r="Q1080" i="100"/>
  <c r="P1080" i="100"/>
  <c r="Q870" i="100"/>
  <c r="P870" i="100"/>
  <c r="Q660" i="100"/>
  <c r="P660" i="100"/>
  <c r="Q187" i="100"/>
  <c r="P187" i="100"/>
  <c r="Q979" i="100"/>
  <c r="P979" i="100"/>
  <c r="Q801" i="100"/>
  <c r="P801" i="100"/>
  <c r="Q579" i="100"/>
  <c r="P579" i="100"/>
  <c r="Q342" i="100"/>
  <c r="P342" i="100"/>
  <c r="Q113" i="100"/>
  <c r="P113" i="100"/>
  <c r="Q1006" i="100"/>
  <c r="P1006" i="100"/>
  <c r="Q991" i="100"/>
  <c r="P991" i="100"/>
  <c r="Q815" i="100"/>
  <c r="P815" i="100"/>
  <c r="Q776" i="100"/>
  <c r="P776" i="100"/>
  <c r="Q593" i="100"/>
  <c r="P593" i="100"/>
  <c r="Q558" i="100"/>
  <c r="P558" i="100"/>
  <c r="Q357" i="100"/>
  <c r="P357" i="100"/>
  <c r="Q306" i="100"/>
  <c r="P306" i="100"/>
  <c r="Q124" i="100"/>
  <c r="P124" i="100"/>
  <c r="Q93" i="100"/>
  <c r="P93" i="100"/>
  <c r="Q959" i="100"/>
  <c r="P959" i="100"/>
  <c r="Q775" i="100"/>
  <c r="P775" i="100"/>
  <c r="Q955" i="100"/>
  <c r="P955" i="100"/>
  <c r="Q753" i="100"/>
  <c r="P753" i="100"/>
  <c r="Q534" i="100"/>
  <c r="P534" i="100"/>
  <c r="Q291" i="100"/>
  <c r="P291" i="100"/>
  <c r="Q69" i="100"/>
  <c r="P69" i="100"/>
  <c r="Q58" i="100"/>
  <c r="P58" i="100"/>
  <c r="Q305" i="100"/>
  <c r="P305" i="100"/>
  <c r="Q86" i="100"/>
  <c r="P86" i="100"/>
  <c r="Q210" i="100"/>
  <c r="P210" i="100"/>
  <c r="Q828" i="100"/>
  <c r="P828" i="100"/>
  <c r="Q642" i="100"/>
  <c r="P642" i="100"/>
  <c r="Q362" i="100"/>
  <c r="P362" i="100"/>
  <c r="Q129" i="100"/>
  <c r="P129" i="100"/>
  <c r="Q131" i="100"/>
  <c r="P131" i="100"/>
  <c r="Q327" i="100"/>
  <c r="P327" i="100"/>
  <c r="Q1017" i="100"/>
  <c r="P1017" i="100"/>
  <c r="Q718" i="100"/>
  <c r="P718" i="100"/>
  <c r="Q596" i="100"/>
  <c r="P596" i="100"/>
  <c r="Q353" i="100"/>
  <c r="P353" i="100"/>
  <c r="Q1051" i="100"/>
  <c r="P1051" i="100"/>
  <c r="Q846" i="100"/>
  <c r="P846" i="100"/>
  <c r="Q634" i="100"/>
  <c r="P634" i="100"/>
  <c r="Q432" i="100"/>
  <c r="P432" i="100"/>
  <c r="Q172" i="100"/>
  <c r="P172" i="100"/>
  <c r="Q37" i="100"/>
  <c r="P37" i="100"/>
  <c r="Q1049" i="100"/>
  <c r="P1049" i="100"/>
  <c r="Q826" i="100"/>
  <c r="P826" i="100"/>
  <c r="Q611" i="100"/>
  <c r="P611" i="100"/>
  <c r="Q367" i="100"/>
  <c r="P367" i="100"/>
  <c r="Q146" i="100"/>
  <c r="P146" i="100"/>
  <c r="Q496" i="100"/>
  <c r="P496" i="100"/>
  <c r="Q253" i="100"/>
  <c r="P253" i="100"/>
  <c r="Q899" i="100"/>
  <c r="P899" i="100"/>
  <c r="Q623" i="100"/>
  <c r="P623" i="100"/>
  <c r="Q356" i="100"/>
  <c r="P356" i="100"/>
  <c r="Q142" i="100"/>
  <c r="P142" i="100"/>
  <c r="Q722" i="100"/>
  <c r="P722" i="100"/>
  <c r="Q486" i="100"/>
  <c r="P486" i="100"/>
  <c r="Q240" i="100"/>
  <c r="P240" i="100"/>
  <c r="Q981" i="100"/>
  <c r="P981" i="100"/>
  <c r="Q803" i="100"/>
  <c r="P803" i="100"/>
  <c r="Q940" i="100"/>
  <c r="P940" i="100"/>
  <c r="Q551" i="100"/>
  <c r="P551" i="100"/>
  <c r="Q310" i="100"/>
  <c r="P310" i="100"/>
  <c r="Q303" i="100"/>
  <c r="P303" i="100"/>
  <c r="Q72" i="100"/>
  <c r="P72" i="100"/>
  <c r="Q916" i="100"/>
  <c r="P916" i="100"/>
  <c r="Q733" i="100"/>
  <c r="P733" i="100"/>
  <c r="Q475" i="100"/>
  <c r="P475" i="100"/>
  <c r="Q251" i="100"/>
  <c r="P251" i="100"/>
  <c r="Q336" i="100"/>
  <c r="P336" i="100"/>
  <c r="Q849" i="100"/>
  <c r="P849" i="100"/>
  <c r="Q583" i="100"/>
  <c r="P583" i="100"/>
  <c r="Q351" i="100"/>
  <c r="P351" i="100"/>
  <c r="Q143" i="100"/>
  <c r="P143" i="100"/>
  <c r="Q1116" i="100"/>
  <c r="P1116" i="100"/>
  <c r="Q1115" i="100"/>
  <c r="P1115" i="100"/>
  <c r="Q1109" i="100"/>
  <c r="P1109" i="100"/>
  <c r="Q942" i="100"/>
  <c r="P942" i="100"/>
  <c r="Q784" i="100"/>
  <c r="P784" i="100"/>
  <c r="Q550" i="100"/>
  <c r="P550" i="100"/>
  <c r="Q292" i="100"/>
  <c r="P292" i="100"/>
  <c r="Q284" i="100"/>
  <c r="P284" i="100"/>
  <c r="Q66" i="100"/>
  <c r="P66" i="100"/>
  <c r="Q535" i="100"/>
  <c r="P535" i="100"/>
  <c r="Q266" i="100"/>
  <c r="P266" i="100"/>
  <c r="Q985" i="100"/>
  <c r="P985" i="100"/>
  <c r="Q96" i="100"/>
  <c r="P96" i="100"/>
  <c r="Q8" i="100"/>
  <c r="P8" i="100"/>
  <c r="Q508" i="100"/>
  <c r="P508" i="100"/>
  <c r="Q1012" i="100"/>
  <c r="P1012" i="100"/>
  <c r="Q818" i="100"/>
  <c r="P818" i="100"/>
  <c r="Q586" i="100"/>
  <c r="P586" i="100"/>
  <c r="Q334" i="100"/>
  <c r="P334" i="100"/>
  <c r="Q108" i="100"/>
  <c r="P108" i="100"/>
  <c r="Q378" i="100"/>
  <c r="P378" i="100"/>
  <c r="Q53" i="100"/>
  <c r="P53" i="100"/>
  <c r="N1047" i="100"/>
  <c r="N840" i="100"/>
  <c r="N609" i="100"/>
  <c r="N386" i="100"/>
  <c r="N164" i="100"/>
  <c r="N76" i="100"/>
  <c r="N774" i="100"/>
  <c r="N541" i="100"/>
  <c r="N974" i="100"/>
  <c r="N772" i="100"/>
  <c r="N548" i="100"/>
  <c r="N311" i="100"/>
  <c r="N91" i="100"/>
  <c r="N960" i="100"/>
  <c r="N739" i="100"/>
  <c r="N274" i="100"/>
  <c r="N234" i="100"/>
  <c r="N20" i="100"/>
  <c r="N484" i="100"/>
  <c r="N245" i="100"/>
  <c r="N485" i="100"/>
  <c r="N242" i="100"/>
  <c r="N25" i="100"/>
  <c r="N703" i="100"/>
  <c r="N459" i="100"/>
  <c r="N293" i="100"/>
  <c r="N2" i="100"/>
  <c r="N1110" i="100"/>
  <c r="N692" i="100"/>
  <c r="N509" i="100"/>
  <c r="N495" i="100"/>
  <c r="N273" i="100"/>
  <c r="N255" i="100"/>
  <c r="N214" i="100"/>
  <c r="N49" i="100"/>
  <c r="N28" i="100"/>
  <c r="N408" i="100"/>
  <c r="N723" i="100"/>
  <c r="N33" i="100"/>
  <c r="N104" i="100"/>
  <c r="N1005" i="100"/>
  <c r="N813" i="100"/>
  <c r="N582" i="100"/>
  <c r="N322" i="100"/>
  <c r="N103" i="100"/>
  <c r="N469" i="100"/>
  <c r="N229" i="100"/>
  <c r="N7" i="100"/>
  <c r="N1061" i="100"/>
  <c r="N879" i="100"/>
  <c r="N681" i="100"/>
  <c r="N438" i="100"/>
  <c r="N200" i="100"/>
  <c r="N1004" i="100"/>
  <c r="N764" i="100"/>
  <c r="N557" i="100"/>
  <c r="N317" i="100"/>
  <c r="N1119" i="100"/>
  <c r="N904" i="100"/>
  <c r="N457" i="100"/>
  <c r="N1057" i="100"/>
  <c r="N838" i="100"/>
  <c r="N618" i="100"/>
  <c r="N417" i="100"/>
  <c r="N184" i="100"/>
  <c r="N155" i="100"/>
  <c r="N175" i="100"/>
  <c r="N657" i="100"/>
  <c r="N399" i="100"/>
  <c r="N1072" i="100"/>
  <c r="N78" i="100"/>
  <c r="N241" i="100"/>
  <c r="N943" i="100"/>
  <c r="N747" i="100"/>
  <c r="N519" i="100"/>
  <c r="N1036" i="100"/>
  <c r="N1028" i="100"/>
  <c r="N1016" i="100"/>
  <c r="N954" i="100"/>
  <c r="N892" i="100"/>
  <c r="N807" i="100"/>
  <c r="N796" i="100"/>
  <c r="N787" i="100"/>
  <c r="N767" i="100"/>
  <c r="N647" i="100"/>
  <c r="N645" i="100"/>
  <c r="N625" i="100"/>
  <c r="N608" i="100"/>
  <c r="N590" i="100"/>
  <c r="N555" i="100"/>
  <c r="N449" i="100"/>
  <c r="N427" i="100"/>
  <c r="N421" i="100"/>
  <c r="N401" i="100"/>
  <c r="N396" i="100"/>
  <c r="N350" i="100"/>
  <c r="N186" i="100"/>
  <c r="N179" i="100"/>
  <c r="N166" i="100"/>
  <c r="N162" i="100"/>
  <c r="N137" i="100"/>
  <c r="N106" i="100"/>
  <c r="N935" i="100"/>
  <c r="N707" i="100"/>
  <c r="N464" i="100"/>
  <c r="N223" i="100"/>
  <c r="N5" i="100"/>
  <c r="N978" i="100"/>
  <c r="N936" i="100"/>
  <c r="N736" i="100"/>
  <c r="N505" i="100"/>
  <c r="N272" i="100"/>
  <c r="N1021" i="100"/>
  <c r="N1011" i="100"/>
  <c r="N998" i="100"/>
  <c r="N831" i="100"/>
  <c r="N822" i="100"/>
  <c r="N806" i="100"/>
  <c r="N598" i="100"/>
  <c r="N585" i="100"/>
  <c r="N571" i="100"/>
  <c r="N400" i="100"/>
  <c r="N383" i="100"/>
  <c r="N376" i="100"/>
  <c r="N368" i="100"/>
  <c r="N366" i="100"/>
  <c r="N363" i="100"/>
  <c r="N140" i="100"/>
  <c r="N121" i="100"/>
  <c r="N89" i="100"/>
  <c r="N60" i="100"/>
  <c r="N1073" i="100"/>
  <c r="N877" i="100"/>
  <c r="N636" i="100"/>
  <c r="N435" i="100"/>
  <c r="N150" i="100"/>
  <c r="N1097" i="100"/>
  <c r="N882" i="100"/>
  <c r="N673" i="100"/>
  <c r="N422" i="100"/>
  <c r="N192" i="100"/>
  <c r="N1077" i="100"/>
  <c r="N865" i="100"/>
  <c r="N651" i="100"/>
  <c r="N373" i="100"/>
  <c r="N171" i="100"/>
  <c r="N939" i="100"/>
  <c r="N741" i="100"/>
  <c r="N279" i="100"/>
  <c r="N994" i="100"/>
  <c r="N793" i="100"/>
  <c r="N575" i="100"/>
  <c r="N687" i="100"/>
  <c r="N1092" i="100"/>
  <c r="N906" i="100"/>
  <c r="N665" i="100"/>
  <c r="N458" i="100"/>
  <c r="N219" i="100"/>
  <c r="N1114" i="100"/>
  <c r="N901" i="100"/>
  <c r="N694" i="100"/>
  <c r="N451" i="100"/>
  <c r="N212" i="100"/>
  <c r="N1108" i="100"/>
  <c r="N1101" i="100"/>
  <c r="N895" i="100"/>
  <c r="N889" i="100"/>
  <c r="N689" i="100"/>
  <c r="N682" i="100"/>
  <c r="N442" i="100"/>
  <c r="N439" i="100"/>
  <c r="N990" i="100"/>
  <c r="N795" i="100"/>
  <c r="N568" i="100"/>
  <c r="N332" i="100"/>
  <c r="N109" i="100"/>
  <c r="N989" i="100"/>
  <c r="N789" i="100"/>
  <c r="N428" i="100"/>
  <c r="N196" i="100"/>
  <c r="N1029" i="100"/>
  <c r="N997" i="100"/>
  <c r="N788" i="100"/>
  <c r="N769" i="100"/>
  <c r="N529" i="100"/>
  <c r="N525" i="100"/>
  <c r="N762" i="100"/>
  <c r="N538" i="100"/>
  <c r="N295" i="100"/>
  <c r="N82" i="100"/>
  <c r="N944" i="100"/>
  <c r="N748" i="100"/>
  <c r="N521" i="100"/>
  <c r="N276" i="100"/>
  <c r="N62" i="100"/>
  <c r="N391" i="100"/>
  <c r="N158" i="100"/>
  <c r="N1007" i="100"/>
  <c r="N811" i="100"/>
  <c r="N983" i="100"/>
  <c r="N779" i="100"/>
  <c r="N956" i="100"/>
  <c r="N1027" i="100"/>
  <c r="N825" i="100"/>
  <c r="N604" i="100"/>
  <c r="N958" i="100"/>
  <c r="N761" i="100"/>
  <c r="N544" i="100"/>
  <c r="N285" i="100"/>
  <c r="N74" i="100"/>
  <c r="N1094" i="100"/>
  <c r="N885" i="100"/>
  <c r="N674" i="100"/>
  <c r="N437" i="100"/>
  <c r="N199" i="100"/>
  <c r="N773" i="100"/>
  <c r="N965" i="100"/>
  <c r="N821" i="100"/>
  <c r="N607" i="100"/>
  <c r="N372" i="100"/>
  <c r="N136" i="100"/>
  <c r="N1010" i="100"/>
  <c r="N814" i="100"/>
  <c r="N615" i="100"/>
  <c r="N331" i="100"/>
  <c r="N122" i="100"/>
  <c r="N1031" i="100"/>
  <c r="N619" i="100"/>
  <c r="N395" i="100"/>
  <c r="N216" i="100"/>
  <c r="N127" i="100"/>
  <c r="N948" i="100"/>
  <c r="N501" i="100"/>
  <c r="N265" i="100"/>
  <c r="N42" i="100"/>
  <c r="N1026" i="100"/>
  <c r="N862" i="100"/>
  <c r="N963" i="100"/>
  <c r="N766" i="100"/>
  <c r="N543" i="100"/>
  <c r="N126" i="100"/>
  <c r="N1023" i="100"/>
  <c r="N823" i="100"/>
  <c r="N621" i="100"/>
  <c r="N1086" i="100"/>
  <c r="N878" i="100"/>
  <c r="N638" i="100"/>
  <c r="N418" i="100"/>
  <c r="N176" i="100"/>
  <c r="N43" i="100"/>
  <c r="N39" i="100"/>
  <c r="N38" i="100"/>
  <c r="N32" i="100"/>
  <c r="N927" i="100"/>
  <c r="N532" i="100"/>
  <c r="N289" i="100"/>
  <c r="N54" i="100"/>
  <c r="N232" i="100"/>
  <c r="N65" i="100"/>
  <c r="N924" i="100"/>
  <c r="N716" i="100"/>
  <c r="N477" i="100"/>
  <c r="N237" i="100"/>
  <c r="N16" i="100"/>
  <c r="N988" i="100"/>
  <c r="N945" i="100"/>
  <c r="N759" i="100"/>
  <c r="N749" i="100"/>
  <c r="N563" i="100"/>
  <c r="N522" i="100"/>
  <c r="N315" i="100"/>
  <c r="N277" i="100"/>
  <c r="N100" i="100"/>
  <c r="N81" i="100"/>
  <c r="N917" i="100"/>
  <c r="N738" i="100"/>
  <c r="N462" i="100"/>
  <c r="N222" i="100"/>
  <c r="N9" i="100"/>
  <c r="N1105" i="100"/>
  <c r="N869" i="100"/>
  <c r="N678" i="100"/>
  <c r="N282" i="100"/>
  <c r="N55" i="100"/>
  <c r="N286" i="100"/>
  <c r="N68" i="100"/>
  <c r="N992" i="100"/>
  <c r="N799" i="100"/>
  <c r="N574" i="100"/>
  <c r="N337" i="100"/>
  <c r="N115" i="100"/>
  <c r="N1044" i="100"/>
  <c r="N817" i="100"/>
  <c r="N591" i="100"/>
  <c r="N354" i="100"/>
  <c r="N128" i="100"/>
  <c r="N1060" i="100"/>
  <c r="N851" i="100"/>
  <c r="N644" i="100"/>
  <c r="N398" i="100"/>
  <c r="N169" i="100"/>
  <c r="N1099" i="100"/>
  <c r="N886" i="100"/>
  <c r="N680" i="100"/>
  <c r="N440" i="100"/>
  <c r="N203" i="100"/>
  <c r="N257" i="100"/>
  <c r="N36" i="100"/>
  <c r="N908" i="100"/>
  <c r="N704" i="100"/>
  <c r="N928" i="100"/>
  <c r="N728" i="100"/>
  <c r="N497" i="100"/>
  <c r="N258" i="100"/>
  <c r="N52" i="100"/>
  <c r="N986" i="100"/>
  <c r="N848" i="100"/>
  <c r="N588" i="100"/>
  <c r="N346" i="100"/>
  <c r="N119" i="100"/>
  <c r="N993" i="100"/>
  <c r="N800" i="100"/>
  <c r="N573" i="100"/>
  <c r="N335" i="100"/>
  <c r="N114" i="100"/>
  <c r="N987" i="100"/>
  <c r="N794" i="100"/>
  <c r="N570" i="100"/>
  <c r="N324" i="100"/>
  <c r="N117" i="100"/>
  <c r="N488" i="100"/>
  <c r="N1041" i="100"/>
  <c r="N836" i="100"/>
  <c r="N629" i="100"/>
  <c r="N390" i="100"/>
  <c r="N160" i="100"/>
  <c r="N476" i="100"/>
  <c r="N235" i="100"/>
  <c r="N14" i="100"/>
  <c r="N884" i="100"/>
  <c r="N662" i="100"/>
  <c r="N375" i="100"/>
  <c r="N170" i="100"/>
  <c r="N1001" i="100"/>
  <c r="N756" i="100"/>
  <c r="N528" i="100"/>
  <c r="N278" i="100"/>
  <c r="N61" i="100"/>
  <c r="N929" i="100"/>
  <c r="N512" i="100"/>
  <c r="N263" i="100"/>
  <c r="N45" i="100"/>
  <c r="N897" i="100"/>
  <c r="N564" i="100"/>
  <c r="N313" i="100"/>
  <c r="N819" i="100"/>
  <c r="N602" i="100"/>
  <c r="N1096" i="100"/>
  <c r="N268" i="100"/>
  <c r="N19" i="100"/>
  <c r="N1052" i="100"/>
  <c r="N719" i="100"/>
  <c r="N610" i="100"/>
  <c r="N409" i="100"/>
  <c r="N138" i="100"/>
  <c r="N930" i="100"/>
  <c r="N732" i="100"/>
  <c r="N504" i="100"/>
  <c r="N259" i="100"/>
  <c r="N46" i="100"/>
  <c r="N1106" i="100"/>
  <c r="N894" i="100"/>
  <c r="N698" i="100"/>
  <c r="N448" i="100"/>
  <c r="N209" i="100"/>
  <c r="N1053" i="100"/>
  <c r="N858" i="100"/>
  <c r="N646" i="100"/>
  <c r="N481" i="100"/>
  <c r="N18" i="100"/>
  <c r="N605" i="100"/>
  <c r="N946" i="100"/>
  <c r="N752" i="100"/>
  <c r="N524" i="100"/>
  <c r="N290" i="100"/>
  <c r="N745" i="100"/>
  <c r="N622" i="100"/>
  <c r="N281" i="100"/>
  <c r="N99" i="100"/>
  <c r="N921" i="100"/>
  <c r="N757" i="100"/>
  <c r="N471" i="100"/>
  <c r="N224" i="100"/>
  <c r="N10" i="100"/>
  <c r="N952" i="100"/>
  <c r="N742" i="100"/>
  <c r="N513" i="100"/>
  <c r="N725" i="100"/>
  <c r="N503" i="100"/>
  <c r="N260" i="100"/>
  <c r="N358" i="100"/>
  <c r="N1091" i="100"/>
  <c r="N1035" i="100"/>
  <c r="N785" i="100"/>
  <c r="N740" i="100"/>
  <c r="N685" i="100"/>
  <c r="N656" i="100"/>
  <c r="N614" i="100"/>
  <c r="N1013" i="100"/>
  <c r="N808" i="100"/>
  <c r="N572" i="100"/>
  <c r="N344" i="100"/>
  <c r="N125" i="100"/>
  <c r="N530" i="100"/>
  <c r="N307" i="100"/>
  <c r="N59" i="100"/>
  <c r="N465" i="100"/>
  <c r="N380" i="100"/>
  <c r="N567" i="100"/>
  <c r="N782" i="100"/>
  <c r="N1118" i="100"/>
  <c r="N890" i="100"/>
  <c r="N133" i="100"/>
  <c r="N1000" i="100"/>
  <c r="N393" i="100"/>
  <c r="N246" i="100"/>
  <c r="N1120" i="100"/>
  <c r="N905" i="100"/>
  <c r="N700" i="100"/>
  <c r="N456" i="100"/>
  <c r="N218" i="100"/>
  <c r="N479" i="100"/>
  <c r="N238" i="100"/>
  <c r="N15" i="100"/>
  <c r="N966" i="100"/>
  <c r="N964" i="100"/>
  <c r="N721" i="100"/>
  <c r="N482" i="100"/>
  <c r="N231" i="100"/>
  <c r="N256" i="100"/>
  <c r="N41" i="100"/>
  <c r="N1117" i="100"/>
  <c r="N1113" i="100"/>
  <c r="N902" i="100"/>
  <c r="N900" i="100"/>
  <c r="N699" i="100"/>
  <c r="N696" i="100"/>
  <c r="N455" i="100"/>
  <c r="N453" i="100"/>
  <c r="N217" i="100"/>
  <c r="N215" i="100"/>
  <c r="N976" i="100"/>
  <c r="N783" i="100"/>
  <c r="N539" i="100"/>
  <c r="N326" i="100"/>
  <c r="N1112" i="100"/>
  <c r="N898" i="100"/>
  <c r="N695" i="100"/>
  <c r="N452" i="100"/>
  <c r="N213" i="100"/>
  <c r="N720" i="100"/>
  <c r="N1107" i="100"/>
  <c r="N893" i="100"/>
  <c r="N691" i="100"/>
  <c r="N450" i="100"/>
  <c r="N208" i="100"/>
  <c r="N1104" i="100"/>
  <c r="N891" i="100"/>
  <c r="N684" i="100"/>
  <c r="N444" i="100"/>
  <c r="N205" i="100"/>
  <c r="N683" i="100"/>
  <c r="N443" i="100"/>
  <c r="N436" i="100"/>
  <c r="N1095" i="100"/>
  <c r="N888" i="100"/>
  <c r="N676" i="100"/>
  <c r="N429" i="100"/>
  <c r="N202" i="100"/>
  <c r="N1085" i="100"/>
  <c r="N856" i="100"/>
  <c r="N669" i="100"/>
  <c r="N431" i="100"/>
  <c r="N204" i="100"/>
  <c r="N1089" i="100"/>
  <c r="N1088" i="100"/>
  <c r="N881" i="100"/>
  <c r="N880" i="100"/>
  <c r="N672" i="100"/>
  <c r="N670" i="100"/>
  <c r="N426" i="100"/>
  <c r="N424" i="100"/>
  <c r="N197" i="100"/>
  <c r="N195" i="100"/>
  <c r="N80" i="100"/>
  <c r="N967" i="100"/>
  <c r="N883" i="100"/>
  <c r="N653" i="100"/>
  <c r="N123" i="100"/>
  <c r="N768" i="100"/>
  <c r="N494" i="100"/>
  <c r="N250" i="100"/>
  <c r="N35" i="100"/>
  <c r="N194" i="100"/>
  <c r="N1083" i="100"/>
  <c r="N876" i="100"/>
  <c r="N668" i="100"/>
  <c r="N423" i="100"/>
  <c r="N193" i="100"/>
  <c r="N717" i="100"/>
  <c r="N468" i="100"/>
  <c r="N239" i="100"/>
  <c r="N875" i="100"/>
  <c r="N667" i="100"/>
  <c r="N420" i="100"/>
  <c r="N67" i="100"/>
  <c r="N26" i="100"/>
  <c r="N502" i="100"/>
  <c r="N254" i="100"/>
  <c r="N44" i="100"/>
  <c r="N1043" i="100"/>
  <c r="N805" i="100"/>
  <c r="N666" i="100"/>
  <c r="N419" i="100"/>
  <c r="N191" i="100"/>
  <c r="N1082" i="100"/>
  <c r="N873" i="100"/>
  <c r="N663" i="100"/>
  <c r="N416" i="100"/>
  <c r="N190" i="100"/>
  <c r="N1018" i="100"/>
  <c r="N1015" i="100"/>
  <c r="N697" i="100"/>
  <c r="N589" i="100"/>
  <c r="N377" i="100"/>
  <c r="N349" i="100"/>
  <c r="N415" i="100"/>
  <c r="N189" i="100"/>
  <c r="N1093" i="100"/>
  <c r="N492" i="100"/>
  <c r="N414" i="100"/>
  <c r="N934" i="100"/>
  <c r="N261" i="100"/>
  <c r="N1040" i="100"/>
  <c r="N780" i="100"/>
  <c r="N540" i="100"/>
  <c r="N304" i="100"/>
  <c r="N94" i="100"/>
  <c r="N70" i="100"/>
  <c r="N971" i="100"/>
  <c r="N770" i="100"/>
  <c r="N549" i="100"/>
  <c r="N333" i="100"/>
  <c r="N90" i="100"/>
  <c r="N1081" i="100"/>
  <c r="N871" i="100"/>
  <c r="N661" i="100"/>
  <c r="N413" i="100"/>
  <c r="N480" i="100"/>
  <c r="N1079" i="100"/>
  <c r="N868" i="100"/>
  <c r="N659" i="100"/>
  <c r="N412" i="100"/>
  <c r="N188" i="100"/>
  <c r="N507" i="100"/>
  <c r="N271" i="100"/>
  <c r="N1076" i="100"/>
  <c r="N1062" i="100"/>
  <c r="N896" i="100"/>
  <c r="N688" i="100"/>
  <c r="N445" i="100"/>
  <c r="N206" i="100"/>
  <c r="N561" i="100"/>
  <c r="N968" i="100"/>
  <c r="N737" i="100"/>
  <c r="N478" i="100"/>
  <c r="N243" i="100"/>
  <c r="N31" i="100"/>
  <c r="N1071" i="100"/>
  <c r="N866" i="100"/>
  <c r="N658" i="100"/>
  <c r="N411" i="100"/>
  <c r="N185" i="100"/>
  <c r="N533" i="100"/>
  <c r="N283" i="100"/>
  <c r="N1070" i="100"/>
  <c r="N864" i="100"/>
  <c r="N654" i="100"/>
  <c r="N407" i="100"/>
  <c r="N183" i="100"/>
  <c r="N1069" i="100"/>
  <c r="N953" i="100"/>
  <c r="N746" i="100"/>
  <c r="N518" i="100"/>
  <c r="N288" i="100"/>
  <c r="N71" i="100"/>
  <c r="N511" i="100"/>
  <c r="N226" i="100"/>
  <c r="N4" i="100"/>
  <c r="N693" i="100"/>
  <c r="N430" i="100"/>
  <c r="N211" i="100"/>
  <c r="N1103" i="100"/>
  <c r="N980" i="100"/>
  <c r="N975" i="100"/>
  <c r="N763" i="100"/>
  <c r="N751" i="100"/>
  <c r="N633" i="100"/>
  <c r="N630" i="100"/>
  <c r="N1045" i="100"/>
  <c r="N1033" i="100"/>
  <c r="N977" i="100"/>
  <c r="N847" i="100"/>
  <c r="N832" i="100"/>
  <c r="N771" i="100"/>
  <c r="N637" i="100"/>
  <c r="N613" i="100"/>
  <c r="N461" i="100"/>
  <c r="N384" i="100"/>
  <c r="N338" i="100"/>
  <c r="N302" i="100"/>
  <c r="N73" i="100"/>
  <c r="N1068" i="100"/>
  <c r="N1066" i="100"/>
  <c r="N1065" i="100"/>
  <c r="N1063" i="100"/>
  <c r="N863" i="100"/>
  <c r="N860" i="100"/>
  <c r="N859" i="100"/>
  <c r="N855" i="100"/>
  <c r="N652" i="100"/>
  <c r="N649" i="100"/>
  <c r="N648" i="100"/>
  <c r="N643" i="100"/>
  <c r="N405" i="100"/>
  <c r="N403" i="100"/>
  <c r="N402" i="100"/>
  <c r="N397" i="100"/>
  <c r="N180" i="100"/>
  <c r="N178" i="100"/>
  <c r="N177" i="100"/>
  <c r="N174" i="100"/>
  <c r="N853" i="100"/>
  <c r="N640" i="100"/>
  <c r="N173" i="100"/>
  <c r="N778" i="100"/>
  <c r="N526" i="100"/>
  <c r="N510" i="100"/>
  <c r="N298" i="100"/>
  <c r="N269" i="100"/>
  <c r="N1059" i="100"/>
  <c r="N852" i="100"/>
  <c r="N639" i="100"/>
  <c r="N394" i="100"/>
  <c r="N472" i="100"/>
  <c r="N244" i="100"/>
  <c r="N22" i="100"/>
  <c r="N1050" i="100"/>
  <c r="N845" i="100"/>
  <c r="N635" i="100"/>
  <c r="N392" i="100"/>
  <c r="N168" i="100"/>
  <c r="N92" i="100"/>
  <c r="N923" i="100"/>
  <c r="N487" i="100"/>
  <c r="N252" i="100"/>
  <c r="N34" i="100"/>
  <c r="N167" i="100"/>
  <c r="N710" i="100"/>
  <c r="N470" i="100"/>
  <c r="N228" i="100"/>
  <c r="N12" i="100"/>
  <c r="N1084" i="100"/>
  <c r="N872" i="100"/>
  <c r="N664" i="100"/>
  <c r="N631" i="100"/>
  <c r="N389" i="100"/>
  <c r="N1048" i="100"/>
  <c r="N841" i="100"/>
  <c r="N628" i="100"/>
  <c r="N385" i="100"/>
  <c r="N163" i="100"/>
  <c r="N1046" i="100"/>
  <c r="N837" i="100"/>
  <c r="N627" i="100"/>
  <c r="N381" i="100"/>
  <c r="N161" i="100"/>
  <c r="N931" i="100"/>
  <c r="N731" i="100"/>
  <c r="N499" i="100"/>
  <c r="N270" i="100"/>
  <c r="N50" i="100"/>
  <c r="N410" i="100"/>
  <c r="N159" i="100"/>
  <c r="N1037" i="100"/>
  <c r="N834" i="100"/>
  <c r="N812" i="100"/>
  <c r="N565" i="100"/>
  <c r="N321" i="100"/>
  <c r="N57" i="100"/>
  <c r="N516" i="100"/>
  <c r="N267" i="100"/>
  <c r="N961" i="100"/>
  <c r="N729" i="100"/>
  <c r="N489" i="100"/>
  <c r="N294" i="100"/>
  <c r="N77" i="100"/>
  <c r="N1034" i="100"/>
  <c r="N833" i="100"/>
  <c r="N616" i="100"/>
  <c r="N374" i="100"/>
  <c r="N157" i="100"/>
  <c r="N1038" i="100"/>
  <c r="N835" i="100"/>
  <c r="N599" i="100"/>
  <c r="N360" i="100"/>
  <c r="N132" i="100"/>
  <c r="N1087" i="100"/>
  <c r="N919" i="100"/>
  <c r="N909" i="100"/>
  <c r="N734" i="100"/>
  <c r="N714" i="100"/>
  <c r="N566" i="100"/>
  <c r="N517" i="100"/>
  <c r="N371" i="100"/>
  <c r="N320" i="100"/>
  <c r="N149" i="100"/>
  <c r="N105" i="100"/>
  <c r="N490" i="100"/>
  <c r="N249" i="100"/>
  <c r="N24" i="100"/>
  <c r="N922" i="100"/>
  <c r="N483" i="100"/>
  <c r="N920" i="100"/>
  <c r="N715" i="100"/>
  <c r="N370" i="100"/>
  <c r="N156" i="100"/>
  <c r="N1032" i="100"/>
  <c r="N829" i="100"/>
  <c r="N606" i="100"/>
  <c r="N365" i="100"/>
  <c r="N153" i="100"/>
  <c r="N937" i="100"/>
  <c r="N730" i="100"/>
  <c r="N506" i="100"/>
  <c r="N262" i="100"/>
  <c r="N29" i="100"/>
  <c r="N1030" i="100"/>
  <c r="N827" i="100"/>
  <c r="N364" i="100"/>
  <c r="N147" i="100"/>
  <c r="N912" i="100"/>
  <c r="N1024" i="100"/>
  <c r="N824" i="100"/>
  <c r="N603" i="100"/>
  <c r="N361" i="100"/>
  <c r="N145" i="100"/>
  <c r="N1025" i="100"/>
  <c r="N339" i="100"/>
  <c r="N95" i="100"/>
  <c r="N359" i="100"/>
  <c r="N144" i="100"/>
  <c r="N355" i="100"/>
  <c r="N141" i="100"/>
  <c r="N820" i="100"/>
  <c r="N597" i="100"/>
  <c r="N903" i="100"/>
  <c r="N690" i="100"/>
  <c r="N447" i="100"/>
  <c r="N207" i="100"/>
  <c r="N1020" i="100"/>
  <c r="N1019" i="100"/>
  <c r="N594" i="100"/>
  <c r="N352" i="100"/>
  <c r="N135" i="100"/>
  <c r="N592" i="100"/>
  <c r="N675" i="100"/>
  <c r="N345" i="100"/>
  <c r="N139" i="100"/>
  <c r="N914" i="100"/>
  <c r="N709" i="100"/>
  <c r="N473" i="100"/>
  <c r="N230" i="100"/>
  <c r="N11" i="100"/>
  <c r="N547" i="100"/>
  <c r="N309" i="100"/>
  <c r="N79" i="100"/>
  <c r="N1014" i="100"/>
  <c r="N810" i="100"/>
  <c r="N587" i="100"/>
  <c r="N348" i="100"/>
  <c r="N130" i="100"/>
  <c r="N809" i="100"/>
  <c r="N584" i="100"/>
  <c r="N686" i="100"/>
  <c r="N446" i="100"/>
  <c r="N201" i="100"/>
  <c r="N938" i="100"/>
  <c r="N491" i="100"/>
  <c r="N63" i="100"/>
  <c r="N51" i="100"/>
  <c r="N47" i="100"/>
  <c r="N30" i="100"/>
  <c r="N949" i="100"/>
  <c r="N932" i="100"/>
  <c r="N781" i="100"/>
  <c r="N760" i="100"/>
  <c r="N556" i="100"/>
  <c r="N520" i="100"/>
  <c r="N299" i="100"/>
  <c r="N275" i="100"/>
  <c r="N87" i="100"/>
  <c r="N56" i="100"/>
  <c r="N708" i="100"/>
  <c r="N467" i="100"/>
  <c r="N225" i="100"/>
  <c r="N13" i="100"/>
  <c r="N523" i="100"/>
  <c r="N296" i="100"/>
  <c r="N85" i="100"/>
  <c r="N1003" i="100"/>
  <c r="N950" i="100"/>
  <c r="N735" i="100"/>
  <c r="N498" i="100"/>
  <c r="N957" i="100"/>
  <c r="N755" i="100"/>
  <c r="N531" i="100"/>
  <c r="N301" i="100"/>
  <c r="N88" i="100"/>
  <c r="N999" i="100"/>
  <c r="N802" i="100"/>
  <c r="N581" i="100"/>
  <c r="N343" i="100"/>
  <c r="N118" i="100"/>
  <c r="N995" i="100"/>
  <c r="N798" i="100"/>
  <c r="N577" i="100"/>
  <c r="N341" i="100"/>
  <c r="N112" i="100"/>
  <c r="N790" i="100"/>
  <c r="N786" i="100"/>
  <c r="N560" i="100"/>
  <c r="N559" i="100"/>
  <c r="N329" i="100"/>
  <c r="N325" i="100"/>
  <c r="N1008" i="100"/>
  <c r="N1056" i="100"/>
  <c r="N850" i="100"/>
  <c r="N632" i="100"/>
  <c r="N319" i="100"/>
  <c r="N48" i="100"/>
  <c r="N915" i="100"/>
  <c r="N913" i="100"/>
  <c r="N713" i="100"/>
  <c r="N712" i="100"/>
  <c r="N711" i="100"/>
  <c r="N474" i="100"/>
  <c r="N233" i="100"/>
  <c r="N17" i="100"/>
  <c r="N969" i="100"/>
  <c r="N918" i="100"/>
  <c r="N75" i="100"/>
  <c r="N441" i="100"/>
  <c r="N318" i="100"/>
  <c r="N101" i="100"/>
  <c r="N972" i="100"/>
  <c r="N777" i="100"/>
  <c r="N554" i="100"/>
  <c r="N316" i="100"/>
  <c r="N98" i="100"/>
  <c r="N861" i="100"/>
  <c r="N612" i="100"/>
  <c r="N382" i="100"/>
  <c r="N151" i="100"/>
  <c r="N552" i="100"/>
  <c r="N545" i="100"/>
  <c r="N1067" i="100"/>
  <c r="N857" i="100"/>
  <c r="N655" i="100"/>
  <c r="N404" i="100"/>
  <c r="N181" i="100"/>
  <c r="N569" i="100"/>
  <c r="N907" i="100"/>
  <c r="N702" i="100"/>
  <c r="N460" i="100"/>
  <c r="N220" i="100"/>
  <c r="N3" i="100"/>
  <c r="N973" i="100"/>
  <c r="N744" i="100"/>
  <c r="N515" i="100"/>
  <c r="N314" i="100"/>
  <c r="N97" i="100"/>
  <c r="N562" i="100"/>
  <c r="N347" i="100"/>
  <c r="N650" i="100"/>
  <c r="N387" i="100"/>
  <c r="N152" i="100"/>
  <c r="N1090" i="100"/>
  <c r="N911" i="100"/>
  <c r="N705" i="100"/>
  <c r="N463" i="100"/>
  <c r="N107" i="100"/>
  <c r="N925" i="100"/>
  <c r="N726" i="100"/>
  <c r="N493" i="100"/>
  <c r="N1022" i="100"/>
  <c r="N1055" i="100"/>
  <c r="N1064" i="100"/>
  <c r="N641" i="100"/>
  <c r="N1042" i="100"/>
  <c r="N120" i="100"/>
  <c r="N982" i="100"/>
  <c r="N792" i="100"/>
  <c r="N576" i="100"/>
  <c r="N340" i="100"/>
  <c r="N116" i="100"/>
  <c r="N542" i="100"/>
  <c r="N996" i="100"/>
  <c r="N804" i="100"/>
  <c r="N580" i="100"/>
  <c r="N1075" i="100"/>
  <c r="N874" i="100"/>
  <c r="N677" i="100"/>
  <c r="N110" i="100"/>
  <c r="N933" i="100"/>
  <c r="N727" i="100"/>
  <c r="N27" i="100"/>
  <c r="N308" i="100"/>
  <c r="N679" i="100"/>
  <c r="N434" i="100"/>
  <c r="N962" i="100"/>
  <c r="N701" i="100"/>
  <c r="N537" i="100"/>
  <c r="N221" i="100"/>
  <c r="N84" i="100"/>
  <c r="N601" i="100"/>
  <c r="N1058" i="100"/>
  <c r="N839" i="100"/>
  <c r="N626" i="100"/>
  <c r="N379" i="100"/>
  <c r="N165" i="100"/>
  <c r="N1039" i="100"/>
  <c r="N830" i="100"/>
  <c r="N600" i="100"/>
  <c r="N369" i="100"/>
  <c r="N148" i="100"/>
  <c r="N328" i="100"/>
  <c r="N111" i="100"/>
  <c r="N947" i="100"/>
  <c r="N743" i="100"/>
  <c r="N514" i="100"/>
  <c r="N300" i="100"/>
  <c r="N83" i="100"/>
  <c r="N1054" i="100"/>
  <c r="N842" i="100"/>
  <c r="N624" i="100"/>
  <c r="N388" i="100"/>
  <c r="N154" i="100"/>
  <c r="N970" i="100"/>
  <c r="N750" i="100"/>
  <c r="N1102" i="100"/>
  <c r="N500" i="100"/>
  <c r="N248" i="100"/>
  <c r="N23" i="100"/>
  <c r="N910" i="100"/>
  <c r="N706" i="100"/>
  <c r="N466" i="100"/>
  <c r="N227" i="100"/>
  <c r="N6" i="100"/>
  <c r="N791" i="100"/>
  <c r="N765" i="100"/>
  <c r="N758" i="100"/>
  <c r="N578" i="100"/>
  <c r="N553" i="100"/>
  <c r="N546" i="100"/>
  <c r="N323" i="100"/>
  <c r="N297" i="100"/>
  <c r="N287" i="100"/>
  <c r="N926" i="100"/>
  <c r="N247" i="100"/>
  <c r="N21" i="100"/>
  <c r="N951" i="100"/>
  <c r="N754" i="100"/>
  <c r="N527" i="100"/>
  <c r="N280" i="100"/>
  <c r="N236" i="100"/>
  <c r="N64" i="100"/>
  <c r="N40" i="100"/>
  <c r="N264" i="100"/>
  <c r="N984" i="100"/>
  <c r="N797" i="100"/>
  <c r="N617" i="100"/>
  <c r="N330" i="100"/>
  <c r="N102" i="100"/>
  <c r="N1080" i="100"/>
  <c r="N870" i="100"/>
  <c r="N660" i="100"/>
  <c r="N187" i="100"/>
  <c r="N979" i="100"/>
  <c r="N801" i="100"/>
  <c r="N579" i="100"/>
  <c r="N342" i="100"/>
  <c r="N113" i="100"/>
  <c r="N1006" i="100"/>
  <c r="N991" i="100"/>
  <c r="N815" i="100"/>
  <c r="N776" i="100"/>
  <c r="N593" i="100"/>
  <c r="N558" i="100"/>
  <c r="N357" i="100"/>
  <c r="N306" i="100"/>
  <c r="N124" i="100"/>
  <c r="N93" i="100"/>
  <c r="N959" i="100"/>
  <c r="N775" i="100"/>
  <c r="N955" i="100"/>
  <c r="N753" i="100"/>
  <c r="N534" i="100"/>
  <c r="N291" i="100"/>
  <c r="N69" i="100"/>
  <c r="N58" i="100"/>
  <c r="N305" i="100"/>
  <c r="N86" i="100"/>
  <c r="N210" i="100"/>
  <c r="N828" i="100"/>
  <c r="N642" i="100"/>
  <c r="N362" i="100"/>
  <c r="N129" i="100"/>
  <c r="N131" i="100"/>
  <c r="N327" i="100"/>
  <c r="N1017" i="100"/>
  <c r="N718" i="100"/>
  <c r="N596" i="100"/>
  <c r="N353" i="100"/>
  <c r="N1051" i="100"/>
  <c r="N846" i="100"/>
  <c r="N634" i="100"/>
  <c r="N432" i="100"/>
  <c r="N172" i="100"/>
  <c r="N37" i="100"/>
  <c r="N1049" i="100"/>
  <c r="N826" i="100"/>
  <c r="N611" i="100"/>
  <c r="N367" i="100"/>
  <c r="N146" i="100"/>
  <c r="N496" i="100"/>
  <c r="N253" i="100"/>
  <c r="N899" i="100"/>
  <c r="N623" i="100"/>
  <c r="N356" i="100"/>
  <c r="N142" i="100"/>
  <c r="N722" i="100"/>
  <c r="N486" i="100"/>
  <c r="N240" i="100"/>
  <c r="N981" i="100"/>
  <c r="N803" i="100"/>
  <c r="N940" i="100"/>
  <c r="N551" i="100"/>
  <c r="N310" i="100"/>
  <c r="N303" i="100"/>
  <c r="N72" i="100"/>
  <c r="N916" i="100"/>
  <c r="N733" i="100"/>
  <c r="N475" i="100"/>
  <c r="N251" i="100"/>
  <c r="N336" i="100"/>
  <c r="N849" i="100"/>
  <c r="N583" i="100"/>
  <c r="N351" i="100"/>
  <c r="N143" i="100"/>
  <c r="N1116" i="100"/>
  <c r="N1115" i="100"/>
  <c r="N1109" i="100"/>
  <c r="N942" i="100"/>
  <c r="N784" i="100"/>
  <c r="N550" i="100"/>
  <c r="N292" i="100"/>
  <c r="N284" i="100"/>
  <c r="N66" i="100"/>
  <c r="N535" i="100"/>
  <c r="N266" i="100"/>
  <c r="N985" i="100"/>
  <c r="N96" i="100"/>
  <c r="N8" i="100"/>
  <c r="N508" i="100"/>
  <c r="N1012" i="100"/>
  <c r="N818" i="100"/>
  <c r="N586" i="100"/>
  <c r="N334" i="100"/>
  <c r="N108" i="100"/>
  <c r="N378" i="100"/>
  <c r="N53" i="100"/>
  <c r="N1078" i="100"/>
  <c r="N854" i="100"/>
  <c r="N425" i="100"/>
  <c r="N1100" i="100"/>
  <c r="N941" i="100"/>
  <c r="N724" i="100"/>
  <c r="N536" i="100"/>
  <c r="N1002" i="100"/>
  <c r="N816" i="100"/>
  <c r="N595" i="100"/>
  <c r="N867" i="100"/>
  <c r="N312" i="100"/>
  <c r="N1009" i="100"/>
  <c r="N1098" i="100"/>
  <c r="N887" i="100"/>
  <c r="N671" i="100"/>
  <c r="N433" i="100"/>
  <c r="N198" i="100"/>
  <c r="N454" i="100"/>
  <c r="N134" i="100"/>
  <c r="N1111" i="100"/>
  <c r="N843" i="100"/>
  <c r="N620" i="100"/>
  <c r="N406" i="100"/>
  <c r="N182" i="100"/>
  <c r="N844" i="100"/>
  <c r="N10" i="73"/>
  <c r="N4" i="73"/>
  <c r="N8" i="73"/>
  <c r="N11" i="73"/>
  <c r="N5" i="73"/>
  <c r="N9" i="73"/>
  <c r="N12" i="73"/>
  <c r="N13" i="73"/>
  <c r="N6" i="73"/>
  <c r="N2" i="73"/>
  <c r="N7" i="73"/>
  <c r="AB3" i="101"/>
  <c r="AB4" i="101"/>
  <c r="AB5" i="101"/>
  <c r="AB6" i="101"/>
  <c r="AB7" i="101"/>
  <c r="AB8" i="101"/>
  <c r="AB9" i="101"/>
  <c r="AB10" i="101"/>
  <c r="AB11" i="101"/>
  <c r="AB12" i="101"/>
  <c r="AB13" i="101"/>
  <c r="AB14" i="101"/>
  <c r="AB15" i="101"/>
  <c r="AB16" i="101"/>
  <c r="AB17" i="101"/>
  <c r="AB18" i="101"/>
  <c r="AB19" i="101"/>
  <c r="AB20" i="101"/>
  <c r="AB21" i="101"/>
  <c r="AB22" i="101"/>
  <c r="AB23" i="101"/>
  <c r="AB24" i="101"/>
  <c r="AB25" i="101"/>
  <c r="AB26" i="101"/>
  <c r="AB27" i="101"/>
  <c r="AB28" i="101"/>
  <c r="AB29" i="101"/>
  <c r="AB30" i="101"/>
  <c r="AB31" i="101"/>
  <c r="AB32" i="101"/>
  <c r="AB33" i="101"/>
  <c r="AB34" i="101"/>
  <c r="AB35" i="101"/>
  <c r="AB36" i="101"/>
  <c r="AB37" i="101"/>
  <c r="AB38" i="101"/>
  <c r="AB39" i="101"/>
  <c r="AB40" i="101"/>
  <c r="AB41" i="101"/>
  <c r="AB42" i="101"/>
  <c r="AB43" i="101"/>
  <c r="AB44" i="101"/>
  <c r="AB45" i="101"/>
  <c r="AB46" i="101"/>
  <c r="AB47" i="101"/>
  <c r="AB48" i="101"/>
  <c r="AB49" i="101"/>
  <c r="AB50" i="101"/>
  <c r="AB51" i="101"/>
  <c r="AB52" i="101"/>
  <c r="AB53" i="101"/>
  <c r="AB54" i="101"/>
  <c r="AB55" i="101"/>
  <c r="AB56" i="101"/>
  <c r="AB57" i="101"/>
  <c r="AB58" i="101"/>
  <c r="AB59" i="101"/>
  <c r="AB60" i="101"/>
  <c r="AB61" i="101"/>
  <c r="AB62" i="101"/>
  <c r="AB63" i="101"/>
  <c r="AB64" i="101"/>
  <c r="AB65" i="101"/>
  <c r="AB66" i="101"/>
  <c r="AB67" i="101"/>
  <c r="AB68" i="101"/>
  <c r="AB69" i="101"/>
  <c r="AB70" i="101"/>
  <c r="AB71" i="101"/>
  <c r="AB72" i="101"/>
  <c r="AB73" i="101"/>
  <c r="AB74" i="101"/>
  <c r="AB75" i="101"/>
  <c r="AB76" i="101"/>
  <c r="AB77" i="101"/>
  <c r="AB78" i="101"/>
  <c r="AB79" i="101"/>
  <c r="AB80" i="101"/>
  <c r="AB81" i="101"/>
  <c r="AB82" i="101"/>
  <c r="AB83" i="101"/>
  <c r="AB84" i="101"/>
  <c r="AB85" i="101"/>
  <c r="AB87" i="101"/>
  <c r="AB88" i="101"/>
  <c r="AB89" i="101"/>
  <c r="AB90" i="101"/>
  <c r="AB91" i="101"/>
  <c r="AB92" i="101"/>
  <c r="AB93" i="101"/>
  <c r="AB94" i="101"/>
  <c r="AB95" i="101"/>
  <c r="AB96" i="101"/>
  <c r="AB97" i="101"/>
  <c r="AB98" i="101"/>
  <c r="AB99" i="101"/>
  <c r="AB100" i="101"/>
  <c r="AB101" i="101"/>
  <c r="AB102" i="101"/>
  <c r="AB103" i="101"/>
  <c r="AB104" i="101"/>
  <c r="AB105" i="101"/>
  <c r="P198" i="100" l="1"/>
  <c r="P312" i="100"/>
  <c r="P1002" i="100"/>
  <c r="P182" i="100"/>
  <c r="P724" i="100"/>
  <c r="P454" i="100"/>
  <c r="P843" i="100"/>
  <c r="P1100" i="100"/>
  <c r="P536" i="100"/>
  <c r="P816" i="100"/>
  <c r="P941" i="100"/>
  <c r="P1111" i="100"/>
  <c r="P671" i="100"/>
  <c r="P1078" i="100"/>
  <c r="P1009" i="100"/>
  <c r="P620" i="100"/>
  <c r="P406" i="100"/>
  <c r="P887" i="100"/>
  <c r="P1098" i="100"/>
  <c r="P844" i="100"/>
  <c r="P433" i="100"/>
  <c r="P595" i="100"/>
  <c r="P854" i="100"/>
  <c r="P867" i="100"/>
  <c r="P425" i="100"/>
  <c r="P134" i="100"/>
  <c r="Q854" i="100"/>
  <c r="Q867" i="100"/>
  <c r="Q425" i="100"/>
  <c r="Q134" i="100"/>
  <c r="Q198" i="100"/>
  <c r="Q312" i="100"/>
  <c r="Q1002" i="100"/>
  <c r="Q182" i="100"/>
  <c r="Q724" i="100"/>
  <c r="Q454" i="100"/>
  <c r="Q843" i="100"/>
  <c r="Q1100" i="100"/>
  <c r="Q536" i="100"/>
  <c r="Q816" i="100"/>
  <c r="Q941" i="100"/>
  <c r="Q1111" i="100"/>
  <c r="Q671" i="100"/>
  <c r="Q1078" i="100"/>
  <c r="Q1009" i="100"/>
  <c r="Q620" i="100"/>
  <c r="Q406" i="100"/>
  <c r="Q887" i="100"/>
  <c r="Q1098" i="100"/>
  <c r="Q844" i="100"/>
  <c r="Q433" i="100"/>
  <c r="Q595" i="100"/>
  <c r="P1074" i="100" l="1"/>
  <c r="Q1074" i="100"/>
  <c r="N1074" i="100"/>
  <c r="N3" i="73"/>
  <c r="AB2" i="101" l="1"/>
  <c r="E15" i="68" l="1"/>
  <c r="E13" i="68"/>
  <c r="W6" i="73" l="1"/>
  <c r="U6" i="73"/>
  <c r="S6" i="73"/>
  <c r="W12" i="73"/>
  <c r="U12" i="73"/>
  <c r="S12" i="73"/>
  <c r="W10" i="73"/>
  <c r="AP4" i="117" s="1"/>
  <c r="U10" i="73"/>
  <c r="S10" i="73"/>
  <c r="W2" i="73"/>
  <c r="U2" i="73"/>
  <c r="S2" i="73"/>
  <c r="W8" i="73"/>
  <c r="AP7" i="117" s="1"/>
  <c r="U8" i="73"/>
  <c r="AI7" i="117" s="1"/>
  <c r="S8" i="73"/>
  <c r="AB7" i="117" s="1"/>
  <c r="W5" i="73"/>
  <c r="U5" i="73"/>
  <c r="S5" i="73"/>
  <c r="W7" i="73"/>
  <c r="U7" i="73"/>
  <c r="S7" i="73"/>
  <c r="W3" i="73"/>
  <c r="U3" i="73"/>
  <c r="S3" i="73"/>
  <c r="W13" i="73"/>
  <c r="AL4" i="117" s="1" a="1"/>
  <c r="AL4" i="117" s="1"/>
  <c r="AM4" i="117" s="1"/>
  <c r="U13" i="73"/>
  <c r="AE4" i="117" s="1" a="1"/>
  <c r="AE4" i="117" s="1"/>
  <c r="AF4" i="117" s="1"/>
  <c r="S13" i="73"/>
  <c r="X4" i="117" s="1" a="1"/>
  <c r="X4" i="117" s="1"/>
  <c r="Y4" i="117" s="1"/>
  <c r="W9" i="73"/>
  <c r="AL7" i="117" s="1" a="1"/>
  <c r="AL7" i="117" s="1"/>
  <c r="AM7" i="117" s="1"/>
  <c r="U9" i="73"/>
  <c r="AE7" i="117" s="1" a="1"/>
  <c r="AE7" i="117" s="1"/>
  <c r="AF7" i="117" s="1"/>
  <c r="S9" i="73"/>
  <c r="X7" i="117" s="1" a="1"/>
  <c r="X7" i="117" s="1"/>
  <c r="Y7" i="117" s="1"/>
  <c r="W11" i="73"/>
  <c r="U11" i="73"/>
  <c r="S11" i="73"/>
  <c r="W4" i="73"/>
  <c r="U4" i="73"/>
  <c r="S4" i="73"/>
  <c r="D4" i="68" l="1"/>
  <c r="AB6" i="117"/>
  <c r="C4" i="68"/>
  <c r="Z7" i="117" a="1"/>
  <c r="Z7" i="117" s="1"/>
  <c r="AA7" i="117" s="1"/>
  <c r="Z5" i="117" a="1"/>
  <c r="Z5" i="117" s="1"/>
  <c r="AA5" i="117" s="1"/>
  <c r="Z6" i="117" a="1"/>
  <c r="Z6" i="117" s="1"/>
  <c r="AA6" i="117" s="1"/>
  <c r="X5" i="117" a="1"/>
  <c r="X5" i="117" s="1"/>
  <c r="Y5" i="117" s="1"/>
  <c r="AB5" i="117"/>
  <c r="G15" i="114" a="1"/>
  <c r="G15" i="114" s="1"/>
  <c r="I15" i="114" s="1"/>
  <c r="Z4" i="117" a="1"/>
  <c r="Z4" i="117" s="1"/>
  <c r="AA4" i="117" s="1"/>
  <c r="H15" i="114" a="1"/>
  <c r="H15" i="114" s="1"/>
  <c r="J15" i="114" s="1"/>
  <c r="D5" i="68"/>
  <c r="AI6" i="117"/>
  <c r="C5" i="68"/>
  <c r="AI5" i="117"/>
  <c r="AJ5" i="117" s="1"/>
  <c r="AG6" i="117" a="1"/>
  <c r="AG6" i="117" s="1"/>
  <c r="AH6" i="117" s="1"/>
  <c r="AG7" i="117" a="1"/>
  <c r="AG7" i="117" s="1"/>
  <c r="AH7" i="117" s="1"/>
  <c r="AG5" i="117" a="1"/>
  <c r="AG5" i="117" s="1"/>
  <c r="AH5" i="117" s="1"/>
  <c r="AE5" i="117" a="1"/>
  <c r="AE5" i="117" s="1"/>
  <c r="AF5" i="117" s="1"/>
  <c r="AG4" i="117" a="1"/>
  <c r="AG4" i="117" s="1"/>
  <c r="AH4" i="117" s="1"/>
  <c r="D6" i="68"/>
  <c r="AP6" i="117"/>
  <c r="C6" i="68"/>
  <c r="F16" i="114"/>
  <c r="E16" i="114"/>
  <c r="AN6" i="117" a="1"/>
  <c r="AN6" i="117" s="1"/>
  <c r="AO6" i="117" s="1"/>
  <c r="AP5" i="117"/>
  <c r="AQ5" i="117" s="1"/>
  <c r="AN5" i="117" a="1"/>
  <c r="AN5" i="117" s="1"/>
  <c r="AO5" i="117" s="1"/>
  <c r="G16" i="114" a="1"/>
  <c r="G16" i="114" s="1"/>
  <c r="I16" i="114" s="1"/>
  <c r="AN7" i="117" a="1"/>
  <c r="AN7" i="117" s="1"/>
  <c r="AO7" i="117" s="1"/>
  <c r="AN4" i="117" a="1"/>
  <c r="AN4" i="117" s="1"/>
  <c r="AO4" i="117" s="1"/>
  <c r="AL5" i="117" a="1"/>
  <c r="AL5" i="117" s="1"/>
  <c r="AM5" i="117" s="1"/>
  <c r="H16" i="114" a="1"/>
  <c r="H16" i="114" s="1"/>
  <c r="J16" i="114" s="1"/>
  <c r="AE6" i="117" a="1"/>
  <c r="AE6" i="117" s="1"/>
  <c r="AF6" i="117" s="1"/>
  <c r="G5" i="68"/>
  <c r="AR4" i="117" a="1"/>
  <c r="AR4" i="117" s="1"/>
  <c r="AQ4" i="117"/>
  <c r="E4" i="68"/>
  <c r="E5" i="68"/>
  <c r="X6" i="117" a="1"/>
  <c r="X6" i="117" s="1"/>
  <c r="Y6" i="117" s="1"/>
  <c r="G4" i="68"/>
  <c r="AB4" i="117"/>
  <c r="F15" i="114"/>
  <c r="E15" i="114"/>
  <c r="AI4" i="117"/>
  <c r="AL6" i="117" a="1"/>
  <c r="AL6" i="117" s="1"/>
  <c r="AM6" i="117" s="1"/>
  <c r="G6" i="68"/>
  <c r="E6" i="68"/>
  <c r="O7" i="117"/>
  <c r="AD7" i="117" a="1"/>
  <c r="AD7" i="117" s="1"/>
  <c r="AC7" i="117"/>
  <c r="F4" i="68"/>
  <c r="AK7" i="117" a="1"/>
  <c r="AK7" i="117" s="1"/>
  <c r="AJ7" i="117"/>
  <c r="F5" i="68"/>
  <c r="AQ7" i="117"/>
  <c r="AR7" i="117" a="1"/>
  <c r="AR7" i="117" s="1"/>
  <c r="F6" i="68"/>
  <c r="P13" i="73"/>
  <c r="P5" i="73"/>
  <c r="P4" i="73"/>
  <c r="P6" i="73"/>
  <c r="P9" i="73"/>
  <c r="P8" i="73"/>
  <c r="L34" i="116" s="1"/>
  <c r="P2" i="73"/>
  <c r="L101" i="116" s="1"/>
  <c r="P10" i="73"/>
  <c r="L38" i="116" s="1"/>
  <c r="P7" i="73"/>
  <c r="P12" i="73"/>
  <c r="P3" i="73"/>
  <c r="L285" i="116" s="1"/>
  <c r="P11" i="73"/>
  <c r="AR6" i="117" l="1" a="1"/>
  <c r="AR6" i="117" s="1"/>
  <c r="AQ6" i="117"/>
  <c r="AJ4" i="117"/>
  <c r="AK4" i="117" a="1"/>
  <c r="AK4" i="117" s="1"/>
  <c r="O5" i="117"/>
  <c r="AC5" i="117"/>
  <c r="O4" i="117"/>
  <c r="AD4" i="117" a="1"/>
  <c r="AD4" i="117" s="1"/>
  <c r="AC4" i="117"/>
  <c r="O6" i="117"/>
  <c r="AD6" i="117" a="1"/>
  <c r="AD6" i="117" s="1"/>
  <c r="AC6" i="117"/>
  <c r="AK6" i="117" a="1"/>
  <c r="AK6" i="117" s="1"/>
  <c r="AJ6" i="117"/>
  <c r="I5" i="83"/>
  <c r="I6" i="83"/>
  <c r="I7" i="83"/>
  <c r="I4" i="83"/>
  <c r="I3" i="8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<sst xmlns="http://schemas.openxmlformats.org/spreadsheetml/2006/main" count="31308" uniqueCount="5183">
  <si>
    <t xml:space="preserve"> Worksheet</t>
  </si>
  <si>
    <t>Summary of Information</t>
  </si>
  <si>
    <t>TRI and DMR OES Summary</t>
  </si>
  <si>
    <t>This worksheet contains the statistics (minimum, maximum, 50th percentile, and 95th percentile) for each OES for DMR and TRI.</t>
  </si>
  <si>
    <t>Total Annual Releases</t>
  </si>
  <si>
    <t>This worksheet contains the total of the annual releases to surface water from all sites. The total annual release amount is given for each of the reporting years. Total annual releases are calculated by summing data reported in DMR and TRI. Total releases calculated from TRI data are given separately from total release calculated from DMR data.  TRI releases  are categorized as On-Site (direct discharge), Transfer to POTW (indirect discharge) or Transfer to WWT (non-POTW) (indirect discharge). This worksheet also contains information about the total number of sites.</t>
  </si>
  <si>
    <t>Facility Water Discharges</t>
  </si>
  <si>
    <r>
      <t>This worksheet contains a summary of the rates of  direct and indirect discharges to surface water from each facility that reported discharge data to DMR and TRI. These discharges occurred during the reporting period of 2019 - 2023.</t>
    </r>
    <r>
      <rPr>
        <b/>
        <sz val="11"/>
        <rFont val="Calibri"/>
        <family val="2"/>
        <scheme val="minor"/>
      </rPr>
      <t xml:space="preserve"> </t>
    </r>
    <r>
      <rPr>
        <sz val="11"/>
        <rFont val="Calibri"/>
        <family val="2"/>
        <scheme val="minor"/>
      </rPr>
      <t xml:space="preserve">The type of discharge data given in this worksheet include the median, maximum and most recently reported annual discharge in units of kg/yr. and the average daily discharge that corresponds to each of these annual discharges in units of kg/day.  Annual discharge rates were obtained from the database links listed in B11/B12 and provided in the worksheets named "Processed Non-zero DMR Data" and "Processed Non-zero TRI Data." Daily discharge rates were calculated by dividing the annual discharge rates by the estimated number of release days. EPA estimated the number of release days by assuming that release days are equal to operating days and by estimating the number of operating days for any facility in a given COU. Note: The reporting year of maximum discharge for Form A facilities will show the most recent year reported; however the discharge is the same across all years reported. </t>
    </r>
  </si>
  <si>
    <t>Facility Summary_Water</t>
  </si>
  <si>
    <t xml:space="preserve">This worksheet contains identification information about the facilities that reported water discharges in TRI and DMR. This information was obtained from the TRI and DMR databases and provided in the worksheets named "Raw Non-zero DMR Data" and "Raw Non-zero TRI Data". Those worksheets only contain non-zero discharge data as further explained below and therefore facilities that reported zero discharge are not mentioned in this worksheet. Information about POTWs and WWT facilities that receive transfers from TRI sites is not included in this worksheet unless these facilities reported to DMR. In this sheet, facilities are reported as direct and/or indirect dischargers based on the following conditions: facilities that report both onsite and offsite discharges will be labeled as Direct and Indirect Dischargers, TRI Form A reporters will be labeled as Direct and/or Indirect Dischargers as these facilities do not report how they release with their waste, the remaining facilities will be labeled as direct dischargers if they have onsite releases only, and indirect if not. </t>
  </si>
  <si>
    <t>Processed Non-zero DMR Data</t>
  </si>
  <si>
    <t xml:space="preserve">Processed Non-zero DMR data for 2019-2023. EPA obtained this data from https://echo.epa.gov/trends/loading-tool/get-data/custom-search. EPA/OPPT used the custom search and set non-detects to 1/2 the LOD if a discharge is equal to zero over the monitoring period, and retained any non-zero data. Non-zero DMR data are the annual water discharge rates obtained from this data source whose values are greater than zero. </t>
  </si>
  <si>
    <t>Processed Non-zero TRI Data</t>
  </si>
  <si>
    <t xml:space="preserve">Processed Non-zero TRI data for 2019-2023. EPA obtained this data from https://www.epa.gov/toxics-release-inventory-tri-program/tri-basic-plus-data-files-calendar-years-1987-present.  If the on-site release amount and the off-site transfer amount reported by a site in a specific year equal zero, then the TRI data of this site and specific year are not included in this worksheet. For Form A facilities, EPA assessed a "what-if" scenario assuming the entire 500 lbs reporting threshold is going to all release points for a single media, but is not additive. If a facility submitted a Form A in a specific year, then EPA assumed that during that specific year 500 lb.  is released on-site to surface water from this facility, 500 lb. is transferred from this facility to POTW, and 500 lb. is transferred from this facility to non-POTW WWT. </t>
  </si>
  <si>
    <t>Raw Non-zero DMR Data</t>
  </si>
  <si>
    <t xml:space="preserve">This worksheet contains raw non-zero DMR data for 2019-2023.  EPA obtained this data from https://echo.epa.gov/trends/loading-tool/get-data/custom-search. </t>
  </si>
  <si>
    <t>Raw TRI Data</t>
  </si>
  <si>
    <t xml:space="preserve">This worksheet contains raw TRI data for 2019 - 2023. EPA obtained this data from https://www.epa.gov/toxics-release-inventory-tri-program/tri-basic-plus-data-files-calendar-years-1987-present. This sheet differs from "Processed Non-zero TRI Data" as it includes facilities that report zero discharges to water over the reporting period. Note: Blue columns contain data pulled directly from TRI, red columns contain data added by EPA/OPPT. </t>
  </si>
  <si>
    <t>Off-Site Locations</t>
  </si>
  <si>
    <t>This worksheet contains a list of facilities that are reported in TRI as off-site locations that received transfers from TRI facilities. The "Non-POTW Offsite Transfer FRS IDs" and "POTW Transfer FRS IDs" data were pulled from the 3A and 3C Basic Plus TRI data files.</t>
  </si>
  <si>
    <t>COU.OES Summary</t>
  </si>
  <si>
    <t xml:space="preserve">2017 to 2022 NAICS </t>
  </si>
  <si>
    <t>The list of NAICS codes are periodically updated; however, a crosswalk of SIC codes to NAICS codes were only available for 2017 NAICS codes. Therefore, this worksheet help convert the 2017 NAICS codes to the most recent NAICS codes (i.e., 2022 NAICS codes) for use in the summary worksheet.</t>
  </si>
  <si>
    <t>DMR</t>
  </si>
  <si>
    <t>Annual</t>
  </si>
  <si>
    <t>Daily</t>
  </si>
  <si>
    <t>OES</t>
  </si>
  <si>
    <t># of facilities</t>
  </si>
  <si>
    <t>Release Days</t>
  </si>
  <si>
    <t>Min (kg/site-yr)</t>
  </si>
  <si>
    <t>Max (kg/site-yr)</t>
  </si>
  <si>
    <t>50th percentile (kg/site-yr)</t>
  </si>
  <si>
    <t>95th percentile (kg/site-yr)</t>
  </si>
  <si>
    <t>50th percentile (kg/site-day)</t>
  </si>
  <si>
    <t>95th percentile (kg/site-day)</t>
  </si>
  <si>
    <t>Manufacturing</t>
  </si>
  <si>
    <t>Manufacturing as a Byproduct</t>
  </si>
  <si>
    <t>Processing – incorporation into formulation, mixture or reaction product</t>
  </si>
  <si>
    <t>Waste handling, treatment, and disposal - POTW</t>
  </si>
  <si>
    <t>Waste handling, treatment, and disposal - non-POTW WWT</t>
  </si>
  <si>
    <t>Waste handling, treatment, and disposal - Landfill</t>
  </si>
  <si>
    <t>Waste handling, treatment, and disposal - Remediation or Monitoring</t>
  </si>
  <si>
    <t>Total number of unique facilities =</t>
  </si>
  <si>
    <t>Total number of unique reports =</t>
  </si>
  <si>
    <t>TRI</t>
  </si>
  <si>
    <t>Nature of TRI Release</t>
  </si>
  <si>
    <t>On-site Water Release (TRI Form R)</t>
  </si>
  <si>
    <t>Transfers for wastewater treatment (non-POTW) (TRI Form R)</t>
  </si>
  <si>
    <t>Total transfers to POTW for treatment and release (TRI Form R)</t>
  </si>
  <si>
    <t>TRI Form A</t>
  </si>
  <si>
    <t>Annual Water Releases (kg/yr-all sites)</t>
  </si>
  <si>
    <t>TRI (Form R Only)</t>
  </si>
  <si>
    <t>On-Site</t>
  </si>
  <si>
    <t xml:space="preserve">Transfer to POTW </t>
  </si>
  <si>
    <t>Transfer to WWT (non-POTW)</t>
  </si>
  <si>
    <t xml:space="preserve">(1) Releases associated with TRI Form A are not included in the total annual TRI releases shown above. EPA assumes a maximum release of 500 lbs/yr from each site that submits a Form A. Therefore, the total TRI releases shown above would be greater if releases associated with Form A were included. The number of TRI sites that submit Form A may vary from one reporting year to the other.  The maximum and minimum of this range of number of sites is given below (if the maximum and minimum values of the range are equal, then the number of sites does not vary by reporting year.) Also given below are the total of annual releases in units of kg/yr that correspond to this maximum and minimum number of sites.    </t>
  </si>
  <si>
    <t>Maximum Number of Sites that Submitted Form A:</t>
  </si>
  <si>
    <t>number of sites reporting Form A in 2019</t>
  </si>
  <si>
    <t>Maximum Total Potential Releases Corresponding to the Maximum Number of Sites that Submitted Form A:</t>
  </si>
  <si>
    <t>kg/yr</t>
  </si>
  <si>
    <t>Minimum Number of Sites that Submitted Form A:</t>
  </si>
  <si>
    <t>number of sites reporting Form A in 2023</t>
  </si>
  <si>
    <t>Maximum Total Potential Releases Corresponding to the Minimum Number of Sites that Submitted Form A:</t>
  </si>
  <si>
    <t>ANNUAL and AVERAGE DAILY Direct Discharge</t>
  </si>
  <si>
    <t>ANNUAL and AVERAGE DAILY Indirect Discharge</t>
  </si>
  <si>
    <t>TRI- Transfer to POTW</t>
  </si>
  <si>
    <t>TRI- Transfer to non-POTW</t>
  </si>
  <si>
    <t>Row Number</t>
  </si>
  <si>
    <t>Data Source</t>
  </si>
  <si>
    <t>Shorthand COU</t>
  </si>
  <si>
    <t>Facility Name</t>
  </si>
  <si>
    <t>Facility City</t>
  </si>
  <si>
    <t>Facility State</t>
  </si>
  <si>
    <t>TRIFD</t>
  </si>
  <si>
    <t>FRS Facility ID</t>
  </si>
  <si>
    <t>NPDES</t>
  </si>
  <si>
    <t>Direct Discharge Receiving Waterbody Name</t>
  </si>
  <si>
    <t>HUC 12 Code</t>
  </si>
  <si>
    <t>Offsite Transfer FRS ID</t>
  </si>
  <si>
    <t>Number of Release Days</t>
  </si>
  <si>
    <t>TRI MAX</t>
  </si>
  <si>
    <t>DMR MAX</t>
  </si>
  <si>
    <t>Most Recent ANNUAL Discharge (kg/yr)</t>
  </si>
  <si>
    <t>Most Recent ANNUAL AVERAGE DAILY DISCHARGE (kg/day)</t>
  </si>
  <si>
    <t>Median ANNUAL Discharge (kg/yr)</t>
  </si>
  <si>
    <t>Daily Discharge Corresponding to Median ANNUAL Discharge (kg/day)</t>
  </si>
  <si>
    <t>Maximum ANNUAL Discharge (kg/yr)</t>
  </si>
  <si>
    <t>Daily Discharge Corresponding to Maximum ANNUAL Discharge (kg/day)</t>
  </si>
  <si>
    <t>Reporting Year of Maximum Annual Discharge</t>
  </si>
  <si>
    <t>WESTLAKE US 2 LLC</t>
  </si>
  <si>
    <t>WESTLAKE</t>
  </si>
  <si>
    <t>LA</t>
  </si>
  <si>
    <t>70669PPGNDCOLUM</t>
  </si>
  <si>
    <t>BASF HOUSTON POLYURETHANE</t>
  </si>
  <si>
    <t>HOUSTON</t>
  </si>
  <si>
    <t>TX</t>
  </si>
  <si>
    <t>77054FMNTR1703C</t>
  </si>
  <si>
    <t>FREEPORT_OLIN BC</t>
  </si>
  <si>
    <t>FREEPORT</t>
  </si>
  <si>
    <t>7754WBLCBP231NB</t>
  </si>
  <si>
    <t>VERSUM MATERIALS US LLC</t>
  </si>
  <si>
    <t>CARLSBAD</t>
  </si>
  <si>
    <t>CA</t>
  </si>
  <si>
    <t>92009JCSCH1969P</t>
  </si>
  <si>
    <t>CITY OF KINGSVILLE 3.0 MGD WASTEWATER TREATMENT PLANT</t>
  </si>
  <si>
    <t>KINGSVILLE</t>
  </si>
  <si>
    <t>DEREK R GUTHRIE WQTC MSD</t>
  </si>
  <si>
    <t>LOUISVILLE</t>
  </si>
  <si>
    <t>KY</t>
  </si>
  <si>
    <t>IMTT-ILLINOIS LLC</t>
  </si>
  <si>
    <t>LEMONT</t>
  </si>
  <si>
    <t>IL</t>
  </si>
  <si>
    <t>INTERMATIC INC</t>
  </si>
  <si>
    <t>SPRING GROVE</t>
  </si>
  <si>
    <t>RWRA MAX RHOADS WWTP</t>
  </si>
  <si>
    <t>OWENSBORO</t>
  </si>
  <si>
    <t>VALLEY CREEK WASTEWATER TREATMENT PLANT</t>
  </si>
  <si>
    <t>ELIZABETHTOWN</t>
  </si>
  <si>
    <t>RICHMOND OTTER CREEK STP</t>
  </si>
  <si>
    <t>RICHMOND</t>
  </si>
  <si>
    <t>OWENSBORO EAST WWTP</t>
  </si>
  <si>
    <t>EQUISTAR CHEMICALS LP TUSCOLA PLANT</t>
  </si>
  <si>
    <t>TUSCOLA</t>
  </si>
  <si>
    <t>CEDAR CREEK WWTP</t>
  </si>
  <si>
    <t>GM COMPONENTS HOLDINGS LLC</t>
  </si>
  <si>
    <t>LOCKPORT</t>
  </si>
  <si>
    <t>NY</t>
  </si>
  <si>
    <t>WASHINGTON WWTP</t>
  </si>
  <si>
    <t>WASHINGTON</t>
  </si>
  <si>
    <t>MO</t>
  </si>
  <si>
    <t>DANVILLE STP</t>
  </si>
  <si>
    <t>DANVILLE</t>
  </si>
  <si>
    <t>ASHLAND WASTEWATER TREATMENT PLANT</t>
  </si>
  <si>
    <t>ASHLAND</t>
  </si>
  <si>
    <t>NORTHERN KY SANITATION DISTRICT 1 DRY CREEK WWTP</t>
  </si>
  <si>
    <t>ERLANGER</t>
  </si>
  <si>
    <t>MADISONVILLE STP WEST SIDE</t>
  </si>
  <si>
    <t>MADISONVILLE</t>
  </si>
  <si>
    <t>FLOYDS FORK WQTC MSD</t>
  </si>
  <si>
    <t>HITE CREEK WQTC MSD</t>
  </si>
  <si>
    <t>RADCLIFF STP</t>
  </si>
  <si>
    <t>RADCLIFF</t>
  </si>
  <si>
    <t>FRANKFORT MUNICIPAL STP</t>
  </si>
  <si>
    <t>FRANKFORT</t>
  </si>
  <si>
    <t>HOPKINSVILLE HAMMOND WOOD STP</t>
  </si>
  <si>
    <t>HOPKINSVILLE</t>
  </si>
  <si>
    <t>ECO SERVICES OPERATIONS HOUSTON</t>
  </si>
  <si>
    <t>MOUNT STERLING HINKSTON CREEK STP</t>
  </si>
  <si>
    <t>MT STERLING</t>
  </si>
  <si>
    <t>SABIC INNOVATIVE PLASTICS - MT. VERNON</t>
  </si>
  <si>
    <t>MT. VERNON</t>
  </si>
  <si>
    <t>IN</t>
  </si>
  <si>
    <t>MORGANFIELD WWTP</t>
  </si>
  <si>
    <t>MORGANFIELD</t>
  </si>
  <si>
    <t>SAND ISLAND WASTE WATER TREATMENT PLANT</t>
  </si>
  <si>
    <t>HONOLULU</t>
  </si>
  <si>
    <t>HI</t>
  </si>
  <si>
    <t>BAYER CROPSCIENCE</t>
  </si>
  <si>
    <t>KANSAS CITY</t>
  </si>
  <si>
    <t>EASTMAN CHEMICAL COMPANY</t>
  </si>
  <si>
    <t>KINGSPORT</t>
  </si>
  <si>
    <t>TN</t>
  </si>
  <si>
    <t>WINCHESTER MUNICIPAL UTILITIES</t>
  </si>
  <si>
    <t>WINCHESTER</t>
  </si>
  <si>
    <t>GEORGETOWN STP #1</t>
  </si>
  <si>
    <t>GEORGETOWN</t>
  </si>
  <si>
    <t>PARIS STP</t>
  </si>
  <si>
    <t>PARIS</t>
  </si>
  <si>
    <t>ISP CHEMICALS LLC</t>
  </si>
  <si>
    <t>CALVERT CITY</t>
  </si>
  <si>
    <t>PIKEVILLE WWTP</t>
  </si>
  <si>
    <t>PIKEVILLE</t>
  </si>
  <si>
    <t>CARRIER CORPORATION</t>
  </si>
  <si>
    <t>SYRACUSE</t>
  </si>
  <si>
    <t>KAHALA HOTEL &amp; RESORT</t>
  </si>
  <si>
    <t>CARROLLTON REGIONAL WWTP</t>
  </si>
  <si>
    <t>CARROLLTON</t>
  </si>
  <si>
    <t>BENTON STP</t>
  </si>
  <si>
    <t>BENTON</t>
  </si>
  <si>
    <t>BRADFORD WHITE CORPORATION</t>
  </si>
  <si>
    <t>MIDDLEVILLE</t>
  </si>
  <si>
    <t>MI</t>
  </si>
  <si>
    <t>CENTRAL CITY STP</t>
  </si>
  <si>
    <t>CENTRAL CITY</t>
  </si>
  <si>
    <t>VERSAILLES STP</t>
  </si>
  <si>
    <t>VERSAILLES</t>
  </si>
  <si>
    <t>PIANO FACTORY-GRAND HAVEN</t>
  </si>
  <si>
    <t>GRAND HAVEN</t>
  </si>
  <si>
    <t>WILLIAMSBURG STP</t>
  </si>
  <si>
    <t>WILLIAMSBURG</t>
  </si>
  <si>
    <t>GLASGOW STP</t>
  </si>
  <si>
    <t>GLASGOW</t>
  </si>
  <si>
    <t>MILLIKEN &amp; COMPANY/MAGNOLIA PLANT</t>
  </si>
  <si>
    <t>BLACKSBURG</t>
  </si>
  <si>
    <t>SC</t>
  </si>
  <si>
    <t>LOTTE CHEMICAL LOUISIANA LLC</t>
  </si>
  <si>
    <t>COLUMBIA/ADAIR COUNTY STP</t>
  </si>
  <si>
    <t>COLUMBIA</t>
  </si>
  <si>
    <t>WESTINGHOUSE ELECTRIC CO. L.L.C.</t>
  </si>
  <si>
    <t>HEMATITE</t>
  </si>
  <si>
    <t>FUTUREFUEL CHEMICAL COMPANY</t>
  </si>
  <si>
    <t>BATESVILLE</t>
  </si>
  <si>
    <t>AR</t>
  </si>
  <si>
    <t>GEORGETOWN STP #2</t>
  </si>
  <si>
    <t>WILLIAMSTOWN/DRY RIDGE WRF</t>
  </si>
  <si>
    <t>WILLIAMSTOWN</t>
  </si>
  <si>
    <t>EQUISTAR CHEMICALS-LAPORTE</t>
  </si>
  <si>
    <t>LAPORTE</t>
  </si>
  <si>
    <t>HONEYWELL INTERNATIONAL INC - GEISMAR COMPLEX</t>
  </si>
  <si>
    <t>GEISMAR</t>
  </si>
  <si>
    <t>RED RIVER WWTP</t>
  </si>
  <si>
    <t>STANTON</t>
  </si>
  <si>
    <t>SANTA ROSA WATER - LAGUNA TREATMENT PLANT</t>
  </si>
  <si>
    <t>SANTA ROSA</t>
  </si>
  <si>
    <t>NAVY PUBLIC WORKS CENTER</t>
  </si>
  <si>
    <t>PEARL HARBOR</t>
  </si>
  <si>
    <t>WEST COUNTY AGENCY COMMON OUTFALL</t>
  </si>
  <si>
    <t>GREEN AMERICA RECYCLING LLC</t>
  </si>
  <si>
    <t>HANNIBAL</t>
  </si>
  <si>
    <t>FALLON WASTEWATER TREATMENT PLANT</t>
  </si>
  <si>
    <t>FALLON</t>
  </si>
  <si>
    <t>NV</t>
  </si>
  <si>
    <t>MANCHESTER STP</t>
  </si>
  <si>
    <t>MANCHESTER</t>
  </si>
  <si>
    <t>LANCASTER STP</t>
  </si>
  <si>
    <t>LANCASTER</t>
  </si>
  <si>
    <t>RICHMOND SILVER CREEK STP</t>
  </si>
  <si>
    <t>BEREA</t>
  </si>
  <si>
    <t>CYNTHIANA STP (NEW)</t>
  </si>
  <si>
    <t>CYNTHIANA</t>
  </si>
  <si>
    <t>ALOUN KAUAI FARMING LLC</t>
  </si>
  <si>
    <t>KEKAHA</t>
  </si>
  <si>
    <t>BEREA MUNICIPAL UTILITIES WWTP</t>
  </si>
  <si>
    <t>LONDON STP</t>
  </si>
  <si>
    <t>LONDON</t>
  </si>
  <si>
    <t>OHIO RIVER WWTP</t>
  </si>
  <si>
    <t>GOSHEN</t>
  </si>
  <si>
    <t>MOREHEAD WWTP</t>
  </si>
  <si>
    <t>MOREHEAD</t>
  </si>
  <si>
    <t>SANTA CRUZ WASTEWATER TREATMENT PLANT</t>
  </si>
  <si>
    <t>SANTA CRUZ</t>
  </si>
  <si>
    <t>BIO-LAB, INC., A CHEMTURA COMPANY</t>
  </si>
  <si>
    <t>RIALTO WASTEWATER TREATMENT PLANT</t>
  </si>
  <si>
    <t>BLOOMINGTON</t>
  </si>
  <si>
    <t>PRAIRIE STATE GENERATING STATION</t>
  </si>
  <si>
    <t>MARISSA</t>
  </si>
  <si>
    <t>EMINENCE STP</t>
  </si>
  <si>
    <t>EMINENCE</t>
  </si>
  <si>
    <t>SHEPHERDSVILLE STP</t>
  </si>
  <si>
    <t>SHEPHERDSVILLE</t>
  </si>
  <si>
    <t>HAWAII COUNTY HILO WWTP</t>
  </si>
  <si>
    <t>HILO</t>
  </si>
  <si>
    <t>PHILLIPS 66 BAYWAY REFINERY</t>
  </si>
  <si>
    <t>LINDEN</t>
  </si>
  <si>
    <t>NJ</t>
  </si>
  <si>
    <t>LOMPOC WASTEWATER PLANT</t>
  </si>
  <si>
    <t>LOMPOC</t>
  </si>
  <si>
    <t>KY STATE REFORMATORY</t>
  </si>
  <si>
    <t>LA GRANGE</t>
  </si>
  <si>
    <t>EQUISTAR CHEMICALS, LP - MORRIS PLANT</t>
  </si>
  <si>
    <t>MORRIS</t>
  </si>
  <si>
    <t>CAMPBELLSVILLE STP</t>
  </si>
  <si>
    <t>CAMPBELLSVILLE</t>
  </si>
  <si>
    <t>EDDYVILLE STP</t>
  </si>
  <si>
    <t>EDDYVILLE</t>
  </si>
  <si>
    <t>HARRODSBURG WWTP EXPANSION</t>
  </si>
  <si>
    <t>HARRODSBURG</t>
  </si>
  <si>
    <t>US MARINE CORPS BASE HAWAII</t>
  </si>
  <si>
    <t>M C B H KANEOHE BAY</t>
  </si>
  <si>
    <t>JERRY L RILEY STP</t>
  </si>
  <si>
    <t>BARDSTOWN</t>
  </si>
  <si>
    <t>APS FOUR CORNERS POWER PLANT</t>
  </si>
  <si>
    <t>FRUITLAND</t>
  </si>
  <si>
    <t>NM</t>
  </si>
  <si>
    <t>AMERICAN PHYSICAL THERAPY ASSOCIATION</t>
  </si>
  <si>
    <t>ARLINGTON</t>
  </si>
  <si>
    <t>VA</t>
  </si>
  <si>
    <t>RUSSELLVILLE STP</t>
  </si>
  <si>
    <t>RUSSELLVILLE</t>
  </si>
  <si>
    <t>FALMOUTH STP (NEW)</t>
  </si>
  <si>
    <t>FALMOUTH</t>
  </si>
  <si>
    <t>BAE SYSTEMS ORDNANCE SYSTEMS INC.</t>
  </si>
  <si>
    <t>HUNTSMAN PETROCHEMICAL LLC - CONROE PLANT</t>
  </si>
  <si>
    <t>CONROE</t>
  </si>
  <si>
    <t>GREENUP JOINT SEWER AGENCY</t>
  </si>
  <si>
    <t>WURTLAND</t>
  </si>
  <si>
    <t>TUBA CITY WWTP</t>
  </si>
  <si>
    <t>TUBA CITY</t>
  </si>
  <si>
    <t>AZ</t>
  </si>
  <si>
    <t>OLDHAM COUNTY ENVIRONMENTAL AUTHORITY REGIONAL WWTP</t>
  </si>
  <si>
    <t>CRESTWOOD</t>
  </si>
  <si>
    <t>BEAUMONT WWTF</t>
  </si>
  <si>
    <t>BEAUMONT</t>
  </si>
  <si>
    <t>CHEMOURS-CHAMBERS WORKS</t>
  </si>
  <si>
    <t>PENNS GROVE</t>
  </si>
  <si>
    <t>WINDOW ROCK WASTEWATER TREATMENT FACILITY</t>
  </si>
  <si>
    <t>FORT DEFIANCE</t>
  </si>
  <si>
    <t>GUTHRIE STP</t>
  </si>
  <si>
    <t>GUTHRIE</t>
  </si>
  <si>
    <t>DELAWARE RIVER PLANT</t>
  </si>
  <si>
    <t>BRIDGEPORT</t>
  </si>
  <si>
    <t>BURLINGAME WWTP</t>
  </si>
  <si>
    <t>BURLINGAME</t>
  </si>
  <si>
    <t>NPC SERVICES, INC.- PETRO-PROCESSORS OF LOUISIANA, INC. SITE</t>
  </si>
  <si>
    <t>BATON ROUGE</t>
  </si>
  <si>
    <t>NORTHERN MADISON COUNTY SANITATION DISTRICT</t>
  </si>
  <si>
    <t>BAKELITE SYNTHETICS</t>
  </si>
  <si>
    <t>VERONA WELL FIELD RD/RA GROUP</t>
  </si>
  <si>
    <t>BATTLE CREEK</t>
  </si>
  <si>
    <t>US DOE KANSAS CITY PLANT</t>
  </si>
  <si>
    <t>INTERTEK TESTING SERVICES</t>
  </si>
  <si>
    <t>CORTLAND</t>
  </si>
  <si>
    <t>OWENSBORO SPECIALTY POLYMERS INC.</t>
  </si>
  <si>
    <t>PURITY ISOBUTYLENE PLANT/PASADENA TERMINAL</t>
  </si>
  <si>
    <t>PASADENA</t>
  </si>
  <si>
    <t>SABIC HIGH PERFORMANCE PLASTICS</t>
  </si>
  <si>
    <t>SELKIRK</t>
  </si>
  <si>
    <t>EQUISTAR CHEMICALS LP - LAKE CHARLES POLYMERS SITE</t>
  </si>
  <si>
    <t>SYNGENTA CROP PROTECTION, LLC. - ST GABRIEL PLANT</t>
  </si>
  <si>
    <t>SAINT GABRIEL</t>
  </si>
  <si>
    <t>PADUCAH/MCCRACKEN COUNTY JSA - REIDLAND</t>
  </si>
  <si>
    <t>REIDLAND</t>
  </si>
  <si>
    <t>SHIPROCK WWTF</t>
  </si>
  <si>
    <t>SHIPROCK</t>
  </si>
  <si>
    <t>TEKNOR APEX TENNESSEE COMPANY</t>
  </si>
  <si>
    <t>BROWNSVILLE</t>
  </si>
  <si>
    <t>CENTRAL CITY TUNNEL</t>
  </si>
  <si>
    <t>MINNEAPOLIS</t>
  </si>
  <si>
    <t>MN</t>
  </si>
  <si>
    <t>LYNDONVILLE WATER TREATMENT PLANT</t>
  </si>
  <si>
    <t>LYNDON</t>
  </si>
  <si>
    <t>VT</t>
  </si>
  <si>
    <t>RUSSELL COUNTY REGIONAL STP</t>
  </si>
  <si>
    <t>JAMESTOWN</t>
  </si>
  <si>
    <t>INGLEWOOD OIL FIELD</t>
  </si>
  <si>
    <t>LOS ANGELES</t>
  </si>
  <si>
    <t>VENETIAN HOTEL AND CASINO</t>
  </si>
  <si>
    <t>LAS VEGAS</t>
  </si>
  <si>
    <t>BVPV STYRENICS LLC/BEAVER</t>
  </si>
  <si>
    <t>MONACA</t>
  </si>
  <si>
    <t>PA</t>
  </si>
  <si>
    <t>KENTUCKY AMERICAN WATER CO - NORTHERN STP</t>
  </si>
  <si>
    <t>OWENTON</t>
  </si>
  <si>
    <t>STRODES CREEK STP</t>
  </si>
  <si>
    <t>IRVINE STP</t>
  </si>
  <si>
    <t>IRVINE</t>
  </si>
  <si>
    <t>EMD ACQUISITION LLC</t>
  </si>
  <si>
    <t>HENDERSON</t>
  </si>
  <si>
    <t>BAYER MATERIALSCIENCE</t>
  </si>
  <si>
    <t>NEW MARTINSVILLE</t>
  </si>
  <si>
    <t>WV</t>
  </si>
  <si>
    <t>STEPAN CO</t>
  </si>
  <si>
    <t>ELWOOD</t>
  </si>
  <si>
    <t>WOODWARD INC</t>
  </si>
  <si>
    <t>ROCKFORD</t>
  </si>
  <si>
    <t>CECOS INTERNATIONAL INC</t>
  </si>
  <si>
    <t>CADILLAC FINANCING AUTH GWCU</t>
  </si>
  <si>
    <t>CADILLAC</t>
  </si>
  <si>
    <t>VICTOR VALLEY WASTE WATER RA</t>
  </si>
  <si>
    <t>VICTORVILLE</t>
  </si>
  <si>
    <t>FLEMINGSBURG STP</t>
  </si>
  <si>
    <t>FLEMINGSBURG</t>
  </si>
  <si>
    <t>MAYSVILLE STP</t>
  </si>
  <si>
    <t>MAYSVILLE</t>
  </si>
  <si>
    <t>TAMINCO EASTMAN US - ST GABRIEL PLANT</t>
  </si>
  <si>
    <t>WAILUA WASTEWATER TREATMENT PLANT</t>
  </si>
  <si>
    <t>KAPAA</t>
  </si>
  <si>
    <t>MONUMENT CHEMICAL HOUSTON, LLC</t>
  </si>
  <si>
    <t>KINDER MORGAN SEVEN OAKS TERMINAL</t>
  </si>
  <si>
    <t>WESTWEGO</t>
  </si>
  <si>
    <t>WOODLAND WPCF</t>
  </si>
  <si>
    <t>WOODLAND</t>
  </si>
  <si>
    <t>COPPER COVE WWRF</t>
  </si>
  <si>
    <t>COPPEROPOLIS</t>
  </si>
  <si>
    <t>SHAW INDUSTRIES GROUP INC PLANT 8S</t>
  </si>
  <si>
    <t>GENERAL ELECTRIC CO CPQP</t>
  </si>
  <si>
    <t>FORT EDWARD</t>
  </si>
  <si>
    <t>MOTOR WHEEL DISPOSAL SITE</t>
  </si>
  <si>
    <t>LANSING</t>
  </si>
  <si>
    <t>BURKESVILLE WWTP</t>
  </si>
  <si>
    <t>BURKESVILLE</t>
  </si>
  <si>
    <t>CAESARS PALACE HOTEL AND CASINO</t>
  </si>
  <si>
    <t>SOUTHERN ALLEGHENIES LDFL</t>
  </si>
  <si>
    <t>DAVIDSVILLE</t>
  </si>
  <si>
    <t>CITY OF SAFFORD - GILA RESOURCES WRP</t>
  </si>
  <si>
    <t>SAFFORD</t>
  </si>
  <si>
    <t>KELSEY-HAYES MILFORD GWCU</t>
  </si>
  <si>
    <t>MILFORD</t>
  </si>
  <si>
    <t>MANTECA WWQCF</t>
  </si>
  <si>
    <t>MANTECA</t>
  </si>
  <si>
    <t>WOOD - H&amp;H TUBE GWCU</t>
  </si>
  <si>
    <t>VANDERBILT</t>
  </si>
  <si>
    <t>HONOULIULI WWTP</t>
  </si>
  <si>
    <t>EWA BEACH</t>
  </si>
  <si>
    <t>MARYLAND VILLAS APARTMENT COMPLEX</t>
  </si>
  <si>
    <t>ALEXANDRIA BUS DEPOT</t>
  </si>
  <si>
    <t>ALEXANDRIA</t>
  </si>
  <si>
    <t>POTOMAC YARDS LANDBAY H/I</t>
  </si>
  <si>
    <t>STANLEY BLACK AND DECKER</t>
  </si>
  <si>
    <t>EAST GREENWICH</t>
  </si>
  <si>
    <t>RI</t>
  </si>
  <si>
    <t>FOUNDERS ROW</t>
  </si>
  <si>
    <t>FALLS CHURCH</t>
  </si>
  <si>
    <t>AUBURN WWTP</t>
  </si>
  <si>
    <t>AUBURN</t>
  </si>
  <si>
    <t>MAHLE INC-MUSKEGON HTS COMPLEX</t>
  </si>
  <si>
    <t>MUSKEGON</t>
  </si>
  <si>
    <t>HB FULLER CO</t>
  </si>
  <si>
    <t>STURGIS WELL FIELD-SF</t>
  </si>
  <si>
    <t>STURGIS</t>
  </si>
  <si>
    <t>VALERO REFINING COMPANY-CALIF</t>
  </si>
  <si>
    <t>BENICIA</t>
  </si>
  <si>
    <t>CALEXICO WASTE WATER PLANT</t>
  </si>
  <si>
    <t>CALEXICO</t>
  </si>
  <si>
    <t>BELL-CARTER OLIVE CO. WWTP</t>
  </si>
  <si>
    <t>CORNING</t>
  </si>
  <si>
    <t>CORCO CHEMICAL CORP</t>
  </si>
  <si>
    <t>FAIRLESS HILLS</t>
  </si>
  <si>
    <t>NALCO COMPANY</t>
  </si>
  <si>
    <t>GARYVILLE</t>
  </si>
  <si>
    <t>LA PORTE PLANT</t>
  </si>
  <si>
    <t>LA PORTE</t>
  </si>
  <si>
    <t>NORTH STORAGE FACILITY</t>
  </si>
  <si>
    <t>MONT BELVIEU</t>
  </si>
  <si>
    <t>FREEPORT-MCMORAN PRODUCED WRF</t>
  </si>
  <si>
    <t>ARROYO GRANDE</t>
  </si>
  <si>
    <t>CALUMET MISSOURI, LLC</t>
  </si>
  <si>
    <t>LOUISIANA</t>
  </si>
  <si>
    <t>DUPONT-CHEMOURS MONTAGUE SITE</t>
  </si>
  <si>
    <t>MONTAGUE</t>
  </si>
  <si>
    <t>METROPOLITAN PARK 678</t>
  </si>
  <si>
    <t>AVANTOR PERFORMANCE MATERIALS</t>
  </si>
  <si>
    <t>PHILLIPSBURG</t>
  </si>
  <si>
    <t>JACKSON WWTP</t>
  </si>
  <si>
    <t>JACKSON</t>
  </si>
  <si>
    <t>WASTE MANAGEMENT - GROWS FAIRLESS HILL LANDFILL</t>
  </si>
  <si>
    <t>MORRISVILLE</t>
  </si>
  <si>
    <t>WAYLAND RECYCLING SITE-RRD</t>
  </si>
  <si>
    <t>WAYLAND</t>
  </si>
  <si>
    <t>TESORO LOGISTICS OPERATIONS LLC MARTINEZ TERMINAL</t>
  </si>
  <si>
    <t>PACHECO</t>
  </si>
  <si>
    <t>REXAIR INC</t>
  </si>
  <si>
    <t>DEER CREEK WWTP</t>
  </si>
  <si>
    <t>CAMERON PARK</t>
  </si>
  <si>
    <t>RESORTS WORLD LAS VEGAS</t>
  </si>
  <si>
    <t>MOOG INC</t>
  </si>
  <si>
    <t>EAST AURORA</t>
  </si>
  <si>
    <t>HANGTOWN CREEK WWTP</t>
  </si>
  <si>
    <t>PLACERVILLE</t>
  </si>
  <si>
    <t>TEXAS INSTRUMENTS, INC.</t>
  </si>
  <si>
    <t>ATTLEBORO</t>
  </si>
  <si>
    <t>MA</t>
  </si>
  <si>
    <t>NORTHERN EDGE CASINO</t>
  </si>
  <si>
    <t>BRASKEM AMERICA INC - LAPORTE SITE</t>
  </si>
  <si>
    <t>CHEMTOOL</t>
  </si>
  <si>
    <t>ROCKTON</t>
  </si>
  <si>
    <t>D H HOLDINGS GWRS - FAYETTE TUBULAR PRODUCTS INC</t>
  </si>
  <si>
    <t>FAYETTE</t>
  </si>
  <si>
    <t>OH</t>
  </si>
  <si>
    <t>AMPHENOL CORP - AEROSPACE OPERATIONS</t>
  </si>
  <si>
    <t>SIDNEY</t>
  </si>
  <si>
    <t>ROHM &amp; HAAS BRISTOL FACILITY</t>
  </si>
  <si>
    <t>CROYDON</t>
  </si>
  <si>
    <t>DISCOVERY BAY WWTP</t>
  </si>
  <si>
    <t>DISCOVERY BAY</t>
  </si>
  <si>
    <t>COLUSA WWTP</t>
  </si>
  <si>
    <t>COLUSA</t>
  </si>
  <si>
    <t>TRANE TECHNOLOGIES GWCU</t>
  </si>
  <si>
    <t>NOURYON SURFACE CHEMISTRY LLC</t>
  </si>
  <si>
    <t>REVVITY, INC</t>
  </si>
  <si>
    <t>WOODSTOCK</t>
  </si>
  <si>
    <t>SOMERSET ST GROUNDWATER TREATMENT FACILITY</t>
  </si>
  <si>
    <t>HOPEWELL BORO</t>
  </si>
  <si>
    <t>BATH COUNTY INDUSTRIAL PARK</t>
  </si>
  <si>
    <t>OWINGSVILLE</t>
  </si>
  <si>
    <t>COOPER INDUSTRIES LLC-GWCU</t>
  </si>
  <si>
    <t>ALBION</t>
  </si>
  <si>
    <t>JEFFERSON TERMINAL SOUTH</t>
  </si>
  <si>
    <t>NEDERLAND</t>
  </si>
  <si>
    <t>HERITAGE AT SILVER SPRING TITLEHOLDER, LLC</t>
  </si>
  <si>
    <t>SILVER SPRING</t>
  </si>
  <si>
    <t>MD</t>
  </si>
  <si>
    <t>NEVADA CITY WASTEWATER TREATMENT PLANT</t>
  </si>
  <si>
    <t>NEVADA CITY</t>
  </si>
  <si>
    <t>LOLETA WWTF</t>
  </si>
  <si>
    <t>LOLETA</t>
  </si>
  <si>
    <t>CORNING WASTEWATER TREATMENT PLANT</t>
  </si>
  <si>
    <t>ALLEGIANT STADIUM</t>
  </si>
  <si>
    <t>BASF CORPORATION</t>
  </si>
  <si>
    <t>WEST MEMPHIS</t>
  </si>
  <si>
    <t>FOUNDRY 2 ST</t>
  </si>
  <si>
    <t>LOVELAND</t>
  </si>
  <si>
    <t>CO</t>
  </si>
  <si>
    <t>SFIA, MEL LEONG SANITARY AND INDUSTRIAL TREATMENT PLANTS</t>
  </si>
  <si>
    <t>SAN FRANCISCO</t>
  </si>
  <si>
    <t>SI GROUP INC - SOUTH PLANT</t>
  </si>
  <si>
    <t>MORGANTOWN</t>
  </si>
  <si>
    <t>FOREST LAWN LANDFILL</t>
  </si>
  <si>
    <t>THREE OAKS</t>
  </si>
  <si>
    <t>ELECTROLUX HOME PRODUCTS (FORMERLY FRIGIDAIRE)</t>
  </si>
  <si>
    <t>GREENVILLE</t>
  </si>
  <si>
    <t>ROCKINGHAM COUNTY LANDFILL</t>
  </si>
  <si>
    <t>HARRISONBURG</t>
  </si>
  <si>
    <t>EL CENTRO GENERATING STATION</t>
  </si>
  <si>
    <t>EL CENTRO</t>
  </si>
  <si>
    <t>STURGIS-BIG HILL ROAD LF</t>
  </si>
  <si>
    <t>EGLE-RRD-STAR WATCHCASE GWCU</t>
  </si>
  <si>
    <t>LUDINGTON</t>
  </si>
  <si>
    <t>BROWNING FERRIS INDUSTRIES KC</t>
  </si>
  <si>
    <t>LIBERTY</t>
  </si>
  <si>
    <t>AIRPORT BUSINESS CENTER</t>
  </si>
  <si>
    <t>WARWICK</t>
  </si>
  <si>
    <t>LAS VEGAS CONVENTION AND VISITORS AUTHORITY REMEDIATION SYSTEM</t>
  </si>
  <si>
    <t>FORMOSA PLASTICS CORPORATION</t>
  </si>
  <si>
    <t>DELAWARE CITY</t>
  </si>
  <si>
    <t>DE</t>
  </si>
  <si>
    <t>HOOKER CHEM &amp; PLASTICS</t>
  </si>
  <si>
    <t>NORTH TONAWANDA</t>
  </si>
  <si>
    <t>BRAWLEY WASTEWATER TREATMENT PLANT</t>
  </si>
  <si>
    <t>BRAWLEY</t>
  </si>
  <si>
    <t>GOULD ELECTRONICS-HOWELL GWCU</t>
  </si>
  <si>
    <t>HOWELL</t>
  </si>
  <si>
    <t>NILAND SD WWTP</t>
  </si>
  <si>
    <t>NILAND</t>
  </si>
  <si>
    <t>4000 NORTH FAIRFAX DRIVE</t>
  </si>
  <si>
    <t>POTOMAC YARDS LAND BAY F EAST INFRASTRUCTURE</t>
  </si>
  <si>
    <t>EGLE-RRD-AUSTIN TUBE PROD</t>
  </si>
  <si>
    <t>BALDWIN</t>
  </si>
  <si>
    <t>CHICAGO PNEUMATIC TOOL CO</t>
  </si>
  <si>
    <t>SECO PRODS CORP</t>
  </si>
  <si>
    <t>IBM CORPORATION</t>
  </si>
  <si>
    <t>MANASSAS</t>
  </si>
  <si>
    <t>INVISTA HOUSTON</t>
  </si>
  <si>
    <t>BERCEN CHEMICALS LLC</t>
  </si>
  <si>
    <t>DENHAM SPRINGS</t>
  </si>
  <si>
    <t>CITY OF ANGELS WWTP</t>
  </si>
  <si>
    <t>ANGELS CAMP</t>
  </si>
  <si>
    <t>CUSHING VILLAGE</t>
  </si>
  <si>
    <t>BELMONT</t>
  </si>
  <si>
    <t>OAK POINT PLANT</t>
  </si>
  <si>
    <t>BELLE CHASSE</t>
  </si>
  <si>
    <t>FIRMENICH INCORPORATED</t>
  </si>
  <si>
    <t>PLAINSBORO</t>
  </si>
  <si>
    <t>HYSTER-YALE GROUP, INC (BOLZONI-AURAMO)</t>
  </si>
  <si>
    <t>SULLIGENT</t>
  </si>
  <si>
    <t>AL</t>
  </si>
  <si>
    <t>FOUNDERS ROW II CITY OF FALLS CHURCH</t>
  </si>
  <si>
    <t>MCCARRAN INTERNATIONAL AIRPORT</t>
  </si>
  <si>
    <t>SHELL CHEMICAL APPALACHIA LLC</t>
  </si>
  <si>
    <t>STP NO. 2 GWCU-LUDINGTON</t>
  </si>
  <si>
    <t>BETTIS ATOMIC POWER LAB/W MIFFLIN</t>
  </si>
  <si>
    <t>WEST MIFFLIN</t>
  </si>
  <si>
    <t>PARADISE ID WTP, MAGALIA</t>
  </si>
  <si>
    <t>MAGALIA</t>
  </si>
  <si>
    <t>HANSON PERMANENTE CEMENT</t>
  </si>
  <si>
    <t>CUPERTINO</t>
  </si>
  <si>
    <t>GARDEN STATE TILE DISTRIBUTORS INC</t>
  </si>
  <si>
    <t>SOUTH BRUNSWICK TWP</t>
  </si>
  <si>
    <t>US AIR FORCE OFFUTT AFB NE</t>
  </si>
  <si>
    <t>OFFUTT A F B</t>
  </si>
  <si>
    <t>NE</t>
  </si>
  <si>
    <t>SOLVAY SOLEXIS INC</t>
  </si>
  <si>
    <t>THOROFARE</t>
  </si>
  <si>
    <t>DRESSER MANUFACTURING DIVISION</t>
  </si>
  <si>
    <t>WELLSBORO</t>
  </si>
  <si>
    <t>DDP SPECIALTY ELECTRONIC MATERIALS US LLC</t>
  </si>
  <si>
    <t>DALTON</t>
  </si>
  <si>
    <t>GA</t>
  </si>
  <si>
    <t>CHEMICAL LEAMAN TANK LINES INC</t>
  </si>
  <si>
    <t>VOPAK TERMINAL LOS ANGELES</t>
  </si>
  <si>
    <t>WILMINGTON</t>
  </si>
  <si>
    <t>TYSONS CENTRAL OFFICE BUILDING A</t>
  </si>
  <si>
    <t>TYSONS</t>
  </si>
  <si>
    <t>QUALAWASH HOLDINGS LLC - QUALA - GEISMAR TERMINAL 260</t>
  </si>
  <si>
    <t>MALAKOFF DIGGINS STATE PARK</t>
  </si>
  <si>
    <t>SUNBEAM PRODUCTS INC.</t>
  </si>
  <si>
    <t>COUSHATTA</t>
  </si>
  <si>
    <t>W HOTLE BLOCK 21</t>
  </si>
  <si>
    <t>AUSTIN</t>
  </si>
  <si>
    <t>1900 CRYSTAL DRIVE - TOWERS</t>
  </si>
  <si>
    <t>RAYTHEON TECHNOLOGIES CORPORATION</t>
  </si>
  <si>
    <t>ANDREWS</t>
  </si>
  <si>
    <t>HARRAH'S NORTHERN CALIFORNIA WWTP</t>
  </si>
  <si>
    <t>IONE</t>
  </si>
  <si>
    <t>CITY ENVIRONMENTAL SERVICES LF, INC. OF HASTINGS</t>
  </si>
  <si>
    <t>HASTINGS</t>
  </si>
  <si>
    <t>LEXMARK INTERNATIONAL INC</t>
  </si>
  <si>
    <t>LEXINGTON</t>
  </si>
  <si>
    <t>ELM HOLDINGS INC</t>
  </si>
  <si>
    <t>SANBORN</t>
  </si>
  <si>
    <t>HOLTRACHEM MANUFACTURING CO</t>
  </si>
  <si>
    <t>ORRINGTON</t>
  </si>
  <si>
    <t>ME</t>
  </si>
  <si>
    <t>KEESHAN AND BOST CHEMICAL CO., INC.</t>
  </si>
  <si>
    <t>MANVEL</t>
  </si>
  <si>
    <t>JMT PROPERTIES INC</t>
  </si>
  <si>
    <t>BROCKPORT</t>
  </si>
  <si>
    <t>EGLE-RRD-GREGORY-MAIN ST GWCU</t>
  </si>
  <si>
    <t>GREGORY</t>
  </si>
  <si>
    <t>BOEING COMPANY (THE)</t>
  </si>
  <si>
    <t>PORTLAND</t>
  </si>
  <si>
    <t>OR</t>
  </si>
  <si>
    <t>1200 NORTH HENRY VENTURE LLC</t>
  </si>
  <si>
    <t>ROBERT BOSCH CORPORATION CHASSIS DIVISION</t>
  </si>
  <si>
    <t>SAINT JOSEPH</t>
  </si>
  <si>
    <t>PAWLING ENGINEERED PRODUCTS INC</t>
  </si>
  <si>
    <t>PAWLING</t>
  </si>
  <si>
    <t>CROCKETT COGEN PROJECT</t>
  </si>
  <si>
    <t>CROCKETT</t>
  </si>
  <si>
    <t>SASOL CHEM USA LLC/OIL CITY</t>
  </si>
  <si>
    <t>OIL CITY</t>
  </si>
  <si>
    <t>AMCOL HEALTH &amp; BEAUTY SOLUTIONS INC</t>
  </si>
  <si>
    <t>LAFAYETTE</t>
  </si>
  <si>
    <t>COSTCO WHOLESALE #1115</t>
  </si>
  <si>
    <t>WARREN COUNTY - SANITARY LANDFILL</t>
  </si>
  <si>
    <t>BENTONVILLE</t>
  </si>
  <si>
    <t>JASPER COLUMBIA PIKE</t>
  </si>
  <si>
    <t>VOPAK TERMINAL LONG BEACH INC</t>
  </si>
  <si>
    <t>SAN PEDRO</t>
  </si>
  <si>
    <t>LOCKHEED MARTIN CORP - FRENCH RD FAC</t>
  </si>
  <si>
    <t>UTICA</t>
  </si>
  <si>
    <t>COUNTRY LIFE MH &amp; RV PARK</t>
  </si>
  <si>
    <t>MCDONALD FARMS ENTERPRISES INC</t>
  </si>
  <si>
    <t>DENVER</t>
  </si>
  <si>
    <t>DIXON FESSLER USA</t>
  </si>
  <si>
    <t>DEER LAKE</t>
  </si>
  <si>
    <t>VILLAGE SHOP #4/SINCLAIR STATION</t>
  </si>
  <si>
    <t>FORMER NUODEX CORP FACILITY</t>
  </si>
  <si>
    <t>WOODBRIDGE TWP</t>
  </si>
  <si>
    <t>MONARCH CHEMICALS</t>
  </si>
  <si>
    <t>FORMER WESTINGHOUSE ELEVATOR PLT</t>
  </si>
  <si>
    <t>GETTYSBURG</t>
  </si>
  <si>
    <t>1515 WYNKOOP STREET</t>
  </si>
  <si>
    <t>FORMER NAVAL INDUSTRIAL RESERVE ORDNANCE PLANT</t>
  </si>
  <si>
    <t>FRIDLEY</t>
  </si>
  <si>
    <t>WESTERN REGIONAL WATER RECLAMATION FACILITY</t>
  </si>
  <si>
    <t>PETERSBURG</t>
  </si>
  <si>
    <t>VIENNA MARKET</t>
  </si>
  <si>
    <t>VIENNA</t>
  </si>
  <si>
    <t>115KV UNDERGROUND TRANSMISSION LINE - ANDREW SQUARE TO DEWAR STREET</t>
  </si>
  <si>
    <t>BOSTON</t>
  </si>
  <si>
    <t>CONFLUENCE PARK APARTMENTS</t>
  </si>
  <si>
    <t>IRVIN'S CORP DBA IRVIN'S TINWARE</t>
  </si>
  <si>
    <t>MOUNT PLEASANT MILLS</t>
  </si>
  <si>
    <t>ALLAN MYERS - LASKIN ROAD IMPROVEMENTS</t>
  </si>
  <si>
    <t>VIRGINIA BEACH</t>
  </si>
  <si>
    <t>CALIPATRIA WWTP</t>
  </si>
  <si>
    <t>CALIPATRIA</t>
  </si>
  <si>
    <t>MDOT-SECONDARY COMPLEX</t>
  </si>
  <si>
    <t>METTON AMERICA LA PORTE PLANT</t>
  </si>
  <si>
    <t>HERCULES GIBBSTOWN GROUNDWATER TREATMENT SITE</t>
  </si>
  <si>
    <t>GREENWICH TWP</t>
  </si>
  <si>
    <t>HILLENBRAND INC. - REMEDIATION PROJECT</t>
  </si>
  <si>
    <t>LAS VEGAS ACADEMY</t>
  </si>
  <si>
    <t>THE STIRLING CLUB</t>
  </si>
  <si>
    <t>UNIVAR SOLUTIONS USA</t>
  </si>
  <si>
    <t>TERRIBLE HERBST # 225</t>
  </si>
  <si>
    <t>HUGHES CENTER</t>
  </si>
  <si>
    <t>GOLDEN NUGGET</t>
  </si>
  <si>
    <t>601 NASSAU ST ASSOC LLC</t>
  </si>
  <si>
    <t>NORTH BRUNSWICK TWP</t>
  </si>
  <si>
    <t>DATE GARDENS MOBILE HOME PARK</t>
  </si>
  <si>
    <t>STEARNS &amp; FOSTER BEDDING CO FORMER</t>
  </si>
  <si>
    <t>LARIMER ENERGY FACILITY</t>
  </si>
  <si>
    <t>FORT COLLINS</t>
  </si>
  <si>
    <t>INSTITUTE FOR DEFENSE ANALYSES POTOMAC YARD</t>
  </si>
  <si>
    <t>FEDERAL PACIFIC ELEC ODELL DAM</t>
  </si>
  <si>
    <t>EDGEFIELD</t>
  </si>
  <si>
    <t>ENGLISH LEASE, BOUNDARY BUTTE</t>
  </si>
  <si>
    <t>SAN JUAN COUNTY</t>
  </si>
  <si>
    <t>UT</t>
  </si>
  <si>
    <t>CITY OF RED BLUFF WASTEWATER RECLAMATION PLANT</t>
  </si>
  <si>
    <t>RED BLUFF</t>
  </si>
  <si>
    <t>RILLS BUS SERVICE</t>
  </si>
  <si>
    <t>WESTMINSTER</t>
  </si>
  <si>
    <t>ALTA CROSSROADS PARTS A AND C</t>
  </si>
  <si>
    <t>METRO VIRGINIA OFFICE BUILDING</t>
  </si>
  <si>
    <t>THE MARTIN</t>
  </si>
  <si>
    <t>EASTERN REGIONAL STP</t>
  </si>
  <si>
    <t>INVISTA S.A.R.L. SEAFORD PLANT</t>
  </si>
  <si>
    <t>SEAFORD</t>
  </si>
  <si>
    <t>NORTH LAKE HOLLY IMPROVEMENT  - SECTION III B</t>
  </si>
  <si>
    <t>DRESSER INC - GE OIL &amp; GAS</t>
  </si>
  <si>
    <t>PINEVILLE</t>
  </si>
  <si>
    <t>PENN COLOR INC FORMER MANVILLE, NJ FACILITY</t>
  </si>
  <si>
    <t>HILLSBOROUGH TWP</t>
  </si>
  <si>
    <t>GREATER BATON ROUGE PORT COMMISSION - BARGE TERMINAL PROPERTY</t>
  </si>
  <si>
    <t>FORMER REXON FACILITY AKA ENJEMS MILLWORKS</t>
  </si>
  <si>
    <t>WAYNE TWP</t>
  </si>
  <si>
    <t>FORMER SUMITOMO MACHINERY CORP</t>
  </si>
  <si>
    <t>TETERBORO BORO</t>
  </si>
  <si>
    <t>THE YORK ON CITY PARK APTS   1781 YORK ST</t>
  </si>
  <si>
    <t>BAKER PETROLITE LLC - RAYNE BLEND PLANT</t>
  </si>
  <si>
    <t>RAYNE</t>
  </si>
  <si>
    <t>BROWNING-FERRIS INDUSTRIES OF CA INC</t>
  </si>
  <si>
    <t>HALF MOON BAY</t>
  </si>
  <si>
    <t>THE NATURE CONSERVANCY</t>
  </si>
  <si>
    <t>2050 AND 2051 SOUTH BELL STREET</t>
  </si>
  <si>
    <t>FILLMORE SHOPPING CENTER</t>
  </si>
  <si>
    <t>MEXICHEM - SPECIALTY RESINS INC.</t>
  </si>
  <si>
    <t>PEDRICKTOWN</t>
  </si>
  <si>
    <t>EASTBORO IV - 8285 GREENSBORO DR</t>
  </si>
  <si>
    <t>MCLEAN</t>
  </si>
  <si>
    <t>WACKER CHEM CORP</t>
  </si>
  <si>
    <t>ADRIAN</t>
  </si>
  <si>
    <t>Latitutde</t>
  </si>
  <si>
    <t>Longitude</t>
  </si>
  <si>
    <t>NAICS/SIC Code Description</t>
  </si>
  <si>
    <t>Indirect or Direct Discharger</t>
  </si>
  <si>
    <t>Release Pattern</t>
  </si>
  <si>
    <t>Unknown</t>
  </si>
  <si>
    <t>Reporting Year</t>
  </si>
  <si>
    <t>City</t>
  </si>
  <si>
    <t>County</t>
  </si>
  <si>
    <t>State</t>
  </si>
  <si>
    <t>Facility Latitude</t>
  </si>
  <si>
    <t>Facility Longitude</t>
  </si>
  <si>
    <t>TRI Facility</t>
  </si>
  <si>
    <t>FRS ID</t>
  </si>
  <si>
    <t>4-Digit SIC Code</t>
  </si>
  <si>
    <t>SIC Description</t>
  </si>
  <si>
    <t>NAICS</t>
  </si>
  <si>
    <t>NAICS meaning</t>
  </si>
  <si>
    <t>IS Code</t>
  </si>
  <si>
    <t>Industry Sector Designation</t>
  </si>
  <si>
    <t># of Outfalls</t>
  </si>
  <si>
    <t>Total Annual Discharge (kg/yr)</t>
  </si>
  <si>
    <t>NPDES Permit Number</t>
  </si>
  <si>
    <t>Watershed Name</t>
  </si>
  <si>
    <t>EPA QC notes</t>
  </si>
  <si>
    <t>MO0004863</t>
  </si>
  <si>
    <t>IS5</t>
  </si>
  <si>
    <t>Construction</t>
  </si>
  <si>
    <t>Brush Creek-Blue River</t>
  </si>
  <si>
    <t>NAICS sounds like Groundwater Remediation or Groundwater/Surfacewater monitoring</t>
  </si>
  <si>
    <t>NV0022888</t>
  </si>
  <si>
    <t>CLARK COUNTY</t>
  </si>
  <si>
    <t>NAICS/SIC Not Provided</t>
  </si>
  <si>
    <t>City of Las Vegas-Las Vegas Wash</t>
  </si>
  <si>
    <t>Uncertain, possibly a remediation site</t>
  </si>
  <si>
    <t>CA0022764</t>
  </si>
  <si>
    <t>SONOMA</t>
  </si>
  <si>
    <t>IS4</t>
  </si>
  <si>
    <t>Utilities</t>
  </si>
  <si>
    <t>Upper Laguna De Santa Rosa</t>
  </si>
  <si>
    <t>NAICS/SIC indication</t>
  </si>
  <si>
    <t>TX0119792</t>
  </si>
  <si>
    <t>HARRIS</t>
  </si>
  <si>
    <t>IS34</t>
  </si>
  <si>
    <t>All Other Chemical Product and Preparation Manufacturing</t>
  </si>
  <si>
    <t>Goose Creek-Frontal Galveston Bay</t>
  </si>
  <si>
    <t>No organochlorines are reported to 2022 TRI</t>
  </si>
  <si>
    <t>VA0085901</t>
  </si>
  <si>
    <t>MANASSAS CITY</t>
  </si>
  <si>
    <t>IS47</t>
  </si>
  <si>
    <t>Services</t>
  </si>
  <si>
    <t>Rocky Branch-Broad Run</t>
  </si>
  <si>
    <t>NAICS/SIC indicates Disposal or Remediation</t>
  </si>
  <si>
    <t>020700100504</t>
  </si>
  <si>
    <t>CA0057827</t>
  </si>
  <si>
    <t>IS11</t>
  </si>
  <si>
    <t>Petroleum Refineries</t>
  </si>
  <si>
    <t>Ballona Creek</t>
  </si>
  <si>
    <t>IL0005126</t>
  </si>
  <si>
    <t>COOK</t>
  </si>
  <si>
    <t>IS46</t>
  </si>
  <si>
    <t>Wholesale and Retail Trade</t>
  </si>
  <si>
    <t>Maple Lake-Chicago Sanitary and Ship Canal</t>
  </si>
  <si>
    <t>Probably just monitoring</t>
  </si>
  <si>
    <t>071200040705</t>
  </si>
  <si>
    <t>LA0058882</t>
  </si>
  <si>
    <t>CALCASIEU</t>
  </si>
  <si>
    <t>Little River</t>
  </si>
  <si>
    <t>080802050501</t>
  </si>
  <si>
    <t>LA0064661</t>
  </si>
  <si>
    <t>ACADIA</t>
  </si>
  <si>
    <t>Bayou Blanc-Bayou Plaquemine Brule</t>
  </si>
  <si>
    <t>080802010206</t>
  </si>
  <si>
    <t>LA0066214</t>
  </si>
  <si>
    <t>EAST BATON ROUGE</t>
  </si>
  <si>
    <t>Cypress Bayou-Bayou Baton Rouge</t>
  </si>
  <si>
    <t>MO0000761</t>
  </si>
  <si>
    <t>JEFFERSON</t>
  </si>
  <si>
    <t>Middle Joachim Creek</t>
  </si>
  <si>
    <t>TX0007072</t>
  </si>
  <si>
    <t>IS38</t>
  </si>
  <si>
    <t>Primary Metal Manufacturing</t>
  </si>
  <si>
    <t>Lower Sims Bayou</t>
  </si>
  <si>
    <t>2022 TRI reports other OrganoCl as ancillary</t>
  </si>
  <si>
    <t>CA7000004</t>
  </si>
  <si>
    <t>IMPERIAL</t>
  </si>
  <si>
    <t>Town of El Centro</t>
  </si>
  <si>
    <t>Sic/Naics does not indicate usage of chemicals</t>
  </si>
  <si>
    <t>0921</t>
  </si>
  <si>
    <t>IL0002917</t>
  </si>
  <si>
    <t>GRUNDY</t>
  </si>
  <si>
    <t>IS22</t>
  </si>
  <si>
    <t>Plastic Material and Resin Manufacturing</t>
  </si>
  <si>
    <t>Walley Run-Aux Sable Creek</t>
  </si>
  <si>
    <t>071200050106</t>
  </si>
  <si>
    <t>IL0002976</t>
  </si>
  <si>
    <t>WINNEBAGO</t>
  </si>
  <si>
    <t>Spring Creek-Rock Creek</t>
  </si>
  <si>
    <t>Possibly Cleaner/Degreaser, but no evidence of t-DCE use</t>
  </si>
  <si>
    <t>KY0001112</t>
  </si>
  <si>
    <t>Mill Creek Cutoff-Ohio River</t>
  </si>
  <si>
    <t>080702010401</t>
  </si>
  <si>
    <t>LAG420116</t>
  </si>
  <si>
    <t>RAPIDES</t>
  </si>
  <si>
    <t>IS39</t>
  </si>
  <si>
    <t>Fabricated Metal Product Manufacturing</t>
  </si>
  <si>
    <t>Bayou Rigollette-Lake Buhlow</t>
  </si>
  <si>
    <t>Nothing reported to 2022 TRI</t>
  </si>
  <si>
    <t>MI0055077</t>
  </si>
  <si>
    <t>INGHAM</t>
  </si>
  <si>
    <t>Carrier Creek-Grand River</t>
  </si>
  <si>
    <t>040500040704</t>
  </si>
  <si>
    <t>NJG197548</t>
  </si>
  <si>
    <t>MIDDLESEX</t>
  </si>
  <si>
    <t>Mill Brook-Raritan River</t>
  </si>
  <si>
    <t>020301050507</t>
  </si>
  <si>
    <t>Name indicates location was formerly a facility</t>
  </si>
  <si>
    <t>NV0023191</t>
  </si>
  <si>
    <t>CLARK</t>
  </si>
  <si>
    <t>NV0023558</t>
  </si>
  <si>
    <t>Tropicana Wash</t>
  </si>
  <si>
    <t>NV0023761</t>
  </si>
  <si>
    <t>Duck Creek</t>
  </si>
  <si>
    <t>NPDES permit indicates discharge of NON-PROCESS Wastewater</t>
  </si>
  <si>
    <t>NV0024232</t>
  </si>
  <si>
    <t>NY0000558</t>
  </si>
  <si>
    <t>NIAGARA</t>
  </si>
  <si>
    <t>IS43</t>
  </si>
  <si>
    <t>Transportation Equipment Manufacturing</t>
  </si>
  <si>
    <t>Headwaters Eighteenmile Creek</t>
  </si>
  <si>
    <t>2022 TRI reports Mn, Pb, Cr, Cu, Diisocyanates</t>
  </si>
  <si>
    <t>041300010703</t>
  </si>
  <si>
    <t>NY0001163</t>
  </si>
  <si>
    <t>ONONDAGA</t>
  </si>
  <si>
    <t>Ley Creek Branches</t>
  </si>
  <si>
    <t>Probably has parts in need of Degreasing/Cleaning but unknown if t-DCE is used</t>
  </si>
  <si>
    <t>NY0007072</t>
  </si>
  <si>
    <t>ALBANY</t>
  </si>
  <si>
    <t>Onesquethaw Creek</t>
  </si>
  <si>
    <t>020200060402</t>
  </si>
  <si>
    <t>NY0090191</t>
  </si>
  <si>
    <t>ERIE</t>
  </si>
  <si>
    <t>Buffalo Creek</t>
  </si>
  <si>
    <t>2022 TRI reports Cr, Pb, Cu, and Ni are used as an article component</t>
  </si>
  <si>
    <t>041201030206</t>
  </si>
  <si>
    <t>TN0002640</t>
  </si>
  <si>
    <t>SULLIVAN</t>
  </si>
  <si>
    <t>Kendrick Creek-South Fork Holston River</t>
  </si>
  <si>
    <t>060101020704</t>
  </si>
  <si>
    <t>2022 TRI reports PCE as a byproduct</t>
  </si>
  <si>
    <t>TN0041939</t>
  </si>
  <si>
    <t>HAYWOOD</t>
  </si>
  <si>
    <t>IS32</t>
  </si>
  <si>
    <t>Custom Compounding of Purchased Resin</t>
  </si>
  <si>
    <t>Nixon Creek Upper</t>
  </si>
  <si>
    <t>080102050401</t>
  </si>
  <si>
    <t>TX0005592</t>
  </si>
  <si>
    <t>MONTGOMERY</t>
  </si>
  <si>
    <t>Crystal Creek</t>
  </si>
  <si>
    <t>AL0069787</t>
  </si>
  <si>
    <t>LAMAR</t>
  </si>
  <si>
    <t>IS40</t>
  </si>
  <si>
    <t>Machinery Manufacturing</t>
  </si>
  <si>
    <t>Cannon Mill Creek-Beaver Creek</t>
  </si>
  <si>
    <t>031601030202</t>
  </si>
  <si>
    <t>AR0035386</t>
  </si>
  <si>
    <t>INDEPENDENCE COUNTY</t>
  </si>
  <si>
    <t>IS21</t>
  </si>
  <si>
    <t>All Other Basic Organic Chemical Manufacturing</t>
  </si>
  <si>
    <t>Big Creek-White River</t>
  </si>
  <si>
    <t>2022 TRI reports chloromethane produced as byproduct</t>
  </si>
  <si>
    <t>AR0037770</t>
  </si>
  <si>
    <t>CRITTENDEN</t>
  </si>
  <si>
    <t>Loosahatchie Bar-Mississippi River</t>
  </si>
  <si>
    <t>2019 TRI reports Epichlorohydrin as a reactant</t>
  </si>
  <si>
    <t>080101000703</t>
  </si>
  <si>
    <t>AZ0024911</t>
  </si>
  <si>
    <t>GRAHAM</t>
  </si>
  <si>
    <t>Peterson Wash-Gila River</t>
  </si>
  <si>
    <t>Name indicates Water Recalmation Plant</t>
  </si>
  <si>
    <t>CA0004961</t>
  </si>
  <si>
    <t>CONTRA COSTA</t>
  </si>
  <si>
    <t>Mount Diablo Creek-Frontal Suisun Bay Estuaries</t>
  </si>
  <si>
    <t>CA0004995</t>
  </si>
  <si>
    <t>TEHAMA</t>
  </si>
  <si>
    <t>Kopta Slough</t>
  </si>
  <si>
    <t>CA0005550</t>
  </si>
  <si>
    <t>SOLANO</t>
  </si>
  <si>
    <t>American Canyon-Frontal Suisun Bay Estuaries</t>
  </si>
  <si>
    <t>CA0023671</t>
  </si>
  <si>
    <t>HUMBOLDT</t>
  </si>
  <si>
    <t>Strongs Creek-Eel River</t>
  </si>
  <si>
    <t>CA0029904</t>
  </si>
  <si>
    <t>Arroyo del Hambre-Frontal Suisun Bay Estuaries</t>
  </si>
  <si>
    <t>CA0029947</t>
  </si>
  <si>
    <t>SAN MATEO</t>
  </si>
  <si>
    <t>Arroyo Leon</t>
  </si>
  <si>
    <t>CA0030210</t>
  </si>
  <si>
    <t>SANTA CLARA</t>
  </si>
  <si>
    <t>IS37</t>
  </si>
  <si>
    <t>Nonmetallic Mineral Product Manufacturing (includes clay, glass, cement, concrete,
lime, gypsum, and other nonmetallic mineral product manufacturing)</t>
  </si>
  <si>
    <t>Permanente Creek-Frontal San Francisco Bay Estuaries</t>
  </si>
  <si>
    <t>2022 TRI reports only Lead Compounds and Mercury Compounds as impurities and fuel</t>
  </si>
  <si>
    <t>Nonmetallic Mineral Product Manufacturing (includes clay, glass, cement, concrete, lime, gypsum, and other nonmetallic mineral product manufacturing)</t>
  </si>
  <si>
    <t>CA0037788</t>
  </si>
  <si>
    <t>San Francisco Bay Estuaries</t>
  </si>
  <si>
    <t>CA0038318</t>
  </si>
  <si>
    <t>SAN FRANCISCO COUNTY</t>
  </si>
  <si>
    <t>CA0038539</t>
  </si>
  <si>
    <t>Pinole Creek-Frontal San Pablo Bay Estuaries</t>
  </si>
  <si>
    <t>CA0048127</t>
  </si>
  <si>
    <t>SANTA BARBARA</t>
  </si>
  <si>
    <t>San Miguelito Creek-Santa Ynez River</t>
  </si>
  <si>
    <t>CA0048194</t>
  </si>
  <si>
    <t>Monterey Bay</t>
  </si>
  <si>
    <t>CA0049675</t>
  </si>
  <si>
    <t>AMADOR</t>
  </si>
  <si>
    <t>Lower Jackson Creek</t>
  </si>
  <si>
    <t>CA0050628</t>
  </si>
  <si>
    <t>SAN LUIS OBISPO</t>
  </si>
  <si>
    <t>Pismo Creek</t>
  </si>
  <si>
    <t>Name indicates Produced Water Recalmation Facility</t>
  </si>
  <si>
    <t>CA0063177</t>
  </si>
  <si>
    <t>Long Beach Harbor</t>
  </si>
  <si>
    <t>CA0064165</t>
  </si>
  <si>
    <t>CA0077950</t>
  </si>
  <si>
    <t>YOLO</t>
  </si>
  <si>
    <t>Tule Canal-Toe Drain</t>
  </si>
  <si>
    <t>CA0078590</t>
  </si>
  <si>
    <t>Lower Kellogg Creek</t>
  </si>
  <si>
    <t>CA0078891</t>
  </si>
  <si>
    <t>Sevenmile Creek-Sacramento River</t>
  </si>
  <si>
    <t>CA0078999</t>
  </si>
  <si>
    <t>Powell Slough-Colusa Trough</t>
  </si>
  <si>
    <t>CA0079391</t>
  </si>
  <si>
    <t>Middle Jackson Creek</t>
  </si>
  <si>
    <t>CA0079901</t>
  </si>
  <si>
    <t>NEVADA</t>
  </si>
  <si>
    <t>Little Deer Creek-Deer Creek</t>
  </si>
  <si>
    <t>CA0081558</t>
  </si>
  <si>
    <t>SAN JOAQUIN</t>
  </si>
  <si>
    <t>Oakwood Lake-San Joaquin River</t>
  </si>
  <si>
    <t>CA0083488</t>
  </si>
  <si>
    <t>BUTTE</t>
  </si>
  <si>
    <t>Little Butte Creek</t>
  </si>
  <si>
    <t>Irrigation district water treat plant</t>
  </si>
  <si>
    <t>CA0083721</t>
  </si>
  <si>
    <t>IS6</t>
  </si>
  <si>
    <t>Food, beverage, and tobacco product manufacturing</t>
  </si>
  <si>
    <t>Name indicates wastewater treatment plant</t>
  </si>
  <si>
    <t>CA0084620</t>
  </si>
  <si>
    <t>CALAVERAS</t>
  </si>
  <si>
    <t>Peachys Creek-Littlejohns Creek</t>
  </si>
  <si>
    <t>CA0085201</t>
  </si>
  <si>
    <t>Angels Creek</t>
  </si>
  <si>
    <t>CA0085332</t>
  </si>
  <si>
    <t>Humbug Creek-South Yuba River</t>
  </si>
  <si>
    <t>Name and SIC indicate remediation</t>
  </si>
  <si>
    <t>CA0102822</t>
  </si>
  <si>
    <t>SAN BERNARDINO</t>
  </si>
  <si>
    <t>Burkhardt Lake-Mojave River</t>
  </si>
  <si>
    <t>CA0104264</t>
  </si>
  <si>
    <t>CA0104451</t>
  </si>
  <si>
    <t>Town of Niland-Frontal Salton Sea</t>
  </si>
  <si>
    <t>CA0104523</t>
  </si>
  <si>
    <t>Ramer Lake-Alamo River</t>
  </si>
  <si>
    <t>CA0104841</t>
  </si>
  <si>
    <t>Upper New River</t>
  </si>
  <si>
    <t>CA0105015</t>
  </si>
  <si>
    <t>Town of Calipatria-Alamo River</t>
  </si>
  <si>
    <t>CA0105295</t>
  </si>
  <si>
    <t>East Etiwanda Creek-Santa Ana River</t>
  </si>
  <si>
    <t>CA0105376</t>
  </si>
  <si>
    <t>RIVERSIDE</t>
  </si>
  <si>
    <t>Little San Gorgonio Creek</t>
  </si>
  <si>
    <t>CA7000009</t>
  </si>
  <si>
    <t>CAC433255</t>
  </si>
  <si>
    <t>EL DORADO</t>
  </si>
  <si>
    <t>Upper Deer Creek</t>
  </si>
  <si>
    <t>CAC439621</t>
  </si>
  <si>
    <t>Indian Creek-Weber Creek</t>
  </si>
  <si>
    <t>CO0049003</t>
  </si>
  <si>
    <t>Cherry Creek-South Platte River</t>
  </si>
  <si>
    <t>CO0049005</t>
  </si>
  <si>
    <t>CO0049006</t>
  </si>
  <si>
    <t>CO0049038</t>
  </si>
  <si>
    <t>LARIMER</t>
  </si>
  <si>
    <t>Boyd Lake-Big Thompson River</t>
  </si>
  <si>
    <t>CO0049056</t>
  </si>
  <si>
    <t>Fossil Creek-Reservoir-Cache La Poudre River</t>
  </si>
  <si>
    <t>COG603115</t>
  </si>
  <si>
    <t>DE0000035</t>
  </si>
  <si>
    <t>SUSSEX</t>
  </si>
  <si>
    <t>Butler Mill Branch-Nanticoke River</t>
  </si>
  <si>
    <t>020801090405</t>
  </si>
  <si>
    <t>DE0000612</t>
  </si>
  <si>
    <t>NEW CASTLE</t>
  </si>
  <si>
    <t>Dragon Creek-Delaware River</t>
  </si>
  <si>
    <t>GA0000426</t>
  </si>
  <si>
    <t>WHITFIELD</t>
  </si>
  <si>
    <t>Jobs Creek-Conasauga River</t>
  </si>
  <si>
    <t>2022 TRI reports only Barium Compounds</t>
  </si>
  <si>
    <t>HI0020117</t>
  </si>
  <si>
    <t>HONOLULU COUNTY</t>
  </si>
  <si>
    <t>Waolani Stream</t>
  </si>
  <si>
    <t>HI0020257</t>
  </si>
  <si>
    <t>KAUAI</t>
  </si>
  <si>
    <t>Kapaa Stream</t>
  </si>
  <si>
    <t>HI0020877</t>
  </si>
  <si>
    <t>Kaloi Gulch</t>
  </si>
  <si>
    <t>HI0021377</t>
  </si>
  <si>
    <t>HAWAII</t>
  </si>
  <si>
    <t>Waiakea Stream</t>
  </si>
  <si>
    <t>HI0021654</t>
  </si>
  <si>
    <t>Waieli Draw</t>
  </si>
  <si>
    <t>HI0021890</t>
  </si>
  <si>
    <t>Waialae Nui Gulch</t>
  </si>
  <si>
    <t>Likely groundwater remediation</t>
  </si>
  <si>
    <t>HI0110078</t>
  </si>
  <si>
    <t>Heeia Stream-Kaneohe Stream</t>
  </si>
  <si>
    <t>HI0110086</t>
  </si>
  <si>
    <t>Halawa Stream-Waimalu Stream</t>
  </si>
  <si>
    <t>IL0000141</t>
  </si>
  <si>
    <t>DOUGLAS</t>
  </si>
  <si>
    <t>Town of Ficklin-Kaskaskia River</t>
  </si>
  <si>
    <t>Ethanol Production Ceased in 2021</t>
  </si>
  <si>
    <t>071402010206</t>
  </si>
  <si>
    <t>IL0002453</t>
  </si>
  <si>
    <t>WILL</t>
  </si>
  <si>
    <t>IS29</t>
  </si>
  <si>
    <t>Soap, Cleaning Compound, and Toilet Preparation Manufacturing</t>
  </si>
  <si>
    <t>Des Plaines River</t>
  </si>
  <si>
    <t>2022 TRI indicates use of Chloroacetic acid and benzyl chloride as a reactant</t>
  </si>
  <si>
    <t>071200040905</t>
  </si>
  <si>
    <t>070900050107</t>
  </si>
  <si>
    <t>IL0026069</t>
  </si>
  <si>
    <t>GRUNDY COUNTY</t>
  </si>
  <si>
    <t>2022 TRI reports chloromethane used as a reactant</t>
  </si>
  <si>
    <t>IL0059145</t>
  </si>
  <si>
    <t>MCHENRY</t>
  </si>
  <si>
    <t>IS41</t>
  </si>
  <si>
    <t>Computer and Electronic Product Manufacturing</t>
  </si>
  <si>
    <t>Nippersink Creek</t>
  </si>
  <si>
    <t>IL0064564</t>
  </si>
  <si>
    <t>City of Beloit-Lower Rock River</t>
  </si>
  <si>
    <t>2013 NPDES notice indicates treated groundwater, investigated due to possible conflict between Name and Sic</t>
  </si>
  <si>
    <t>IL0076996</t>
  </si>
  <si>
    <t>South Fork Mud Creek</t>
  </si>
  <si>
    <t>071402040302</t>
  </si>
  <si>
    <t>IL0079758</t>
  </si>
  <si>
    <t>Bills Run-Illinois River</t>
  </si>
  <si>
    <t>071200050705</t>
  </si>
  <si>
    <t>IN0002101</t>
  </si>
  <si>
    <t>POSEY</t>
  </si>
  <si>
    <t>Beaverdam Creek-Ohio River</t>
  </si>
  <si>
    <t>2022 TRI reports DCM as byproduct</t>
  </si>
  <si>
    <t>051402020605</t>
  </si>
  <si>
    <t>IN0057118</t>
  </si>
  <si>
    <t>RIPLEY</t>
  </si>
  <si>
    <t>Little Laughery Creek</t>
  </si>
  <si>
    <t>050902030502</t>
  </si>
  <si>
    <t>IN0062651</t>
  </si>
  <si>
    <t>HUNTINGTON</t>
  </si>
  <si>
    <t>Town of Andrews-Wabash River</t>
  </si>
  <si>
    <t>051201011303</t>
  </si>
  <si>
    <t>051401010903</t>
  </si>
  <si>
    <t>KY0001953</t>
  </si>
  <si>
    <t>DAVIESS</t>
  </si>
  <si>
    <t>Jackson Creek-Ohio River</t>
  </si>
  <si>
    <t>2022 TRI reports 1,1-DCE as a reactant</t>
  </si>
  <si>
    <t>051402011202</t>
  </si>
  <si>
    <t>KY0003701</t>
  </si>
  <si>
    <t>MARSHALL</t>
  </si>
  <si>
    <t>Lower Cypress Creek</t>
  </si>
  <si>
    <t>060400060503</t>
  </si>
  <si>
    <t>KY0020095</t>
  </si>
  <si>
    <t>KY0020150</t>
  </si>
  <si>
    <t>SCOTT</t>
  </si>
  <si>
    <t>Dry Run-North Elkhorn Creek</t>
  </si>
  <si>
    <t>051002050805</t>
  </si>
  <si>
    <t>KY0020257</t>
  </si>
  <si>
    <t>MASON</t>
  </si>
  <si>
    <t>Lawrence Creek-Ohio River</t>
  </si>
  <si>
    <t>KY0020621</t>
  </si>
  <si>
    <t>WOODFORD</t>
  </si>
  <si>
    <t>Glenns Creek</t>
  </si>
  <si>
    <t>KY0020877</t>
  </si>
  <si>
    <t>LOGAN</t>
  </si>
  <si>
    <t>Headwaters Mud River</t>
  </si>
  <si>
    <t>051100030204</t>
  </si>
  <si>
    <t>KY0020974</t>
  </si>
  <si>
    <t>GARRARD</t>
  </si>
  <si>
    <t>Boone Creek-Dix River</t>
  </si>
  <si>
    <t>KY0021164</t>
  </si>
  <si>
    <t>BARREN</t>
  </si>
  <si>
    <t>South Fork Beaver Creek-Beaver Creek</t>
  </si>
  <si>
    <t>KY0021172</t>
  </si>
  <si>
    <t>Watch Creek-Clarks River</t>
  </si>
  <si>
    <t>060400060402</t>
  </si>
  <si>
    <t>KY0021202</t>
  </si>
  <si>
    <t>Clear Fork Creek</t>
  </si>
  <si>
    <t>KY0021229</t>
  </si>
  <si>
    <t>FLEMING</t>
  </si>
  <si>
    <t>Allison Creek-Fleming Creek</t>
  </si>
  <si>
    <t>KY0021270</t>
  </si>
  <si>
    <t>LAUREL</t>
  </si>
  <si>
    <t>Little Laurel River</t>
  </si>
  <si>
    <t>KY0021440</t>
  </si>
  <si>
    <t>UNION</t>
  </si>
  <si>
    <t>Casey Creek</t>
  </si>
  <si>
    <t>051402020504</t>
  </si>
  <si>
    <t>KY0021466</t>
  </si>
  <si>
    <t>KENTON</t>
  </si>
  <si>
    <t>Dry Creek-Ohio River</t>
  </si>
  <si>
    <t>KY0022039</t>
  </si>
  <si>
    <t>HARDIN</t>
  </si>
  <si>
    <t>Lower Valley Creek</t>
  </si>
  <si>
    <t>051100011004</t>
  </si>
  <si>
    <t>KY0022373</t>
  </si>
  <si>
    <t>BOYD</t>
  </si>
  <si>
    <t>Solida Creek-Ohio River</t>
  </si>
  <si>
    <t>KY0022390</t>
  </si>
  <si>
    <t>Lower Mill Creek</t>
  </si>
  <si>
    <t>KY0022420</t>
  </si>
  <si>
    <t>South Fork Harrods Creek</t>
  </si>
  <si>
    <t>051401010504</t>
  </si>
  <si>
    <t>KY0022861</t>
  </si>
  <si>
    <t>FRANKLIN</t>
  </si>
  <si>
    <t>Stony Creek-Kentucky River</t>
  </si>
  <si>
    <t>051002051501</t>
  </si>
  <si>
    <t>KY0023540</t>
  </si>
  <si>
    <t>MUHLENBERG</t>
  </si>
  <si>
    <t>Little Cypress Creek</t>
  </si>
  <si>
    <t>051100060401</t>
  </si>
  <si>
    <t>KY0024317</t>
  </si>
  <si>
    <t>ADAIR</t>
  </si>
  <si>
    <t>Butler Branch-Russell Creek</t>
  </si>
  <si>
    <t>051100010407</t>
  </si>
  <si>
    <t>KY0025291</t>
  </si>
  <si>
    <t>PIKE</t>
  </si>
  <si>
    <t>Island Creek-Levisa Fork</t>
  </si>
  <si>
    <t>050702030202</t>
  </si>
  <si>
    <t>KY0025810</t>
  </si>
  <si>
    <t>MCCRACKEN</t>
  </si>
  <si>
    <t>White Oak Creek-Tennessee River</t>
  </si>
  <si>
    <t>060400060505</t>
  </si>
  <si>
    <t>KY0025909</t>
  </si>
  <si>
    <t>ESTILL</t>
  </si>
  <si>
    <t>Calloway Creek-Kentucky River</t>
  </si>
  <si>
    <t>Name indicates Sewage treatment plant</t>
  </si>
  <si>
    <t>KY0026883</t>
  </si>
  <si>
    <t>HENRY</t>
  </si>
  <si>
    <t>Fox Run</t>
  </si>
  <si>
    <t>051401020404</t>
  </si>
  <si>
    <t>KY0027359</t>
  </si>
  <si>
    <t>BULLITT</t>
  </si>
  <si>
    <t>Bullitt Lick Creek-Salt River</t>
  </si>
  <si>
    <t>KY0027421</t>
  </si>
  <si>
    <t>MERCER</t>
  </si>
  <si>
    <t>Dry Branch-Salt River</t>
  </si>
  <si>
    <t>KY0027979</t>
  </si>
  <si>
    <t>LYON</t>
  </si>
  <si>
    <t>McNabb Creek-Cumberland River</t>
  </si>
  <si>
    <t>KY0028312</t>
  </si>
  <si>
    <t>OWEN</t>
  </si>
  <si>
    <t>Stevens Creek</t>
  </si>
  <si>
    <t>KY0028347</t>
  </si>
  <si>
    <t>WHITLEY</t>
  </si>
  <si>
    <t>Youngs Creek-Cumberland River</t>
  </si>
  <si>
    <t>KY0029122</t>
  </si>
  <si>
    <t>CLAY</t>
  </si>
  <si>
    <t>Lower Little Goose Creek-Goose Creek</t>
  </si>
  <si>
    <t>KY0033553</t>
  </si>
  <si>
    <t>GREENUP</t>
  </si>
  <si>
    <t>Pond Run-Ohio River</t>
  </si>
  <si>
    <t>KY0034428</t>
  </si>
  <si>
    <t>POWELL</t>
  </si>
  <si>
    <t>Black Creek-Red River</t>
  </si>
  <si>
    <t>KY0036854</t>
  </si>
  <si>
    <t>CUMBERLAND</t>
  </si>
  <si>
    <t>Big Renox Creek-Cumberland River</t>
  </si>
  <si>
    <t>KY0037991</t>
  </si>
  <si>
    <t>Hancock Creek-Strodes Creek</t>
  </si>
  <si>
    <t>051001020101</t>
  </si>
  <si>
    <t>KY0040126</t>
  </si>
  <si>
    <t>OLDHAM</t>
  </si>
  <si>
    <t>Brush Creek-Harrods Creek</t>
  </si>
  <si>
    <t>051401010502</t>
  </si>
  <si>
    <t>KY0052752</t>
  </si>
  <si>
    <t>ROWAN</t>
  </si>
  <si>
    <t>Lower North Fork Triplett Creek</t>
  </si>
  <si>
    <t>KY0054437</t>
  </si>
  <si>
    <t>TAYLOR</t>
  </si>
  <si>
    <t>Little Pitman Creek</t>
  </si>
  <si>
    <t>KY0057193</t>
  </si>
  <si>
    <t>BOYLE</t>
  </si>
  <si>
    <t>Clarks Run</t>
  </si>
  <si>
    <t>051002050505</t>
  </si>
  <si>
    <t>KY0062995</t>
  </si>
  <si>
    <t>RUSSELL</t>
  </si>
  <si>
    <t>Lily Creek-Cumberland River</t>
  </si>
  <si>
    <t>KY0063649</t>
  </si>
  <si>
    <t>TODD</t>
  </si>
  <si>
    <t>Spring Creek</t>
  </si>
  <si>
    <t>KY0066532</t>
  </si>
  <si>
    <t>CHRISTIAN</t>
  </si>
  <si>
    <t>North Fork Little River</t>
  </si>
  <si>
    <t>KY0073377</t>
  </si>
  <si>
    <t>Yellow Creek</t>
  </si>
  <si>
    <t>051402011201</t>
  </si>
  <si>
    <t>KY0078956</t>
  </si>
  <si>
    <t>Fall Run-Ohio River</t>
  </si>
  <si>
    <t>051401010904</t>
  </si>
  <si>
    <t>KY0079898</t>
  </si>
  <si>
    <t>MADISON</t>
  </si>
  <si>
    <t>Hays Fork-Silver Creek</t>
  </si>
  <si>
    <t>KY0082007</t>
  </si>
  <si>
    <t>Boyd Run-North Elkhorn Creek</t>
  </si>
  <si>
    <t>051002050803</t>
  </si>
  <si>
    <t>KY0090654</t>
  </si>
  <si>
    <t>BOURBON</t>
  </si>
  <si>
    <t>Kennedy Creek-Stoner Creek</t>
  </si>
  <si>
    <t>KY0097624</t>
  </si>
  <si>
    <t>IS45</t>
  </si>
  <si>
    <t>Miscellaneous Manufacturing</t>
  </si>
  <si>
    <t>Cane Run</t>
  </si>
  <si>
    <t>051002050804</t>
  </si>
  <si>
    <t>KY0098043</t>
  </si>
  <si>
    <t>HOPKINS</t>
  </si>
  <si>
    <t>Greasy Creek-Clear Creek</t>
  </si>
  <si>
    <t>051402050202</t>
  </si>
  <si>
    <t>KY0098540</t>
  </si>
  <si>
    <t>Pennsylvania Run-Cedar Creek</t>
  </si>
  <si>
    <t>051401021002</t>
  </si>
  <si>
    <t>KY0102784</t>
  </si>
  <si>
    <t>Brush Run-Floyds Fork</t>
  </si>
  <si>
    <t>051401020804</t>
  </si>
  <si>
    <t>KY0103357</t>
  </si>
  <si>
    <t>Ballard Branch-Silver Creek</t>
  </si>
  <si>
    <t>KY0104027</t>
  </si>
  <si>
    <t>NELSON</t>
  </si>
  <si>
    <t>Buffalo Creek-Beech Fork</t>
  </si>
  <si>
    <t>KY0104400</t>
  </si>
  <si>
    <t>Headwaters Hinkston Creek</t>
  </si>
  <si>
    <t>KY0104931</t>
  </si>
  <si>
    <t>CARROLL</t>
  </si>
  <si>
    <t>Whites Run-Kentucky River</t>
  </si>
  <si>
    <t>051002051510</t>
  </si>
  <si>
    <t>KY0105031</t>
  </si>
  <si>
    <t>CAMPBELL</t>
  </si>
  <si>
    <t>Twelvemile Creek</t>
  </si>
  <si>
    <t>KY0105376</t>
  </si>
  <si>
    <t>Marble Creek-Kentucky River</t>
  </si>
  <si>
    <t>KY0105856</t>
  </si>
  <si>
    <t>HARRISON</t>
  </si>
  <si>
    <t>Indian Creek-South Fork Licking River</t>
  </si>
  <si>
    <t>051001020403</t>
  </si>
  <si>
    <t>KY0106143</t>
  </si>
  <si>
    <t>Little Huckleberry Creek-Ohio River</t>
  </si>
  <si>
    <t>051401010604</t>
  </si>
  <si>
    <t>KY0106267</t>
  </si>
  <si>
    <t>PENDLETON</t>
  </si>
  <si>
    <t>Blanket Creek-Licking River</t>
  </si>
  <si>
    <t>051001011203</t>
  </si>
  <si>
    <t>KY0106887</t>
  </si>
  <si>
    <t>BATH</t>
  </si>
  <si>
    <t>Mill Creek-Slate Creek</t>
  </si>
  <si>
    <t>KY0107107</t>
  </si>
  <si>
    <t>Upper Otter Creek</t>
  </si>
  <si>
    <t>051002050105</t>
  </si>
  <si>
    <t>KY0107239</t>
  </si>
  <si>
    <t>BOONE</t>
  </si>
  <si>
    <t>Middle Creek-Ohio River</t>
  </si>
  <si>
    <t>KY0108740</t>
  </si>
  <si>
    <t>Twomile Creek-Kentucky River</t>
  </si>
  <si>
    <t>KY0109991</t>
  </si>
  <si>
    <t>GRANT</t>
  </si>
  <si>
    <t>Clarks Creek</t>
  </si>
  <si>
    <t>KY0111716</t>
  </si>
  <si>
    <t>LA0000761</t>
  </si>
  <si>
    <t>Yes</t>
  </si>
  <si>
    <t>Maple Fork-Bayou D'Inde</t>
  </si>
  <si>
    <t>Test Orders indicate Manufacturing</t>
  </si>
  <si>
    <t>080802060301</t>
  </si>
  <si>
    <t>LA0003689</t>
  </si>
  <si>
    <t>LA0005487</t>
  </si>
  <si>
    <t>IBERVILLE</t>
  </si>
  <si>
    <t>Bayou Braud</t>
  </si>
  <si>
    <t>2022 TRI indicates Paraquat dichloride is added as a formulation component; Carbon Tet is a byproduct</t>
  </si>
  <si>
    <t>080702020801</t>
  </si>
  <si>
    <t>LA0005738</t>
  </si>
  <si>
    <t>PLAQUEMINES PARISH</t>
  </si>
  <si>
    <t>Planters Canal</t>
  </si>
  <si>
    <t>LA0006181</t>
  </si>
  <si>
    <t>ASCENSION</t>
  </si>
  <si>
    <t>Grand Goudine Bayou-New River</t>
  </si>
  <si>
    <t>2022 reports PCE and Chloroform used as reactant</t>
  </si>
  <si>
    <t>080702040103</t>
  </si>
  <si>
    <t>LA0038890</t>
  </si>
  <si>
    <t>ST. JOHN PARISH</t>
  </si>
  <si>
    <t>Hope Canal-Pipeline Canal</t>
  </si>
  <si>
    <t>2022 TRI reports Allyl Chloride, Benzyl Chloride, and Epichlorohydrin are used as reactants</t>
  </si>
  <si>
    <t>080702040302</t>
  </si>
  <si>
    <t>LA0046361</t>
  </si>
  <si>
    <t>LA0048704</t>
  </si>
  <si>
    <t>LIVINGSTON</t>
  </si>
  <si>
    <t>Grays Creek-Amite River</t>
  </si>
  <si>
    <t>080702020903</t>
  </si>
  <si>
    <t>LA0086304</t>
  </si>
  <si>
    <t>RED RIVER</t>
  </si>
  <si>
    <t>Bayou Nicholas</t>
  </si>
  <si>
    <t>LA0098191</t>
  </si>
  <si>
    <t>LA0108936</t>
  </si>
  <si>
    <t>Francois Coulee-Vermilion River</t>
  </si>
  <si>
    <t>080801030105</t>
  </si>
  <si>
    <t>LA0115606</t>
  </si>
  <si>
    <t>Devils Swamp-Bayou Baton Rouge</t>
  </si>
  <si>
    <t>080702010402</t>
  </si>
  <si>
    <t>LA0124583</t>
  </si>
  <si>
    <t>JEFFERSON PARISH</t>
  </si>
  <si>
    <t>Westwego-Main Canal</t>
  </si>
  <si>
    <t>080903010307</t>
  </si>
  <si>
    <t>LA0125041</t>
  </si>
  <si>
    <t>Bayou Verdine-Calcasieu River</t>
  </si>
  <si>
    <t>2022 TRI only contains 1 chemical Chlorine</t>
  </si>
  <si>
    <t>LA0127268</t>
  </si>
  <si>
    <t>2022 TRI reports chloroethane as chemical processing aid and inhibitor; chloroform as ancillary and other</t>
  </si>
  <si>
    <t>MA0001791</t>
  </si>
  <si>
    <t>BRISTOL</t>
  </si>
  <si>
    <t>Ten Mile River</t>
  </si>
  <si>
    <t>Remediation site that Texas Instruments is still responsible for following their uranium operations that ceased in 1981</t>
  </si>
  <si>
    <t>010900040401</t>
  </si>
  <si>
    <t>MAG912023</t>
  </si>
  <si>
    <t>SUFFOLK COUNTY</t>
  </si>
  <si>
    <t>Charles River-Frontal Boston Harbor</t>
  </si>
  <si>
    <t>010900010704</t>
  </si>
  <si>
    <t>MAG912067</t>
  </si>
  <si>
    <t>MIDDLESEX COUNTY</t>
  </si>
  <si>
    <t>Mystic River-Frontal Boston Harbor</t>
  </si>
  <si>
    <t>010900010502</t>
  </si>
  <si>
    <t>MD0071790</t>
  </si>
  <si>
    <t>Lower Rock Creek</t>
  </si>
  <si>
    <t>MDGVW3674</t>
  </si>
  <si>
    <t>Headwaters North Branch Patapsco River</t>
  </si>
  <si>
    <t>020600030802</t>
  </si>
  <si>
    <t>ME0000639</t>
  </si>
  <si>
    <t>PENOBSCOT</t>
  </si>
  <si>
    <t>IS19</t>
  </si>
  <si>
    <t>All Other Basic Inorganic Chemical Manufacturing</t>
  </si>
  <si>
    <t>Cove Brook-Penobscot River</t>
  </si>
  <si>
    <t>MI0000884</t>
  </si>
  <si>
    <t>White Lake-White River</t>
  </si>
  <si>
    <t>040601010904</t>
  </si>
  <si>
    <t>MI0002135</t>
  </si>
  <si>
    <t>MONTCALM</t>
  </si>
  <si>
    <t>IS42</t>
  </si>
  <si>
    <t>Electrical Equipment, Appliance, and Component Manufacturing</t>
  </si>
  <si>
    <t>Sanderson Lake-Flat River</t>
  </si>
  <si>
    <t>040500060206</t>
  </si>
  <si>
    <t>MI0003859</t>
  </si>
  <si>
    <t>CALHOUN</t>
  </si>
  <si>
    <t>Minges Brook</t>
  </si>
  <si>
    <t>040500030410</t>
  </si>
  <si>
    <t>MI0004057</t>
  </si>
  <si>
    <t>Muskegon Lake-Muskegon River</t>
  </si>
  <si>
    <t>040601021004</t>
  </si>
  <si>
    <t>MI0004405</t>
  </si>
  <si>
    <t>BARRY</t>
  </si>
  <si>
    <t>Turner Creek-Thornapple River</t>
  </si>
  <si>
    <t>040500070406</t>
  </si>
  <si>
    <t>MI0025321</t>
  </si>
  <si>
    <t>Montcalm Lake-Kalamazoo River</t>
  </si>
  <si>
    <t>040500030406</t>
  </si>
  <si>
    <t>MI0026034</t>
  </si>
  <si>
    <t>LENAWEE</t>
  </si>
  <si>
    <t>Red Mill Pond-River Raisin</t>
  </si>
  <si>
    <t>041000020108</t>
  </si>
  <si>
    <t>MI0042994</t>
  </si>
  <si>
    <t>Spring Lakes-Battle Creek</t>
  </si>
  <si>
    <t>040500030312</t>
  </si>
  <si>
    <t>MI0046841</t>
  </si>
  <si>
    <t>Silver Creek-Grand River</t>
  </si>
  <si>
    <t>040500040703</t>
  </si>
  <si>
    <t>MI0047104</t>
  </si>
  <si>
    <t>WEXFORD</t>
  </si>
  <si>
    <t>Pleasant Lake-Clam River</t>
  </si>
  <si>
    <t>040601020303</t>
  </si>
  <si>
    <t>MI0047392</t>
  </si>
  <si>
    <t>OTSEGO COUNTY</t>
  </si>
  <si>
    <t>Club Stream</t>
  </si>
  <si>
    <t>040700040102</t>
  </si>
  <si>
    <t>MI0047716</t>
  </si>
  <si>
    <t>ST. JOSEPH</t>
  </si>
  <si>
    <t>Clear Lake-Fawn River</t>
  </si>
  <si>
    <t>040500010806</t>
  </si>
  <si>
    <t>MI0048631</t>
  </si>
  <si>
    <t>BERRIEN</t>
  </si>
  <si>
    <t>South Branch Galien River</t>
  </si>
  <si>
    <t>MI0050199</t>
  </si>
  <si>
    <t>Butler Creek-Thornapple River</t>
  </si>
  <si>
    <t>040500070402</t>
  </si>
  <si>
    <t>MI0053465</t>
  </si>
  <si>
    <t>Wegner Ditch-Fawn River</t>
  </si>
  <si>
    <t>040500010807</t>
  </si>
  <si>
    <t>MI0054224</t>
  </si>
  <si>
    <t>LAKE</t>
  </si>
  <si>
    <t>Sanborn Creek</t>
  </si>
  <si>
    <t>MI0054399</t>
  </si>
  <si>
    <t>OTTAWA</t>
  </si>
  <si>
    <t>Lloyd Bayou-Grand River</t>
  </si>
  <si>
    <t>040500060712</t>
  </si>
  <si>
    <t>MI0054925</t>
  </si>
  <si>
    <t>Lake Cadillac-Clam River</t>
  </si>
  <si>
    <t>040601020302</t>
  </si>
  <si>
    <t>MI0055531</t>
  </si>
  <si>
    <t>Lincoln Lake-Lincoln River</t>
  </si>
  <si>
    <t>040601010203</t>
  </si>
  <si>
    <t>MI0055883</t>
  </si>
  <si>
    <t>OAKLAND</t>
  </si>
  <si>
    <t>Pettibone Creek</t>
  </si>
  <si>
    <t>040900050104</t>
  </si>
  <si>
    <t>MI0057392</t>
  </si>
  <si>
    <t>Middle Portage Creek</t>
  </si>
  <si>
    <t>GWCU and SIC indicate groundwater cleanup</t>
  </si>
  <si>
    <t>040900050305</t>
  </si>
  <si>
    <t>MI0058659</t>
  </si>
  <si>
    <t>Hickory Creek</t>
  </si>
  <si>
    <t>2022 TRI contains 1 chemical Lead</t>
  </si>
  <si>
    <t>040500012607</t>
  </si>
  <si>
    <t>MI0059987</t>
  </si>
  <si>
    <t>Bogue Creek</t>
  </si>
  <si>
    <t>GWCU is abbreviation for groundwater control unit</t>
  </si>
  <si>
    <t>040802030104</t>
  </si>
  <si>
    <t>MI0060251</t>
  </si>
  <si>
    <t>ALLEGAN COUNTY</t>
  </si>
  <si>
    <t>Buskirk Creek-Rabbit River</t>
  </si>
  <si>
    <t>Name indicates recycling site</t>
  </si>
  <si>
    <t>MI0060285</t>
  </si>
  <si>
    <t>MASON COUNTY</t>
  </si>
  <si>
    <t>Pere Marquette Lake-Pere Marquette River</t>
  </si>
  <si>
    <t>040601010509</t>
  </si>
  <si>
    <t>MNG790159</t>
  </si>
  <si>
    <t>ANOKA</t>
  </si>
  <si>
    <t>Durnam Island-Mississippi River</t>
  </si>
  <si>
    <t>MNG790264</t>
  </si>
  <si>
    <t>HENNEPIN</t>
  </si>
  <si>
    <t>Saint Anthony Falls-Mississippi River</t>
  </si>
  <si>
    <t>070102060703</t>
  </si>
  <si>
    <t>071401010802</t>
  </si>
  <si>
    <t>MO0002526</t>
  </si>
  <si>
    <t>IS25</t>
  </si>
  <si>
    <t>Pesticide, Fertilizer, and Other Agricultural Chemical Manufacturing</t>
  </si>
  <si>
    <t>Little Cedar Creek-Little Blue River</t>
  </si>
  <si>
    <t>2022 TRI reports chloroform as byproduct</t>
  </si>
  <si>
    <t>MO0025810</t>
  </si>
  <si>
    <t>Dubois Creek-Missouri River</t>
  </si>
  <si>
    <t>MO0099503</t>
  </si>
  <si>
    <t>Dry Creek-Missouri River</t>
  </si>
  <si>
    <t>MO0111686</t>
  </si>
  <si>
    <t>MARION</t>
  </si>
  <si>
    <t>Fools Creek-Mississippi River</t>
  </si>
  <si>
    <t>Cement Kiln</t>
  </si>
  <si>
    <t>071100040504</t>
  </si>
  <si>
    <t>MO0129313</t>
  </si>
  <si>
    <t>IS44</t>
  </si>
  <si>
    <t>Furniture and Related Product Manufacturing</t>
  </si>
  <si>
    <t>MO0137243</t>
  </si>
  <si>
    <t>Buffalo Creek-Mississippi River</t>
  </si>
  <si>
    <t>071100040702</t>
  </si>
  <si>
    <t>NE0121789</t>
  </si>
  <si>
    <t>SARPY</t>
  </si>
  <si>
    <t>Mud Creek-Papillion Creek</t>
  </si>
  <si>
    <t>NJ0001511</t>
  </si>
  <si>
    <t>Morses Creek-Arthur Kill</t>
  </si>
  <si>
    <t>2022 TRI reports PCE use as a chemical processing aid</t>
  </si>
  <si>
    <t>020301040204</t>
  </si>
  <si>
    <t>NJ0004006</t>
  </si>
  <si>
    <t>WARREN</t>
  </si>
  <si>
    <t>Buckhorn Creek-Delaware River</t>
  </si>
  <si>
    <t>020401050603</t>
  </si>
  <si>
    <t>2022 TRI indicates repackaging of methylene chloride</t>
  </si>
  <si>
    <t>NJ0004286</t>
  </si>
  <si>
    <t>SALEM</t>
  </si>
  <si>
    <t>Salem Canal-Whooping John Creek</t>
  </si>
  <si>
    <t>2022 TRI reports vinyl chloride is used as a reactant</t>
  </si>
  <si>
    <t>020402060103</t>
  </si>
  <si>
    <t>NJ0005045</t>
  </si>
  <si>
    <t>GLOUCESTER</t>
  </si>
  <si>
    <t>Raccoon Creek</t>
  </si>
  <si>
    <t>2022 TRI reports chloroethane as byproduct</t>
  </si>
  <si>
    <t>020402020606</t>
  </si>
  <si>
    <t>NJ0005100</t>
  </si>
  <si>
    <t>NJ0005185</t>
  </si>
  <si>
    <t>Woodbury Creek-Delaware River</t>
  </si>
  <si>
    <t>2022 TRI reports that 1-Chloro-1,1-difluoroethane is used as a reactant</t>
  </si>
  <si>
    <t>020402020507</t>
  </si>
  <si>
    <t>NJ0031445</t>
  </si>
  <si>
    <t>Devils Brook</t>
  </si>
  <si>
    <t>020301050306</t>
  </si>
  <si>
    <t>NJG005134</t>
  </si>
  <si>
    <t>Name indicates Groundwater Treatment</t>
  </si>
  <si>
    <t>NJG105589</t>
  </si>
  <si>
    <t>Repaupo Creek-Delaware River</t>
  </si>
  <si>
    <t>020402020607</t>
  </si>
  <si>
    <t>NJG129127</t>
  </si>
  <si>
    <t>Lawrence Brook</t>
  </si>
  <si>
    <t>Remediation site, found court document indicating operations ceased in 1987 following organochlorine discharge</t>
  </si>
  <si>
    <t>020301050505</t>
  </si>
  <si>
    <t>NJG129526</t>
  </si>
  <si>
    <t>Name indicates distribution center</t>
  </si>
  <si>
    <t>NJG132829</t>
  </si>
  <si>
    <t>NJG156922</t>
  </si>
  <si>
    <t>SOMERSET</t>
  </si>
  <si>
    <t>IS27</t>
  </si>
  <si>
    <t>Paint and Coating Manufacturing</t>
  </si>
  <si>
    <t>Royce Brook</t>
  </si>
  <si>
    <t>020301050311</t>
  </si>
  <si>
    <t>NJG167916</t>
  </si>
  <si>
    <t>Beden Brook</t>
  </si>
  <si>
    <t>020301050309</t>
  </si>
  <si>
    <t>NJG218316</t>
  </si>
  <si>
    <t>PASSAIC</t>
  </si>
  <si>
    <t>Preakness Brook-Passaic River</t>
  </si>
  <si>
    <t>020301030801</t>
  </si>
  <si>
    <t>NJG317705</t>
  </si>
  <si>
    <t>BERGEN</t>
  </si>
  <si>
    <t>Lower Hackensack River</t>
  </si>
  <si>
    <t>020301030906</t>
  </si>
  <si>
    <t>NN0000019</t>
  </si>
  <si>
    <t>SAN JUAN</t>
  </si>
  <si>
    <t>Morgan Lake-Chaco River</t>
  </si>
  <si>
    <t>NN0020133</t>
  </si>
  <si>
    <t>IS2</t>
  </si>
  <si>
    <t>Oil and Gas Drilling, Extraction, and Support Activities</t>
  </si>
  <si>
    <t>Upper Gothic Creek</t>
  </si>
  <si>
    <t>NN0020290</t>
  </si>
  <si>
    <t>COCONINO</t>
  </si>
  <si>
    <t>Kerley Valley-Moenkopi Wash (Local Drainage)</t>
  </si>
  <si>
    <t>NN0020621</t>
  </si>
  <si>
    <t>Rattlesnake Wash-San Juan River</t>
  </si>
  <si>
    <t>NN0021555</t>
  </si>
  <si>
    <t>APACHE</t>
  </si>
  <si>
    <t>Black Creek Valley-Black Creek</t>
  </si>
  <si>
    <t>NN0030343</t>
  </si>
  <si>
    <t>Ojo Amarillo Canyon-San Juan River</t>
  </si>
  <si>
    <t>NV0020061</t>
  </si>
  <si>
    <t>CHURCHILL</t>
  </si>
  <si>
    <t>South Branch-Carson River</t>
  </si>
  <si>
    <t>NV0022993</t>
  </si>
  <si>
    <t>NV0023043</t>
  </si>
  <si>
    <t>NV0023060</t>
  </si>
  <si>
    <t>City of Henderson-Las Vegas Wash</t>
  </si>
  <si>
    <t>NV0023256</t>
  </si>
  <si>
    <t>NV0023485</t>
  </si>
  <si>
    <t>NV0023604</t>
  </si>
  <si>
    <t>NV0023621</t>
  </si>
  <si>
    <t>NV0023809</t>
  </si>
  <si>
    <t>NV0024220</t>
  </si>
  <si>
    <t>NV0024239</t>
  </si>
  <si>
    <t>041402011508</t>
  </si>
  <si>
    <t>NY0001198</t>
  </si>
  <si>
    <t>City of North Tonawanda-Niagara River</t>
  </si>
  <si>
    <t>041201040604</t>
  </si>
  <si>
    <t>NY0001988</t>
  </si>
  <si>
    <t>Cayuga Creek</t>
  </si>
  <si>
    <t>041201040603</t>
  </si>
  <si>
    <t>NY0003824</t>
  </si>
  <si>
    <t>DELAWARE</t>
  </si>
  <si>
    <t>Martin Brook-Susquehanna River</t>
  </si>
  <si>
    <t>020501011105</t>
  </si>
  <si>
    <t>NY0004618</t>
  </si>
  <si>
    <t>DUTCHESS</t>
  </si>
  <si>
    <t>Swamp River</t>
  </si>
  <si>
    <t>011000050505</t>
  </si>
  <si>
    <t>NY0007048</t>
  </si>
  <si>
    <t>Glens Falls Feeder Canal-Hudson River</t>
  </si>
  <si>
    <t>NY0108537</t>
  </si>
  <si>
    <t>HERKIMER</t>
  </si>
  <si>
    <t>Reall Creek-Mohawk River</t>
  </si>
  <si>
    <t>020200040311</t>
  </si>
  <si>
    <t>NY0108995</t>
  </si>
  <si>
    <t>Upper Tioughnioga River</t>
  </si>
  <si>
    <t>020501020403</t>
  </si>
  <si>
    <t>NY0121894</t>
  </si>
  <si>
    <t>ONEIDA</t>
  </si>
  <si>
    <t>Crane Creek-Mohawk River</t>
  </si>
  <si>
    <t>2022 TRI indicates that a facility using the same NPDES permit reported 1 chemical DEHP as an article component</t>
  </si>
  <si>
    <t>NY0162540</t>
  </si>
  <si>
    <t>MONROE</t>
  </si>
  <si>
    <t>Brockport Creek-Otis Creek</t>
  </si>
  <si>
    <t>041300010202</t>
  </si>
  <si>
    <t>NY0257206</t>
  </si>
  <si>
    <t>NY0270491</t>
  </si>
  <si>
    <t>ULSTER</t>
  </si>
  <si>
    <t>Saw Kill</t>
  </si>
  <si>
    <t>020200060907</t>
  </si>
  <si>
    <t>OH0143880</t>
  </si>
  <si>
    <t>FULTON</t>
  </si>
  <si>
    <t>Deer Creek-Bean Creek</t>
  </si>
  <si>
    <t>OR0031828</t>
  </si>
  <si>
    <t>MULTNOMAH</t>
  </si>
  <si>
    <t>Columbia Slough-Frontal Columbia River</t>
  </si>
  <si>
    <t>2022 TRI indicates PCE is used as a manufacturing aid</t>
  </si>
  <si>
    <t>OR0034606</t>
  </si>
  <si>
    <t>Willamette River</t>
  </si>
  <si>
    <t>PA0000914</t>
  </si>
  <si>
    <t>ALLEGHENY</t>
  </si>
  <si>
    <t>Streets Run-Monongahela River</t>
  </si>
  <si>
    <t>NPDES permit indicates OUTFALL 007 is Treated, Contaminated Groundwater</t>
  </si>
  <si>
    <t>050200050808</t>
  </si>
  <si>
    <t>PA0002208</t>
  </si>
  <si>
    <t>BEAVER</t>
  </si>
  <si>
    <t>Sixmile Run-Ohio River</t>
  </si>
  <si>
    <t>050301010310</t>
  </si>
  <si>
    <t>PA0006254</t>
  </si>
  <si>
    <t>PA0012149</t>
  </si>
  <si>
    <t>SCHUYLKILL</t>
  </si>
  <si>
    <t>Deer Lake-Pine Creek</t>
  </si>
  <si>
    <t>NPDES permit indicates OUTFALL 001 is Groundwater Cleanup Discharge</t>
  </si>
  <si>
    <t>020402030205</t>
  </si>
  <si>
    <t>PA0012769</t>
  </si>
  <si>
    <t>BUCKS</t>
  </si>
  <si>
    <t>Mill Creek-Silver Lake</t>
  </si>
  <si>
    <t>020402010405</t>
  </si>
  <si>
    <t>PA0043818</t>
  </si>
  <si>
    <t>Van Sciver Lake-Delaware River</t>
  </si>
  <si>
    <t>PA0055913</t>
  </si>
  <si>
    <t>Martins Creek</t>
  </si>
  <si>
    <t>020402010403</t>
  </si>
  <si>
    <t>PA0081957</t>
  </si>
  <si>
    <t>ADAMS</t>
  </si>
  <si>
    <t>Upper Rock Creek</t>
  </si>
  <si>
    <t>PA0093866</t>
  </si>
  <si>
    <t>Lower Stonycreek River-Conemaugh River</t>
  </si>
  <si>
    <t>050100070310</t>
  </si>
  <si>
    <t>PA0103381</t>
  </si>
  <si>
    <t>VENANGO</t>
  </si>
  <si>
    <t>Oil Creek-Allegheny River</t>
  </si>
  <si>
    <t>2022 TRI contains 1 chemical Cresol (mixed isomers)</t>
  </si>
  <si>
    <t>050100030606</t>
  </si>
  <si>
    <t>PA0113913</t>
  </si>
  <si>
    <t>SNYDER</t>
  </si>
  <si>
    <t>North Branch Mahantango Creek</t>
  </si>
  <si>
    <t>020503010601</t>
  </si>
  <si>
    <t>PA0114332</t>
  </si>
  <si>
    <t>TIOGA</t>
  </si>
  <si>
    <t>Marsh Creek-Pine Creek</t>
  </si>
  <si>
    <t>020502050303</t>
  </si>
  <si>
    <t>PA0244856</t>
  </si>
  <si>
    <t>020402010404</t>
  </si>
  <si>
    <t>RI0022942</t>
  </si>
  <si>
    <t>KENT</t>
  </si>
  <si>
    <t>Hunt River</t>
  </si>
  <si>
    <t>010900040904</t>
  </si>
  <si>
    <t>RI0023604</t>
  </si>
  <si>
    <t>Greenwich Bay</t>
  </si>
  <si>
    <t>010900040903</t>
  </si>
  <si>
    <t>SC0003182</t>
  </si>
  <si>
    <t>CHEROKEE</t>
  </si>
  <si>
    <t>IS7</t>
  </si>
  <si>
    <t>Textiles, apparel, and leather manufacturing</t>
  </si>
  <si>
    <t>Outlet Buffalo Creek</t>
  </si>
  <si>
    <t>030501050805</t>
  </si>
  <si>
    <t>SC0003557</t>
  </si>
  <si>
    <t>RICHLAND</t>
  </si>
  <si>
    <t>IS24</t>
  </si>
  <si>
    <t>Organic Fiber Manufacturing</t>
  </si>
  <si>
    <t>Outlet Saluda River</t>
  </si>
  <si>
    <t>2022 TRI contains 1 chemical Nitrate Compounds</t>
  </si>
  <si>
    <t>030501091403</t>
  </si>
  <si>
    <t>SC0047813</t>
  </si>
  <si>
    <t>Beaverdam Creek-Turkey Creek</t>
  </si>
  <si>
    <t>TN0003671</t>
  </si>
  <si>
    <t>HAWKINS COUNTY</t>
  </si>
  <si>
    <t>IS31</t>
  </si>
  <si>
    <t>Explosives Manufacturing</t>
  </si>
  <si>
    <t>Holston River-Hord Creek</t>
  </si>
  <si>
    <t>TX0004669</t>
  </si>
  <si>
    <t>Grays Bayou-Neches River</t>
  </si>
  <si>
    <t>2022 TRI reports one chemical Chlorine as 'ANCILLARY OR OTHER USE'</t>
  </si>
  <si>
    <t>TX0006068</t>
  </si>
  <si>
    <t>TX0007421</t>
  </si>
  <si>
    <t>HARRIS COUNTY</t>
  </si>
  <si>
    <t>Vince Bayou-Buffalo Bayou</t>
  </si>
  <si>
    <t>Nothing reported to 2022 TRI and does not have an active air permit</t>
  </si>
  <si>
    <t>TX0023418</t>
  </si>
  <si>
    <t>KLEBERG</t>
  </si>
  <si>
    <t>Tranquitas Creek</t>
  </si>
  <si>
    <t>This entry is highlighted because it reports a disharge of 26769 kg of t-DCE in 2022, which is likely in error. NAICS/SIC indication</t>
  </si>
  <si>
    <t>TX0072168</t>
  </si>
  <si>
    <t>BRAZORIA</t>
  </si>
  <si>
    <t>Mustang Bayou</t>
  </si>
  <si>
    <t>TX0074276</t>
  </si>
  <si>
    <t>TX0084808</t>
  </si>
  <si>
    <t>2022 TRI reports Hexachlorocyclopentadiene is added as formulation component</t>
  </si>
  <si>
    <t>TX0085979</t>
  </si>
  <si>
    <t>Carpenters Bayou</t>
  </si>
  <si>
    <t>TX0102326</t>
  </si>
  <si>
    <t>CHAMBERS COUNTY</t>
  </si>
  <si>
    <t>Ellis Branch-Cedar Bayou</t>
  </si>
  <si>
    <t>Using NPDES to search 2022 TRI: No organochlorines are reported to 2022 TRI</t>
  </si>
  <si>
    <t>TX0131547</t>
  </si>
  <si>
    <t>TRAVIS</t>
  </si>
  <si>
    <t>Town Lake-Colorado River</t>
  </si>
  <si>
    <t>TX0131768</t>
  </si>
  <si>
    <t>VA0089796</t>
  </si>
  <si>
    <t>Fourmile Run-Potomac River</t>
  </si>
  <si>
    <t>Naics/SIC indication of wastehandling or remediation</t>
  </si>
  <si>
    <t>020700100301</t>
  </si>
  <si>
    <t>VA0090093</t>
  </si>
  <si>
    <t>FAIRFAX</t>
  </si>
  <si>
    <t>Difficult Run</t>
  </si>
  <si>
    <t>VAG830321</t>
  </si>
  <si>
    <t>ARLINGTON COUNTY</t>
  </si>
  <si>
    <t>VAG830334</t>
  </si>
  <si>
    <t>HARRISONBURG CITY</t>
  </si>
  <si>
    <t>Blacks Run</t>
  </si>
  <si>
    <t>020700050602</t>
  </si>
  <si>
    <t>VAG830429</t>
  </si>
  <si>
    <t>Brown Hollow Run-South Fork Shenandoah River</t>
  </si>
  <si>
    <t>020700051002</t>
  </si>
  <si>
    <t>VAG830530</t>
  </si>
  <si>
    <t>Pimmit Run-Potomac River</t>
  </si>
  <si>
    <t>VAG830543</t>
  </si>
  <si>
    <t>FALLS CHURCH CITY</t>
  </si>
  <si>
    <t>Cameron Run</t>
  </si>
  <si>
    <t>VAG830544</t>
  </si>
  <si>
    <t>VAG830548</t>
  </si>
  <si>
    <t>ALEXANDRIA CITY</t>
  </si>
  <si>
    <t>VAG830552</t>
  </si>
  <si>
    <t>AUGUSTA COUNTY</t>
  </si>
  <si>
    <t>020700081004</t>
  </si>
  <si>
    <t>VAG830554</t>
  </si>
  <si>
    <t>VAG830558</t>
  </si>
  <si>
    <t>VAG830559</t>
  </si>
  <si>
    <t>VAG830560</t>
  </si>
  <si>
    <t>020700100103</t>
  </si>
  <si>
    <t>VAG830561</t>
  </si>
  <si>
    <t>VIRGINIA BEACH CITY</t>
  </si>
  <si>
    <t>Lynnhaven River</t>
  </si>
  <si>
    <t>020801080201</t>
  </si>
  <si>
    <t>VAG830562</t>
  </si>
  <si>
    <t>VAG830566</t>
  </si>
  <si>
    <t>VAG830567</t>
  </si>
  <si>
    <t>Little Hunting Creek-Potomac River</t>
  </si>
  <si>
    <t>VAG830568</t>
  </si>
  <si>
    <t>Rudee Inlet-Atlantic Ocean</t>
  </si>
  <si>
    <t>020403040501</t>
  </si>
  <si>
    <t>VAG830569</t>
  </si>
  <si>
    <t>VAG830575</t>
  </si>
  <si>
    <t>020700100302</t>
  </si>
  <si>
    <t>VAG830588</t>
  </si>
  <si>
    <t>VAG830596</t>
  </si>
  <si>
    <t>FAIRFAX COUNTY</t>
  </si>
  <si>
    <t>VAG830597</t>
  </si>
  <si>
    <t>VAG830598</t>
  </si>
  <si>
    <t>VT0101249</t>
  </si>
  <si>
    <t>CALEDONIA</t>
  </si>
  <si>
    <t>East Branch Passumpsic River</t>
  </si>
  <si>
    <t>010801020102</t>
  </si>
  <si>
    <t>WV0004740</t>
  </si>
  <si>
    <t>MONONGALIA</t>
  </si>
  <si>
    <t>Cobun Creek-Monongahela River</t>
  </si>
  <si>
    <t>WV0005169</t>
  </si>
  <si>
    <t>WETZEL</t>
  </si>
  <si>
    <t>Haynes Run-Ohio River</t>
  </si>
  <si>
    <t>Covestro makes polyurethanes and other chems</t>
  </si>
  <si>
    <t>Facility Street</t>
  </si>
  <si>
    <t>Facility Zip Code</t>
  </si>
  <si>
    <t>Form Type</t>
  </si>
  <si>
    <t>NAICS Code</t>
  </si>
  <si>
    <t>NAICS Description</t>
  </si>
  <si>
    <t>IS Code and Description</t>
  </si>
  <si>
    <t>On-site Water Release (lbs)</t>
  </si>
  <si>
    <t>On-site Water Release (kg)</t>
  </si>
  <si>
    <t>Total transfers to POTW for treatment and release (lbs)</t>
  </si>
  <si>
    <t>Total transfers to POTW for treatment and release (kg)</t>
  </si>
  <si>
    <t>Transfers for wastewater treatment (non-POTW) (lbs)</t>
  </si>
  <si>
    <t>Transfers for wastewater treatment (non-POTW) (kg)</t>
  </si>
  <si>
    <t>Basis for OES</t>
  </si>
  <si>
    <t>1703 CROSSPOINT AVE</t>
  </si>
  <si>
    <t>A</t>
  </si>
  <si>
    <t>Plastics Material and Resin Manufacturing</t>
  </si>
  <si>
    <t>1,2-DCE (cis and trans) is manufactured as the unintentional byproducts during the manufacture of 1,2-DCA as indicated by the Test Order for 1,1-DCA, 1,2-DCA, and 1,1,2-TCA. This facility's wastewater is discharged by the Dow Freeport facility, of which it is a tenant.</t>
  </si>
  <si>
    <t>2301 N BRAZOSPORT BLVD</t>
  </si>
  <si>
    <t>R</t>
  </si>
  <si>
    <t>Manufacturing as a byproduct</t>
  </si>
  <si>
    <t>t-DCE Test Order indicates the COU for this facility.</t>
  </si>
  <si>
    <t>1969 PALOMAR OAKS WAY</t>
  </si>
  <si>
    <t>All Other Miscellaneous Chemical Product and Preparation Manufacturing</t>
  </si>
  <si>
    <t>1300 PPG DR</t>
  </si>
  <si>
    <t>Fossil Fuel Electric Power Generation</t>
  </si>
  <si>
    <t>Other Basic Inorganic Chemical Manufacturing</t>
  </si>
  <si>
    <t>2. REPORTING YEAR</t>
  </si>
  <si>
    <t>10. FACILITY NAME</t>
  </si>
  <si>
    <t>11. FACILITY STREET</t>
  </si>
  <si>
    <t>12. FACILITY CITY</t>
  </si>
  <si>
    <t>14. FACILITY STATE</t>
  </si>
  <si>
    <t>15. FACILITY ZIP CODE</t>
  </si>
  <si>
    <t>47. LATITUDE</t>
  </si>
  <si>
    <t>48. LONGITUDE</t>
  </si>
  <si>
    <t>9. TRIFD</t>
  </si>
  <si>
    <t>74. FRS FACILITY ID</t>
  </si>
  <si>
    <t>1. FORM TYPE</t>
  </si>
  <si>
    <t>41. PRIMARY NAICS CODE</t>
  </si>
  <si>
    <t>Primary NAICS Meaning</t>
  </si>
  <si>
    <t>EPA Mapped OES</t>
  </si>
  <si>
    <t>Notes</t>
  </si>
  <si>
    <t>171. TOTAL SURFACE WATER DISCHARGE</t>
  </si>
  <si>
    <t>263. TOTAL POTW TRANSFER</t>
  </si>
  <si>
    <t>257. OFF-SITE - WASTEWATER TREATMENT (EXCLUDING POTWs) – NON-METALS ONLY</t>
  </si>
  <si>
    <t>Annual Wastewater Release (lbs)</t>
  </si>
  <si>
    <t>3M CHEMICAL OPERATIONS' CORDOVA FACILITY</t>
  </si>
  <si>
    <t>22614 RT 84 N</t>
  </si>
  <si>
    <t>CORDOVA</t>
  </si>
  <si>
    <t>61242MXXXX22614</t>
  </si>
  <si>
    <t>BARNHARDT MANUFACTURING CO NCFI POLYURETHANES DIV</t>
  </si>
  <si>
    <t>1515 CARTER ST</t>
  </si>
  <si>
    <t>MOUNT AIRY</t>
  </si>
  <si>
    <t>NC</t>
  </si>
  <si>
    <t>27030NRTHC511CA</t>
  </si>
  <si>
    <t>Urethane and Other Foam Product (except Polystyrene) Manufacturing</t>
  </si>
  <si>
    <t>BECTON DICKINSON CO HOLDREGE</t>
  </si>
  <si>
    <t>1329 W HWY 6</t>
  </si>
  <si>
    <t>HOLDREGE</t>
  </si>
  <si>
    <t>68949BCTNDWESTH</t>
  </si>
  <si>
    <t>Surgical and Medical Instrument Manufacturing</t>
  </si>
  <si>
    <t>CHEMICAL COMPOUNDING CO</t>
  </si>
  <si>
    <t>791 66TH AVE</t>
  </si>
  <si>
    <t>9462WCHMCL79166</t>
  </si>
  <si>
    <t>Soap and Other Detergent Manufacturing</t>
  </si>
  <si>
    <t>CLEAN HARBORS DEER PARK LLC</t>
  </si>
  <si>
    <t>2027 INDEPENDENCE PARKWAY SOUTH</t>
  </si>
  <si>
    <t>77536SFTYK2027B</t>
  </si>
  <si>
    <t>Hazardous Waste Treatment and Disposal</t>
  </si>
  <si>
    <t>CLEAN HARBORS EL DORADO LLC</t>
  </si>
  <si>
    <t>309 AMERICAN CIR UNION</t>
  </si>
  <si>
    <t>71730NVRNM309AM</t>
  </si>
  <si>
    <t>DOW CHEMICAL CO FREEPORT FACILITY</t>
  </si>
  <si>
    <t>77541THDWCBUILD</t>
  </si>
  <si>
    <t>EMBECTA - HOLDREGE</t>
  </si>
  <si>
    <t>1329 W US HIGHWAY  SUITE B</t>
  </si>
  <si>
    <t>6894WMBCTX1329W</t>
  </si>
  <si>
    <t>NA</t>
  </si>
  <si>
    <t>GIANT CEMENT CO</t>
  </si>
  <si>
    <t>HWY 453 &amp; I-26 (654 JUDGE ST)</t>
  </si>
  <si>
    <t>HARLEYVILLE</t>
  </si>
  <si>
    <t>29448GNTCMPOBOX</t>
  </si>
  <si>
    <t>Cement Manufacturing</t>
  </si>
  <si>
    <t>HERITAGE THERMAL SERVICES</t>
  </si>
  <si>
    <t>1250 ST GEORGE ST</t>
  </si>
  <si>
    <t>EAST LIVERPOOL</t>
  </si>
  <si>
    <t>43920VNRLL1250S</t>
  </si>
  <si>
    <t>Solid Waste Combustors and Incinerators</t>
  </si>
  <si>
    <t>MICROCARE LLC</t>
  </si>
  <si>
    <t>595 JOHN DOWNEY DR</t>
  </si>
  <si>
    <t>NEW BRITAIN</t>
  </si>
  <si>
    <t>CT</t>
  </si>
  <si>
    <t>06051</t>
  </si>
  <si>
    <t>0605WMCRCR595JH</t>
  </si>
  <si>
    <t>Other Chemical and Allied Products Merchant Wholesalers</t>
  </si>
  <si>
    <t>NCFI POLYURETHANES</t>
  </si>
  <si>
    <t>1023 BUFFALO RUN</t>
  </si>
  <si>
    <t>MISSOURI CITY</t>
  </si>
  <si>
    <t>7748WNCFMS123BU</t>
  </si>
  <si>
    <t>OCCIDENTAL CHEMICAL CORP</t>
  </si>
  <si>
    <t>4133 HWY 361</t>
  </si>
  <si>
    <t>78359CCDNTHWY36</t>
  </si>
  <si>
    <t>OXY VINYLS LP DEER PARK-VCM PLANT</t>
  </si>
  <si>
    <t>5900 HWY 225 GATE 8A</t>
  </si>
  <si>
    <t>DEER PARK</t>
  </si>
  <si>
    <t>77536CCDNTTIDAL</t>
  </si>
  <si>
    <t>OXY VINYLS LP LA PORTE VCM PLANT</t>
  </si>
  <si>
    <t>2400 MILLER CUTOFF RD</t>
  </si>
  <si>
    <t>77571LPRTC2400M</t>
  </si>
  <si>
    <t>ROSS INCINERATION SERVICES INC</t>
  </si>
  <si>
    <t>36790 GILES RD</t>
  </si>
  <si>
    <t>GRAFTON</t>
  </si>
  <si>
    <t>44044RSSNC36790</t>
  </si>
  <si>
    <t>SHINTECH PLAQUEMINE PLANT</t>
  </si>
  <si>
    <t>26270 HWY 405</t>
  </si>
  <si>
    <t>PLAQUEMINE</t>
  </si>
  <si>
    <t>70764LLMNXHWY40</t>
  </si>
  <si>
    <t>VEOLIA N.A. INC.</t>
  </si>
  <si>
    <t>7 MOBILE AVE</t>
  </si>
  <si>
    <t>SAUGET</t>
  </si>
  <si>
    <t>62201TRDWS7MOBI</t>
  </si>
  <si>
    <t>WESTLAKE CHEMICALS &amp; VINYLS LLC</t>
  </si>
  <si>
    <t>1600 VCM PLANT RD</t>
  </si>
  <si>
    <t>70669GRGGL1600V</t>
  </si>
  <si>
    <t>Petrochemical Manufacturing</t>
  </si>
  <si>
    <t>26100 HWY 405 S</t>
  </si>
  <si>
    <t>70765GRGGLHIGHW</t>
  </si>
  <si>
    <t>WESTLAKE VINYLS CO</t>
  </si>
  <si>
    <t>36045 HWY 30</t>
  </si>
  <si>
    <t>70734BRDNCLOUIS</t>
  </si>
  <si>
    <t>WESTLAKE VINYLS INC</t>
  </si>
  <si>
    <t>2468 IND US TRIAL PKWY</t>
  </si>
  <si>
    <t>42029WSTLK2468I</t>
  </si>
  <si>
    <t xml:space="preserve"> </t>
  </si>
  <si>
    <t>Non-POTW Offsite Transfer FRS IDs</t>
  </si>
  <si>
    <t>POTW Transfer FRS IDs</t>
  </si>
  <si>
    <t>2. TRIFID</t>
  </si>
  <si>
    <t>36. FACILITY NAME</t>
  </si>
  <si>
    <t>97. OFFSITE NAME</t>
  </si>
  <si>
    <t>106. FRS ID – TRANSFER LOCATION</t>
  </si>
  <si>
    <t>Reports to TRI?</t>
  </si>
  <si>
    <t>168. OFFSITE WASTEWATER TRTMT (EXCLUDING POTWs) –  M61 NON-METAL LBS</t>
  </si>
  <si>
    <t>Offsite Wastewater Trtmt (lb/day)</t>
  </si>
  <si>
    <t>19. FACILITY NAME</t>
  </si>
  <si>
    <t>77. FRS FACILITY ID</t>
  </si>
  <si>
    <t>78. POTW NAME</t>
  </si>
  <si>
    <t>84. POTW REGISTRY ID</t>
  </si>
  <si>
    <t>85. QUANTITY TRANSFERRED</t>
  </si>
  <si>
    <t>DOW CHEMICALS - FREEPORT_TX</t>
  </si>
  <si>
    <t>ENCINA WATER POLLUTION CONTROL FACILITY</t>
  </si>
  <si>
    <t>13. FACILITY COUNTY</t>
  </si>
  <si>
    <t>Region</t>
  </si>
  <si>
    <t>Non-TSCA NAICS Code?</t>
  </si>
  <si>
    <t>75. DOCUMENT CONTROL NUMBER</t>
  </si>
  <si>
    <t>76. CAS NUMBER</t>
  </si>
  <si>
    <t>78. CHEMICAL NAME</t>
  </si>
  <si>
    <t>106. MAXIMUM AMOUNT ON SITE</t>
  </si>
  <si>
    <t>TRI USE</t>
  </si>
  <si>
    <t>CDR Use</t>
  </si>
  <si>
    <t>ASCENSION PARISH</t>
  </si>
  <si>
    <t>No</t>
  </si>
  <si>
    <t>540-59-0</t>
  </si>
  <si>
    <t>1,2-Dichloroethylene</t>
  </si>
  <si>
    <t>Manufacture: Produce; Manufacture: As a byproduct; Manufacture: As an Impurity</t>
  </si>
  <si>
    <t>COLUMBIANA</t>
  </si>
  <si>
    <t>Otherwise Use: Ancillary or Other Use; Z306 - Waste Treatment</t>
  </si>
  <si>
    <t>ALAMEDA</t>
  </si>
  <si>
    <t>Processing: As a formulation component; P205 - Solvents; Processing: Repackaging</t>
  </si>
  <si>
    <t>CALCASIEU PARISH</t>
  </si>
  <si>
    <t>Manufacture: Produce; Manufacture: As a byproduct</t>
  </si>
  <si>
    <t>DORCHESTER</t>
  </si>
  <si>
    <t>Otherwise Use: Ancillary or Other Use; Z304 - Fuel</t>
  </si>
  <si>
    <t>LORAIN</t>
  </si>
  <si>
    <t>Otherwise Use: Ancillary or Other Use; Z306 - Waste Treatment; Z399 - Other</t>
  </si>
  <si>
    <t>IBERVILLE PARISH</t>
  </si>
  <si>
    <t>Manufacture: Produce; Manufacture: As a byproduct; Manufacture: As an Impurity; Processing: As a reactant; P103 - Intermediates; Processing: As an impurity</t>
  </si>
  <si>
    <t>Manufacture: Produce; Manufacture: Import; Manufacture: For on-site use/processing; Manufacture: As a byproduct; Processing: As a reactant; 102 - Raw Materials; Otherwise Use: Ancillary or Other Use; Z399 - Other</t>
  </si>
  <si>
    <t>Manufacture: Produce; Manufacture: For on-site use/processing; Processing: As a reactant; P199 - Other</t>
  </si>
  <si>
    <t>SAN PATRICIO</t>
  </si>
  <si>
    <t>Manufacture: Produce; Manufacture: As a byproduct; Otherwise Use: Ancillary or Other Use; Z399 - Other</t>
  </si>
  <si>
    <t>SAN DIEGO</t>
  </si>
  <si>
    <t>Processing: Repackaging</t>
  </si>
  <si>
    <t>PHELPS</t>
  </si>
  <si>
    <t>Otherwise Use: As a manufacturing aid; Z299 - Other; Otherwise Use: Ancillary or Other Use; Z301 - Cleaner</t>
  </si>
  <si>
    <t>Otherwise Use: Ancillary or Other Use; Z399 - Other</t>
  </si>
  <si>
    <t>ROCK ISLAND</t>
  </si>
  <si>
    <t>Processing: As a formulation component; P299 - Other</t>
  </si>
  <si>
    <t>HARTFORD</t>
  </si>
  <si>
    <t>Manufacture: Produce; Manufacture: For sale/distribution; Manufacture: As a byproduct; Manufacture: As an Impurity</t>
  </si>
  <si>
    <t>SURRY</t>
  </si>
  <si>
    <t>Processing: As a formulation component; P201 - Additives</t>
  </si>
  <si>
    <t>Manufacture: Produce; Manufacture: Import; Manufacture: For on-site use/processing; Manufacture: As a byproduct; Processing: As a reactant; P199 - Other; Processing: As an impurity; Otherwise Use: Ancillary or Other Use; Z399 - Other</t>
  </si>
  <si>
    <t>Manufacture: Produce; Manufacture: Import; Manufacture: For on-site use/processing; Manufacture: As a byproduct; Processing: As a reactant; P101 - Feedstocks; 102 - Raw Materials; Processing: As an impurity; Otherwise Use: Ancillary or Other Use; Z399 - Other</t>
  </si>
  <si>
    <t>ST. CLAIR</t>
  </si>
  <si>
    <t>Processing: Repackaging; Otherwise Use: Ancillary or Other Use; Z306 - Waste Treatment</t>
  </si>
  <si>
    <t>FORT BEND</t>
  </si>
  <si>
    <t>Manufacture: Import; Manufacture: For on-site use/processing; Processing: Repackaging; Processing: Recycling; Otherwise Use: Ancillary or Other Use; Z306 - Waste Treatment</t>
  </si>
  <si>
    <t>Manufacture: Produce; Manufacture: As an Impurity</t>
  </si>
  <si>
    <t>Manufacture: Produce; Manufacture: Import; Manufacture: For on-site use/processing; Manufacture: As a byproduct; Processing: As a reactant; Otherwise Use: Ancillary or Other Use</t>
  </si>
  <si>
    <t>Otherwise Use: As a manufacturing aid; Z299 - Other; Otherwise Use: Ancillary or Other Use; Z301 - Cleaner; Z303 - Lubricants</t>
  </si>
  <si>
    <t/>
  </si>
  <si>
    <t>Processing: Repackaging; Processing: Recycling; Otherwise Use: Ancillary or Other Use; Z306 - Waste Treatment</t>
  </si>
  <si>
    <t>Major/Non-Major Status</t>
  </si>
  <si>
    <t>SIC Code</t>
  </si>
  <si>
    <t>Possible OESs from NAICS-OES Crosswalk</t>
  </si>
  <si>
    <t>OES rationale</t>
  </si>
  <si>
    <t>Facility Mapping Consistency Check</t>
  </si>
  <si>
    <t>Total Pounds (lb/yr)</t>
  </si>
  <si>
    <t>Bottom 10th percentile</t>
  </si>
  <si>
    <t>DMR Custom Search</t>
  </si>
  <si>
    <t>Major</t>
  </si>
  <si>
    <t>Non-Major</t>
  </si>
  <si>
    <t>Life Cycle Stage</t>
  </si>
  <si>
    <t>Category</t>
  </si>
  <si>
    <t> </t>
  </si>
  <si>
    <t>Remediation</t>
  </si>
  <si>
    <t>Use GS/ESD</t>
  </si>
  <si>
    <t>NAICS Codes</t>
  </si>
  <si>
    <t>NAICS Descriptions</t>
  </si>
  <si>
    <t>Processing as a reactant</t>
  </si>
  <si>
    <t>Machine Shops</t>
  </si>
  <si>
    <t>Use of adhesives and sealants</t>
  </si>
  <si>
    <t>Waste handling, treatment, and disposal</t>
  </si>
  <si>
    <t>Industrial Organic Chemicals, NEC (aliphatics)</t>
  </si>
  <si>
    <t>Alkalies and Chlorine</t>
  </si>
  <si>
    <t>Industrial Inorganic Chemicals, NEC (recovering sulfur from natural gas)</t>
  </si>
  <si>
    <t>Plastics Materials, Synthetic and Resins, and Nonvulcanizable Elastomers</t>
  </si>
  <si>
    <t>Surface Active Agents, Finishing Agents, Sulfonated Oils, and Assistants</t>
  </si>
  <si>
    <t>Aircraft Engines and Engine Parts (except research and development not producing prototypes)</t>
  </si>
  <si>
    <t>Guided Missile and Space Vehicle Propulsion Units and Propulsion Unit Parts (except research and development not producing prototypes))</t>
  </si>
  <si>
    <t xml:space="preserve">Amusement Parks </t>
  </si>
  <si>
    <t>Sewerage Systems</t>
  </si>
  <si>
    <t>Waste handling, disposal, and treatment</t>
  </si>
  <si>
    <t>Refuse Systems (hazardous waste treatment and disposal)</t>
  </si>
  <si>
    <t>Drycleaning Plants, Except Rug Cleaning</t>
  </si>
  <si>
    <t>Nonclassifiable Establishments</t>
  </si>
  <si>
    <t>Ground or Treated Mineral and Earth Manufacturing</t>
  </si>
  <si>
    <t>*Not included in ERG's analysis plan, mapped to OES based on NAICS description</t>
  </si>
  <si>
    <t>2017 NAICS U.S. Matched to 2022 NAICS U.S. (Full Concordance)</t>
  </si>
  <si>
    <t>(Note:  2022 NAICS codes in bold indicate pieces of the 2022 industry came from more than one 2017 NAICS industry; 2017 NAICS codes in italics indicate the 2017 industry split to two or more 2022 NAICS industries.)</t>
  </si>
  <si>
    <t>2017 NAICS Code</t>
  </si>
  <si>
    <r>
      <t>2017 NAICS Title
(</t>
    </r>
    <r>
      <rPr>
        <b/>
        <i/>
        <sz val="10"/>
        <rFont val="Arial"/>
        <family val="2"/>
      </rPr>
      <t xml:space="preserve">and specific piece of the 2017 industry that is contained in the 2022 industry) </t>
    </r>
  </si>
  <si>
    <t>2022 NAICS Code</t>
  </si>
  <si>
    <t>2022 NAICS Title</t>
  </si>
  <si>
    <t>Soybean Farming</t>
  </si>
  <si>
    <t>Oilseed (except Soybean) Farming</t>
  </si>
  <si>
    <t>Dry Pea and Bean Farming</t>
  </si>
  <si>
    <t>Wheat Farming</t>
  </si>
  <si>
    <t>Corn Farming</t>
  </si>
  <si>
    <t>Rice Farming</t>
  </si>
  <si>
    <t>Oilseed and Grain Combination Farming</t>
  </si>
  <si>
    <t>All Other Grain Farming</t>
  </si>
  <si>
    <t>Potato Farming</t>
  </si>
  <si>
    <t>Other Vegetable (except Potato) and Melon Farming</t>
  </si>
  <si>
    <t>Orange Groves</t>
  </si>
  <si>
    <t>Citrus (except Orange) Groves</t>
  </si>
  <si>
    <t>Apple Orchards</t>
  </si>
  <si>
    <t>Grape Vineyards</t>
  </si>
  <si>
    <t>Strawberry Farming</t>
  </si>
  <si>
    <t>Berry (except Strawberry) Farming</t>
  </si>
  <si>
    <t>Tree Nut Farming</t>
  </si>
  <si>
    <t>Fruit and Tree Nut Combination Farming</t>
  </si>
  <si>
    <t>Other Noncitrus Fruit Farming</t>
  </si>
  <si>
    <t>Mushroom Production</t>
  </si>
  <si>
    <t>Other Food Crops Grown Under Cover</t>
  </si>
  <si>
    <t>Nursery and Tree Production</t>
  </si>
  <si>
    <t>Floriculture Production</t>
  </si>
  <si>
    <t>Tobacco Farming</t>
  </si>
  <si>
    <t>Cotton Farming</t>
  </si>
  <si>
    <t>Sugarcane Farming</t>
  </si>
  <si>
    <t>Hay Farming</t>
  </si>
  <si>
    <t>Sugar Beet Farming</t>
  </si>
  <si>
    <t>Peanut Farming</t>
  </si>
  <si>
    <t>All Other Miscellaneous Crop Farming</t>
  </si>
  <si>
    <t>Beef Cattle Ranching and Farming</t>
  </si>
  <si>
    <t>Cattle Feedlots</t>
  </si>
  <si>
    <t>Dairy Cattle and Milk Production</t>
  </si>
  <si>
    <t>Dual-Purpose Cattle Ranching and Farming</t>
  </si>
  <si>
    <t>Hog and Pig Farming</t>
  </si>
  <si>
    <t>Chicken Egg Production</t>
  </si>
  <si>
    <t>Broilers and Other Meat Type Chicken Production</t>
  </si>
  <si>
    <t>Turkey Production</t>
  </si>
  <si>
    <t>Poultry Hatcheries</t>
  </si>
  <si>
    <t>Other Poultry Production</t>
  </si>
  <si>
    <t>Sheep Farming</t>
  </si>
  <si>
    <t>Goat Farming</t>
  </si>
  <si>
    <t>Finfish Farming and Fish Hatcheries</t>
  </si>
  <si>
    <t>Shellfish Farming</t>
  </si>
  <si>
    <t>Other Aquaculture</t>
  </si>
  <si>
    <t>Apiculture</t>
  </si>
  <si>
    <t>Horses and Other Equine Production</t>
  </si>
  <si>
    <t>Fur-Bearing Animal and Rabbit Production</t>
  </si>
  <si>
    <t>All Other Animal Production</t>
  </si>
  <si>
    <t>Timber Tract Operations</t>
  </si>
  <si>
    <t>Forest Nurseries and Gathering of Forest Products</t>
  </si>
  <si>
    <t>Logging</t>
  </si>
  <si>
    <t>Finfish Fishing</t>
  </si>
  <si>
    <t>Shellfish Fishing</t>
  </si>
  <si>
    <t>Other Marine Fishing</t>
  </si>
  <si>
    <t>Hunting and Trapping</t>
  </si>
  <si>
    <t>Cotton Ginning</t>
  </si>
  <si>
    <t>Soil Preparation, Planting, and Cultivating</t>
  </si>
  <si>
    <t>Crop Harvesting, Primarily by Machine</t>
  </si>
  <si>
    <t>Postharvest Crop Activities (except Cotton Ginning)</t>
  </si>
  <si>
    <t>Farm Labor Contractors and Crew Leaders</t>
  </si>
  <si>
    <t>Farm Management Services</t>
  </si>
  <si>
    <t>Support Activities for Animal Production</t>
  </si>
  <si>
    <t>Support Activities for Forestry</t>
  </si>
  <si>
    <t>Crude Petroleum Extraction</t>
  </si>
  <si>
    <t>Natural Gas Extraction</t>
  </si>
  <si>
    <t>Bituminous Coal and Lignite Surface Mining</t>
  </si>
  <si>
    <t>Surface Coal Mining</t>
  </si>
  <si>
    <r>
      <t xml:space="preserve">Anthracite Mining - </t>
    </r>
    <r>
      <rPr>
        <i/>
        <sz val="10"/>
        <rFont val="Arial"/>
        <family val="2"/>
      </rPr>
      <t>anthracite surface mining</t>
    </r>
  </si>
  <si>
    <t>Bituminous Coal Underground Mining</t>
  </si>
  <si>
    <t>Underground Coal Mining</t>
  </si>
  <si>
    <r>
      <t xml:space="preserve">Anthracite Mining - </t>
    </r>
    <r>
      <rPr>
        <i/>
        <sz val="10"/>
        <rFont val="Arial"/>
        <family val="2"/>
      </rPr>
      <t>anthracite underground mining</t>
    </r>
  </si>
  <si>
    <t>Iron Ore Mining</t>
  </si>
  <si>
    <t>Gold Ore Mining</t>
  </si>
  <si>
    <t>Gold Ore and Silver Ore Mining</t>
  </si>
  <si>
    <t>Silver Ore Mining</t>
  </si>
  <si>
    <t>Copper, Nickel, Lead, and Zinc Mining</t>
  </si>
  <si>
    <t>Uranium-Radium-Vanadium Ore Mining</t>
  </si>
  <si>
    <t>Other Metal Ore Mining</t>
  </si>
  <si>
    <t>All Other Metal Ore Mining</t>
  </si>
  <si>
    <t>Dimension Stone Mining and Quarrying</t>
  </si>
  <si>
    <t>Crushed and Broken Limestone Mining and Quarrying</t>
  </si>
  <si>
    <t>Crushed and Broken Granite Mining and Quarrying</t>
  </si>
  <si>
    <t>Other Crushed and Broken Stone Mining and Quarrying</t>
  </si>
  <si>
    <t>Construction Sand and Gravel Mining</t>
  </si>
  <si>
    <t>Industrial Sand Mining</t>
  </si>
  <si>
    <t>Kaolin and Ball Clay Mining</t>
  </si>
  <si>
    <t>Kaolin, Clay, and Ceramic and Refractory Minerals Mining</t>
  </si>
  <si>
    <t>Clay and Ceramic and Refractory Minerals Mining</t>
  </si>
  <si>
    <t>Potash, Soda, and Borate Mineral Mining</t>
  </si>
  <si>
    <t>Other Nonmetallic Mineral Mining and Quarrying</t>
  </si>
  <si>
    <t>Phosphate Rock Mining</t>
  </si>
  <si>
    <t>Other Chemical and Fertilizer Mineral Mining</t>
  </si>
  <si>
    <t>All Other Nonmetallic Mineral Mining</t>
  </si>
  <si>
    <t>Drilling Oil and Gas Wells</t>
  </si>
  <si>
    <t>Support Activities for Oil and Gas Operations</t>
  </si>
  <si>
    <t>Support Activities for Coal Mining</t>
  </si>
  <si>
    <t>Support Activities for Metal Mining</t>
  </si>
  <si>
    <t>Support Activities for Nonmetallic Minerals (except Fuels) Mining</t>
  </si>
  <si>
    <t>Hydroelectric Power Generation</t>
  </si>
  <si>
    <t>Nuclear Electric Power Generation</t>
  </si>
  <si>
    <t>Solar Electric Power Generation</t>
  </si>
  <si>
    <t>Wind Electric Power Generation</t>
  </si>
  <si>
    <t>Geothermal Electric Power Generation</t>
  </si>
  <si>
    <t>Biomass Electric Power Generation</t>
  </si>
  <si>
    <t>Other Electric Power Generation</t>
  </si>
  <si>
    <t>Electric Bulk Power Transmission and Control</t>
  </si>
  <si>
    <t>Electric Power Distribution</t>
  </si>
  <si>
    <t>Natural Gas Distribution</t>
  </si>
  <si>
    <t>Water Supply and Irrigation Systems</t>
  </si>
  <si>
    <t>Sewage Treatment Facilities</t>
  </si>
  <si>
    <t>Steam and Air-Conditioning Supply</t>
  </si>
  <si>
    <t>New Single-Family Housing Construction (except For-Sale Builders)</t>
  </si>
  <si>
    <t>New Multifamily Housing Construction (except For-Sale Builders)</t>
  </si>
  <si>
    <t>New Housing For-Sale Builders</t>
  </si>
  <si>
    <t>Residential Remodelers</t>
  </si>
  <si>
    <t>Industrial Building Construction</t>
  </si>
  <si>
    <t>Commercial and Institutional Building Construction</t>
  </si>
  <si>
    <t>Water and Sewer Line and Related Structures Construction</t>
  </si>
  <si>
    <t>Oil and Gas Pipeline and Related Structures Construction</t>
  </si>
  <si>
    <t>Power and Communication Line and Related Structures Construction</t>
  </si>
  <si>
    <t>Land Subdivision</t>
  </si>
  <si>
    <t>Highway, Street, and Bridge Construction</t>
  </si>
  <si>
    <t>Other Heavy and Civil Engineering Construction</t>
  </si>
  <si>
    <t>Poured Concrete Foundation and Structure Contractors</t>
  </si>
  <si>
    <t>Structural Steel and Precast Concrete Contractors</t>
  </si>
  <si>
    <t>Framing Contractors</t>
  </si>
  <si>
    <t>Masonry Contractors</t>
  </si>
  <si>
    <t>Glass and Glazing Contractors</t>
  </si>
  <si>
    <t>Roofing Contractors</t>
  </si>
  <si>
    <t>Siding Contractors</t>
  </si>
  <si>
    <t>Other Foundation, Structure, and Building Exterior Contractors</t>
  </si>
  <si>
    <t>Electrical Contractors and Other Wiring Installation Contractors</t>
  </si>
  <si>
    <t>Plumbing, Heating, and Air-Conditioning Contractors</t>
  </si>
  <si>
    <t>Other Building Equipment Contractors</t>
  </si>
  <si>
    <t>Drywall and Insulation Contractors</t>
  </si>
  <si>
    <t>Painting and Wall Covering Contractors</t>
  </si>
  <si>
    <t>Flooring Contractors</t>
  </si>
  <si>
    <t>Tile and Terrazzo Contractors</t>
  </si>
  <si>
    <t>Finish Carpentry Contractors</t>
  </si>
  <si>
    <t>Other Building Finishing Contractors</t>
  </si>
  <si>
    <t>Site Preparation Contractors</t>
  </si>
  <si>
    <t>All Other Specialty Trade Contractors</t>
  </si>
  <si>
    <t>Dog and Cat Food Manufacturing</t>
  </si>
  <si>
    <t>Other Animal Food Manufacturing</t>
  </si>
  <si>
    <t>Flour Milling</t>
  </si>
  <si>
    <t>Rice Milling</t>
  </si>
  <si>
    <t>Malt Manufacturing</t>
  </si>
  <si>
    <t>Wet Corn Milling</t>
  </si>
  <si>
    <t>Wet Corn Milling and Starch Manufacturing</t>
  </si>
  <si>
    <t>Soybean and Other Oilseed Processing</t>
  </si>
  <si>
    <t>Fats and Oils Refining and Blending</t>
  </si>
  <si>
    <t>Breakfast Cereal Manufacturing</t>
  </si>
  <si>
    <t>Beet Sugar Manufacturing</t>
  </si>
  <si>
    <t>Cane Sugar Manufacturing</t>
  </si>
  <si>
    <t>Nonchocolate Confectionery Manufacturing</t>
  </si>
  <si>
    <t>Chocolate and Confectionery Manufacturing from Cacao Beans</t>
  </si>
  <si>
    <t>Confectionery Manufacturing from Purchased Chocolate</t>
  </si>
  <si>
    <t>Frozen Fruit, Juice, and Vegetable Manufacturing</t>
  </si>
  <si>
    <t>Frozen Specialty Food Manufacturing</t>
  </si>
  <si>
    <t>Fruit and Vegetable Canning</t>
  </si>
  <si>
    <t>Specialty Canning</t>
  </si>
  <si>
    <t>Dried and Dehydrated Food Manufacturing</t>
  </si>
  <si>
    <t>Fluid Milk Manufacturing</t>
  </si>
  <si>
    <t>Creamery Butter Manufacturing</t>
  </si>
  <si>
    <t>Cheese Manufacturing</t>
  </si>
  <si>
    <t>Dry, Condensed, and Evaporated Dairy Product Manufacturing</t>
  </si>
  <si>
    <t>Ice Cream and Frozen Dessert Manufacturing</t>
  </si>
  <si>
    <t>Animal (except Poultry) Slaughtering</t>
  </si>
  <si>
    <t>Meat Processed from Carcasses</t>
  </si>
  <si>
    <t>Rendering and Meat Byproduct Processing</t>
  </si>
  <si>
    <t>Poultry Processing</t>
  </si>
  <si>
    <t>Seafood Product Preparation and Packaging</t>
  </si>
  <si>
    <t>Retail Bakeries</t>
  </si>
  <si>
    <t>Commercial Bakeries</t>
  </si>
  <si>
    <t>Frozen Cakes, Pies, and Other Pastries Manufacturing</t>
  </si>
  <si>
    <t>Cookie and Cracker Manufacturing</t>
  </si>
  <si>
    <t>Dry Pasta, Dough, and Flour Mixes Manufacturing from Purchased Flour</t>
  </si>
  <si>
    <t>Tortilla Manufacturing</t>
  </si>
  <si>
    <t>Roasted Nuts and Peanut Butter Manufacturing</t>
  </si>
  <si>
    <t>Other Snack Food Manufacturing</t>
  </si>
  <si>
    <t>Coffee and Tea Manufacturing</t>
  </si>
  <si>
    <t>Flavoring Syrup and Concentrate Manufacturing</t>
  </si>
  <si>
    <t>Mayonnaise, Dressing, and Other Prepared Sauce Manufacturing</t>
  </si>
  <si>
    <t>Spice and Extract Manufacturing</t>
  </si>
  <si>
    <t>Perishable Prepared Food Manufacturing</t>
  </si>
  <si>
    <t>All Other Miscellaneous Food Manufacturing</t>
  </si>
  <si>
    <t>Soft Drink Manufacturing</t>
  </si>
  <si>
    <t>Bottled Water Manufacturing</t>
  </si>
  <si>
    <t>Ice Manufacturing</t>
  </si>
  <si>
    <t>Breweries</t>
  </si>
  <si>
    <t>Wineries</t>
  </si>
  <si>
    <t>Distilleries</t>
  </si>
  <si>
    <t>Tobacco Manufacturing</t>
  </si>
  <si>
    <t>Fiber, Yarn, and Thread Mills</t>
  </si>
  <si>
    <t>Broadwoven Fabric Mills</t>
  </si>
  <si>
    <t>Narrow Fabric Mills and Schiffli Machine Embroidery</t>
  </si>
  <si>
    <t>Nonwoven Fabric Mills</t>
  </si>
  <si>
    <t>Knit Fabric Mills</t>
  </si>
  <si>
    <t>Textile and Fabric Finishing Mills</t>
  </si>
  <si>
    <t>Fabric Coating Mills</t>
  </si>
  <si>
    <t>Carpet and Rug Mills</t>
  </si>
  <si>
    <t>Curtain and Linen Mills</t>
  </si>
  <si>
    <t>Textile Bag and Canvas Mills</t>
  </si>
  <si>
    <t>Rope, Cordage, Twine, Tire Cord, and Tire Fabric Mills</t>
  </si>
  <si>
    <t>All Other Miscellaneous Textile Product Mills</t>
  </si>
  <si>
    <t>Hosiery and Sock Mills</t>
  </si>
  <si>
    <t>Apparel Knitting Mills</t>
  </si>
  <si>
    <t>Other Apparel Knitting Mills</t>
  </si>
  <si>
    <t>Cut and Sew Apparel Contractors</t>
  </si>
  <si>
    <t>Men's and Boys' Cut and Sew Apparel Manufacturing</t>
  </si>
  <si>
    <t>Cut and Sew Apparel Manufacturing (except Contractors)</t>
  </si>
  <si>
    <t>Women's, Girls', and Infants' Cut and Sew Apparel Manufacturing</t>
  </si>
  <si>
    <t>Other Cut and Sew Apparel Manufacturing</t>
  </si>
  <si>
    <t>Apparel Accessories and Other Apparel Manufacturing</t>
  </si>
  <si>
    <t>Leather and Hide Tanning and Finishing</t>
  </si>
  <si>
    <t>Footwear Manufacturing</t>
  </si>
  <si>
    <t>Women's Handbag and Purse Manufacturing</t>
  </si>
  <si>
    <t>Other Leather and Allied Product Manufacturing</t>
  </si>
  <si>
    <t>All Other Leather Good and Allied Product Manufacturing</t>
  </si>
  <si>
    <t>Sawmills</t>
  </si>
  <si>
    <t>Wood Preservation</t>
  </si>
  <si>
    <t>Hardwood Veneer and Plywood Manufacturing</t>
  </si>
  <si>
    <t>Softwood Veneer and Plywood Manufacturing</t>
  </si>
  <si>
    <t>Engineered Wood Member (except Truss) Manufacturing</t>
  </si>
  <si>
    <t>Engineered Wood Member Manufacturing</t>
  </si>
  <si>
    <t>Truss Manufacturing</t>
  </si>
  <si>
    <t>Reconstituted Wood Product Manufacturing</t>
  </si>
  <si>
    <t>Wood Window and Door Manufacturing</t>
  </si>
  <si>
    <t>Cut Stock, Resawing Lumber, and Planing</t>
  </si>
  <si>
    <t>Other Millwork (including Flooring)</t>
  </si>
  <si>
    <t>Wood Container and Pallet Manufacturing</t>
  </si>
  <si>
    <t>Manufactured Home (Mobile Home) Manufacturing</t>
  </si>
  <si>
    <t>Prefabricated Wood Building Manufacturing</t>
  </si>
  <si>
    <t>All Other Miscellaneous Wood Product Manufacturing</t>
  </si>
  <si>
    <t>Pulp Mills</t>
  </si>
  <si>
    <t>Paper (except Newsprint) Mills</t>
  </si>
  <si>
    <t>Paper Mills</t>
  </si>
  <si>
    <t>Newsprint Mills</t>
  </si>
  <si>
    <t>Paperboard Mills</t>
  </si>
  <si>
    <t>Corrugated and Solid Fiber Box Manufacturing</t>
  </si>
  <si>
    <t>Folding Paperboard Box Manufacturing</t>
  </si>
  <si>
    <t>Other Paperboard Container Manufacturing</t>
  </si>
  <si>
    <t>Paper Bag and Coated and Treated Paper Manufacturing</t>
  </si>
  <si>
    <t>Stationery Product Manufacturing</t>
  </si>
  <si>
    <t>Sanitary Paper Product Manufacturing</t>
  </si>
  <si>
    <t>All Other Converted Paper Product Manufacturing</t>
  </si>
  <si>
    <t>Commercial Printing (except Screen and Books)</t>
  </si>
  <si>
    <t>Commercial Screen Printing</t>
  </si>
  <si>
    <t>Books Printing</t>
  </si>
  <si>
    <t>Support Activites for Printing</t>
  </si>
  <si>
    <t>Asphalt Paving Mixture and Block Manufacturing</t>
  </si>
  <si>
    <t>Asphalt Shingle and Coating Materials Manufacturing</t>
  </si>
  <si>
    <t>Petroleum Lubricating Oil and Grease Manufacturing</t>
  </si>
  <si>
    <t>All Other Petroleum and Coal Products Manufacturing</t>
  </si>
  <si>
    <t>Industrial Gas Manufacturing</t>
  </si>
  <si>
    <t>Synthetic Dye and Pigment Manufacturing</t>
  </si>
  <si>
    <t>Ethyl Alcohol Manufacturing</t>
  </si>
  <si>
    <t>Cyclic Crude, Intermediate, and Gum and Wood Chemical Manufacturing</t>
  </si>
  <si>
    <t>Synthetic Rubber Manufacturing</t>
  </si>
  <si>
    <t>Artificial and Synthetic Fibers and Filaments Manufacturing</t>
  </si>
  <si>
    <t>Nitrogenous Fertilizer Manufacturing</t>
  </si>
  <si>
    <t>Phosphatic Fertilizer Manufacturing</t>
  </si>
  <si>
    <r>
      <t xml:space="preserve">Fertilizer (Mixing Only) Manufacturing - </t>
    </r>
    <r>
      <rPr>
        <i/>
        <sz val="10"/>
        <rFont val="Arial"/>
        <family val="2"/>
      </rPr>
      <t>except compost manufacturing</t>
    </r>
  </si>
  <si>
    <t>Fertilizer (Mixing Only) Manufacturing</t>
  </si>
  <si>
    <r>
      <t xml:space="preserve">Fertilizer (Mixing Only) Manufacturing - </t>
    </r>
    <r>
      <rPr>
        <i/>
        <sz val="10"/>
        <rFont val="Arial"/>
        <family val="2"/>
      </rPr>
      <t>compost manufacturing</t>
    </r>
  </si>
  <si>
    <t>Compost Manufacturing</t>
  </si>
  <si>
    <t>Pesticide and Other Agricultural Chemical Manufacturing</t>
  </si>
  <si>
    <t>Medicinal and Botanical Manufacturing</t>
  </si>
  <si>
    <t>Pharmaceutical Preparation Manufacturing</t>
  </si>
  <si>
    <t>In-Vitro Diagnostic Substance Manufacturing</t>
  </si>
  <si>
    <t>Biological Product (except Diagnostic) Manufacturing</t>
  </si>
  <si>
    <t>Adhesive Manufacturing</t>
  </si>
  <si>
    <t>Polish and Other Sanitation Good Manufacturing</t>
  </si>
  <si>
    <t>Surface Active Agent Manufacturing</t>
  </si>
  <si>
    <t>Toilet Preparation Manufacturing</t>
  </si>
  <si>
    <t>Printing Ink Manufacturing</t>
  </si>
  <si>
    <t>Custom Compounding of Purchased Resins</t>
  </si>
  <si>
    <t>Photographic Film, Paper, Plate, and Chemical Manufacturing</t>
  </si>
  <si>
    <t>Photographic Film, Paper, Plate, Chemical, and Copy Toner Manufacturing</t>
  </si>
  <si>
    <t>Plastics Bag and Pouch Manufacturing</t>
  </si>
  <si>
    <t>Plastics Packaging Film and Sheet (including Laminated) Manufacturing</t>
  </si>
  <si>
    <t>Unlaminated Plastics Film and Sheet (except Packaging) Manufacturing</t>
  </si>
  <si>
    <t>Unlaminated Plastics Profile Shape Manufacturing</t>
  </si>
  <si>
    <t>Plastics Pipe and Pipe Fitting Manufacturing</t>
  </si>
  <si>
    <t>Laminated Plastics Plate, Sheet (except Packaging), and Shape Manufacturing</t>
  </si>
  <si>
    <t>Polystyrene Foam Product Manufacturing</t>
  </si>
  <si>
    <t>Plastics Bottle Manufacturing</t>
  </si>
  <si>
    <t>Plastics Plumbing Fixture Manufacturing</t>
  </si>
  <si>
    <t>All Other Plastics Product Manufacturing</t>
  </si>
  <si>
    <t>Tire Manufacturing (except Retreading)</t>
  </si>
  <si>
    <t>Tire Retreading</t>
  </si>
  <si>
    <t>Rubber and Plastics Hoses and Belting Manufacturing</t>
  </si>
  <si>
    <t>Rubber Product Manufacturing for Mechanical Use</t>
  </si>
  <si>
    <t>All Other Rubber Product Manufacturing</t>
  </si>
  <si>
    <t>Pottery, Ceramics, and Plumbing Fixture Manufacturing</t>
  </si>
  <si>
    <t>Clay Building Material and Refractories Manufacturing</t>
  </si>
  <si>
    <t>Flat Glass Manufacturing</t>
  </si>
  <si>
    <t>Other Pressed and Blown Glass and Glassware Manufacturing</t>
  </si>
  <si>
    <t>Glass Container Manufacturing</t>
  </si>
  <si>
    <t>Glass Product Manufacturing Made of Purchased Glass</t>
  </si>
  <si>
    <t>Ready-Mix Concrete Manufacturing</t>
  </si>
  <si>
    <t>Concrete Block and Brick Manufacturing</t>
  </si>
  <si>
    <t>Concrete Pipe Manufacturing</t>
  </si>
  <si>
    <t>Other Concrete Product Manufacturing</t>
  </si>
  <si>
    <t>Lime Manufacturing</t>
  </si>
  <si>
    <t>Gypsum Product Manufacturing</t>
  </si>
  <si>
    <t>Abrasive Product Manufacturing</t>
  </si>
  <si>
    <t>Cut Stone and Stone Product Manufacturing</t>
  </si>
  <si>
    <t>Mineral Wool Manufacturing</t>
  </si>
  <si>
    <t>All Other Miscellaneous Nonmetallic Mineral Product Manufacturing</t>
  </si>
  <si>
    <t>Iron and Steel Mills and Ferroalloy Manufacturing</t>
  </si>
  <si>
    <t>Iron and Steel Pipe and Tube Manufacturing from Purchased Steel</t>
  </si>
  <si>
    <t>Rolled Steel Shape Manufacturing</t>
  </si>
  <si>
    <t>Steel Wire Drawing</t>
  </si>
  <si>
    <t>Alumina Refining and Primary Aluminum Production</t>
  </si>
  <si>
    <t>Secondary Smelting and Alloying of Aluminum</t>
  </si>
  <si>
    <t>Aluminum Sheet, Plate, and Foil Manufacturing</t>
  </si>
  <si>
    <t>Other Aluminum Rolling, Drawing, and Extruding</t>
  </si>
  <si>
    <t>Nonferrous Metal (except Aluminum) Smelting and Refining</t>
  </si>
  <si>
    <t>Copper Rolling, Drawing, Extruding, and Alloying</t>
  </si>
  <si>
    <t>Nonferrous Metal (except Copper and Aluminum) Rolling, Drawing, and Extruding</t>
  </si>
  <si>
    <t>Secondary Smelting, Refining, and Alloying of Nonferrous Metal (except Copper and Aluminum)</t>
  </si>
  <si>
    <t>Iron Foundries</t>
  </si>
  <si>
    <t>Steel Investment Foundries</t>
  </si>
  <si>
    <t>Steel Foundries (except Investment)</t>
  </si>
  <si>
    <t>Nonferrous Metal Die-Casting Foundries</t>
  </si>
  <si>
    <t>Aluminum Foundries (except Die-Casting)</t>
  </si>
  <si>
    <t>Other Nonferrous Metal Foundries (except Die-Casting)</t>
  </si>
  <si>
    <t>Iron and Steel Forging</t>
  </si>
  <si>
    <t>Nonferrous Forging</t>
  </si>
  <si>
    <t>Custom Roll Forming</t>
  </si>
  <si>
    <t>Powder Metallurgy Part Manufacturing</t>
  </si>
  <si>
    <t>Metal Crown, Closure, and Other Metal Stamping (except Automotive)</t>
  </si>
  <si>
    <t>Metal Kitchen Cookware, Utensil, Cutlery, and Flatware (except Precious) Manufacturing</t>
  </si>
  <si>
    <t>Saw Blade and Handtool Manufacturing</t>
  </si>
  <si>
    <t>Prefabricated Metal Building and Component Manufacturing</t>
  </si>
  <si>
    <t>Fabricated Structural Metal Manufacturing</t>
  </si>
  <si>
    <t>Plate Work Manufacturing</t>
  </si>
  <si>
    <t>Metal Window and Door Manufacturing</t>
  </si>
  <si>
    <t>Sheet Metal Work Manufacturing</t>
  </si>
  <si>
    <t>Ornamental and Architectural Metal Work Manufacturing</t>
  </si>
  <si>
    <t>Power Boiler and Heat Exchanger Manufacturing</t>
  </si>
  <si>
    <t>Metal Tank (Heavy Gauge) Manufacturing</t>
  </si>
  <si>
    <t>Metal Can Manufacturing</t>
  </si>
  <si>
    <t>Other Metal Container Manufacturing</t>
  </si>
  <si>
    <t>Hardware Manufacturing</t>
  </si>
  <si>
    <t>Spring Manufacturing</t>
  </si>
  <si>
    <t>Other Fabricated Wire Product Manufacturing</t>
  </si>
  <si>
    <t>Precision Turned Product Manufacturing</t>
  </si>
  <si>
    <t>Bolt, Nut, Screw, Rivet, and Washer Manufacturing</t>
  </si>
  <si>
    <t>Metal Heat Treating</t>
  </si>
  <si>
    <t>Metal Coating, Engraving (except Jewelry and Silverware), and Allied Services to Manufacturers</t>
  </si>
  <si>
    <t>Electroplating, Plating, Polishing, Anodizing, and Coloring</t>
  </si>
  <si>
    <t>Industrial Valve Manufacturing</t>
  </si>
  <si>
    <t>Fluid Power Valve and Hose Fitting Manufacturing</t>
  </si>
  <si>
    <t>Plumbing Fixture Fitting and Trim Manufacturing</t>
  </si>
  <si>
    <t>Other Metal Valve and Pipe Fitting Manufacturing</t>
  </si>
  <si>
    <t>Ball and Roller Bearing Manufacturing</t>
  </si>
  <si>
    <t>Small Arms Ammunition Manufacturing</t>
  </si>
  <si>
    <t>Ammunition (except Small Arms) Manufacturing</t>
  </si>
  <si>
    <t>Small Arms, Ordnance, and Ordnance Accessories Manufacturing</t>
  </si>
  <si>
    <t>Fabricated Pipe and Pipe Fitting Manufacturing</t>
  </si>
  <si>
    <t>All Other Miscellaneous Fabricated Metal Product Manufacturing</t>
  </si>
  <si>
    <t>Farm Machinery and Equipment Manufacturing</t>
  </si>
  <si>
    <t>Lawn and Garden Tractor and Home Lawn and Garden Equipment Manufacturing</t>
  </si>
  <si>
    <t>Construction Machinery Manufacturing</t>
  </si>
  <si>
    <t>Mining Machinery and Equipment Manufacturing</t>
  </si>
  <si>
    <t>Oil and Gas Field Machinery and Equipment Manufacturing</t>
  </si>
  <si>
    <t>Food Product Machinery Manufacturing</t>
  </si>
  <si>
    <t>Semiconductor Machinery Manufacturing</t>
  </si>
  <si>
    <t>Sawmill, Woodworking, and Paper Machinery Manufacturing</t>
  </si>
  <si>
    <t>Printing Machinery and Equipment Manufacturing</t>
  </si>
  <si>
    <t>All Other Industrial Machinery Manufacturing</t>
  </si>
  <si>
    <t>Other Industrial Machinery Manufacturing</t>
  </si>
  <si>
    <t>Optical Instrument and Lens Manufacturing</t>
  </si>
  <si>
    <t>Commercial and Service Industry Machinery Manufacturing</t>
  </si>
  <si>
    <t>Photographic and Photocopying Equipment Manufacturing</t>
  </si>
  <si>
    <t>Other Commercial and Service Industry Machinery Manufacturing</t>
  </si>
  <si>
    <t>Industrial and Commercial Fan and Blower and Air Purification Equipment Manufacturing</t>
  </si>
  <si>
    <t>Heating Equipment (except Warm Air Furnaces) Manufacturing</t>
  </si>
  <si>
    <t>Air-Conditioning and Warm Air Heating Equipment and Commercial and Industrial Refrigeration Equipment Manufacturing</t>
  </si>
  <si>
    <t>Industrial Mold Manufacturing</t>
  </si>
  <si>
    <t>Special Die and Tool, Die Set, Jig, and Fixture Manufacturing</t>
  </si>
  <si>
    <t>Cutting Tool and Machine Tool Accessory Manufacturing</t>
  </si>
  <si>
    <t>Machine Tool Manufacturing</t>
  </si>
  <si>
    <t>Rolling Mill and Other Metalworking Machinery Manufacturing</t>
  </si>
  <si>
    <t>Turbine and Turbine Generator Set Units Manufacturing</t>
  </si>
  <si>
    <t>Speed Changer, Industrial High-Speed Drive, and Gear Manufacturing</t>
  </si>
  <si>
    <t>Mechanical Power Transmission Equipment Manufacturing</t>
  </si>
  <si>
    <t>Other Engine Equipment Manufacturing</t>
  </si>
  <si>
    <t>Air and Gas Compressor Manufacturing</t>
  </si>
  <si>
    <t>Measuring, Dispensing, and Other Pumping Equipment Manufacturing</t>
  </si>
  <si>
    <t>Elevator and Moving Stairway Manufacturing</t>
  </si>
  <si>
    <t>Conveyor and Conveying Equipment Manufacturing</t>
  </si>
  <si>
    <t>Overhead Traveling Crane, Hoist, and Monorail System Manufacturing</t>
  </si>
  <si>
    <t>Industrial Truck, Tractor, Trailer, and Stacker Machinery Manufacturing</t>
  </si>
  <si>
    <t>Power-Driven Handtool Manufacturing</t>
  </si>
  <si>
    <t>Welding and Soldering Equipment Manufacturing</t>
  </si>
  <si>
    <t>Packaging Machinery Manufacturing</t>
  </si>
  <si>
    <t>Industrial Process Furnace and Oven Manufacturing</t>
  </si>
  <si>
    <t>Fluid Power Cylinder and Actuator Manufacturing</t>
  </si>
  <si>
    <t>Fluid Power Pump and Motor Manufacturing</t>
  </si>
  <si>
    <t>Scale and Balance Manufacturing</t>
  </si>
  <si>
    <t>All Other Miscellaneous General Purpose Machinery Manufacturing</t>
  </si>
  <si>
    <t>Electronic Computer Manufacturing</t>
  </si>
  <si>
    <t>Computer Storage Device Manufacturing</t>
  </si>
  <si>
    <t>Computer Terminal and Other Computer Peripheral Equipment Manufacturing</t>
  </si>
  <si>
    <t>Telephone Apparatus Manufacturing</t>
  </si>
  <si>
    <t>Radio and Television Broadcasting and Wireless Communications Equipment Manufacturing</t>
  </si>
  <si>
    <t>Other Communications Equipment Manufacturing</t>
  </si>
  <si>
    <t>Audio and Video Equipment Manufacturing</t>
  </si>
  <si>
    <t>Bare Printed Circuit Board Manufacturing</t>
  </si>
  <si>
    <t>Semiconductor and Related Device Manufacturing</t>
  </si>
  <si>
    <t>Capacitor, Resistor, Coil, Transformer, and Other Inductor Manufacturing</t>
  </si>
  <si>
    <t>Electronic Connector Manufacturing</t>
  </si>
  <si>
    <t>Printed Circuit Assembly (Electronic Assembly) Manufacturing</t>
  </si>
  <si>
    <t>Other Electronic Component Manufacturing</t>
  </si>
  <si>
    <t>Electromedical and Electrotherapeutic Apparatus Manufacturing</t>
  </si>
  <si>
    <t>Search, Detection, Navigation, Guidance, Aeronautical, and Nautical System and Instrument Manufacturing</t>
  </si>
  <si>
    <t>Automatic Environmental Control Manufacturing for Residential, Commercial, and Appliance Use</t>
  </si>
  <si>
    <t>Instruments and Related Products Manufacturing for Measuring, Displaying, and Controlling Industrial Process Variables</t>
  </si>
  <si>
    <t>Totalizing Fluid Meter and Counting Device Manufacturing</t>
  </si>
  <si>
    <t>Instrument Manufacturing for Measuring and Testing Electricity and Electrical Signals</t>
  </si>
  <si>
    <t>Analytical Laboratory Instrument Manufacturing</t>
  </si>
  <si>
    <t>Irradiation Apparatus Manufacturing</t>
  </si>
  <si>
    <t>Other Measuring and Controlling Device Manufacturing</t>
  </si>
  <si>
    <t>Blank Magnetic and Optical Recording Media Manufacturing</t>
  </si>
  <si>
    <t>Manufacturing and Reproducing Magnetic and Optical Media</t>
  </si>
  <si>
    <t xml:space="preserve">Software and Other Prerecorded Compact Disc, Tape, and Record Reproducing </t>
  </si>
  <si>
    <t>Residential Electric Lighting Fixture Manufacturing</t>
  </si>
  <si>
    <t>Commercial, Industrial, and Institutional Electric Lighting Fixture Manufacturing</t>
  </si>
  <si>
    <t>Electric Lamp Bulb and Part Manufacturing</t>
  </si>
  <si>
    <t>Electric Lamp Bulb and Other Lighting Equipment Manufacturing</t>
  </si>
  <si>
    <t>Other Lighting Equipment Manufacturing</t>
  </si>
  <si>
    <t>Small Electrical Appliance Manufacturing</t>
  </si>
  <si>
    <t>Major Household Appliance Manufacturing</t>
  </si>
  <si>
    <t>Power, Distribution, and Specialty Transformer Manufacturing</t>
  </si>
  <si>
    <t>Motor and Generator Manufacturing</t>
  </si>
  <si>
    <t>Switchgear and Switchboard Apparatus Manufacturing</t>
  </si>
  <si>
    <t>Relay and Industrial Control Manufacturing</t>
  </si>
  <si>
    <t>Storage Battery Manufacturing</t>
  </si>
  <si>
    <t>Battery Manufacturing</t>
  </si>
  <si>
    <t>Primary Battery Manufacturing</t>
  </si>
  <si>
    <t>Fiber Optic Cable Manufacturing</t>
  </si>
  <si>
    <t>Other Communication and Energy Wire Manufacturing</t>
  </si>
  <si>
    <t>Current-Carrying Wiring Device Manufacturing</t>
  </si>
  <si>
    <t>Noncurrent-Carrying Wiring Device Manufacturing</t>
  </si>
  <si>
    <t>Carbon and Graphite Product Manufacturing</t>
  </si>
  <si>
    <t>All Other Miscellaneous Electrical Equipment and Component Manufacturing</t>
  </si>
  <si>
    <t>Automobile Manufacturing</t>
  </si>
  <si>
    <t>Automobile and Light Duty Motor Vehicle Manufacturing</t>
  </si>
  <si>
    <t>Light Truck and Utility Vehicle Manufacturing</t>
  </si>
  <si>
    <t>Heavy Duty Truck Manufacturing</t>
  </si>
  <si>
    <t>Motor Vehicle Body Manufacturing</t>
  </si>
  <si>
    <t>Truck Trailer Manufacturing</t>
  </si>
  <si>
    <t>Motor Home Manufacturing</t>
  </si>
  <si>
    <t>Travel Trailer and Camper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</si>
  <si>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</si>
  <si>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</si>
  <si>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</si>
  <si>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</si>
  <si>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</si>
  <si>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</si>
  <si>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Motor Vehicle Metal Stamping</t>
  </si>
  <si>
    <t>Other Motor Vehicle Parts Manufacturing</t>
  </si>
  <si>
    <t>Aircraft Manufacturing</t>
  </si>
  <si>
    <t>Aircraft Engine and Engine Parts Manufacturing</t>
  </si>
  <si>
    <t>Other Aircraft Parts and Auxiliary Equipment Manufacturing</t>
  </si>
  <si>
    <t>Guided Missile and Space Vehicle Manufacturing</t>
  </si>
  <si>
    <t>Guided Missile and Space Vehicle Propulsion Unit and Propulsion Unit Parts Manufacturing</t>
  </si>
  <si>
    <t>Other Guided Missile and Space Vehicle Parts and Auxiliary Equipment Manufacturing</t>
  </si>
  <si>
    <t>Railroad Rolling Stock Manufacturing</t>
  </si>
  <si>
    <t>Ship Building and Repairing</t>
  </si>
  <si>
    <t>Boat Building</t>
  </si>
  <si>
    <t>Motorcycle, Bicycle, and Parts Manufacturing</t>
  </si>
  <si>
    <t>Military Armored Vehicle, Tank, and Tank Component Manufacturing</t>
  </si>
  <si>
    <t>All Other Transportation Equipment Manufacturing</t>
  </si>
  <si>
    <t>Wood Kitchen Cabinet and Countertop Manufacturing</t>
  </si>
  <si>
    <t>Upholstered Household Furniture Manufacturing</t>
  </si>
  <si>
    <t>Nonupholstered Wood Household Furniture Manufacturing</t>
  </si>
  <si>
    <t>Metal Household Furniture Manufacturing</t>
  </si>
  <si>
    <t>Household Furniture (except Wood and Upholstered) Manufacturing</t>
  </si>
  <si>
    <t>Household Furniture (except Wood and Metal) Manufacturing</t>
  </si>
  <si>
    <t>Institutional Furniture Manufacturing</t>
  </si>
  <si>
    <t>Wood Office Furniture Manufacturing</t>
  </si>
  <si>
    <t>Custom Architectural Woodwork and Millwork Manufacturing</t>
  </si>
  <si>
    <t>Office Furniture (except Wood) Manufacturing</t>
  </si>
  <si>
    <t>Showcase, Partition, Shelving, and Locker Manufacturing</t>
  </si>
  <si>
    <t>Mattress Manufacturing</t>
  </si>
  <si>
    <t>Blind and Shade Manufacturing</t>
  </si>
  <si>
    <t>Surgical Appliance and Supplies Manufacturing</t>
  </si>
  <si>
    <t>Dental Equipment and Supplies Manufacturing</t>
  </si>
  <si>
    <t>Ophthalmic Goods Manufacturing</t>
  </si>
  <si>
    <t>Dental Laboratories</t>
  </si>
  <si>
    <t>Jewelry and Silverware Manufacturing</t>
  </si>
  <si>
    <t>Sporting and Athletic Goods Manufacturing</t>
  </si>
  <si>
    <t>Doll, Toy, and Game Manufacturing</t>
  </si>
  <si>
    <t>Office Supplies (except Paper) Manufacturing</t>
  </si>
  <si>
    <t>Sign Manufacturing</t>
  </si>
  <si>
    <t>Gasket, Packing, and Sealing Device Manufacturing</t>
  </si>
  <si>
    <t>Musical Instrument Manufacturing</t>
  </si>
  <si>
    <t>Fastener, Button, Needle, and Pin Manufacturing</t>
  </si>
  <si>
    <t>Broom, Brush, and Mop Manufacturing</t>
  </si>
  <si>
    <t>Burial Casket Manufacturing</t>
  </si>
  <si>
    <t>All Other Miscellaneous Manufacturing</t>
  </si>
  <si>
    <t>Automobile and Other Motor Vehicle Merchant Wholesalers</t>
  </si>
  <si>
    <t>Motor Vehicle Supplies and New Parts Merchant Wholesalers</t>
  </si>
  <si>
    <t>Tire and Tube Merchant Wholesalers</t>
  </si>
  <si>
    <t>Motor Vehicle Parts (Used) Merchant Wholesalers</t>
  </si>
  <si>
    <t>Furniture Merchant Wholesalers</t>
  </si>
  <si>
    <t>Home Furnishing Merchant Wholesalers</t>
  </si>
  <si>
    <t>Lumber, Plywood, Millwork, and Wood Panel Merchant Wholesalers</t>
  </si>
  <si>
    <t>Brick, Stone, and Related Construction Material Merchant Wholesalers</t>
  </si>
  <si>
    <t>Roofing, Siding, and Insulation Material Merchant Wholesalers</t>
  </si>
  <si>
    <t>Other Construction Material Merchant Wholesalers</t>
  </si>
  <si>
    <t>Photographic Equipment and Supplies Merchant Wholesalers</t>
  </si>
  <si>
    <t>Office Equipment Merchant Wholesalers</t>
  </si>
  <si>
    <t>Computer and Computer Peripheral Equipment and Software Merchant Wholesalers</t>
  </si>
  <si>
    <t>Other Commercial Equipment Merchant Wholesalers</t>
  </si>
  <si>
    <t>Medical, Dental, and Hospital Equipment and Supplies Merchant Wholesalers</t>
  </si>
  <si>
    <t>Ophthalmic Goods Merchant Wholesalers</t>
  </si>
  <si>
    <t>Other Professional Equipment and Supplies Merchant Wholesalers</t>
  </si>
  <si>
    <t>Metal Service Centers and Other Metal Merchant Wholesalers</t>
  </si>
  <si>
    <t>Coal and Other Mineral and Ore Merchant Wholesalers</t>
  </si>
  <si>
    <t>Electrical Apparatus and Equipment, Wiring Supplies, and Related Equipment Merchant Wholesalers</t>
  </si>
  <si>
    <t>Household Appliances, Electric Housewares, and Consumer Electronics Merchant Wholesalers</t>
  </si>
  <si>
    <t>Other Electronic Parts and Equipment Merchant Wholesalers</t>
  </si>
  <si>
    <t>Hardware Merchant Wholesalers</t>
  </si>
  <si>
    <t>Plumbing and Heating Equipment and Supplies (Hydronics) Merchant Wholesalers</t>
  </si>
  <si>
    <t>Warm Air Heating and Air-Conditioning Equipment and Supplies Merchant Wholesalers</t>
  </si>
  <si>
    <t>Refrigeration Equipment and Supplies Merchant Wholesalers</t>
  </si>
  <si>
    <t>Construction and Mining (except Oil Well) Machinery and Equipment Merchant Wholesalers</t>
  </si>
  <si>
    <t>Farm and Garden Machinery and Equipment Merchant Wholesalers</t>
  </si>
  <si>
    <t>Industrial Machinery and Equipment Merchant Wholesalers</t>
  </si>
  <si>
    <t>Industrial Supplies Merchant Wholesalers</t>
  </si>
  <si>
    <t>Service Establishment Equipment and Supplies Merchant Wholesalers</t>
  </si>
  <si>
    <t>Transportation Equipment and Supplies (except Motor Vehicle) Merchant Wholesalers</t>
  </si>
  <si>
    <t>Sporting and Recreational Goods and Supplies Merchant Wholesalers</t>
  </si>
  <si>
    <t>Toy and Hobby Goods and Supplies Merchant Wholesalers</t>
  </si>
  <si>
    <t>Recyclable Material Merchant Wholesalers</t>
  </si>
  <si>
    <t>Jewelry, Watch, Precious Stone, and Precious Metal Merchant Wholesalers</t>
  </si>
  <si>
    <t>Other Miscellaneous Durable Goods Merchant Wholesalers</t>
  </si>
  <si>
    <t>Printing and Writing Paper Merchant Wholesalers</t>
  </si>
  <si>
    <t>Stationery and Office Supplies Merchant Wholesalers</t>
  </si>
  <si>
    <t>Industrial and Personal Service Paper Merchant Wholesalers</t>
  </si>
  <si>
    <t>Drugs and Druggists' Sundries Merchant Wholesalers</t>
  </si>
  <si>
    <t>Piece Goods, Notions, and Other Dry Goods Merchant Wholesalers</t>
  </si>
  <si>
    <t>Footwear Merchant Wholesalers</t>
  </si>
  <si>
    <t>Men's and Boys' Clothing and Furnishings Merchant Wholesalers</t>
  </si>
  <si>
    <t>Clothing and Clothing Accessories Merchant Wholesalers</t>
  </si>
  <si>
    <t>Women's, Children's, and Infants' Clothing and Accessories Merchant Wholesalers</t>
  </si>
  <si>
    <t>General Line Grocery Merchant Wholesalers</t>
  </si>
  <si>
    <t>Packaged Frozen Food Merchant Wholesalers</t>
  </si>
  <si>
    <t>Dairy Product (except Dried or Canned) Merchant Wholesalers</t>
  </si>
  <si>
    <t>Poultry and Poultry Product Merchant Wholesalers</t>
  </si>
  <si>
    <t>Confectionery Merchant Wholesalers</t>
  </si>
  <si>
    <t>Fish and Seafood Merchant Wholesalers</t>
  </si>
  <si>
    <t>Meat and Meat Product Merchant Wholesalers</t>
  </si>
  <si>
    <t>Fresh Fruit and Vegetable Merchant Wholesalers</t>
  </si>
  <si>
    <t>Other Grocery and Related Products Merchant Wholesalers</t>
  </si>
  <si>
    <t>Grain and Field Bean Merchant Wholesalers</t>
  </si>
  <si>
    <t>Livestock Merchant Wholesalers</t>
  </si>
  <si>
    <t>Other Farm Product Raw Material Merchant Wholesalers</t>
  </si>
  <si>
    <t>Plastics Materials and Basic Forms and Shapes Merchant Wholesalers</t>
  </si>
  <si>
    <t>Petroleum Bulk Stations and Terminals</t>
  </si>
  <si>
    <t>Petroleum and Petroleum Products Merchant Wholesalers (except Bulk Stations and Terminals)</t>
  </si>
  <si>
    <t>Beer and Ale Merchant Wholesalers</t>
  </si>
  <si>
    <t>Wine and Distilled Alcoholic Beverage Merchant Wholesalers</t>
  </si>
  <si>
    <t>Farm Supplies Merchant Wholesalers</t>
  </si>
  <si>
    <t>Book, Periodical, and Newspaper Merchant Wholesalers</t>
  </si>
  <si>
    <t>Flower, Nursery Stock, and Florists' Supplies Merchant Wholesalers</t>
  </si>
  <si>
    <t>Tobacco and Tobacco Product Merchant Wholesalers</t>
  </si>
  <si>
    <t>Tobacco Product and Electronic Cigarette Merchant Wholesalers</t>
  </si>
  <si>
    <t>Paint, Varnish, and Supplies Merchant Wholesalers</t>
  </si>
  <si>
    <t>Other Miscellaneous Nondurable Goods Merchant Wholesalers</t>
  </si>
  <si>
    <t>Business to Business Electronic Markets</t>
  </si>
  <si>
    <t>Wholesale Trade Agents and Brokers</t>
  </si>
  <si>
    <t>New Car Dealers</t>
  </si>
  <si>
    <t>Used Car Dealers</t>
  </si>
  <si>
    <t>Recreational Vehicle Dealers</t>
  </si>
  <si>
    <t>Boat Dealers</t>
  </si>
  <si>
    <t>Motorcycle, ATV, and All Other Motor Vehicle Dealers</t>
  </si>
  <si>
    <t>Electronic Shopping and Mail-Order Houses</t>
  </si>
  <si>
    <t>Automotive Parts and Accessories Stores</t>
  </si>
  <si>
    <t>Automotive Parts and Accessories Retailers</t>
  </si>
  <si>
    <t>Other Direct Selling Establishments</t>
  </si>
  <si>
    <t>Tire Dealers</t>
  </si>
  <si>
    <t>Home Centers</t>
  </si>
  <si>
    <t>Paint and Wallpaper Stores</t>
  </si>
  <si>
    <t>Paint and Wallpaper Retailers</t>
  </si>
  <si>
    <t>Hardware Stores</t>
  </si>
  <si>
    <t>Hardware Retailers</t>
  </si>
  <si>
    <t>Other Building Material Dealers</t>
  </si>
  <si>
    <t>Outdoor Power Equipment Stores</t>
  </si>
  <si>
    <t>Outdoor Power Equipment Retailers</t>
  </si>
  <si>
    <t>Nursery, Garden Center, and Farm Supply Stores</t>
  </si>
  <si>
    <t>Nursery, Garden Center, and Farm Supply Retailers</t>
  </si>
  <si>
    <t>Supermarkets and Other Grocery (except Convenience) Stores</t>
  </si>
  <si>
    <t>Supermarkets and Other Grocery Retailers (except Convenience Retailers)</t>
  </si>
  <si>
    <t>Convenience Stores</t>
  </si>
  <si>
    <t>Convenience Retailers</t>
  </si>
  <si>
    <t>Vending Machine Operators</t>
  </si>
  <si>
    <t>Fruit and Vegetable Markets</t>
  </si>
  <si>
    <t>Fruit and Vegetable Retailers</t>
  </si>
  <si>
    <t>Meat Markets</t>
  </si>
  <si>
    <t>Meat Retailers</t>
  </si>
  <si>
    <t>Fish and Seafood Markets</t>
  </si>
  <si>
    <t>Fish and Seafood Retailers</t>
  </si>
  <si>
    <t>Baked Goods Stores</t>
  </si>
  <si>
    <t>Baked Goods Retailers</t>
  </si>
  <si>
    <t>Confectionery and Nut Stores</t>
  </si>
  <si>
    <t>Confectionery and Nut Retailers</t>
  </si>
  <si>
    <t>All Other Specialty Food Stores</t>
  </si>
  <si>
    <t>All Other Specialty Food Retailers</t>
  </si>
  <si>
    <t>Beer, Wine, and Liquor Stores</t>
  </si>
  <si>
    <t>Beer, Wine, and Liquor Retailers</t>
  </si>
  <si>
    <t>Furniture Stores</t>
  </si>
  <si>
    <t>Furniture Retailers</t>
  </si>
  <si>
    <t>Floor Covering Stores</t>
  </si>
  <si>
    <t>Floor Covering Retailers</t>
  </si>
  <si>
    <t>Window Treatment Stores</t>
  </si>
  <si>
    <t>Window Treatment Retailers</t>
  </si>
  <si>
    <t>All Other Home Furnishings Stores</t>
  </si>
  <si>
    <t>All Other Home Furnishings Retailers</t>
  </si>
  <si>
    <t>Household Appliance Stores</t>
  </si>
  <si>
    <t>Electronics and Appliance Retailers</t>
  </si>
  <si>
    <t>Electronics Stores</t>
  </si>
  <si>
    <t>Department Stores</t>
  </si>
  <si>
    <t>Warehouse Clubs and Supercenters</t>
  </si>
  <si>
    <t>All Other General Merchandise Stores</t>
  </si>
  <si>
    <t>All Other General Merchandise Retailers</t>
  </si>
  <si>
    <r>
      <t xml:space="preserve">All Other Miscellaneous Store Retailers (except Tobacco Stores) - </t>
    </r>
    <r>
      <rPr>
        <i/>
        <sz val="10"/>
        <rFont val="Arial"/>
        <family val="2"/>
      </rPr>
      <t>general merchandise auction houses</t>
    </r>
  </si>
  <si>
    <t>Pharmacies and Drug Stores</t>
  </si>
  <si>
    <t>Pharmacies and Drug Retailers</t>
  </si>
  <si>
    <t>Cosmetics, Beauty Supplies, and Perfume Stores</t>
  </si>
  <si>
    <t>Cosmetics, Beauty Supplies, and Perfume Retailers</t>
  </si>
  <si>
    <t>Optical Goods Stores</t>
  </si>
  <si>
    <t>Optical Goods Retailers</t>
  </si>
  <si>
    <t>Food (Health) Supplement Stores</t>
  </si>
  <si>
    <t>Food (Health) Supplement Retailers</t>
  </si>
  <si>
    <t>All Other Health and Personal Care Stores</t>
  </si>
  <si>
    <t>All Other Health and Personal Care Retailers</t>
  </si>
  <si>
    <t>Gasoline Stations with Convenience Stores</t>
  </si>
  <si>
    <t>Other Gasoline Stations</t>
  </si>
  <si>
    <t>Fuel Dealers</t>
  </si>
  <si>
    <t>Men's Clothing Stores</t>
  </si>
  <si>
    <t>Clothing and Clothing Accessories Retailers</t>
  </si>
  <si>
    <t>Women's Clothing Stores</t>
  </si>
  <si>
    <t>Children's and Infants' Clothing Stores</t>
  </si>
  <si>
    <t>Family Clothing Stores</t>
  </si>
  <si>
    <t>Clothing Accessories Stores</t>
  </si>
  <si>
    <t>Other Clothing Stores</t>
  </si>
  <si>
    <t>Shoe Stores</t>
  </si>
  <si>
    <t>Shoe Retailers</t>
  </si>
  <si>
    <t>Jewelry Stores</t>
  </si>
  <si>
    <t>Jewelry Retailers</t>
  </si>
  <si>
    <t>Luggage and Leather Goods Stores</t>
  </si>
  <si>
    <t>Luggage and Leather Goods Retailers</t>
  </si>
  <si>
    <t>Sporting Goods Stores</t>
  </si>
  <si>
    <t>Sporting Goods Retailers</t>
  </si>
  <si>
    <t>Hobby, Toy, and Game Stores</t>
  </si>
  <si>
    <t>Hobby, Toy, and Game Retailers</t>
  </si>
  <si>
    <t>Sewing, Needlework, and Piece Goods Stores</t>
  </si>
  <si>
    <t>Sewing, Needlework, and Piece Goods Retailers</t>
  </si>
  <si>
    <t>Musical Instrument and Supplies Stores</t>
  </si>
  <si>
    <t>Musical Instrument and Supplies Retailers</t>
  </si>
  <si>
    <t>Book Stores</t>
  </si>
  <si>
    <t>Book Retailers and News Dealers</t>
  </si>
  <si>
    <t>News Dealers and Newsstands</t>
  </si>
  <si>
    <t>Florists</t>
  </si>
  <si>
    <t>Office Supplies and Stationery Stores</t>
  </si>
  <si>
    <t>Office Supplies and Stationery Retailers</t>
  </si>
  <si>
    <t xml:space="preserve">  </t>
  </si>
  <si>
    <t>Gift, Novelty, and Souvenir Stores</t>
  </si>
  <si>
    <t>Gift, Novelty, and Souvenir Retailers</t>
  </si>
  <si>
    <t>Used Merchandise Stores</t>
  </si>
  <si>
    <t>Used Merchandise Retailers</t>
  </si>
  <si>
    <t>Pet and Pet Supplies Stores</t>
  </si>
  <si>
    <t>Pet and Pet Supplies Retailers</t>
  </si>
  <si>
    <t>Art Dealers</t>
  </si>
  <si>
    <t>Manufactured (Mobile) Home Dealers</t>
  </si>
  <si>
    <t>Tobacco Stores</t>
  </si>
  <si>
    <t>Tobacco, Electronic Cigarette, and Other Smoking Supplies Retailers</t>
  </si>
  <si>
    <r>
      <t xml:space="preserve">All Other Miscellaneous Store Retailers (except Tobacco Stores) - </t>
    </r>
    <r>
      <rPr>
        <i/>
        <sz val="10"/>
        <rFont val="Arial"/>
        <family val="2"/>
      </rPr>
      <t>electronic cigarette stores and marijuana stores, medical or recreational</t>
    </r>
  </si>
  <si>
    <r>
      <t xml:space="preserve">All Other Miscellaneous Store Retailers (except Tobacco Stores) - </t>
    </r>
    <r>
      <rPr>
        <i/>
        <sz val="10"/>
        <rFont val="Arial"/>
        <family val="2"/>
      </rPr>
      <t>except general merchandise auction houses, electronic cigarette stores, and marijuana stores, medical or recreational</t>
    </r>
  </si>
  <si>
    <t>All Other Miscellaneous Retailers</t>
  </si>
  <si>
    <t>Scheduled Passenger Air Transportation</t>
  </si>
  <si>
    <t>Scheduled Freight Air Transportation</t>
  </si>
  <si>
    <t>Nonscheduled Chartered Passenger Air Transportation</t>
  </si>
  <si>
    <t>Nonscheduled Chartered Freight Air Transportation</t>
  </si>
  <si>
    <t>Other Nonscheduled Air Transportation</t>
  </si>
  <si>
    <t>Line-Haul Railroads</t>
  </si>
  <si>
    <t>Short Line Railroads</t>
  </si>
  <si>
    <t>Deep Sea Freight Transportation</t>
  </si>
  <si>
    <t>Deep Sea Passenger Transportation</t>
  </si>
  <si>
    <t>Coastal and Great Lakes Freight Transportation</t>
  </si>
  <si>
    <t>Coastal and Great Lakes Passenger Transportation</t>
  </si>
  <si>
    <t>Inland Water Freight Transportation</t>
  </si>
  <si>
    <t>Inland Water Passenger Transportation</t>
  </si>
  <si>
    <t>General Freight Trucking, Local</t>
  </si>
  <si>
    <t>General Freight Trucking, Long-Distance, Truckload</t>
  </si>
  <si>
    <t>General Freight Trucking, Long-Distance, Less Than Truckload</t>
  </si>
  <si>
    <t>Used Household and Office Goods Moving</t>
  </si>
  <si>
    <t>Specialized Freight (except Used Goods) Trucking, Local</t>
  </si>
  <si>
    <t>Specialized Freight (except Used Goods) Trucking, Long-Distance</t>
  </si>
  <si>
    <t>Mixed Mode Transit Systems</t>
  </si>
  <si>
    <t>Commuter Rail Systems</t>
  </si>
  <si>
    <t>Bus and Other Motor Vehicle Transit Systems</t>
  </si>
  <si>
    <t>Other Urban Transit Systems</t>
  </si>
  <si>
    <t>Interurban and Rural Bus Transportation</t>
  </si>
  <si>
    <t>Taxi Service</t>
  </si>
  <si>
    <t>Taxi and Ridesharing Services</t>
  </si>
  <si>
    <t>Limousine Service</t>
  </si>
  <si>
    <t>School and Employee Bus Transportation</t>
  </si>
  <si>
    <t>Charter Bus Industry</t>
  </si>
  <si>
    <t>Special Needs Transportation</t>
  </si>
  <si>
    <t>All Other Transit and Ground Passenger Transportation</t>
  </si>
  <si>
    <t>Pipeline Transportation of Crude Oil</t>
  </si>
  <si>
    <t>Pipeline Transportation of Natural Gas</t>
  </si>
  <si>
    <t>Pipeline Transportation of Refined Petroleum Products</t>
  </si>
  <si>
    <t>All Other Pipeline Transportation</t>
  </si>
  <si>
    <t>Scenic and Sightseeing Transportation, Land</t>
  </si>
  <si>
    <t>Scenic and Sightseeing Transportation, Water</t>
  </si>
  <si>
    <t>Scenic and Sightseeing Transportation, Other</t>
  </si>
  <si>
    <t>Air Traffic Control</t>
  </si>
  <si>
    <t>Other Airport Operations</t>
  </si>
  <si>
    <t>Other Support Activities for Air Transportation</t>
  </si>
  <si>
    <t>Support Activities for Rail Transportation</t>
  </si>
  <si>
    <t>Port and Harbor Operations</t>
  </si>
  <si>
    <t>Marine Cargo Handling</t>
  </si>
  <si>
    <t>Navigational Services to Shipping</t>
  </si>
  <si>
    <t>Other Support Activities for Water Transportation</t>
  </si>
  <si>
    <t>Motor Vehicle Towing</t>
  </si>
  <si>
    <t>Other Support Activities for Road Transportation</t>
  </si>
  <si>
    <t>Freight Transportation Arrangement</t>
  </si>
  <si>
    <t>Packing and Crating</t>
  </si>
  <si>
    <t>All Other Support Activities for Transportation</t>
  </si>
  <si>
    <t>Postal Service</t>
  </si>
  <si>
    <t>Couriers and Express Delivery Services</t>
  </si>
  <si>
    <t>Local Messengers and Local Delivery</t>
  </si>
  <si>
    <t>General Warehousing and Storage</t>
  </si>
  <si>
    <t>Refrigerated Warehousing and Storage</t>
  </si>
  <si>
    <t>Farm Product Warehousing and Storage</t>
  </si>
  <si>
    <t>Other Warehousing and Storage</t>
  </si>
  <si>
    <t>Motion Picture and Video Production</t>
  </si>
  <si>
    <t>Motion Picture and Video Distribution</t>
  </si>
  <si>
    <t>Motion Picture Theaters (except Drive-Ins)</t>
  </si>
  <si>
    <t>Drive-In Motion Picture Theaters</t>
  </si>
  <si>
    <t>Teleproduction and Other Postproduction Services</t>
  </si>
  <si>
    <t>Other Motion Picture and Video Industries</t>
  </si>
  <si>
    <t>Music Publishers</t>
  </si>
  <si>
    <t>Sound Recording Studios</t>
  </si>
  <si>
    <t>Record Production and Distribution</t>
  </si>
  <si>
    <t>Other Sound Recording Industries</t>
  </si>
  <si>
    <t>Newspaper Publishers</t>
  </si>
  <si>
    <r>
      <t xml:space="preserve">Internet Publishing and Broadcasting and Web Search Portals - </t>
    </r>
    <r>
      <rPr>
        <i/>
        <sz val="10"/>
        <rFont val="Arial"/>
        <family val="2"/>
      </rPr>
      <t>Internet newspaper publishers</t>
    </r>
  </si>
  <si>
    <t>Periodical Publishers</t>
  </si>
  <si>
    <r>
      <t xml:space="preserve">Internet Publishing and Broadcasting and Web Search Portals - </t>
    </r>
    <r>
      <rPr>
        <i/>
        <sz val="10"/>
        <rFont val="Arial"/>
        <family val="2"/>
      </rPr>
      <t>Internet periodical publishers</t>
    </r>
  </si>
  <si>
    <t>Book Publishers</t>
  </si>
  <si>
    <r>
      <t xml:space="preserve">Internet Publishing and Broadcasting and Web Search Portals - </t>
    </r>
    <r>
      <rPr>
        <i/>
        <sz val="10"/>
        <rFont val="Arial"/>
        <family val="2"/>
      </rPr>
      <t>Internet book publishers</t>
    </r>
  </si>
  <si>
    <t>Directory and Mailing List Publishers</t>
  </si>
  <si>
    <r>
      <t xml:space="preserve">Internet Publishing and Broadcasting and Web Search Portals - </t>
    </r>
    <r>
      <rPr>
        <i/>
        <sz val="10"/>
        <rFont val="Arial"/>
        <family val="2"/>
      </rPr>
      <t>Internet directory and mailing list publishers</t>
    </r>
  </si>
  <si>
    <t>Greeting Card Publishers</t>
  </si>
  <si>
    <r>
      <t xml:space="preserve">Internet Publishing and Broadcasting and Web Search Portals - </t>
    </r>
    <r>
      <rPr>
        <i/>
        <sz val="10"/>
        <rFont val="Arial"/>
        <family val="2"/>
      </rPr>
      <t>Internet greeting card publishers</t>
    </r>
  </si>
  <si>
    <t>All Other Publishers</t>
  </si>
  <si>
    <r>
      <t xml:space="preserve">Internet Publishing and Broadcasting and Web Search Portals - </t>
    </r>
    <r>
      <rPr>
        <i/>
        <sz val="10"/>
        <rFont val="Arial"/>
        <family val="2"/>
      </rPr>
      <t>all other Internet publishers</t>
    </r>
  </si>
  <si>
    <t>Software Publishers</t>
  </si>
  <si>
    <t>Radio Stations</t>
  </si>
  <si>
    <t>Radio Broadcasting Stations</t>
  </si>
  <si>
    <r>
      <t xml:space="preserve">Television Broadcasting - </t>
    </r>
    <r>
      <rPr>
        <i/>
        <sz val="10"/>
        <rFont val="Arial"/>
        <family val="2"/>
      </rPr>
      <t>television broadcasting stations</t>
    </r>
  </si>
  <si>
    <t>Television Broadcasting Stations</t>
  </si>
  <si>
    <t>Radio Networks</t>
  </si>
  <si>
    <t>Media Streaming Distribution Services, Social Networks, and Other Media Networks and Content Providers</t>
  </si>
  <si>
    <r>
      <t xml:space="preserve">Television Broadcasting - </t>
    </r>
    <r>
      <rPr>
        <i/>
        <sz val="10"/>
        <rFont val="Arial"/>
        <family val="2"/>
      </rPr>
      <t>television networks</t>
    </r>
  </si>
  <si>
    <t>Cable and Other Subscription Programming</t>
  </si>
  <si>
    <t>News Syndicates</t>
  </si>
  <si>
    <r>
      <t xml:space="preserve">Internet Publishing and Broadcasting and Web Search Portals - </t>
    </r>
    <r>
      <rPr>
        <i/>
        <sz val="10"/>
        <rFont val="Arial"/>
        <family val="2"/>
      </rPr>
      <t>Internet broadcasting</t>
    </r>
  </si>
  <si>
    <t>Wired Telecommunications Carriers</t>
  </si>
  <si>
    <r>
      <t xml:space="preserve">Wireless Telecommunications Carriers (except Satellite) - </t>
    </r>
    <r>
      <rPr>
        <i/>
        <sz val="10"/>
        <rFont val="Arial"/>
        <family val="2"/>
      </rPr>
      <t>except agents for wireless telecommunications carriers</t>
    </r>
  </si>
  <si>
    <t>Wireless Telecommunications Carriers (except Satellite)</t>
  </si>
  <si>
    <r>
      <t xml:space="preserve">Telecommunications Resellers - </t>
    </r>
    <r>
      <rPr>
        <i/>
        <sz val="10"/>
        <rFont val="Arial"/>
        <family val="2"/>
      </rPr>
      <t>except agents for wireless telecommunications resellers</t>
    </r>
  </si>
  <si>
    <t>Telecommunications Resellers</t>
  </si>
  <si>
    <r>
      <t xml:space="preserve">Wireless Telecommunications Carriers (except Satellite) - </t>
    </r>
    <r>
      <rPr>
        <i/>
        <sz val="10"/>
        <rFont val="Arial"/>
        <family val="2"/>
      </rPr>
      <t>agents for wireless telecommunications carriers</t>
    </r>
  </si>
  <si>
    <t>Agents for Wireless Telecommunications Services</t>
  </si>
  <si>
    <r>
      <t xml:space="preserve">Telecommunications Resellers - </t>
    </r>
    <r>
      <rPr>
        <i/>
        <sz val="10"/>
        <rFont val="Arial"/>
        <family val="2"/>
      </rPr>
      <t>agents for wireless telecommunications resellers</t>
    </r>
  </si>
  <si>
    <t>Satellite Telecommunications</t>
  </si>
  <si>
    <t>All Other Telecommunications</t>
  </si>
  <si>
    <t>Data Processing, Hosting, and Related Services</t>
  </si>
  <si>
    <t>Computing Infrastructure Providers, Data Processing, Web Hosting, and Related Services</t>
  </si>
  <si>
    <t>Libraries and Archives</t>
  </si>
  <si>
    <r>
      <t xml:space="preserve">Internet Publishing and Broadcasting and Web Search Portals - </t>
    </r>
    <r>
      <rPr>
        <i/>
        <sz val="10"/>
        <rFont val="Arial"/>
        <family val="2"/>
      </rPr>
      <t>web search portals</t>
    </r>
  </si>
  <si>
    <t>Web Search Portals and All Other Information Services</t>
  </si>
  <si>
    <t>All Other Information Services</t>
  </si>
  <si>
    <t>Monetary Authorities-Central Bank</t>
  </si>
  <si>
    <t>Commercial Banking</t>
  </si>
  <si>
    <t>Credit Unions</t>
  </si>
  <si>
    <t>Savings Institutions</t>
  </si>
  <si>
    <t>Savings Institutions and Other Depository Credit Intermediation</t>
  </si>
  <si>
    <t>Other Depository Credit Intermediation</t>
  </si>
  <si>
    <t>Credit Card Issuing</t>
  </si>
  <si>
    <t>Sales Financing</t>
  </si>
  <si>
    <t>Consumer Lending</t>
  </si>
  <si>
    <t>Real Estate Credit</t>
  </si>
  <si>
    <t>International Trade Financing</t>
  </si>
  <si>
    <t>International, Secondary Market, and All Other Nondepository Credit Intermediation</t>
  </si>
  <si>
    <t>Secondary Market Financing</t>
  </si>
  <si>
    <t>All Other Nondepository Credit Intermediation</t>
  </si>
  <si>
    <t>Mortgage and Nonmortgage Loan Brokers</t>
  </si>
  <si>
    <t>Financial Transactions Processing, Reserve, and Clearinghouse Activities</t>
  </si>
  <si>
    <t>Other Activities Related to Credit Intermediation</t>
  </si>
  <si>
    <t>Investment Banking and Securities Dealing</t>
  </si>
  <si>
    <t>Investment Banking and Securities Intermediation</t>
  </si>
  <si>
    <t>Securities Brokerage</t>
  </si>
  <si>
    <t>Commodity Contracts Dealing</t>
  </si>
  <si>
    <t>Commodity Contracts Intermediation</t>
  </si>
  <si>
    <t>Commodity Contracts Brokerage</t>
  </si>
  <si>
    <t>Securities and Commodity Exchanges</t>
  </si>
  <si>
    <t>Miscellaneous Intermediation</t>
  </si>
  <si>
    <t>Portfolio Management</t>
  </si>
  <si>
    <t>Portfolio Management and Investment Advice</t>
  </si>
  <si>
    <t>Investment Advice</t>
  </si>
  <si>
    <t>Trust, Fiduciary, and Custody Activities</t>
  </si>
  <si>
    <t>Miscellaneous Financial Investment Activities</t>
  </si>
  <si>
    <t>Direct Life Insurance Carriers</t>
  </si>
  <si>
    <t>Direct Health and Medical Insurance Carriers</t>
  </si>
  <si>
    <t>Direct Property and Casualty Insurance Carriers</t>
  </si>
  <si>
    <t>Direct Title Insurance Carriers</t>
  </si>
  <si>
    <t>Other Direct Insurance (except Life, Health, and Medical) Carriers</t>
  </si>
  <si>
    <t>Reinsurance Carriers</t>
  </si>
  <si>
    <t>Insurance Agencies and Brokerages</t>
  </si>
  <si>
    <t>Claims Adjusting</t>
  </si>
  <si>
    <t>Third Party Administration of Insurance and Pension Funds</t>
  </si>
  <si>
    <t>Pharmacy Benefit Management and Other Third Party Administration of Insurance and Pension Funds</t>
  </si>
  <si>
    <t>All Other Insurance Related Activities</t>
  </si>
  <si>
    <t>Pension Funds</t>
  </si>
  <si>
    <t>Health and Welfare Funds</t>
  </si>
  <si>
    <t>Other Insurance Funds</t>
  </si>
  <si>
    <t>Open-End Investment Funds</t>
  </si>
  <si>
    <t>Trusts, Estates, and Agency Accounts</t>
  </si>
  <si>
    <t>Other Financial Vehicles</t>
  </si>
  <si>
    <t>Lessors of Residential Buildings and Dwellings</t>
  </si>
  <si>
    <t>Lessors of Nonresidential Buildings (except Miniwarehouses)</t>
  </si>
  <si>
    <t>Lessors of Miniwarehouses and Self-Storage Units</t>
  </si>
  <si>
    <t>Lessors of Other Real Estate Property</t>
  </si>
  <si>
    <t>Offices of Real Estate Agents and Brokers</t>
  </si>
  <si>
    <t>Residential Property Managers</t>
  </si>
  <si>
    <t>Nonresidential Property Managers</t>
  </si>
  <si>
    <t>Offices of Real Estate Appraisers</t>
  </si>
  <si>
    <t>Other Activities Related to Real Estate</t>
  </si>
  <si>
    <t>Passenger Car Rental</t>
  </si>
  <si>
    <t>Passenger Car Leasing</t>
  </si>
  <si>
    <t>Truck, Utility Trailer, and RV (Recreational Vehicle) Rental and Leasing</t>
  </si>
  <si>
    <t>Consumer Electronics and Appliances Rental</t>
  </si>
  <si>
    <t>Formal Wear and Costume Rental</t>
  </si>
  <si>
    <t>Video Tape and Disc Rental</t>
  </si>
  <si>
    <t>Home Health Equipment Rental</t>
  </si>
  <si>
    <t>Recreational Goods Rental</t>
  </si>
  <si>
    <t>All Other Consumer Goods Rental</t>
  </si>
  <si>
    <t>General Rental Centers</t>
  </si>
  <si>
    <t>Commercial Air, Rail, and Water Transportation Equipment Rental and Leasing</t>
  </si>
  <si>
    <t>Construction, Mining, and Forestry Machinery and Equipment Rental and Leasing</t>
  </si>
  <si>
    <t>Office Machinery and Equipment Rental and Leasing</t>
  </si>
  <si>
    <t>Other Commercial and Industrial Machinery and Equipment Rental and Leasing</t>
  </si>
  <si>
    <t>Lessors of Nonfinancial Intangible Assets (except Copyrighted Works)</t>
  </si>
  <si>
    <t>Offices of Lawyers</t>
  </si>
  <si>
    <t>Offices of Notaries</t>
  </si>
  <si>
    <t>Title Abstract and Settlement Offices</t>
  </si>
  <si>
    <t>All Other Legal Services</t>
  </si>
  <si>
    <t>Offices of Certified Public Accountants</t>
  </si>
  <si>
    <t>Tax Preparation Services</t>
  </si>
  <si>
    <t>Payroll Services</t>
  </si>
  <si>
    <t>Other Accounting Services</t>
  </si>
  <si>
    <t>Architectural Services</t>
  </si>
  <si>
    <t>Landscape Architectural Services</t>
  </si>
  <si>
    <t>Engineering Services</t>
  </si>
  <si>
    <t>Drafting Services</t>
  </si>
  <si>
    <t>Building Inspection Services</t>
  </si>
  <si>
    <t>Geophysical Surveying and Mapping Services</t>
  </si>
  <si>
    <t>Surveying and Mapping (except Geophysical) Services</t>
  </si>
  <si>
    <t>Testing Laboratories</t>
  </si>
  <si>
    <t>Testing Laboratories and Services</t>
  </si>
  <si>
    <t>Interior Design Services</t>
  </si>
  <si>
    <t>Industrial Design Services</t>
  </si>
  <si>
    <t>Graphic Design Services</t>
  </si>
  <si>
    <t>Other Specialized Design Services</t>
  </si>
  <si>
    <t>Custom Computer Programming Services</t>
  </si>
  <si>
    <t>Computer Systems Design Services</t>
  </si>
  <si>
    <t>Computer Facilities Management Services</t>
  </si>
  <si>
    <t>Other Computer Related Services</t>
  </si>
  <si>
    <t>Administrative Management and General Management Consulting Services</t>
  </si>
  <si>
    <t>Human Resources Consulting Services</t>
  </si>
  <si>
    <t>Marketing Consulting Services</t>
  </si>
  <si>
    <t>Process, Physical Distribution, and Logistics Consulting Services</t>
  </si>
  <si>
    <t>Other Management Consulting Services</t>
  </si>
  <si>
    <t>Environmental Consulting Services</t>
  </si>
  <si>
    <t>Other Scientific and Technical Consulting Services</t>
  </si>
  <si>
    <t>Research and Development in Nanotechnology</t>
  </si>
  <si>
    <t>Research and Development in Biotechnology (except Nanobiotechnology)</t>
  </si>
  <si>
    <t>Research and Development in the Physical, Engineering, and Life Sciences (except Nanotechnology and Biotechnology)</t>
  </si>
  <si>
    <t>Research and Development in the Social Sciences and Humanities</t>
  </si>
  <si>
    <t>Advertising Agencies</t>
  </si>
  <si>
    <t>Public Relations Agencies</t>
  </si>
  <si>
    <t>Media Buying Agencies</t>
  </si>
  <si>
    <t>Media Representatives</t>
  </si>
  <si>
    <t>Outdoor Advertising</t>
  </si>
  <si>
    <t>Indoor and Outdoor Display Advertising</t>
  </si>
  <si>
    <t>Direct Mail Advertising</t>
  </si>
  <si>
    <t>Advertising Material Distribution Services</t>
  </si>
  <si>
    <t>Other Services Related to Advertising</t>
  </si>
  <si>
    <t>Marketing Research and Public Opinion Polling</t>
  </si>
  <si>
    <t>Photography Studios, Portrait</t>
  </si>
  <si>
    <t>Commercial Photography</t>
  </si>
  <si>
    <t>Translation and Interpretation Services</t>
  </si>
  <si>
    <t>Veterinary Services</t>
  </si>
  <si>
    <t>All Other Professional, Scientific, and Technical Services</t>
  </si>
  <si>
    <t>Offices of Bank Holding Companies</t>
  </si>
  <si>
    <t>Offices of Other Holding Companies</t>
  </si>
  <si>
    <t>Corporate, Subsidiary, and Regional Managing Offices</t>
  </si>
  <si>
    <t>Office Administrative Services</t>
  </si>
  <si>
    <t>Facilities Support Services</t>
  </si>
  <si>
    <t>Employment Placement Agencies</t>
  </si>
  <si>
    <t>Executive Search Services</t>
  </si>
  <si>
    <t>Temporary Help Services</t>
  </si>
  <si>
    <t>Professional Employer Organizations</t>
  </si>
  <si>
    <t>Document Preparation Services</t>
  </si>
  <si>
    <t>Telephone Answering Services</t>
  </si>
  <si>
    <t>Telemarketing Bureaus and Other Contact Centers</t>
  </si>
  <si>
    <t>Private Mail Centers</t>
  </si>
  <si>
    <t>Other Business Service Centers (including Copy Shops)</t>
  </si>
  <si>
    <t>Collection Agencies</t>
  </si>
  <si>
    <t>Credit Bureaus</t>
  </si>
  <si>
    <t>Repossession Services</t>
  </si>
  <si>
    <t>Court Reporting and Stenotype Services</t>
  </si>
  <si>
    <t>All Other Business Support Services</t>
  </si>
  <si>
    <t>Travel Agencies</t>
  </si>
  <si>
    <t>Tour Operators</t>
  </si>
  <si>
    <t>Convention and Visitors Bureaus</t>
  </si>
  <si>
    <t>All Other Travel Arrangement and Reservation Services</t>
  </si>
  <si>
    <t>Investigation Services</t>
  </si>
  <si>
    <t>Investigation and Personal Background Check Services</t>
  </si>
  <si>
    <t>Security Guards and Patrol Services</t>
  </si>
  <si>
    <t>Armored Car Services</t>
  </si>
  <si>
    <t>Security Systems Services (except Locksmiths)</t>
  </si>
  <si>
    <t>Locksmiths</t>
  </si>
  <si>
    <t>Exterminating and Pest Control Services</t>
  </si>
  <si>
    <t>Janitorial Services</t>
  </si>
  <si>
    <t>Landscaping Services</t>
  </si>
  <si>
    <t>Carpet and Upholstery Cleaning Services</t>
  </si>
  <si>
    <t>Other Services to Buildings and Dwellings</t>
  </si>
  <si>
    <t>Packaging and Labeling Services</t>
  </si>
  <si>
    <t>Convention and Trade Show Organizers</t>
  </si>
  <si>
    <t>All Other Support Services</t>
  </si>
  <si>
    <t>Solid Waste Collection</t>
  </si>
  <si>
    <t>Hazardous Waste Collection</t>
  </si>
  <si>
    <t>Other Waste Collection</t>
  </si>
  <si>
    <t>Solid Waste Landfill</t>
  </si>
  <si>
    <t>Other Nonhazardous Waste Treatment and Disposal</t>
  </si>
  <si>
    <t>Remediation Services</t>
  </si>
  <si>
    <t>Materials Recovery Facilities</t>
  </si>
  <si>
    <t>Septic Tank and Related Services</t>
  </si>
  <si>
    <t>All Other Miscellaneous Waste Management Services</t>
  </si>
  <si>
    <t>Elementary and Secondary Schools</t>
  </si>
  <si>
    <t>Junior Colleges</t>
  </si>
  <si>
    <t>Colleges, Universities, and Professional Schools</t>
  </si>
  <si>
    <t>Business and Secretarial Schools</t>
  </si>
  <si>
    <t>Computer Training</t>
  </si>
  <si>
    <t>Professional and Management Development Training</t>
  </si>
  <si>
    <t>Cosmetology and Barber Schools</t>
  </si>
  <si>
    <t>Flight Training</t>
  </si>
  <si>
    <t>Apprenticeship Training</t>
  </si>
  <si>
    <t>Other Technical and Trade Schools</t>
  </si>
  <si>
    <t>Fine Arts Schools</t>
  </si>
  <si>
    <t>Sports and Recreation Instruction</t>
  </si>
  <si>
    <t>Language Schools</t>
  </si>
  <si>
    <t>Exam Preparation and Tutoring</t>
  </si>
  <si>
    <t>Automobile Driving Schools</t>
  </si>
  <si>
    <t>All Other Miscellaneous Schools and Instruction</t>
  </si>
  <si>
    <t>Educational Support Services</t>
  </si>
  <si>
    <t>Offices of Physicians (except Mental Health Specialists)</t>
  </si>
  <si>
    <t>Offices of Physicians, Mental Health Specialists</t>
  </si>
  <si>
    <t>Offices of Dentists</t>
  </si>
  <si>
    <t>Offices of Chiropractors</t>
  </si>
  <si>
    <t>Offices of Optometrists</t>
  </si>
  <si>
    <t>Offices of Mental Health Practitioners (except Physicians)</t>
  </si>
  <si>
    <t>Offices of Physical, Occupational and Speech Therapists, and Audiologists</t>
  </si>
  <si>
    <t>Offices of Podiatrists</t>
  </si>
  <si>
    <t>Offices of All Other Miscellaneous Health Practitioners</t>
  </si>
  <si>
    <t>Family Planning Centers</t>
  </si>
  <si>
    <t>Outpatient Mental Health and Substance Abuse Centers</t>
  </si>
  <si>
    <t>HMO Medical Centers</t>
  </si>
  <si>
    <t>Kidney Dialysis Centers</t>
  </si>
  <si>
    <t>Freestanding Ambulatory Surgical and Emergency Centers</t>
  </si>
  <si>
    <t>All Other Outpatient Care Centers</t>
  </si>
  <si>
    <t>Medical Laboratories</t>
  </si>
  <si>
    <t>Diagnostic Imaging Centers</t>
  </si>
  <si>
    <t>Home Health Care Services</t>
  </si>
  <si>
    <t>Ambulance Services</t>
  </si>
  <si>
    <t>Blood and Organ Banks</t>
  </si>
  <si>
    <t>All Other Miscellaneous Ambulatory Health Care Services</t>
  </si>
  <si>
    <t>General Medical and Surgical Hospitals</t>
  </si>
  <si>
    <t>Psychiatric and Substance Abuse Hospitals</t>
  </si>
  <si>
    <t>Specialty (except Psychiatric and Substance Abuse) Hospitals</t>
  </si>
  <si>
    <t>Nursing Care Facilities (Skilled Nursing Facilities)</t>
  </si>
  <si>
    <t>Residential Intellectual and Developmental Disability Facilities</t>
  </si>
  <si>
    <t>Residential Mental Health and Substance Abuse Facilities</t>
  </si>
  <si>
    <t>Continuing Care Retirement Communities</t>
  </si>
  <si>
    <t>Assisted Living Facilities for the Elderly</t>
  </si>
  <si>
    <t>Other Residential Care Facilities</t>
  </si>
  <si>
    <t>Child and Youth Services</t>
  </si>
  <si>
    <t>Services for the Elderly and Persons with Disabilities</t>
  </si>
  <si>
    <t>Other Individual and Family Services</t>
  </si>
  <si>
    <t>Community Food Services</t>
  </si>
  <si>
    <t>Temporary Shelters</t>
  </si>
  <si>
    <t>Other Community Housing Services</t>
  </si>
  <si>
    <t>Emergency and Other Relief Services</t>
  </si>
  <si>
    <t>Vocational Rehabilitation Services</t>
  </si>
  <si>
    <t>Child Day Care Services</t>
  </si>
  <si>
    <t>Child Care Services</t>
  </si>
  <si>
    <t>Theater Companies and Dinner Theaters</t>
  </si>
  <si>
    <t>Dance Companies</t>
  </si>
  <si>
    <t>Musical Groups and Artists</t>
  </si>
  <si>
    <t>Other Performing Arts Companies</t>
  </si>
  <si>
    <t>Sports Teams and Clubs</t>
  </si>
  <si>
    <t>Racetracks</t>
  </si>
  <si>
    <t>Other Spectator Sports</t>
  </si>
  <si>
    <t>Promoters of Performing Arts, Sports, and Similar Events with Facilities</t>
  </si>
  <si>
    <t>Promoters of Performing Arts, Sports, and Similar Events without Facilities</t>
  </si>
  <si>
    <t>Agents and Managers for Artists, Athletes, Entertainers, and Other Public Figures</t>
  </si>
  <si>
    <t>Independent Artists, Writers, and Performers</t>
  </si>
  <si>
    <t>Museums</t>
  </si>
  <si>
    <t>Historical Sites</t>
  </si>
  <si>
    <t>Zoos and Botanical Gardens</t>
  </si>
  <si>
    <t>Nature Parks and Other Similar Institutions</t>
  </si>
  <si>
    <t>Amusement and Theme Parks</t>
  </si>
  <si>
    <t>Amusement Arcades</t>
  </si>
  <si>
    <t>Casinos (except Casino Hotels)</t>
  </si>
  <si>
    <t>Other Gambling Industries</t>
  </si>
  <si>
    <t>Golf Courses and Country Clubs</t>
  </si>
  <si>
    <t>Skiing Facilities</t>
  </si>
  <si>
    <t>Marinas</t>
  </si>
  <si>
    <t>Fitness and Recreational Sports Centers</t>
  </si>
  <si>
    <t>Bowling Centers</t>
  </si>
  <si>
    <t>All Other Amusement and Recreation Industries</t>
  </si>
  <si>
    <t>Hotels (except Casino Hotels) and Motels</t>
  </si>
  <si>
    <t>Casino Hotels</t>
  </si>
  <si>
    <t>Bed-and-Breakfast Inns</t>
  </si>
  <si>
    <t>All Other Traveler Accommodation</t>
  </si>
  <si>
    <t>RV (Recreational Vehicle) Parks and Campgrounds</t>
  </si>
  <si>
    <t>Recreational and Vacation Camps (except Campgrounds)</t>
  </si>
  <si>
    <t>Rooming and Boarding Houses, Dormitories, and Workers' Camps</t>
  </si>
  <si>
    <t>Food Service Contractors</t>
  </si>
  <si>
    <t>Caterers</t>
  </si>
  <si>
    <t>Mobile Food Services</t>
  </si>
  <si>
    <t>Drinking Places (Alcoholic Beverages)</t>
  </si>
  <si>
    <t>Full-Service Restaurants</t>
  </si>
  <si>
    <t>Limited-Service Restaurants</t>
  </si>
  <si>
    <t>Cafeterias, Grill Buffets, and Buffets</t>
  </si>
  <si>
    <t>Snack and Nonalcoholic Beverage Bars</t>
  </si>
  <si>
    <t>General Automotive Repair</t>
  </si>
  <si>
    <t>Automotive Exhaust System Repair</t>
  </si>
  <si>
    <t>Specialized Automotive Repair</t>
  </si>
  <si>
    <t>Automotive Transmission Repair</t>
  </si>
  <si>
    <t>Other Automotive Mechanical and Electrical Repair and Maintenance</t>
  </si>
  <si>
    <t>Automotive Body, Paint, and Interior Repair and Maintenance</t>
  </si>
  <si>
    <t>Automotive Glass Replacement Shops</t>
  </si>
  <si>
    <t>Automotive Oil Change and Lubrication Shops</t>
  </si>
  <si>
    <t>Car Washes</t>
  </si>
  <si>
    <t>All Other Automotive Repair and Maintenance</t>
  </si>
  <si>
    <t>Consumer Electronics Repair and Maintenance</t>
  </si>
  <si>
    <t>Electronic and Precision Equipment Repair and Maintenance</t>
  </si>
  <si>
    <t>Computer and Office Machine Repair and Maintenance</t>
  </si>
  <si>
    <t>Communication Equipment Repair and Maintenance</t>
  </si>
  <si>
    <t>Other Electronic and Precision Equipment Repair and Maintenance</t>
  </si>
  <si>
    <t>Commercial and Industrial Machinery and Equipment (except Automotive and Electronic) Repair and Maintenance</t>
  </si>
  <si>
    <t>Home and Garden Equipment Repair and Maintenance</t>
  </si>
  <si>
    <t>Appliance Repair and Maintenance</t>
  </si>
  <si>
    <t>Reupholstery and Furniture Repair</t>
  </si>
  <si>
    <t>Footwear and Leather Goods Repair</t>
  </si>
  <si>
    <t>Other Personal and Household Goods Repair and Maintenance</t>
  </si>
  <si>
    <t>Barber Shops</t>
  </si>
  <si>
    <t>Beauty Salons</t>
  </si>
  <si>
    <t>Nail Salons</t>
  </si>
  <si>
    <t>Diet and Weight Reducing Centers</t>
  </si>
  <si>
    <t>Other Personal Care Services</t>
  </si>
  <si>
    <t>Funeral Homes and Funeral Services</t>
  </si>
  <si>
    <t>Cemeteries and Crematories</t>
  </si>
  <si>
    <t>Coin-Operated Laundries and Drycleaners</t>
  </si>
  <si>
    <t>Drycleaning and Laundry Services (except Coin-Operated)</t>
  </si>
  <si>
    <t>Linen Supply</t>
  </si>
  <si>
    <t>Industrial Launderers</t>
  </si>
  <si>
    <t>Pet Care (except Veterinary) Services</t>
  </si>
  <si>
    <t>Photofinishing Laboratories (except One-Hour)</t>
  </si>
  <si>
    <t>One-Hour Photofinishing</t>
  </si>
  <si>
    <t>Parking Lots and Garages</t>
  </si>
  <si>
    <t>All Other Personal Services</t>
  </si>
  <si>
    <t>Religious Organizations</t>
  </si>
  <si>
    <t>Grantmaking Foundations</t>
  </si>
  <si>
    <t>Voluntary Health Organizations</t>
  </si>
  <si>
    <t>Other Grantmaking and Giving Services</t>
  </si>
  <si>
    <t>Human Rights Organizations</t>
  </si>
  <si>
    <t>Environment, Conservation and Wildlife Organizations</t>
  </si>
  <si>
    <t>Other Social Advocacy Organizations</t>
  </si>
  <si>
    <t>Civic and Social Organizations</t>
  </si>
  <si>
    <t>Business Associations</t>
  </si>
  <si>
    <t>Professional Organizations</t>
  </si>
  <si>
    <t>Labor Unions and Similar Labor Organizations</t>
  </si>
  <si>
    <t>Political Organizations</t>
  </si>
  <si>
    <t>Other Similar Organizations (except Business, Professional, Labor, and Political Organizations)</t>
  </si>
  <si>
    <t>Private Households</t>
  </si>
  <si>
    <t>Executive Offices</t>
  </si>
  <si>
    <t>Legislative Bodies</t>
  </si>
  <si>
    <t>Public Finance Activities</t>
  </si>
  <si>
    <t>Executive and Legislative Offices, Combined</t>
  </si>
  <si>
    <t>American Indian and Alaska Native Tribal Governments</t>
  </si>
  <si>
    <t>Other General Government Support</t>
  </si>
  <si>
    <t>Courts</t>
  </si>
  <si>
    <t>Police Protection</t>
  </si>
  <si>
    <t>Legal Counsel and Prosecution</t>
  </si>
  <si>
    <t>Correctional Institutions</t>
  </si>
  <si>
    <t>Parole Offices and Probation Offices</t>
  </si>
  <si>
    <t>Fire Protection</t>
  </si>
  <si>
    <t>Other Justice, Public Order, and Safety Activities</t>
  </si>
  <si>
    <t>Administration of Education Programs</t>
  </si>
  <si>
    <t>Administration of Public Health Programs</t>
  </si>
  <si>
    <t>Administration of Human Resource Programs (except Education, Public Health, and Veterans' Affairs Programs)</t>
  </si>
  <si>
    <t>Administration of Veterans' Affairs</t>
  </si>
  <si>
    <t>Administration of Air and Water Resource and Solid Waste Management Programs</t>
  </si>
  <si>
    <t>Administration of Conservation Programs</t>
  </si>
  <si>
    <t>Administration of Housing Programs</t>
  </si>
  <si>
    <t>Administration of Urban Planning and Community and Rural Development</t>
  </si>
  <si>
    <t>Administration of General Economic Programs</t>
  </si>
  <si>
    <t>Regulation and Administration of Transportation Programs</t>
  </si>
  <si>
    <t>Regulation and Administration of Communications, Electric, Gas, and Other Utilities</t>
  </si>
  <si>
    <t>Regulation of Agricultural Marketing and Commodities</t>
  </si>
  <si>
    <t>Regulation, Licensing, and Inspection of Miscellaneous Commercial Sectors</t>
  </si>
  <si>
    <t>Space Research and Technology</t>
  </si>
  <si>
    <t>National Security</t>
  </si>
  <si>
    <t>International Affairs</t>
  </si>
  <si>
    <t>MAXIMUM AMOUNT ON SITE CODE</t>
  </si>
  <si>
    <t>MAXIMUM AMOUNT ON SITE VALUE</t>
  </si>
  <si>
    <t>STATE</t>
  </si>
  <si>
    <t>EPA REGION</t>
  </si>
  <si>
    <t>0 to 99</t>
  </si>
  <si>
    <t>100 to 999</t>
  </si>
  <si>
    <t>AK</t>
  </si>
  <si>
    <t>1,000 to 9,999</t>
  </si>
  <si>
    <t>10,000 to 99,999</t>
  </si>
  <si>
    <t>100,000 to 999,999</t>
  </si>
  <si>
    <t>1,000,000 to 9,999,999</t>
  </si>
  <si>
    <t>10,000,000 to 49,999,999</t>
  </si>
  <si>
    <t>50,000,000 to 99,999,999</t>
  </si>
  <si>
    <t>100,000,000 to 499,999,999</t>
  </si>
  <si>
    <t>DC</t>
  </si>
  <si>
    <t>500,000,000 to 999,999,999</t>
  </si>
  <si>
    <t>FL</t>
  </si>
  <si>
    <t>1,000,000,000 to 10,000,000,000</t>
  </si>
  <si>
    <t>ID</t>
  </si>
  <si>
    <t>IA</t>
  </si>
  <si>
    <t>KS</t>
  </si>
  <si>
    <t>MS</t>
  </si>
  <si>
    <t>MT</t>
  </si>
  <si>
    <t>NH</t>
  </si>
  <si>
    <t>ND</t>
  </si>
  <si>
    <t>OK</t>
  </si>
  <si>
    <t>SD</t>
  </si>
  <si>
    <t>WA</t>
  </si>
  <si>
    <t>WI</t>
  </si>
  <si>
    <t>WY</t>
  </si>
  <si>
    <t>PR</t>
  </si>
  <si>
    <t>VI</t>
  </si>
  <si>
    <t>2017 SIC to NAICS Crosswalk</t>
  </si>
  <si>
    <r>
      <rPr>
        <b/>
        <u/>
        <sz val="11"/>
        <color rgb="FFFFFFFF"/>
        <rFont val="Arial"/>
        <family val="2"/>
      </rPr>
      <t>SIC</t>
    </r>
  </si>
  <si>
    <r>
      <rPr>
        <b/>
        <u/>
        <sz val="11"/>
        <color rgb="FFFFFFFF"/>
        <rFont val="Arial"/>
        <family val="2"/>
      </rPr>
      <t>SIC Description</t>
    </r>
  </si>
  <si>
    <r>
      <rPr>
        <b/>
        <u/>
        <sz val="11"/>
        <color rgb="FFFFFFFF"/>
        <rFont val="Arial"/>
        <family val="2"/>
      </rPr>
      <t>NAICS</t>
    </r>
  </si>
  <si>
    <r>
      <rPr>
        <b/>
        <u/>
        <sz val="11"/>
        <color rgb="FFFFFFFF"/>
        <rFont val="Arial"/>
        <family val="2"/>
      </rPr>
      <t>NAICS Description</t>
    </r>
  </si>
  <si>
    <r>
      <rPr>
        <sz val="12"/>
        <rFont val="Arial"/>
        <family val="2"/>
      </rPr>
      <t>wheat</t>
    </r>
  </si>
  <si>
    <r>
      <rPr>
        <sz val="12"/>
        <rFont val="Arial"/>
        <family val="2"/>
      </rPr>
      <t>Wheat Farming</t>
    </r>
  </si>
  <si>
    <r>
      <rPr>
        <sz val="12"/>
        <rFont val="Arial"/>
        <family val="2"/>
      </rPr>
      <t>Rice</t>
    </r>
  </si>
  <si>
    <r>
      <rPr>
        <sz val="12"/>
        <rFont val="Arial"/>
        <family val="2"/>
      </rPr>
      <t>Rice Farming</t>
    </r>
  </si>
  <si>
    <r>
      <rPr>
        <sz val="12"/>
        <rFont val="Arial"/>
        <family val="2"/>
      </rPr>
      <t>Corn</t>
    </r>
  </si>
  <si>
    <r>
      <rPr>
        <sz val="12"/>
        <rFont val="Arial"/>
        <family val="2"/>
      </rPr>
      <t>Corn Farming</t>
    </r>
  </si>
  <si>
    <r>
      <rPr>
        <sz val="12"/>
        <rFont val="Arial"/>
        <family val="2"/>
      </rPr>
      <t>Soybeans</t>
    </r>
  </si>
  <si>
    <r>
      <rPr>
        <sz val="12"/>
        <rFont val="Arial"/>
        <family val="2"/>
      </rPr>
      <t>Soybean Farming</t>
    </r>
  </si>
  <si>
    <r>
      <rPr>
        <sz val="12"/>
        <rFont val="Arial"/>
        <family val="2"/>
      </rPr>
      <t>Cash Grains, Nec</t>
    </r>
  </si>
  <si>
    <r>
      <rPr>
        <sz val="12"/>
        <rFont val="Arial"/>
        <family val="2"/>
      </rPr>
      <t>Oilseed (except Soybean) Farming</t>
    </r>
  </si>
  <si>
    <r>
      <rPr>
        <sz val="12"/>
        <rFont val="Arial"/>
        <family val="2"/>
      </rPr>
      <t>Dry Pea and Bean Farming</t>
    </r>
  </si>
  <si>
    <r>
      <rPr>
        <sz val="12"/>
        <rFont val="Arial"/>
        <family val="2"/>
      </rPr>
      <t>Oilseed and Grain Combination Farming</t>
    </r>
  </si>
  <si>
    <r>
      <rPr>
        <sz val="12"/>
        <rFont val="Arial"/>
        <family val="2"/>
      </rPr>
      <t>All Other Grain Farming</t>
    </r>
  </si>
  <si>
    <r>
      <rPr>
        <sz val="12"/>
        <rFont val="Arial"/>
        <family val="2"/>
      </rPr>
      <t>Cotton</t>
    </r>
  </si>
  <si>
    <r>
      <rPr>
        <sz val="12"/>
        <rFont val="Arial"/>
        <family val="2"/>
      </rPr>
      <t>Cotton Farming</t>
    </r>
  </si>
  <si>
    <r>
      <rPr>
        <sz val="12"/>
        <rFont val="Arial"/>
        <family val="2"/>
      </rPr>
      <t>Tobacco</t>
    </r>
  </si>
  <si>
    <r>
      <rPr>
        <sz val="12"/>
        <rFont val="Arial"/>
        <family val="2"/>
      </rPr>
      <t>Tobacco Farming</t>
    </r>
  </si>
  <si>
    <r>
      <rPr>
        <sz val="12"/>
        <rFont val="Arial"/>
        <family val="2"/>
      </rPr>
      <t>Sugarcane and Sugar Beets</t>
    </r>
  </si>
  <si>
    <r>
      <rPr>
        <sz val="12"/>
        <rFont val="Arial"/>
        <family val="2"/>
      </rPr>
      <t>Sugarcane Farming</t>
    </r>
  </si>
  <si>
    <r>
      <rPr>
        <sz val="12"/>
        <rFont val="Arial"/>
        <family val="2"/>
      </rPr>
      <t>Sugar Beet Farming</t>
    </r>
  </si>
  <si>
    <r>
      <rPr>
        <sz val="12"/>
        <rFont val="Arial"/>
        <family val="2"/>
      </rPr>
      <t>Irish Potatoes</t>
    </r>
  </si>
  <si>
    <r>
      <rPr>
        <sz val="12"/>
        <rFont val="Arial"/>
        <family val="2"/>
      </rPr>
      <t>Potato Farming</t>
    </r>
  </si>
  <si>
    <r>
      <rPr>
        <sz val="12"/>
        <rFont val="Arial"/>
        <family val="2"/>
      </rPr>
      <t>Field Crops, Except Cash Grain</t>
    </r>
  </si>
  <si>
    <r>
      <rPr>
        <sz val="12"/>
        <rFont val="Arial"/>
        <family val="2"/>
      </rPr>
      <t xml:space="preserve">Other Vegetable (except Potato) and
</t>
    </r>
    <r>
      <rPr>
        <sz val="12"/>
        <rFont val="Arial"/>
        <family val="2"/>
      </rPr>
      <t>Melon Farming</t>
    </r>
  </si>
  <si>
    <r>
      <rPr>
        <sz val="12"/>
        <rFont val="Arial"/>
        <family val="2"/>
      </rPr>
      <t>Hay Farming</t>
    </r>
  </si>
  <si>
    <r>
      <rPr>
        <sz val="12"/>
        <rFont val="Arial"/>
        <family val="2"/>
      </rPr>
      <t>Peanut Farming</t>
    </r>
  </si>
  <si>
    <r>
      <rPr>
        <sz val="12"/>
        <rFont val="Arial"/>
        <family val="2"/>
      </rPr>
      <t>All Other Miscellaneous Crop Farming</t>
    </r>
  </si>
  <si>
    <r>
      <rPr>
        <sz val="12"/>
        <rFont val="Arial"/>
        <family val="2"/>
      </rPr>
      <t>Other Aquaculture</t>
    </r>
  </si>
  <si>
    <r>
      <rPr>
        <sz val="12"/>
        <rFont val="Arial"/>
        <family val="2"/>
      </rPr>
      <t>Vegetables and Melons</t>
    </r>
  </si>
  <si>
    <r>
      <rPr>
        <sz val="12"/>
        <rFont val="Arial"/>
        <family val="2"/>
      </rPr>
      <t>Berry Crops</t>
    </r>
  </si>
  <si>
    <r>
      <rPr>
        <sz val="12"/>
        <rFont val="Arial"/>
        <family val="2"/>
      </rPr>
      <t>Strawberry Farming</t>
    </r>
  </si>
  <si>
    <r>
      <rPr>
        <sz val="12"/>
        <rFont val="Arial"/>
        <family val="2"/>
      </rPr>
      <t>Berry (except Strawberry) Farming</t>
    </r>
  </si>
  <si>
    <r>
      <rPr>
        <sz val="12"/>
        <rFont val="Arial"/>
        <family val="2"/>
      </rPr>
      <t>Grapes</t>
    </r>
  </si>
  <si>
    <r>
      <rPr>
        <sz val="12"/>
        <rFont val="Arial"/>
        <family val="2"/>
      </rPr>
      <t>Grape Vineyards</t>
    </r>
  </si>
  <si>
    <r>
      <rPr>
        <sz val="12"/>
        <rFont val="Arial"/>
        <family val="2"/>
      </rPr>
      <t>Tree Nuts</t>
    </r>
  </si>
  <si>
    <r>
      <rPr>
        <sz val="12"/>
        <rFont val="Arial"/>
        <family val="2"/>
      </rPr>
      <t>Tree Nut Farming</t>
    </r>
  </si>
  <si>
    <r>
      <rPr>
        <sz val="12"/>
        <rFont val="Arial"/>
        <family val="2"/>
      </rPr>
      <t>Citrus Fruits</t>
    </r>
  </si>
  <si>
    <r>
      <rPr>
        <sz val="12"/>
        <rFont val="Arial"/>
        <family val="2"/>
      </rPr>
      <t>Orange Groves</t>
    </r>
  </si>
  <si>
    <r>
      <rPr>
        <sz val="12"/>
        <rFont val="Arial"/>
        <family val="2"/>
      </rPr>
      <t>Citrus (except Orange) Groves</t>
    </r>
  </si>
  <si>
    <r>
      <rPr>
        <sz val="12"/>
        <rFont val="Arial"/>
        <family val="2"/>
      </rPr>
      <t>Deciduous Tree Fruits</t>
    </r>
  </si>
  <si>
    <r>
      <rPr>
        <sz val="12"/>
        <rFont val="Arial"/>
        <family val="2"/>
      </rPr>
      <t>Apple Orchards</t>
    </r>
  </si>
  <si>
    <r>
      <rPr>
        <sz val="12"/>
        <rFont val="Arial"/>
        <family val="2"/>
      </rPr>
      <t>Other Noncitrus Fruit Farming</t>
    </r>
  </si>
  <si>
    <r>
      <rPr>
        <sz val="12"/>
        <rFont val="Arial"/>
        <family val="2"/>
      </rPr>
      <t>Fruits and Tree Nuts, Nec</t>
    </r>
  </si>
  <si>
    <r>
      <rPr>
        <sz val="12"/>
        <rFont val="Arial"/>
        <family val="2"/>
      </rPr>
      <t>Fruit and Tree Nut Combination Farming</t>
    </r>
  </si>
  <si>
    <r>
      <rPr>
        <sz val="12"/>
        <rFont val="Arial"/>
        <family val="2"/>
      </rPr>
      <t>Ornamental Nursery Products</t>
    </r>
  </si>
  <si>
    <r>
      <rPr>
        <sz val="12"/>
        <rFont val="Arial"/>
        <family val="2"/>
      </rPr>
      <t>Nursery and Tree Production</t>
    </r>
  </si>
  <si>
    <r>
      <rPr>
        <sz val="12"/>
        <rFont val="Arial"/>
        <family val="2"/>
      </rPr>
      <t>Floriculture Production</t>
    </r>
  </si>
  <si>
    <r>
      <rPr>
        <sz val="12"/>
        <rFont val="Arial"/>
        <family val="2"/>
      </rPr>
      <t>Food Crops Grown Under Cover</t>
    </r>
  </si>
  <si>
    <r>
      <rPr>
        <sz val="12"/>
        <rFont val="Arial"/>
        <family val="2"/>
      </rPr>
      <t>Mushroom Production</t>
    </r>
  </si>
  <si>
    <r>
      <rPr>
        <sz val="12"/>
        <rFont val="Arial"/>
        <family val="2"/>
      </rPr>
      <t>Other Food Crops Grown Under Cover</t>
    </r>
  </si>
  <si>
    <r>
      <rPr>
        <sz val="12"/>
        <rFont val="Arial"/>
        <family val="2"/>
      </rPr>
      <t>General Farms, Primarily Crop</t>
    </r>
  </si>
  <si>
    <r>
      <rPr>
        <sz val="12"/>
        <rFont val="Arial"/>
        <family val="2"/>
      </rPr>
      <t>Beef Cattle Feedlots</t>
    </r>
  </si>
  <si>
    <r>
      <rPr>
        <sz val="12"/>
        <rFont val="Arial"/>
        <family val="2"/>
      </rPr>
      <t>Cattle Feedlots</t>
    </r>
  </si>
  <si>
    <r>
      <rPr>
        <sz val="12"/>
        <rFont val="Arial"/>
        <family val="2"/>
      </rPr>
      <t>Beef Cattle, Except Feedlots</t>
    </r>
  </si>
  <si>
    <r>
      <rPr>
        <sz val="12"/>
        <rFont val="Arial"/>
        <family val="2"/>
      </rPr>
      <t>Beef Cattle Ranching and Farming</t>
    </r>
  </si>
  <si>
    <r>
      <rPr>
        <sz val="12"/>
        <rFont val="Arial"/>
        <family val="2"/>
      </rPr>
      <t>Hogs</t>
    </r>
  </si>
  <si>
    <r>
      <rPr>
        <sz val="12"/>
        <rFont val="Arial"/>
        <family val="2"/>
      </rPr>
      <t>Hog and Pig Farming</t>
    </r>
  </si>
  <si>
    <r>
      <rPr>
        <sz val="12"/>
        <rFont val="Arial"/>
        <family val="2"/>
      </rPr>
      <t>Sheep and Goats</t>
    </r>
  </si>
  <si>
    <r>
      <rPr>
        <sz val="12"/>
        <rFont val="Arial"/>
        <family val="2"/>
      </rPr>
      <t>Sheep Farming</t>
    </r>
  </si>
  <si>
    <r>
      <rPr>
        <sz val="12"/>
        <rFont val="Arial"/>
        <family val="2"/>
      </rPr>
      <t>Goat Farming</t>
    </r>
  </si>
  <si>
    <r>
      <rPr>
        <sz val="12"/>
        <rFont val="Arial"/>
        <family val="2"/>
      </rPr>
      <t>General Livestock, Nec</t>
    </r>
  </si>
  <si>
    <r>
      <rPr>
        <sz val="12"/>
        <rFont val="Arial"/>
        <family val="2"/>
      </rPr>
      <t>All Other Animal Production</t>
    </r>
  </si>
  <si>
    <r>
      <rPr>
        <sz val="12"/>
        <rFont val="Arial"/>
        <family val="2"/>
      </rPr>
      <t>Dairy Farms</t>
    </r>
  </si>
  <si>
    <r>
      <rPr>
        <sz val="12"/>
        <rFont val="Arial"/>
        <family val="2"/>
      </rPr>
      <t>Dairy Cattle and Milk Production</t>
    </r>
  </si>
  <si>
    <r>
      <rPr>
        <sz val="12"/>
        <rFont val="Arial"/>
        <family val="2"/>
      </rPr>
      <t>Broiler, Fryer, and Roaster Chickens</t>
    </r>
  </si>
  <si>
    <r>
      <rPr>
        <sz val="12"/>
        <rFont val="Arial"/>
        <family val="2"/>
      </rPr>
      <t xml:space="preserve">Broilers and Other Meat Type Chicken
</t>
    </r>
    <r>
      <rPr>
        <sz val="12"/>
        <rFont val="Arial"/>
        <family val="2"/>
      </rPr>
      <t>Production</t>
    </r>
  </si>
  <si>
    <r>
      <rPr>
        <sz val="12"/>
        <rFont val="Arial"/>
        <family val="2"/>
      </rPr>
      <t>Chicken Eggs</t>
    </r>
  </si>
  <si>
    <r>
      <rPr>
        <sz val="12"/>
        <rFont val="Arial"/>
        <family val="2"/>
      </rPr>
      <t>Chicken Egg Production</t>
    </r>
  </si>
  <si>
    <r>
      <rPr>
        <sz val="12"/>
        <rFont val="Arial"/>
        <family val="2"/>
      </rPr>
      <t>Turkeys and Turkey Eggs</t>
    </r>
  </si>
  <si>
    <r>
      <rPr>
        <sz val="12"/>
        <rFont val="Arial"/>
        <family val="2"/>
      </rPr>
      <t>Turkey Production</t>
    </r>
  </si>
  <si>
    <r>
      <rPr>
        <sz val="12"/>
        <rFont val="Arial"/>
        <family val="2"/>
      </rPr>
      <t>Poultry Hatcheries</t>
    </r>
  </si>
  <si>
    <r>
      <rPr>
        <sz val="12"/>
        <rFont val="Arial"/>
        <family val="2"/>
      </rPr>
      <t>Poultry and Eggs, Nec</t>
    </r>
  </si>
  <si>
    <r>
      <rPr>
        <sz val="12"/>
        <rFont val="Arial"/>
        <family val="2"/>
      </rPr>
      <t>Other Poultry Production</t>
    </r>
  </si>
  <si>
    <r>
      <rPr>
        <sz val="12"/>
        <rFont val="Arial"/>
        <family val="2"/>
      </rPr>
      <t>Fur-bearing Animals and Rabbits</t>
    </r>
  </si>
  <si>
    <r>
      <rPr>
        <sz val="12"/>
        <rFont val="Arial"/>
        <family val="2"/>
      </rPr>
      <t>Fur-Bearing Animal and Rabbit Production</t>
    </r>
  </si>
  <si>
    <r>
      <rPr>
        <sz val="12"/>
        <rFont val="Arial"/>
        <family val="2"/>
      </rPr>
      <t>Horses and Other Equines</t>
    </r>
  </si>
  <si>
    <r>
      <rPr>
        <sz val="12"/>
        <rFont val="Arial"/>
        <family val="2"/>
      </rPr>
      <t>Horses and Other Equine Production</t>
    </r>
  </si>
  <si>
    <r>
      <rPr>
        <sz val="12"/>
        <rFont val="Arial"/>
        <family val="2"/>
      </rPr>
      <t>Animal Aquaculture</t>
    </r>
  </si>
  <si>
    <r>
      <rPr>
        <sz val="12"/>
        <rFont val="Arial"/>
        <family val="2"/>
      </rPr>
      <t>Finfish Farming and Fish Hatcheries</t>
    </r>
  </si>
  <si>
    <r>
      <rPr>
        <sz val="12"/>
        <rFont val="Arial"/>
        <family val="2"/>
      </rPr>
      <t>Shellfish Farming</t>
    </r>
  </si>
  <si>
    <r>
      <rPr>
        <sz val="12"/>
        <rFont val="Arial"/>
        <family val="2"/>
      </rPr>
      <t>Animal Specialties, Nec</t>
    </r>
  </si>
  <si>
    <r>
      <rPr>
        <sz val="12"/>
        <rFont val="Arial"/>
        <family val="2"/>
      </rPr>
      <t>Apiculture</t>
    </r>
  </si>
  <si>
    <r>
      <rPr>
        <sz val="12"/>
        <rFont val="Arial"/>
        <family val="2"/>
      </rPr>
      <t>General Farms, Primarily animals</t>
    </r>
  </si>
  <si>
    <r>
      <rPr>
        <sz val="12"/>
        <rFont val="Arial"/>
        <family val="2"/>
      </rPr>
      <t>Soil Preparation Services</t>
    </r>
  </si>
  <si>
    <r>
      <rPr>
        <sz val="12"/>
        <rFont val="Arial"/>
        <family val="2"/>
      </rPr>
      <t>Soil Preparation, Planting, and Cultivating</t>
    </r>
  </si>
  <si>
    <r>
      <rPr>
        <sz val="12"/>
        <rFont val="Arial"/>
        <family val="2"/>
      </rPr>
      <t>Crop Planting and Protection</t>
    </r>
  </si>
  <si>
    <r>
      <rPr>
        <sz val="12"/>
        <rFont val="Arial"/>
        <family val="2"/>
      </rPr>
      <t>Crop Harvesting</t>
    </r>
  </si>
  <si>
    <r>
      <rPr>
        <sz val="12"/>
        <rFont val="Arial"/>
        <family val="2"/>
      </rPr>
      <t>Crop Harvesting, Primarily by Machine</t>
    </r>
  </si>
  <si>
    <r>
      <rPr>
        <sz val="12"/>
        <rFont val="Arial"/>
        <family val="2"/>
      </rPr>
      <t>Crop Preparation Services For Market</t>
    </r>
  </si>
  <si>
    <r>
      <rPr>
        <sz val="12"/>
        <rFont val="Arial"/>
        <family val="2"/>
      </rPr>
      <t xml:space="preserve">Postharvest Crop Activities (except Cotton
</t>
    </r>
    <r>
      <rPr>
        <sz val="12"/>
        <rFont val="Arial"/>
        <family val="2"/>
      </rPr>
      <t>Ginning)</t>
    </r>
  </si>
  <si>
    <r>
      <rPr>
        <sz val="12"/>
        <rFont val="Arial"/>
        <family val="2"/>
      </rPr>
      <t>Other Animal Food Manufacturing</t>
    </r>
  </si>
  <si>
    <r>
      <rPr>
        <sz val="12"/>
        <rFont val="Arial"/>
        <family val="2"/>
      </rPr>
      <t>Cotton Ginning</t>
    </r>
  </si>
  <si>
    <r>
      <rPr>
        <sz val="12"/>
        <rFont val="Arial"/>
        <family val="2"/>
      </rPr>
      <t>Veterinary Services For Livestock</t>
    </r>
  </si>
  <si>
    <r>
      <rPr>
        <sz val="12"/>
        <rFont val="Arial"/>
        <family val="2"/>
      </rPr>
      <t>Veterinary Services</t>
    </r>
  </si>
  <si>
    <r>
      <rPr>
        <sz val="12"/>
        <rFont val="Arial"/>
        <family val="2"/>
      </rPr>
      <t>Veterinary Services, Specialties</t>
    </r>
  </si>
  <si>
    <r>
      <rPr>
        <sz val="12"/>
        <rFont val="Arial"/>
        <family val="2"/>
      </rPr>
      <t>Livestock Services, Except Veterinary</t>
    </r>
  </si>
  <si>
    <r>
      <rPr>
        <sz val="12"/>
        <rFont val="Arial"/>
        <family val="2"/>
      </rPr>
      <t>Support Activities for Animal Production</t>
    </r>
  </si>
  <si>
    <r>
      <rPr>
        <sz val="12"/>
        <rFont val="Arial"/>
        <family val="2"/>
      </rPr>
      <t>Animal (except Poultry) Slaughtering</t>
    </r>
  </si>
  <si>
    <r>
      <rPr>
        <sz val="12"/>
        <rFont val="Arial"/>
        <family val="2"/>
      </rPr>
      <t>Animal Specialty Services</t>
    </r>
  </si>
  <si>
    <r>
      <rPr>
        <sz val="12"/>
        <rFont val="Arial"/>
        <family val="2"/>
      </rPr>
      <t>Pet Care (except Veterinary) Services</t>
    </r>
  </si>
  <si>
    <r>
      <rPr>
        <sz val="12"/>
        <rFont val="Arial"/>
        <family val="2"/>
      </rPr>
      <t>Farm Labor Contractors</t>
    </r>
  </si>
  <si>
    <r>
      <rPr>
        <sz val="12"/>
        <rFont val="Arial"/>
        <family val="2"/>
      </rPr>
      <t>Farm Labor Contractors and Crew Leaders</t>
    </r>
  </si>
  <si>
    <r>
      <rPr>
        <sz val="12"/>
        <rFont val="Arial"/>
        <family val="2"/>
      </rPr>
      <t>Farm Management Services</t>
    </r>
  </si>
  <si>
    <r>
      <rPr>
        <sz val="12"/>
        <rFont val="Arial"/>
        <family val="2"/>
      </rPr>
      <t>Landscape Counseling and Planning</t>
    </r>
  </si>
  <si>
    <r>
      <rPr>
        <sz val="12"/>
        <rFont val="Arial"/>
        <family val="2"/>
      </rPr>
      <t>Landscape Architectural Services</t>
    </r>
  </si>
  <si>
    <r>
      <rPr>
        <sz val="12"/>
        <rFont val="Arial"/>
        <family val="2"/>
      </rPr>
      <t xml:space="preserve">Other Scientific and Technical Consulting
</t>
    </r>
    <r>
      <rPr>
        <sz val="12"/>
        <rFont val="Arial"/>
        <family val="2"/>
      </rPr>
      <t>Services</t>
    </r>
  </si>
  <si>
    <r>
      <rPr>
        <sz val="12"/>
        <rFont val="Arial"/>
        <family val="2"/>
      </rPr>
      <t>Lawn and Garden Services</t>
    </r>
  </si>
  <si>
    <r>
      <rPr>
        <sz val="12"/>
        <rFont val="Arial"/>
        <family val="2"/>
      </rPr>
      <t>Landscaping Services</t>
    </r>
  </si>
  <si>
    <r>
      <rPr>
        <sz val="12"/>
        <rFont val="Arial"/>
        <family val="2"/>
      </rPr>
      <t>Ornamental Shrub and Tree Services</t>
    </r>
  </si>
  <si>
    <r>
      <rPr>
        <sz val="12"/>
        <rFont val="Arial"/>
        <family val="2"/>
      </rPr>
      <t>Timber Tracts</t>
    </r>
  </si>
  <si>
    <r>
      <rPr>
        <sz val="12"/>
        <rFont val="Arial"/>
        <family val="2"/>
      </rPr>
      <t>Timber Tract Operations</t>
    </r>
  </si>
  <si>
    <r>
      <rPr>
        <sz val="12"/>
        <rFont val="Arial"/>
        <family val="2"/>
      </rPr>
      <t>Forest Products</t>
    </r>
  </si>
  <si>
    <r>
      <rPr>
        <sz val="12"/>
        <rFont val="Arial"/>
        <family val="2"/>
      </rPr>
      <t xml:space="preserve">Forest Nurseries and Gathering of Forest
</t>
    </r>
    <r>
      <rPr>
        <sz val="12"/>
        <rFont val="Arial"/>
        <family val="2"/>
      </rPr>
      <t>Products</t>
    </r>
  </si>
  <si>
    <r>
      <rPr>
        <sz val="12"/>
        <rFont val="Arial"/>
        <family val="2"/>
      </rPr>
      <t>Forestry Services</t>
    </r>
  </si>
  <si>
    <r>
      <rPr>
        <sz val="12"/>
        <rFont val="Arial"/>
        <family val="2"/>
      </rPr>
      <t>Support Activities for Forestry</t>
    </r>
  </si>
  <si>
    <r>
      <rPr>
        <sz val="12"/>
        <rFont val="Arial"/>
        <family val="2"/>
      </rPr>
      <t>Finfish</t>
    </r>
  </si>
  <si>
    <r>
      <rPr>
        <sz val="12"/>
        <rFont val="Arial"/>
        <family val="2"/>
      </rPr>
      <t>Finfish Fishing</t>
    </r>
  </si>
  <si>
    <r>
      <rPr>
        <sz val="12"/>
        <rFont val="Arial"/>
        <family val="2"/>
      </rPr>
      <t>Shellfish</t>
    </r>
  </si>
  <si>
    <r>
      <rPr>
        <sz val="12"/>
        <rFont val="Arial"/>
        <family val="2"/>
      </rPr>
      <t>Shellfish Fishing</t>
    </r>
  </si>
  <si>
    <r>
      <rPr>
        <sz val="12"/>
        <rFont val="Arial"/>
        <family val="2"/>
      </rPr>
      <t>Miscellaneous Marine Products</t>
    </r>
  </si>
  <si>
    <r>
      <rPr>
        <sz val="12"/>
        <rFont val="Arial"/>
        <family val="2"/>
      </rPr>
      <t>Other Marine Fishing</t>
    </r>
  </si>
  <si>
    <r>
      <rPr>
        <sz val="12"/>
        <rFont val="Arial"/>
        <family val="2"/>
      </rPr>
      <t>Fish Hatcheries and Preserves</t>
    </r>
  </si>
  <si>
    <r>
      <rPr>
        <sz val="12"/>
        <rFont val="Arial"/>
        <family val="2"/>
      </rPr>
      <t>Hunting, Trapping, Game Propagation</t>
    </r>
  </si>
  <si>
    <r>
      <rPr>
        <sz val="12"/>
        <rFont val="Arial"/>
        <family val="2"/>
      </rPr>
      <t>Hunting and Trapping</t>
    </r>
  </si>
  <si>
    <r>
      <rPr>
        <sz val="12"/>
        <rFont val="Arial"/>
        <family val="2"/>
      </rPr>
      <t>Iron Ores</t>
    </r>
  </si>
  <si>
    <r>
      <rPr>
        <sz val="12"/>
        <rFont val="Arial"/>
        <family val="2"/>
      </rPr>
      <t>Iron Ore Mining</t>
    </r>
  </si>
  <si>
    <r>
      <rPr>
        <sz val="12"/>
        <rFont val="Arial"/>
        <family val="2"/>
      </rPr>
      <t>Copper Ores</t>
    </r>
  </si>
  <si>
    <r>
      <rPr>
        <sz val="12"/>
        <rFont val="Arial"/>
        <family val="2"/>
      </rPr>
      <t>Copper, Nickel, Lead, and Zinc Mining</t>
    </r>
  </si>
  <si>
    <r>
      <rPr>
        <sz val="12"/>
        <rFont val="Arial"/>
        <family val="2"/>
      </rPr>
      <t>Lead and Zinc Ores</t>
    </r>
  </si>
  <si>
    <r>
      <rPr>
        <sz val="12"/>
        <rFont val="Arial"/>
        <family val="2"/>
      </rPr>
      <t>Gold Ores</t>
    </r>
  </si>
  <si>
    <r>
      <rPr>
        <sz val="12"/>
        <rFont val="Arial"/>
        <family val="2"/>
      </rPr>
      <t>Gold Ore Mining</t>
    </r>
  </si>
  <si>
    <r>
      <rPr>
        <sz val="12"/>
        <rFont val="Arial"/>
        <family val="2"/>
      </rPr>
      <t>Silver Ores</t>
    </r>
  </si>
  <si>
    <r>
      <rPr>
        <sz val="12"/>
        <rFont val="Arial"/>
        <family val="2"/>
      </rPr>
      <t>Silver Ore Mining</t>
    </r>
  </si>
  <si>
    <r>
      <rPr>
        <sz val="12"/>
        <rFont val="Arial"/>
        <family val="2"/>
      </rPr>
      <t>Ferroalloy Ores, Except Vanadium</t>
    </r>
  </si>
  <si>
    <r>
      <rPr>
        <sz val="12"/>
        <rFont val="Arial"/>
        <family val="2"/>
      </rPr>
      <t>All Other Metal Ore Mining</t>
    </r>
  </si>
  <si>
    <r>
      <rPr>
        <sz val="12"/>
        <rFont val="Arial"/>
        <family val="2"/>
      </rPr>
      <t>Metal Mining Services</t>
    </r>
  </si>
  <si>
    <r>
      <rPr>
        <sz val="12"/>
        <rFont val="Arial"/>
        <family val="2"/>
      </rPr>
      <t>Support Activities for Metal Mining</t>
    </r>
  </si>
  <si>
    <r>
      <rPr>
        <sz val="12"/>
        <rFont val="Arial"/>
        <family val="2"/>
      </rPr>
      <t>Site Preparation Contractors</t>
    </r>
  </si>
  <si>
    <r>
      <rPr>
        <sz val="12"/>
        <rFont val="Arial"/>
        <family val="2"/>
      </rPr>
      <t xml:space="preserve">Geophysical Surveying and Mapping
</t>
    </r>
    <r>
      <rPr>
        <sz val="12"/>
        <rFont val="Arial"/>
        <family val="2"/>
      </rPr>
      <t>Services</t>
    </r>
  </si>
  <si>
    <r>
      <rPr>
        <sz val="12"/>
        <rFont val="Arial"/>
        <family val="2"/>
      </rPr>
      <t>Uranium-radium-vanadium Ores</t>
    </r>
  </si>
  <si>
    <r>
      <rPr>
        <sz val="12"/>
        <rFont val="Arial"/>
        <family val="2"/>
      </rPr>
      <t>Uranium-Radium-Vanadium Ore Mining</t>
    </r>
  </si>
  <si>
    <r>
      <rPr>
        <sz val="12"/>
        <rFont val="Arial"/>
        <family val="2"/>
      </rPr>
      <t>Metal Ores, Nec</t>
    </r>
  </si>
  <si>
    <r>
      <rPr>
        <sz val="12"/>
        <rFont val="Arial"/>
        <family val="2"/>
      </rPr>
      <t>Bituminous Coal and Lignite-surface Mining</t>
    </r>
  </si>
  <si>
    <r>
      <rPr>
        <sz val="12"/>
        <rFont val="Arial"/>
        <family val="2"/>
      </rPr>
      <t xml:space="preserve">Bituminous Coal and Lignite Surface
</t>
    </r>
    <r>
      <rPr>
        <sz val="12"/>
        <rFont val="Arial"/>
        <family val="2"/>
      </rPr>
      <t>Mining</t>
    </r>
  </si>
  <si>
    <r>
      <rPr>
        <sz val="12"/>
        <rFont val="Arial"/>
        <family val="2"/>
      </rPr>
      <t>Bituminous Coal-underground Mining</t>
    </r>
  </si>
  <si>
    <r>
      <rPr>
        <sz val="12"/>
        <rFont val="Arial"/>
        <family val="2"/>
      </rPr>
      <t>Bituminous Coal Underground Mining</t>
    </r>
  </si>
  <si>
    <r>
      <rPr>
        <sz val="12"/>
        <rFont val="Arial"/>
        <family val="2"/>
      </rPr>
      <t>Anthracite Mining</t>
    </r>
  </si>
  <si>
    <r>
      <rPr>
        <sz val="12"/>
        <rFont val="Arial"/>
        <family val="2"/>
      </rPr>
      <t>Coal Mining Services</t>
    </r>
  </si>
  <si>
    <r>
      <rPr>
        <sz val="12"/>
        <rFont val="Arial"/>
        <family val="2"/>
      </rPr>
      <t>Support Activities for Coal Mining</t>
    </r>
  </si>
  <si>
    <r>
      <rPr>
        <sz val="12"/>
        <rFont val="Arial"/>
        <family val="2"/>
      </rPr>
      <t>Crude Petroleum and Natural Gas</t>
    </r>
  </si>
  <si>
    <r>
      <rPr>
        <sz val="12"/>
        <rFont val="Arial"/>
        <family val="2"/>
      </rPr>
      <t>Crude Petroleum Extraction</t>
    </r>
  </si>
  <si>
    <r>
      <rPr>
        <sz val="12"/>
        <rFont val="Arial"/>
        <family val="2"/>
      </rPr>
      <t>Natural Gas Liquids</t>
    </r>
  </si>
  <si>
    <r>
      <rPr>
        <sz val="12"/>
        <rFont val="Arial"/>
        <family val="2"/>
      </rPr>
      <t>Natural Gas Extraction</t>
    </r>
  </si>
  <si>
    <r>
      <rPr>
        <sz val="12"/>
        <rFont val="Arial"/>
        <family val="2"/>
      </rPr>
      <t>Drilling Oil and Gas Wells</t>
    </r>
  </si>
  <si>
    <r>
      <rPr>
        <sz val="12"/>
        <rFont val="Arial"/>
        <family val="2"/>
      </rPr>
      <t>Oil and Gas Exploration Services</t>
    </r>
  </si>
  <si>
    <r>
      <rPr>
        <sz val="12"/>
        <rFont val="Arial"/>
        <family val="2"/>
      </rPr>
      <t xml:space="preserve">Support Activities for Oil and Gas
</t>
    </r>
    <r>
      <rPr>
        <sz val="12"/>
        <rFont val="Arial"/>
        <family val="2"/>
      </rPr>
      <t>Operations</t>
    </r>
  </si>
  <si>
    <r>
      <rPr>
        <sz val="12"/>
        <rFont val="Arial"/>
        <family val="2"/>
      </rPr>
      <t>Oil and Gas Field Services, Nec</t>
    </r>
  </si>
  <si>
    <r>
      <rPr>
        <sz val="12"/>
        <rFont val="Arial"/>
        <family val="2"/>
      </rPr>
      <t xml:space="preserve">Oil and Gas Pipeline and Related
</t>
    </r>
    <r>
      <rPr>
        <sz val="12"/>
        <rFont val="Arial"/>
        <family val="2"/>
      </rPr>
      <t>Structures Construction</t>
    </r>
  </si>
  <si>
    <r>
      <rPr>
        <sz val="12"/>
        <rFont val="Arial"/>
        <family val="2"/>
      </rPr>
      <t>Dimension Stone</t>
    </r>
  </si>
  <si>
    <r>
      <rPr>
        <sz val="12"/>
        <rFont val="Arial"/>
        <family val="2"/>
      </rPr>
      <t>Dimension Stone Mining and Quarrying</t>
    </r>
  </si>
  <si>
    <r>
      <rPr>
        <sz val="12"/>
        <rFont val="Arial"/>
        <family val="2"/>
      </rPr>
      <t>Crushed and Broken Limestone</t>
    </r>
  </si>
  <si>
    <r>
      <rPr>
        <sz val="12"/>
        <rFont val="Arial"/>
        <family val="2"/>
      </rPr>
      <t xml:space="preserve">Crushed and Broken Limestone Mining
</t>
    </r>
    <r>
      <rPr>
        <sz val="12"/>
        <rFont val="Arial"/>
        <family val="2"/>
      </rPr>
      <t>and Quarrying</t>
    </r>
  </si>
  <si>
    <r>
      <rPr>
        <sz val="12"/>
        <rFont val="Arial"/>
        <family val="2"/>
      </rPr>
      <t>Crushed and Broken Granite</t>
    </r>
  </si>
  <si>
    <r>
      <rPr>
        <sz val="12"/>
        <rFont val="Arial"/>
        <family val="2"/>
      </rPr>
      <t xml:space="preserve">Crushed and Broken Granite Mining and
</t>
    </r>
    <r>
      <rPr>
        <sz val="12"/>
        <rFont val="Arial"/>
        <family val="2"/>
      </rPr>
      <t>Quarrying</t>
    </r>
  </si>
  <si>
    <r>
      <rPr>
        <sz val="12"/>
        <rFont val="Arial"/>
        <family val="2"/>
      </rPr>
      <t>Crushed and Broken Stone, Nec</t>
    </r>
  </si>
  <si>
    <r>
      <rPr>
        <sz val="12"/>
        <rFont val="Arial"/>
        <family val="2"/>
      </rPr>
      <t xml:space="preserve">Other Crushed and Broken Stone Mining
</t>
    </r>
    <r>
      <rPr>
        <sz val="12"/>
        <rFont val="Arial"/>
        <family val="2"/>
      </rPr>
      <t>and Quarrying</t>
    </r>
  </si>
  <si>
    <r>
      <rPr>
        <sz val="12"/>
        <rFont val="Arial"/>
        <family val="2"/>
      </rPr>
      <t>Construction Sand and Gravel</t>
    </r>
  </si>
  <si>
    <r>
      <rPr>
        <sz val="12"/>
        <rFont val="Arial"/>
        <family val="2"/>
      </rPr>
      <t>Construction Sand and Gravel Mining</t>
    </r>
  </si>
  <si>
    <r>
      <rPr>
        <sz val="12"/>
        <rFont val="Arial"/>
        <family val="2"/>
      </rPr>
      <t>Industrial Sand</t>
    </r>
  </si>
  <si>
    <r>
      <rPr>
        <sz val="12"/>
        <rFont val="Arial"/>
        <family val="2"/>
      </rPr>
      <t>Industrial Sand Mining</t>
    </r>
  </si>
  <si>
    <r>
      <rPr>
        <sz val="12"/>
        <rFont val="Arial"/>
        <family val="2"/>
      </rPr>
      <t>Kaolin and Ball Clay</t>
    </r>
  </si>
  <si>
    <r>
      <rPr>
        <sz val="12"/>
        <rFont val="Arial"/>
        <family val="2"/>
      </rPr>
      <t>Kaolin and Ball Clay Mining</t>
    </r>
  </si>
  <si>
    <r>
      <rPr>
        <sz val="12"/>
        <rFont val="Arial"/>
        <family val="2"/>
      </rPr>
      <t>Clay and Related Minerals, Nec</t>
    </r>
  </si>
  <si>
    <r>
      <rPr>
        <sz val="12"/>
        <rFont val="Arial"/>
        <family val="2"/>
      </rPr>
      <t xml:space="preserve">Clay and Ceramic and Refractory Minerals
</t>
    </r>
    <r>
      <rPr>
        <sz val="12"/>
        <rFont val="Arial"/>
        <family val="2"/>
      </rPr>
      <t>Mining</t>
    </r>
  </si>
  <si>
    <r>
      <rPr>
        <sz val="12"/>
        <rFont val="Arial"/>
        <family val="2"/>
      </rPr>
      <t>Potash, Soda, and Borate Minerals</t>
    </r>
  </si>
  <si>
    <r>
      <rPr>
        <sz val="12"/>
        <rFont val="Arial"/>
        <family val="2"/>
      </rPr>
      <t>Potash, Soda, and Borate Mineral Mining</t>
    </r>
  </si>
  <si>
    <r>
      <rPr>
        <sz val="12"/>
        <rFont val="Arial"/>
        <family val="2"/>
      </rPr>
      <t>Phosphate Rock</t>
    </r>
  </si>
  <si>
    <r>
      <rPr>
        <sz val="12"/>
        <rFont val="Arial"/>
        <family val="2"/>
      </rPr>
      <t>Phosphate Rock Mining</t>
    </r>
  </si>
  <si>
    <r>
      <rPr>
        <sz val="12"/>
        <rFont val="Arial"/>
        <family val="2"/>
      </rPr>
      <t>Chemical and Fertilizer Mining</t>
    </r>
  </si>
  <si>
    <r>
      <rPr>
        <sz val="12"/>
        <rFont val="Arial"/>
        <family val="2"/>
      </rPr>
      <t xml:space="preserve">Other Chemical and Fertilizer Mineral
</t>
    </r>
    <r>
      <rPr>
        <sz val="12"/>
        <rFont val="Arial"/>
        <family val="2"/>
      </rPr>
      <t>Mining</t>
    </r>
  </si>
  <si>
    <r>
      <rPr>
        <sz val="12"/>
        <rFont val="Arial"/>
        <family val="2"/>
      </rPr>
      <t>Nonmetallic Mineral Services</t>
    </r>
  </si>
  <si>
    <r>
      <rPr>
        <sz val="12"/>
        <rFont val="Arial"/>
        <family val="2"/>
      </rPr>
      <t xml:space="preserve">Support Activities for Nonmetallic Minerals
</t>
    </r>
    <r>
      <rPr>
        <sz val="12"/>
        <rFont val="Arial"/>
        <family val="2"/>
      </rPr>
      <t>(except Fuels) Mining</t>
    </r>
  </si>
  <si>
    <r>
      <rPr>
        <sz val="12"/>
        <rFont val="Arial"/>
        <family val="2"/>
      </rPr>
      <t>Miscellaneous Nonmetallic Mining</t>
    </r>
  </si>
  <si>
    <r>
      <rPr>
        <sz val="12"/>
        <rFont val="Arial"/>
        <family val="2"/>
      </rPr>
      <t>All Other Nonmetallic Mineral Mining</t>
    </r>
  </si>
  <si>
    <r>
      <rPr>
        <sz val="12"/>
        <rFont val="Arial"/>
        <family val="2"/>
      </rPr>
      <t>Single-family Housing Construction</t>
    </r>
  </si>
  <si>
    <r>
      <rPr>
        <sz val="12"/>
        <rFont val="Arial"/>
        <family val="2"/>
      </rPr>
      <t xml:space="preserve">New Single-Family Housing Construction
</t>
    </r>
    <r>
      <rPr>
        <sz val="12"/>
        <rFont val="Arial"/>
        <family val="2"/>
      </rPr>
      <t>(except For-Sale Builders)</t>
    </r>
  </si>
  <si>
    <r>
      <rPr>
        <sz val="12"/>
        <rFont val="Arial"/>
        <family val="2"/>
      </rPr>
      <t>Residential Remodelers</t>
    </r>
  </si>
  <si>
    <r>
      <rPr>
        <sz val="12"/>
        <rFont val="Arial"/>
        <family val="2"/>
      </rPr>
      <t>Residential Construction, Nec</t>
    </r>
  </si>
  <si>
    <r>
      <rPr>
        <sz val="12"/>
        <rFont val="Arial"/>
        <family val="2"/>
      </rPr>
      <t xml:space="preserve">New Multifamily Housing Construction
</t>
    </r>
    <r>
      <rPr>
        <sz val="12"/>
        <rFont val="Arial"/>
        <family val="2"/>
      </rPr>
      <t>(except For-Sale Builders)</t>
    </r>
  </si>
  <si>
    <r>
      <rPr>
        <sz val="12"/>
        <rFont val="Arial"/>
        <family val="2"/>
      </rPr>
      <t xml:space="preserve">Commercial and Institutional Building
</t>
    </r>
    <r>
      <rPr>
        <sz val="12"/>
        <rFont val="Arial"/>
        <family val="2"/>
      </rPr>
      <t>Construction</t>
    </r>
  </si>
  <si>
    <r>
      <rPr>
        <sz val="12"/>
        <rFont val="Arial"/>
        <family val="2"/>
      </rPr>
      <t>Operative Builders</t>
    </r>
  </si>
  <si>
    <r>
      <rPr>
        <sz val="12"/>
        <rFont val="Arial"/>
        <family val="2"/>
      </rPr>
      <t>New Housing For-Sale Builders</t>
    </r>
  </si>
  <si>
    <r>
      <rPr>
        <sz val="12"/>
        <rFont val="Arial"/>
        <family val="2"/>
      </rPr>
      <t>Industrial Building Construction</t>
    </r>
  </si>
  <si>
    <r>
      <rPr>
        <sz val="12"/>
        <rFont val="Arial"/>
        <family val="2"/>
      </rPr>
      <t>Industrial Buildings and Warehouses</t>
    </r>
  </si>
  <si>
    <r>
      <rPr>
        <sz val="12"/>
        <rFont val="Arial"/>
        <family val="2"/>
      </rPr>
      <t>Nonresidential Construction, Nec</t>
    </r>
  </si>
  <si>
    <r>
      <rPr>
        <sz val="12"/>
        <rFont val="Arial"/>
        <family val="2"/>
      </rPr>
      <t>Highway and Street Construction</t>
    </r>
  </si>
  <si>
    <r>
      <rPr>
        <sz val="12"/>
        <rFont val="Arial"/>
        <family val="2"/>
      </rPr>
      <t>Highway, Street, and Bridge Construction</t>
    </r>
  </si>
  <si>
    <r>
      <rPr>
        <sz val="12"/>
        <rFont val="Arial"/>
        <family val="2"/>
      </rPr>
      <t>Bridge, Tunnel, and Elevated Highway</t>
    </r>
  </si>
  <si>
    <r>
      <rPr>
        <sz val="12"/>
        <rFont val="Arial"/>
        <family val="2"/>
      </rPr>
      <t xml:space="preserve">Other Heavy and Civil Engineering
</t>
    </r>
    <r>
      <rPr>
        <sz val="12"/>
        <rFont val="Arial"/>
        <family val="2"/>
      </rPr>
      <t>Construction</t>
    </r>
  </si>
  <si>
    <r>
      <rPr>
        <sz val="12"/>
        <rFont val="Arial"/>
        <family val="2"/>
      </rPr>
      <t>Water, Sewer, and Utility Lines</t>
    </r>
  </si>
  <si>
    <r>
      <rPr>
        <sz val="12"/>
        <rFont val="Arial"/>
        <family val="2"/>
      </rPr>
      <t xml:space="preserve">Water and Sewer Line and Related
</t>
    </r>
    <r>
      <rPr>
        <sz val="12"/>
        <rFont val="Arial"/>
        <family val="2"/>
      </rPr>
      <t>Structures Construction</t>
    </r>
  </si>
  <si>
    <r>
      <rPr>
        <sz val="12"/>
        <rFont val="Arial"/>
        <family val="2"/>
      </rPr>
      <t xml:space="preserve">Power and Communication Line and
</t>
    </r>
    <r>
      <rPr>
        <sz val="12"/>
        <rFont val="Arial"/>
        <family val="2"/>
      </rPr>
      <t>Related Structures Construction</t>
    </r>
  </si>
  <si>
    <r>
      <rPr>
        <sz val="12"/>
        <rFont val="Arial"/>
        <family val="2"/>
      </rPr>
      <t>Heavy Construction, Nec</t>
    </r>
  </si>
  <si>
    <r>
      <rPr>
        <sz val="12"/>
        <rFont val="Arial"/>
        <family val="2"/>
      </rPr>
      <t>Plumbing, Heating, Air-conditioning</t>
    </r>
  </si>
  <si>
    <r>
      <rPr>
        <sz val="12"/>
        <rFont val="Arial"/>
        <family val="2"/>
      </rPr>
      <t xml:space="preserve">Electrical Contractors and Other Wiring
</t>
    </r>
    <r>
      <rPr>
        <sz val="12"/>
        <rFont val="Arial"/>
        <family val="2"/>
      </rPr>
      <t>Installation Contractors</t>
    </r>
  </si>
  <si>
    <r>
      <rPr>
        <sz val="12"/>
        <rFont val="Arial"/>
        <family val="2"/>
      </rPr>
      <t xml:space="preserve">Plumbing, Heating, and Air-Conditioning
</t>
    </r>
    <r>
      <rPr>
        <sz val="12"/>
        <rFont val="Arial"/>
        <family val="2"/>
      </rPr>
      <t>Contractors</t>
    </r>
  </si>
  <si>
    <r>
      <rPr>
        <sz val="12"/>
        <rFont val="Arial"/>
        <family val="2"/>
      </rPr>
      <t>Painting and Paper Hanging</t>
    </r>
  </si>
  <si>
    <r>
      <rPr>
        <sz val="12"/>
        <rFont val="Arial"/>
        <family val="2"/>
      </rPr>
      <t>Painting and Wall Covering Contractors</t>
    </r>
  </si>
  <si>
    <r>
      <rPr>
        <sz val="12"/>
        <rFont val="Arial"/>
        <family val="2"/>
      </rPr>
      <t>Electrical Work</t>
    </r>
  </si>
  <si>
    <r>
      <rPr>
        <sz val="12"/>
        <rFont val="Arial"/>
        <family val="2"/>
      </rPr>
      <t>Masonry and Other Stonework</t>
    </r>
  </si>
  <si>
    <r>
      <rPr>
        <sz val="12"/>
        <rFont val="Arial"/>
        <family val="2"/>
      </rPr>
      <t>Masonry Contractors</t>
    </r>
  </si>
  <si>
    <r>
      <rPr>
        <sz val="12"/>
        <rFont val="Arial"/>
        <family val="2"/>
      </rPr>
      <t>Plastering, Drywall, and Insulation</t>
    </r>
  </si>
  <si>
    <r>
      <rPr>
        <sz val="12"/>
        <rFont val="Arial"/>
        <family val="2"/>
      </rPr>
      <t>Drywall and Insulation Contractors</t>
    </r>
  </si>
  <si>
    <r>
      <rPr>
        <sz val="12"/>
        <rFont val="Arial"/>
        <family val="2"/>
      </rPr>
      <t>Terrazzo, Tile, Marble, Mosaic Work</t>
    </r>
  </si>
  <si>
    <r>
      <rPr>
        <sz val="12"/>
        <rFont val="Arial"/>
        <family val="2"/>
      </rPr>
      <t>Tile and Terrazzo Contractors</t>
    </r>
  </si>
  <si>
    <r>
      <rPr>
        <sz val="12"/>
        <rFont val="Arial"/>
        <family val="2"/>
      </rPr>
      <t>Carpentry Work</t>
    </r>
  </si>
  <si>
    <r>
      <rPr>
        <sz val="12"/>
        <rFont val="Arial"/>
        <family val="2"/>
      </rPr>
      <t>Framing Contractors</t>
    </r>
  </si>
  <si>
    <r>
      <rPr>
        <sz val="12"/>
        <rFont val="Arial"/>
        <family val="2"/>
      </rPr>
      <t>Finish Carpentry Contractors</t>
    </r>
  </si>
  <si>
    <r>
      <rPr>
        <sz val="12"/>
        <rFont val="Arial"/>
        <family val="2"/>
      </rPr>
      <t>Floor Laying and Floor Work, Nec</t>
    </r>
  </si>
  <si>
    <r>
      <rPr>
        <sz val="12"/>
        <rFont val="Arial"/>
        <family val="2"/>
      </rPr>
      <t>Flooring Contractors</t>
    </r>
  </si>
  <si>
    <r>
      <rPr>
        <sz val="12"/>
        <rFont val="Arial"/>
        <family val="2"/>
      </rPr>
      <t>Roofing, Siding, and Sheetmetal Work</t>
    </r>
  </si>
  <si>
    <r>
      <rPr>
        <sz val="12"/>
        <rFont val="Arial"/>
        <family val="2"/>
      </rPr>
      <t>Roofing Contractors</t>
    </r>
  </si>
  <si>
    <r>
      <rPr>
        <sz val="12"/>
        <rFont val="Arial"/>
        <family val="2"/>
      </rPr>
      <t>Siding Contractors</t>
    </r>
  </si>
  <si>
    <r>
      <rPr>
        <sz val="12"/>
        <rFont val="Arial"/>
        <family val="2"/>
      </rPr>
      <t>Other Building Finishing Contractors</t>
    </r>
  </si>
  <si>
    <r>
      <rPr>
        <sz val="12"/>
        <rFont val="Arial"/>
        <family val="2"/>
      </rPr>
      <t>Concrete Work</t>
    </r>
  </si>
  <si>
    <r>
      <rPr>
        <sz val="12"/>
        <rFont val="Arial"/>
        <family val="2"/>
      </rPr>
      <t xml:space="preserve">Poured Concrete Foundation and Structure
</t>
    </r>
    <r>
      <rPr>
        <sz val="12"/>
        <rFont val="Arial"/>
        <family val="2"/>
      </rPr>
      <t>Contractors</t>
    </r>
  </si>
  <si>
    <r>
      <rPr>
        <sz val="12"/>
        <rFont val="Arial"/>
        <family val="2"/>
      </rPr>
      <t>All Other Specialty Trade Contractors</t>
    </r>
  </si>
  <si>
    <r>
      <rPr>
        <sz val="12"/>
        <rFont val="Arial"/>
        <family val="2"/>
      </rPr>
      <t>Water Well Drilling</t>
    </r>
  </si>
  <si>
    <r>
      <rPr>
        <sz val="12"/>
        <rFont val="Arial"/>
        <family val="2"/>
      </rPr>
      <t>Structural Steel Erection</t>
    </r>
  </si>
  <si>
    <r>
      <rPr>
        <sz val="12"/>
        <rFont val="Arial"/>
        <family val="2"/>
      </rPr>
      <t xml:space="preserve">Structural Steel and Precast Concrete
</t>
    </r>
    <r>
      <rPr>
        <sz val="12"/>
        <rFont val="Arial"/>
        <family val="2"/>
      </rPr>
      <t>Contractors</t>
    </r>
  </si>
  <si>
    <r>
      <rPr>
        <sz val="12"/>
        <rFont val="Arial"/>
        <family val="2"/>
      </rPr>
      <t xml:space="preserve">Other Foundation, Structure, and Building
</t>
    </r>
    <r>
      <rPr>
        <sz val="12"/>
        <rFont val="Arial"/>
        <family val="2"/>
      </rPr>
      <t>Exterior Contractors</t>
    </r>
  </si>
  <si>
    <r>
      <rPr>
        <sz val="12"/>
        <rFont val="Arial"/>
        <family val="2"/>
      </rPr>
      <t>Glass and Glazing Work</t>
    </r>
  </si>
  <si>
    <r>
      <rPr>
        <sz val="12"/>
        <rFont val="Arial"/>
        <family val="2"/>
      </rPr>
      <t>Glass and Glazing Contractors</t>
    </r>
  </si>
  <si>
    <r>
      <rPr>
        <sz val="12"/>
        <rFont val="Arial"/>
        <family val="2"/>
      </rPr>
      <t>Excavation Work</t>
    </r>
  </si>
  <si>
    <r>
      <rPr>
        <sz val="12"/>
        <rFont val="Arial"/>
        <family val="2"/>
      </rPr>
      <t>Wrecking and Demolition Work</t>
    </r>
  </si>
  <si>
    <r>
      <rPr>
        <sz val="12"/>
        <rFont val="Arial"/>
        <family val="2"/>
      </rPr>
      <t>Installing Building Equipment</t>
    </r>
  </si>
  <si>
    <r>
      <rPr>
        <sz val="12"/>
        <rFont val="Arial"/>
        <family val="2"/>
      </rPr>
      <t>Other Building Equipment Contractors</t>
    </r>
  </si>
  <si>
    <r>
      <rPr>
        <sz val="12"/>
        <rFont val="Arial"/>
        <family val="2"/>
      </rPr>
      <t>Special Trade Contractors, Nec</t>
    </r>
  </si>
  <si>
    <r>
      <rPr>
        <sz val="12"/>
        <rFont val="Arial"/>
        <family val="2"/>
      </rPr>
      <t>Other Services to Buildings and Dwellings</t>
    </r>
  </si>
  <si>
    <r>
      <rPr>
        <sz val="12"/>
        <rFont val="Arial"/>
        <family val="2"/>
      </rPr>
      <t>Remediation Services</t>
    </r>
  </si>
  <si>
    <r>
      <rPr>
        <sz val="12"/>
        <rFont val="Arial"/>
        <family val="2"/>
      </rPr>
      <t>Meat Packing Plants</t>
    </r>
  </si>
  <si>
    <r>
      <rPr>
        <sz val="12"/>
        <rFont val="Arial"/>
        <family val="2"/>
      </rPr>
      <t>Sausages and Other Prepared Meats</t>
    </r>
  </si>
  <si>
    <r>
      <rPr>
        <sz val="12"/>
        <rFont val="Arial"/>
        <family val="2"/>
      </rPr>
      <t>Meat Processed from Carcasses</t>
    </r>
  </si>
  <si>
    <r>
      <rPr>
        <sz val="12"/>
        <rFont val="Arial"/>
        <family val="2"/>
      </rPr>
      <t>Rendering and Meat Byproduct Processing</t>
    </r>
  </si>
  <si>
    <r>
      <rPr>
        <sz val="12"/>
        <rFont val="Arial"/>
        <family val="2"/>
      </rPr>
      <t>Poultry Slaughtering and Processing</t>
    </r>
  </si>
  <si>
    <r>
      <rPr>
        <sz val="12"/>
        <rFont val="Arial"/>
        <family val="2"/>
      </rPr>
      <t>Poultry Processing</t>
    </r>
  </si>
  <si>
    <r>
      <rPr>
        <sz val="12"/>
        <rFont val="Arial"/>
        <family val="2"/>
      </rPr>
      <t xml:space="preserve">All Other Miscellaneous Food
</t>
    </r>
    <r>
      <rPr>
        <sz val="12"/>
        <rFont val="Arial"/>
        <family val="2"/>
      </rPr>
      <t>Manufacturing</t>
    </r>
  </si>
  <si>
    <r>
      <rPr>
        <sz val="12"/>
        <rFont val="Arial"/>
        <family val="2"/>
      </rPr>
      <t>Creamery Butter</t>
    </r>
  </si>
  <si>
    <r>
      <rPr>
        <sz val="12"/>
        <rFont val="Arial"/>
        <family val="2"/>
      </rPr>
      <t>Creamery Butter Manufacturing</t>
    </r>
  </si>
  <si>
    <r>
      <rPr>
        <sz val="12"/>
        <rFont val="Arial"/>
        <family val="2"/>
      </rPr>
      <t>Cheese; Natural and Processed</t>
    </r>
  </si>
  <si>
    <r>
      <rPr>
        <sz val="12"/>
        <rFont val="Arial"/>
        <family val="2"/>
      </rPr>
      <t>Cheese Manufacturing</t>
    </r>
  </si>
  <si>
    <r>
      <rPr>
        <sz val="12"/>
        <rFont val="Arial"/>
        <family val="2"/>
      </rPr>
      <t>Dry, Condensed, Evaporated Products</t>
    </r>
  </si>
  <si>
    <r>
      <rPr>
        <sz val="12"/>
        <rFont val="Arial"/>
        <family val="2"/>
      </rPr>
      <t>Fluid Milk Manufacturing</t>
    </r>
  </si>
  <si>
    <r>
      <rPr>
        <sz val="12"/>
        <rFont val="Arial"/>
        <family val="2"/>
      </rPr>
      <t xml:space="preserve">Dry, Condensed, and Evaporated Dairy
</t>
    </r>
    <r>
      <rPr>
        <sz val="12"/>
        <rFont val="Arial"/>
        <family val="2"/>
      </rPr>
      <t>Product Manufacturing</t>
    </r>
  </si>
  <si>
    <r>
      <rPr>
        <sz val="12"/>
        <rFont val="Arial"/>
        <family val="2"/>
      </rPr>
      <t>Ice Cream and Frozen Desserts</t>
    </r>
  </si>
  <si>
    <r>
      <rPr>
        <sz val="12"/>
        <rFont val="Arial"/>
        <family val="2"/>
      </rPr>
      <t xml:space="preserve">Ice Cream and Frozen Dessert
</t>
    </r>
    <r>
      <rPr>
        <sz val="12"/>
        <rFont val="Arial"/>
        <family val="2"/>
      </rPr>
      <t>Manufacturing</t>
    </r>
  </si>
  <si>
    <r>
      <rPr>
        <sz val="12"/>
        <rFont val="Arial"/>
        <family val="2"/>
      </rPr>
      <t>Fluid Milk</t>
    </r>
  </si>
  <si>
    <r>
      <rPr>
        <sz val="12"/>
        <rFont val="Arial"/>
        <family val="2"/>
      </rPr>
      <t>Canned Specialties</t>
    </r>
  </si>
  <si>
    <r>
      <rPr>
        <sz val="12"/>
        <rFont val="Arial"/>
        <family val="2"/>
      </rPr>
      <t>Specialty Canning</t>
    </r>
  </si>
  <si>
    <r>
      <rPr>
        <sz val="12"/>
        <rFont val="Arial"/>
        <family val="2"/>
      </rPr>
      <t>Canned Fruits and Specialties</t>
    </r>
  </si>
  <si>
    <r>
      <rPr>
        <sz val="12"/>
        <rFont val="Arial"/>
        <family val="2"/>
      </rPr>
      <t>Fruit and Vegetable Canning</t>
    </r>
  </si>
  <si>
    <r>
      <rPr>
        <sz val="12"/>
        <rFont val="Arial"/>
        <family val="2"/>
      </rPr>
      <t>Dehydrated Fruits, Vegetables, Soups</t>
    </r>
  </si>
  <si>
    <r>
      <rPr>
        <sz val="12"/>
        <rFont val="Arial"/>
        <family val="2"/>
      </rPr>
      <t>Flour Milling</t>
    </r>
  </si>
  <si>
    <r>
      <rPr>
        <sz val="12"/>
        <rFont val="Arial"/>
        <family val="2"/>
      </rPr>
      <t>Dried and Dehydrated Food Manufacturing</t>
    </r>
  </si>
  <si>
    <r>
      <rPr>
        <sz val="12"/>
        <rFont val="Arial"/>
        <family val="2"/>
      </rPr>
      <t>Pickles, Sauces, and Salad Dressings</t>
    </r>
  </si>
  <si>
    <r>
      <rPr>
        <sz val="12"/>
        <rFont val="Arial"/>
        <family val="2"/>
      </rPr>
      <t xml:space="preserve">Mayonnaise, Dressing, and Other
</t>
    </r>
    <r>
      <rPr>
        <sz val="12"/>
        <rFont val="Arial"/>
        <family val="2"/>
      </rPr>
      <t>Prepared Sauce Manufacturing</t>
    </r>
  </si>
  <si>
    <r>
      <rPr>
        <sz val="12"/>
        <rFont val="Arial"/>
        <family val="2"/>
      </rPr>
      <t>Frozen Fruits and Vegetables</t>
    </r>
  </si>
  <si>
    <r>
      <rPr>
        <sz val="12"/>
        <rFont val="Arial"/>
        <family val="2"/>
      </rPr>
      <t xml:space="preserve">Frozen Fruit, Juice, and Vegetable
</t>
    </r>
    <r>
      <rPr>
        <sz val="12"/>
        <rFont val="Arial"/>
        <family val="2"/>
      </rPr>
      <t>Manufacturing</t>
    </r>
  </si>
  <si>
    <r>
      <rPr>
        <sz val="12"/>
        <rFont val="Arial"/>
        <family val="2"/>
      </rPr>
      <t>Frozen Specialties, Nec</t>
    </r>
  </si>
  <si>
    <r>
      <rPr>
        <sz val="12"/>
        <rFont val="Arial"/>
        <family val="2"/>
      </rPr>
      <t>Frozen Specialty Food Manufacturing</t>
    </r>
  </si>
  <si>
    <r>
      <rPr>
        <sz val="12"/>
        <rFont val="Arial"/>
        <family val="2"/>
      </rPr>
      <t>Flour and Other Grain Mill Products</t>
    </r>
  </si>
  <si>
    <r>
      <rPr>
        <sz val="12"/>
        <rFont val="Arial"/>
        <family val="2"/>
      </rPr>
      <t>Cereal Breakfast Foods</t>
    </r>
  </si>
  <si>
    <r>
      <rPr>
        <sz val="12"/>
        <rFont val="Arial"/>
        <family val="2"/>
      </rPr>
      <t>Breakfast Cereal Manufacturing</t>
    </r>
  </si>
  <si>
    <r>
      <rPr>
        <sz val="12"/>
        <rFont val="Arial"/>
        <family val="2"/>
      </rPr>
      <t>Coffee and Tea Manufacturing</t>
    </r>
  </si>
  <si>
    <r>
      <rPr>
        <sz val="12"/>
        <rFont val="Arial"/>
        <family val="2"/>
      </rPr>
      <t>Rice Milling</t>
    </r>
  </si>
  <si>
    <r>
      <rPr>
        <sz val="12"/>
        <rFont val="Arial"/>
        <family val="2"/>
      </rPr>
      <t>Prepared Flour Mixes and Doughs</t>
    </r>
  </si>
  <si>
    <r>
      <rPr>
        <sz val="12"/>
        <rFont val="Arial"/>
        <family val="2"/>
      </rPr>
      <t xml:space="preserve">Dry Pasta, Dough, and Flour Mixes
</t>
    </r>
    <r>
      <rPr>
        <sz val="12"/>
        <rFont val="Arial"/>
        <family val="2"/>
      </rPr>
      <t>Manufacturing from Purchased Flour</t>
    </r>
  </si>
  <si>
    <r>
      <rPr>
        <sz val="12"/>
        <rFont val="Arial"/>
        <family val="2"/>
      </rPr>
      <t>Wet Corn Milling</t>
    </r>
  </si>
  <si>
    <r>
      <rPr>
        <sz val="12"/>
        <rFont val="Arial"/>
        <family val="2"/>
      </rPr>
      <t>Fats and Oils Refining and Blending</t>
    </r>
  </si>
  <si>
    <r>
      <rPr>
        <sz val="12"/>
        <rFont val="Arial"/>
        <family val="2"/>
      </rPr>
      <t>Dog and Cat Food</t>
    </r>
  </si>
  <si>
    <r>
      <rPr>
        <sz val="12"/>
        <rFont val="Arial"/>
        <family val="2"/>
      </rPr>
      <t>Dog and Cat Food Manufacturing</t>
    </r>
  </si>
  <si>
    <r>
      <rPr>
        <sz val="12"/>
        <rFont val="Arial"/>
        <family val="2"/>
      </rPr>
      <t>Prepared Feeds, Nec</t>
    </r>
  </si>
  <si>
    <r>
      <rPr>
        <sz val="12"/>
        <rFont val="Arial"/>
        <family val="2"/>
      </rPr>
      <t>Bread, Cake, and Related Products</t>
    </r>
  </si>
  <si>
    <r>
      <rPr>
        <sz val="12"/>
        <rFont val="Arial"/>
        <family val="2"/>
      </rPr>
      <t>Commercial Bakeries</t>
    </r>
  </si>
  <si>
    <r>
      <rPr>
        <sz val="12"/>
        <rFont val="Arial"/>
        <family val="2"/>
      </rPr>
      <t>Cookies and Crackers</t>
    </r>
  </si>
  <si>
    <r>
      <rPr>
        <sz val="12"/>
        <rFont val="Arial"/>
        <family val="2"/>
      </rPr>
      <t>Cookie and Cracker Manufacturing</t>
    </r>
  </si>
  <si>
    <r>
      <rPr>
        <sz val="12"/>
        <rFont val="Arial"/>
        <family val="2"/>
      </rPr>
      <t>Other Snack Food Manufacturing</t>
    </r>
  </si>
  <si>
    <r>
      <rPr>
        <sz val="12"/>
        <rFont val="Arial"/>
        <family val="2"/>
      </rPr>
      <t>Frozen Bakery Products, Except Bread</t>
    </r>
  </si>
  <si>
    <r>
      <rPr>
        <sz val="12"/>
        <rFont val="Arial"/>
        <family val="2"/>
      </rPr>
      <t xml:space="preserve">Frozen Cakes, Pies, and Other Pastries
</t>
    </r>
    <r>
      <rPr>
        <sz val="12"/>
        <rFont val="Arial"/>
        <family val="2"/>
      </rPr>
      <t>Manufacturing</t>
    </r>
  </si>
  <si>
    <r>
      <rPr>
        <sz val="12"/>
        <rFont val="Arial"/>
        <family val="2"/>
      </rPr>
      <t>Raw Cane Sugar</t>
    </r>
  </si>
  <si>
    <r>
      <rPr>
        <sz val="12"/>
        <rFont val="Arial"/>
        <family val="2"/>
      </rPr>
      <t>Cane Sugar Manufacturing</t>
    </r>
  </si>
  <si>
    <r>
      <rPr>
        <sz val="12"/>
        <rFont val="Arial"/>
        <family val="2"/>
      </rPr>
      <t>Cane Sugar Refining</t>
    </r>
  </si>
  <si>
    <r>
      <rPr>
        <sz val="12"/>
        <rFont val="Arial"/>
        <family val="2"/>
      </rPr>
      <t>Beet Sugar</t>
    </r>
  </si>
  <si>
    <r>
      <rPr>
        <sz val="12"/>
        <rFont val="Arial"/>
        <family val="2"/>
      </rPr>
      <t>Beet Sugar Manufacturing</t>
    </r>
  </si>
  <si>
    <r>
      <rPr>
        <sz val="12"/>
        <rFont val="Arial"/>
        <family val="2"/>
      </rPr>
      <t>Candy and Other Confectionery Products</t>
    </r>
  </si>
  <si>
    <r>
      <rPr>
        <sz val="12"/>
        <rFont val="Arial"/>
        <family val="2"/>
      </rPr>
      <t xml:space="preserve">Nonchocolate Confectionery
</t>
    </r>
    <r>
      <rPr>
        <sz val="12"/>
        <rFont val="Arial"/>
        <family val="2"/>
      </rPr>
      <t>Manufacturing</t>
    </r>
  </si>
  <si>
    <r>
      <rPr>
        <sz val="12"/>
        <rFont val="Arial"/>
        <family val="2"/>
      </rPr>
      <t xml:space="preserve">Confectionery Manufacturing from
</t>
    </r>
    <r>
      <rPr>
        <sz val="12"/>
        <rFont val="Arial"/>
        <family val="2"/>
      </rPr>
      <t>Purchased Chocolate</t>
    </r>
  </si>
  <si>
    <r>
      <rPr>
        <sz val="12"/>
        <rFont val="Arial"/>
        <family val="2"/>
      </rPr>
      <t>Chocolate and Cocoa Products</t>
    </r>
  </si>
  <si>
    <r>
      <rPr>
        <sz val="12"/>
        <rFont val="Arial"/>
        <family val="2"/>
      </rPr>
      <t xml:space="preserve">Chocolate and Confectionery
</t>
    </r>
    <r>
      <rPr>
        <sz val="12"/>
        <rFont val="Arial"/>
        <family val="2"/>
      </rPr>
      <t>Manufacturing from Cacao Beans</t>
    </r>
  </si>
  <si>
    <r>
      <rPr>
        <sz val="12"/>
        <rFont val="Arial"/>
        <family val="2"/>
      </rPr>
      <t>Chewing Gum</t>
    </r>
  </si>
  <si>
    <r>
      <rPr>
        <sz val="12"/>
        <rFont val="Arial"/>
        <family val="2"/>
      </rPr>
      <t>Salted and Roasted Nuts and Seeds</t>
    </r>
  </si>
  <si>
    <r>
      <rPr>
        <sz val="12"/>
        <rFont val="Arial"/>
        <family val="2"/>
      </rPr>
      <t xml:space="preserve">Roasted Nuts and Peanut Butter
</t>
    </r>
    <r>
      <rPr>
        <sz val="12"/>
        <rFont val="Arial"/>
        <family val="2"/>
      </rPr>
      <t>Manufacturing</t>
    </r>
  </si>
  <si>
    <r>
      <rPr>
        <sz val="12"/>
        <rFont val="Arial"/>
        <family val="2"/>
      </rPr>
      <t>Cottonseed Oil Mills</t>
    </r>
  </si>
  <si>
    <r>
      <rPr>
        <sz val="12"/>
        <rFont val="Arial"/>
        <family val="2"/>
      </rPr>
      <t>Soybean and Other Oilseed Processing</t>
    </r>
  </si>
  <si>
    <r>
      <rPr>
        <sz val="12"/>
        <rFont val="Arial"/>
        <family val="2"/>
      </rPr>
      <t>Soybean Oil Mills</t>
    </r>
  </si>
  <si>
    <r>
      <rPr>
        <sz val="12"/>
        <rFont val="Arial"/>
        <family val="2"/>
      </rPr>
      <t>Vegetable Oil Mills, Nec</t>
    </r>
  </si>
  <si>
    <r>
      <rPr>
        <sz val="12"/>
        <rFont val="Arial"/>
        <family val="2"/>
      </rPr>
      <t>Animal and Marine Fats and Oils</t>
    </r>
  </si>
  <si>
    <r>
      <rPr>
        <sz val="12"/>
        <rFont val="Arial"/>
        <family val="2"/>
      </rPr>
      <t xml:space="preserve">Seafood Product Preparation and
</t>
    </r>
    <r>
      <rPr>
        <sz val="12"/>
        <rFont val="Arial"/>
        <family val="2"/>
      </rPr>
      <t>Packaging</t>
    </r>
  </si>
  <si>
    <r>
      <rPr>
        <sz val="12"/>
        <rFont val="Arial"/>
        <family val="2"/>
      </rPr>
      <t>Edible Fats and Oils</t>
    </r>
  </si>
  <si>
    <r>
      <rPr>
        <sz val="12"/>
        <rFont val="Arial"/>
        <family val="2"/>
      </rPr>
      <t>Malt Beverages</t>
    </r>
  </si>
  <si>
    <r>
      <rPr>
        <sz val="12"/>
        <rFont val="Arial"/>
        <family val="2"/>
      </rPr>
      <t>Spice and Extract Manufacturing</t>
    </r>
  </si>
  <si>
    <r>
      <rPr>
        <sz val="12"/>
        <rFont val="Arial"/>
        <family val="2"/>
      </rPr>
      <t>Breweries</t>
    </r>
  </si>
  <si>
    <r>
      <rPr>
        <sz val="12"/>
        <rFont val="Arial"/>
        <family val="2"/>
      </rPr>
      <t>Malt</t>
    </r>
  </si>
  <si>
    <r>
      <rPr>
        <sz val="12"/>
        <rFont val="Arial"/>
        <family val="2"/>
      </rPr>
      <t>Malt Manufacturing</t>
    </r>
  </si>
  <si>
    <r>
      <rPr>
        <sz val="12"/>
        <rFont val="Arial"/>
        <family val="2"/>
      </rPr>
      <t>Wines, Brandy, and Brandy Spirits</t>
    </r>
  </si>
  <si>
    <r>
      <rPr>
        <sz val="12"/>
        <rFont val="Arial"/>
        <family val="2"/>
      </rPr>
      <t>Wineries</t>
    </r>
  </si>
  <si>
    <r>
      <rPr>
        <sz val="12"/>
        <rFont val="Arial"/>
        <family val="2"/>
      </rPr>
      <t>Distilled and Blended Liquors</t>
    </r>
  </si>
  <si>
    <r>
      <rPr>
        <sz val="12"/>
        <rFont val="Arial"/>
        <family val="2"/>
      </rPr>
      <t>Distilleries</t>
    </r>
  </si>
  <si>
    <r>
      <rPr>
        <sz val="12"/>
        <rFont val="Arial"/>
        <family val="2"/>
      </rPr>
      <t>Bottled and Canned Soft Drinks</t>
    </r>
  </si>
  <si>
    <r>
      <rPr>
        <sz val="12"/>
        <rFont val="Arial"/>
        <family val="2"/>
      </rPr>
      <t>Soft Drink Manufacturing</t>
    </r>
  </si>
  <si>
    <r>
      <rPr>
        <sz val="12"/>
        <rFont val="Arial"/>
        <family val="2"/>
      </rPr>
      <t>Bottled Water Manufacturing</t>
    </r>
  </si>
  <si>
    <r>
      <rPr>
        <sz val="12"/>
        <rFont val="Arial"/>
        <family val="2"/>
      </rPr>
      <t>Flavoring Extracts and Syrups, Nec</t>
    </r>
  </si>
  <si>
    <r>
      <rPr>
        <sz val="12"/>
        <rFont val="Arial"/>
        <family val="2"/>
      </rPr>
      <t xml:space="preserve">Flavoring Syrup and Concentrate
</t>
    </r>
    <r>
      <rPr>
        <sz val="12"/>
        <rFont val="Arial"/>
        <family val="2"/>
      </rPr>
      <t>Manufacturing</t>
    </r>
  </si>
  <si>
    <r>
      <rPr>
        <sz val="12"/>
        <rFont val="Arial"/>
        <family val="2"/>
      </rPr>
      <t>Canned and Cured Fish and Seafoods</t>
    </r>
  </si>
  <si>
    <r>
      <rPr>
        <sz val="12"/>
        <rFont val="Arial"/>
        <family val="2"/>
      </rPr>
      <t>Fresh or Frozen Packaged Fish</t>
    </r>
  </si>
  <si>
    <r>
      <rPr>
        <sz val="12"/>
        <rFont val="Arial"/>
        <family val="2"/>
      </rPr>
      <t>Roasted Coffee</t>
    </r>
  </si>
  <si>
    <r>
      <rPr>
        <sz val="12"/>
        <rFont val="Arial"/>
        <family val="2"/>
      </rPr>
      <t>Potato Chips and Similar Snacks</t>
    </r>
  </si>
  <si>
    <r>
      <rPr>
        <sz val="12"/>
        <rFont val="Arial"/>
        <family val="2"/>
      </rPr>
      <t>Manufactured Ice</t>
    </r>
  </si>
  <si>
    <r>
      <rPr>
        <sz val="12"/>
        <rFont val="Arial"/>
        <family val="2"/>
      </rPr>
      <t>Ice Manufacturing</t>
    </r>
  </si>
  <si>
    <r>
      <rPr>
        <sz val="12"/>
        <rFont val="Arial"/>
        <family val="2"/>
      </rPr>
      <t>Macaroni and Spaghetti</t>
    </r>
  </si>
  <si>
    <r>
      <rPr>
        <sz val="12"/>
        <rFont val="Arial"/>
        <family val="2"/>
      </rPr>
      <t>Food Preparations, Nec</t>
    </r>
  </si>
  <si>
    <r>
      <rPr>
        <sz val="12"/>
        <rFont val="Arial"/>
        <family val="2"/>
      </rPr>
      <t>Tortilla Manufacturing</t>
    </r>
  </si>
  <si>
    <r>
      <rPr>
        <sz val="12"/>
        <rFont val="Arial"/>
        <family val="2"/>
      </rPr>
      <t>Perishable Prepared Food Manufacturing</t>
    </r>
  </si>
  <si>
    <r>
      <rPr>
        <sz val="12"/>
        <rFont val="Arial"/>
        <family val="2"/>
      </rPr>
      <t>Cigarettes</t>
    </r>
  </si>
  <si>
    <r>
      <rPr>
        <sz val="12"/>
        <rFont val="Arial"/>
        <family val="2"/>
      </rPr>
      <t>Tobacco Manufacturing</t>
    </r>
  </si>
  <si>
    <r>
      <rPr>
        <sz val="12"/>
        <rFont val="Arial"/>
        <family val="2"/>
      </rPr>
      <t>Cigars</t>
    </r>
  </si>
  <si>
    <r>
      <rPr>
        <sz val="12"/>
        <rFont val="Arial"/>
        <family val="2"/>
      </rPr>
      <t>Chewing and Smoking Tobacco</t>
    </r>
  </si>
  <si>
    <r>
      <rPr>
        <sz val="12"/>
        <rFont val="Arial"/>
        <family val="2"/>
      </rPr>
      <t>Tobacco Stemming and Redrying</t>
    </r>
  </si>
  <si>
    <r>
      <rPr>
        <sz val="12"/>
        <rFont val="Arial"/>
        <family val="2"/>
      </rPr>
      <t>Broadwoven Fabric Mills, Cotton</t>
    </r>
  </si>
  <si>
    <r>
      <rPr>
        <sz val="12"/>
        <rFont val="Arial"/>
        <family val="2"/>
      </rPr>
      <t>Broadwoven Fabric Mills</t>
    </r>
  </si>
  <si>
    <r>
      <rPr>
        <sz val="12"/>
        <rFont val="Arial"/>
        <family val="2"/>
      </rPr>
      <t>Broadwoven Fabric Mills, Manmade</t>
    </r>
  </si>
  <si>
    <r>
      <rPr>
        <sz val="12"/>
        <rFont val="Arial"/>
        <family val="2"/>
      </rPr>
      <t>Broadwoven Fabric Mills, Wool</t>
    </r>
  </si>
  <si>
    <r>
      <rPr>
        <sz val="12"/>
        <rFont val="Arial"/>
        <family val="2"/>
      </rPr>
      <t>Textile and Fabric Finishing Mills</t>
    </r>
  </si>
  <si>
    <r>
      <rPr>
        <sz val="12"/>
        <rFont val="Arial"/>
        <family val="2"/>
      </rPr>
      <t>Narrow Fabric Mills</t>
    </r>
  </si>
  <si>
    <r>
      <rPr>
        <sz val="12"/>
        <rFont val="Arial"/>
        <family val="2"/>
      </rPr>
      <t xml:space="preserve">Narrow Fabric Mills and Schiffli Machine
</t>
    </r>
    <r>
      <rPr>
        <sz val="12"/>
        <rFont val="Arial"/>
        <family val="2"/>
      </rPr>
      <t>Embroidery</t>
    </r>
  </si>
  <si>
    <r>
      <rPr>
        <sz val="12"/>
        <rFont val="Arial"/>
        <family val="2"/>
      </rPr>
      <t>Women's Hosiery, Except Socks</t>
    </r>
  </si>
  <si>
    <r>
      <rPr>
        <sz val="12"/>
        <rFont val="Arial"/>
        <family val="2"/>
      </rPr>
      <t>Hosiery and Sock Mills</t>
    </r>
  </si>
  <si>
    <r>
      <rPr>
        <sz val="12"/>
        <rFont val="Arial"/>
        <family val="2"/>
      </rPr>
      <t>Hosiery, Nec</t>
    </r>
  </si>
  <si>
    <r>
      <rPr>
        <sz val="12"/>
        <rFont val="Arial"/>
        <family val="2"/>
      </rPr>
      <t>Knit Outerwear Mills</t>
    </r>
  </si>
  <si>
    <r>
      <rPr>
        <sz val="12"/>
        <rFont val="Arial"/>
        <family val="2"/>
      </rPr>
      <t>Other Apparel Knitting Mills</t>
    </r>
  </si>
  <si>
    <r>
      <rPr>
        <sz val="12"/>
        <rFont val="Arial"/>
        <family val="2"/>
      </rPr>
      <t>Knit Underwear Mills</t>
    </r>
  </si>
  <si>
    <r>
      <rPr>
        <sz val="12"/>
        <rFont val="Arial"/>
        <family val="2"/>
      </rPr>
      <t>Weft Knit Fabric Mills</t>
    </r>
  </si>
  <si>
    <r>
      <rPr>
        <sz val="12"/>
        <rFont val="Arial"/>
        <family val="2"/>
      </rPr>
      <t>Knit Fabric Mills</t>
    </r>
  </si>
  <si>
    <r>
      <rPr>
        <sz val="12"/>
        <rFont val="Arial"/>
        <family val="2"/>
      </rPr>
      <t>Lace and Warp Knit Fabric Mills</t>
    </r>
  </si>
  <si>
    <r>
      <rPr>
        <sz val="12"/>
        <rFont val="Arial"/>
        <family val="2"/>
      </rPr>
      <t>Knitting Mills, Nec</t>
    </r>
  </si>
  <si>
    <r>
      <rPr>
        <sz val="12"/>
        <rFont val="Arial"/>
        <family val="2"/>
      </rPr>
      <t>Finishing Plants, Cotton</t>
    </r>
  </si>
  <si>
    <r>
      <rPr>
        <sz val="12"/>
        <rFont val="Arial"/>
        <family val="2"/>
      </rPr>
      <t>Finishing Plants, Manmade</t>
    </r>
  </si>
  <si>
    <r>
      <rPr>
        <sz val="12"/>
        <rFont val="Arial"/>
        <family val="2"/>
      </rPr>
      <t>Finishing Plants, Nec</t>
    </r>
  </si>
  <si>
    <r>
      <rPr>
        <sz val="12"/>
        <rFont val="Arial"/>
        <family val="2"/>
      </rPr>
      <t>Carpets and Rugs</t>
    </r>
  </si>
  <si>
    <r>
      <rPr>
        <sz val="12"/>
        <rFont val="Arial"/>
        <family val="2"/>
      </rPr>
      <t>Carpet and Rug Mills</t>
    </r>
  </si>
  <si>
    <r>
      <rPr>
        <sz val="12"/>
        <rFont val="Arial"/>
        <family val="2"/>
      </rPr>
      <t>Yarn Spinning Mills</t>
    </r>
  </si>
  <si>
    <r>
      <rPr>
        <sz val="12"/>
        <rFont val="Arial"/>
        <family val="2"/>
      </rPr>
      <t>Fiber, Yarn, and Thread Mills</t>
    </r>
  </si>
  <si>
    <r>
      <rPr>
        <sz val="12"/>
        <rFont val="Arial"/>
        <family val="2"/>
      </rPr>
      <t>Throwing and Winding Mills</t>
    </r>
  </si>
  <si>
    <r>
      <rPr>
        <sz val="12"/>
        <rFont val="Arial"/>
        <family val="2"/>
      </rPr>
      <t>Thread Mills</t>
    </r>
  </si>
  <si>
    <r>
      <rPr>
        <sz val="12"/>
        <rFont val="Arial"/>
        <family val="2"/>
      </rPr>
      <t>Coated Fabrics, Not Rubberized</t>
    </r>
  </si>
  <si>
    <r>
      <rPr>
        <sz val="12"/>
        <rFont val="Arial"/>
        <family val="2"/>
      </rPr>
      <t>Fabric Coating Mills</t>
    </r>
  </si>
  <si>
    <r>
      <rPr>
        <sz val="12"/>
        <rFont val="Arial"/>
        <family val="2"/>
      </rPr>
      <t>Tire Cord and Fabrics</t>
    </r>
  </si>
  <si>
    <r>
      <rPr>
        <sz val="12"/>
        <rFont val="Arial"/>
        <family val="2"/>
      </rPr>
      <t xml:space="preserve">Rope, Cordage, Twine, Tire Cord, and Tire
</t>
    </r>
    <r>
      <rPr>
        <sz val="12"/>
        <rFont val="Arial"/>
        <family val="2"/>
      </rPr>
      <t>Fabric Mills</t>
    </r>
  </si>
  <si>
    <r>
      <rPr>
        <sz val="12"/>
        <rFont val="Arial"/>
        <family val="2"/>
      </rPr>
      <t>Nonwoven Fabrics</t>
    </r>
  </si>
  <si>
    <r>
      <rPr>
        <sz val="12"/>
        <rFont val="Arial"/>
        <family val="2"/>
      </rPr>
      <t>Nonwoven Fabric Mills</t>
    </r>
  </si>
  <si>
    <r>
      <rPr>
        <sz val="12"/>
        <rFont val="Arial"/>
        <family val="2"/>
      </rPr>
      <t>Cordage and Twine</t>
    </r>
  </si>
  <si>
    <r>
      <rPr>
        <sz val="12"/>
        <rFont val="Arial"/>
        <family val="2"/>
      </rPr>
      <t>Textile Goods, Nec</t>
    </r>
  </si>
  <si>
    <r>
      <rPr>
        <sz val="12"/>
        <rFont val="Arial"/>
        <family val="2"/>
      </rPr>
      <t xml:space="preserve">All Other Miscellaneous Textile Product
</t>
    </r>
    <r>
      <rPr>
        <sz val="12"/>
        <rFont val="Arial"/>
        <family val="2"/>
      </rPr>
      <t>Mills</t>
    </r>
  </si>
  <si>
    <r>
      <rPr>
        <sz val="12"/>
        <rFont val="Arial"/>
        <family val="2"/>
      </rPr>
      <t>Men's and Boy's Suits and Coats</t>
    </r>
  </si>
  <si>
    <r>
      <rPr>
        <sz val="12"/>
        <rFont val="Arial"/>
        <family val="2"/>
      </rPr>
      <t>Cut and Sew Apparel Contractors</t>
    </r>
  </si>
  <si>
    <r>
      <rPr>
        <sz val="12"/>
        <rFont val="Arial"/>
        <family val="2"/>
      </rPr>
      <t xml:space="preserve">Men’s and Boys’ Cut and Sew Apparel
</t>
    </r>
    <r>
      <rPr>
        <sz val="12"/>
        <rFont val="Arial"/>
        <family val="2"/>
      </rPr>
      <t>Manufacturing</t>
    </r>
  </si>
  <si>
    <r>
      <rPr>
        <sz val="12"/>
        <rFont val="Arial"/>
        <family val="2"/>
      </rPr>
      <t>Men's and Boy's Furnishings</t>
    </r>
  </si>
  <si>
    <r>
      <rPr>
        <sz val="12"/>
        <rFont val="Arial"/>
        <family val="2"/>
      </rPr>
      <t>Men's and Boy's Underwear and Nightwear</t>
    </r>
  </si>
  <si>
    <r>
      <rPr>
        <sz val="12"/>
        <rFont val="Arial"/>
        <family val="2"/>
      </rPr>
      <t>Men's and Boy's Neckwear</t>
    </r>
  </si>
  <si>
    <r>
      <rPr>
        <sz val="12"/>
        <rFont val="Arial"/>
        <family val="2"/>
      </rPr>
      <t xml:space="preserve">Apparel Accessories and Other Apparel
</t>
    </r>
    <r>
      <rPr>
        <sz val="12"/>
        <rFont val="Arial"/>
        <family val="2"/>
      </rPr>
      <t>Manufacturing</t>
    </r>
  </si>
  <si>
    <r>
      <rPr>
        <sz val="12"/>
        <rFont val="Arial"/>
        <family val="2"/>
      </rPr>
      <t>Men's and Boy's Trousers and Slacks</t>
    </r>
  </si>
  <si>
    <r>
      <rPr>
        <sz val="12"/>
        <rFont val="Arial"/>
        <family val="2"/>
      </rPr>
      <t>Men's and Boy's Work Clothing</t>
    </r>
  </si>
  <si>
    <r>
      <rPr>
        <sz val="12"/>
        <rFont val="Arial"/>
        <family val="2"/>
      </rPr>
      <t>Men's and Boy's Clothing, Nec</t>
    </r>
  </si>
  <si>
    <r>
      <rPr>
        <sz val="12"/>
        <rFont val="Arial"/>
        <family val="2"/>
      </rPr>
      <t>Other Cut and Sew Apparel Manufacturing</t>
    </r>
  </si>
  <si>
    <r>
      <rPr>
        <sz val="12"/>
        <rFont val="Arial"/>
        <family val="2"/>
      </rPr>
      <t>Women's and Misses' Blouses and Shirts</t>
    </r>
  </si>
  <si>
    <r>
      <rPr>
        <sz val="12"/>
        <rFont val="Arial"/>
        <family val="2"/>
      </rPr>
      <t xml:space="preserve">Women’s, Girls’, and Infants’ Cut and Sew
</t>
    </r>
    <r>
      <rPr>
        <sz val="12"/>
        <rFont val="Arial"/>
        <family val="2"/>
      </rPr>
      <t>Apparel Manufacturing</t>
    </r>
  </si>
  <si>
    <r>
      <rPr>
        <sz val="12"/>
        <rFont val="Arial"/>
        <family val="2"/>
      </rPr>
      <t>Women's, Junior's, and Misses' Dresses</t>
    </r>
  </si>
  <si>
    <r>
      <rPr>
        <sz val="12"/>
        <rFont val="Arial"/>
        <family val="2"/>
      </rPr>
      <t>Women's and Misses' Suits and Coats</t>
    </r>
  </si>
  <si>
    <r>
      <rPr>
        <sz val="12"/>
        <rFont val="Arial"/>
        <family val="2"/>
      </rPr>
      <t>Women's and Misses' Outerwear, Nec</t>
    </r>
  </si>
  <si>
    <r>
      <rPr>
        <sz val="12"/>
        <rFont val="Arial"/>
        <family val="2"/>
      </rPr>
      <t>Women's and Children's Underwear</t>
    </r>
  </si>
  <si>
    <r>
      <rPr>
        <sz val="12"/>
        <rFont val="Arial"/>
        <family val="2"/>
      </rPr>
      <t>Bras, Girdles, and Allied Garments</t>
    </r>
  </si>
  <si>
    <r>
      <rPr>
        <sz val="12"/>
        <rFont val="Arial"/>
        <family val="2"/>
      </rPr>
      <t>Hats, Caps, and Millinery</t>
    </r>
  </si>
  <si>
    <r>
      <rPr>
        <sz val="12"/>
        <rFont val="Arial"/>
        <family val="2"/>
      </rPr>
      <t>Girl's and Children's Dresses, Blouses</t>
    </r>
  </si>
  <si>
    <r>
      <rPr>
        <sz val="12"/>
        <rFont val="Arial"/>
        <family val="2"/>
      </rPr>
      <t>Girl's and Children's Outerwear, Nec</t>
    </r>
  </si>
  <si>
    <r>
      <rPr>
        <sz val="12"/>
        <rFont val="Arial"/>
        <family val="2"/>
      </rPr>
      <t>Fur Goods</t>
    </r>
  </si>
  <si>
    <r>
      <rPr>
        <sz val="12"/>
        <rFont val="Arial"/>
        <family val="2"/>
      </rPr>
      <t>Fabric Dress and Work Gloves</t>
    </r>
  </si>
  <si>
    <r>
      <rPr>
        <sz val="12"/>
        <rFont val="Arial"/>
        <family val="2"/>
      </rPr>
      <t>Robes and Dressing Gowns</t>
    </r>
  </si>
  <si>
    <r>
      <rPr>
        <sz val="12"/>
        <rFont val="Arial"/>
        <family val="2"/>
      </rPr>
      <t>Waterproof Outerwear</t>
    </r>
  </si>
  <si>
    <r>
      <rPr>
        <sz val="12"/>
        <rFont val="Arial"/>
        <family val="2"/>
      </rPr>
      <t>Leather and Sheep-lined Clothing</t>
    </r>
  </si>
  <si>
    <r>
      <rPr>
        <sz val="12"/>
        <rFont val="Arial"/>
        <family val="2"/>
      </rPr>
      <t>Apparel Belts</t>
    </r>
  </si>
  <si>
    <r>
      <rPr>
        <sz val="12"/>
        <rFont val="Arial"/>
        <family val="2"/>
      </rPr>
      <t>Apparel and Accessories, Nec</t>
    </r>
  </si>
  <si>
    <r>
      <rPr>
        <sz val="12"/>
        <rFont val="Arial"/>
        <family val="2"/>
      </rPr>
      <t>Curtains and Draperies</t>
    </r>
  </si>
  <si>
    <r>
      <rPr>
        <sz val="12"/>
        <rFont val="Arial"/>
        <family val="2"/>
      </rPr>
      <t>Curtain and Linen Mills</t>
    </r>
  </si>
  <si>
    <r>
      <rPr>
        <sz val="12"/>
        <rFont val="Arial"/>
        <family val="2"/>
      </rPr>
      <t>Household Furnishings, Nec</t>
    </r>
  </si>
  <si>
    <r>
      <rPr>
        <sz val="12"/>
        <rFont val="Arial"/>
        <family val="2"/>
      </rPr>
      <t>Textile Bag and Canvas Mills</t>
    </r>
  </si>
  <si>
    <r>
      <rPr>
        <sz val="12"/>
        <rFont val="Arial"/>
        <family val="2"/>
      </rPr>
      <t>Broom, Brush, and Mop Manufacturing</t>
    </r>
  </si>
  <si>
    <r>
      <rPr>
        <sz val="12"/>
        <rFont val="Arial"/>
        <family val="2"/>
      </rPr>
      <t>Textile Bags</t>
    </r>
  </si>
  <si>
    <r>
      <rPr>
        <sz val="12"/>
        <rFont val="Arial"/>
        <family val="2"/>
      </rPr>
      <t>Canvas and Related Products</t>
    </r>
  </si>
  <si>
    <r>
      <rPr>
        <sz val="12"/>
        <rFont val="Arial"/>
        <family val="2"/>
      </rPr>
      <t>Pleating and Stitching</t>
    </r>
  </si>
  <si>
    <r>
      <rPr>
        <sz val="12"/>
        <rFont val="Arial"/>
        <family val="2"/>
      </rPr>
      <t>Automotive and Apparel Trimmings</t>
    </r>
  </si>
  <si>
    <r>
      <rPr>
        <sz val="12"/>
        <rFont val="Arial"/>
        <family val="2"/>
      </rPr>
      <t>Commercial Screen Printing</t>
    </r>
  </si>
  <si>
    <r>
      <rPr>
        <sz val="12"/>
        <rFont val="Arial"/>
        <family val="2"/>
      </rPr>
      <t xml:space="preserve">Motor Vehicle Seating and Interior Trim
</t>
    </r>
    <r>
      <rPr>
        <sz val="12"/>
        <rFont val="Arial"/>
        <family val="2"/>
      </rPr>
      <t>Manufacturing</t>
    </r>
  </si>
  <si>
    <r>
      <rPr>
        <sz val="12"/>
        <rFont val="Arial"/>
        <family val="2"/>
      </rPr>
      <t>Schiffli Machine Embroideries</t>
    </r>
  </si>
  <si>
    <r>
      <rPr>
        <sz val="12"/>
        <rFont val="Arial"/>
        <family val="2"/>
      </rPr>
      <t>Fabricated Textile Products, Nec</t>
    </r>
  </si>
  <si>
    <r>
      <rPr>
        <sz val="12"/>
        <rFont val="Arial"/>
        <family val="2"/>
      </rPr>
      <t>Logging</t>
    </r>
  </si>
  <si>
    <r>
      <rPr>
        <sz val="12"/>
        <rFont val="Arial"/>
        <family val="2"/>
      </rPr>
      <t>Sawmills and Planing Mills, General</t>
    </r>
  </si>
  <si>
    <r>
      <rPr>
        <sz val="12"/>
        <rFont val="Arial"/>
        <family val="2"/>
      </rPr>
      <t>Sawmills</t>
    </r>
  </si>
  <si>
    <r>
      <rPr>
        <sz val="12"/>
        <rFont val="Arial"/>
        <family val="2"/>
      </rPr>
      <t>Cut Stock, Resawing Lumber, and Planing</t>
    </r>
  </si>
  <si>
    <r>
      <rPr>
        <sz val="12"/>
        <rFont val="Arial"/>
        <family val="2"/>
      </rPr>
      <t>Other Millwork (including Flooring)</t>
    </r>
  </si>
  <si>
    <r>
      <rPr>
        <sz val="12"/>
        <rFont val="Arial"/>
        <family val="2"/>
      </rPr>
      <t>Wood Container and Pallet Manufacturing</t>
    </r>
  </si>
  <si>
    <r>
      <rPr>
        <sz val="12"/>
        <rFont val="Arial"/>
        <family val="2"/>
      </rPr>
      <t xml:space="preserve">All Other Miscellaneous Wood Product
</t>
    </r>
    <r>
      <rPr>
        <sz val="12"/>
        <rFont val="Arial"/>
        <family val="2"/>
      </rPr>
      <t>Manufacturing</t>
    </r>
  </si>
  <si>
    <r>
      <rPr>
        <sz val="12"/>
        <rFont val="Arial"/>
        <family val="2"/>
      </rPr>
      <t>Hardwood Dimension and Flooring Mills</t>
    </r>
  </si>
  <si>
    <r>
      <rPr>
        <sz val="12"/>
        <rFont val="Arial"/>
        <family val="2"/>
      </rPr>
      <t xml:space="preserve">Showcase, Partition, Shelving, and Locker
</t>
    </r>
    <r>
      <rPr>
        <sz val="12"/>
        <rFont val="Arial"/>
        <family val="2"/>
      </rPr>
      <t>Manufacturing</t>
    </r>
  </si>
  <si>
    <r>
      <rPr>
        <sz val="12"/>
        <rFont val="Arial"/>
        <family val="2"/>
      </rPr>
      <t>Special Product Sawmills, Nec</t>
    </r>
  </si>
  <si>
    <r>
      <rPr>
        <sz val="12"/>
        <rFont val="Arial"/>
        <family val="2"/>
      </rPr>
      <t>Millwork</t>
    </r>
  </si>
  <si>
    <r>
      <rPr>
        <sz val="12"/>
        <rFont val="Arial"/>
        <family val="2"/>
      </rPr>
      <t>Wood Window and Door Manufacturing</t>
    </r>
  </si>
  <si>
    <r>
      <rPr>
        <sz val="12"/>
        <rFont val="Arial"/>
        <family val="2"/>
      </rPr>
      <t>Wood Kitchen Cabinets</t>
    </r>
  </si>
  <si>
    <r>
      <rPr>
        <sz val="12"/>
        <rFont val="Arial"/>
        <family val="2"/>
      </rPr>
      <t xml:space="preserve">Wood Kitchen Cabinet and Countertop
</t>
    </r>
    <r>
      <rPr>
        <sz val="12"/>
        <rFont val="Arial"/>
        <family val="2"/>
      </rPr>
      <t>Manufacturing</t>
    </r>
  </si>
  <si>
    <r>
      <rPr>
        <sz val="12"/>
        <rFont val="Arial"/>
        <family val="2"/>
      </rPr>
      <t>Hardwood Veneer and Plywood</t>
    </r>
  </si>
  <si>
    <r>
      <rPr>
        <sz val="12"/>
        <rFont val="Arial"/>
        <family val="2"/>
      </rPr>
      <t xml:space="preserve">Hardwood Veneer and Plywood
</t>
    </r>
    <r>
      <rPr>
        <sz val="12"/>
        <rFont val="Arial"/>
        <family val="2"/>
      </rPr>
      <t>Manufacturing</t>
    </r>
  </si>
  <si>
    <r>
      <rPr>
        <sz val="12"/>
        <rFont val="Arial"/>
        <family val="2"/>
      </rPr>
      <t>Softwood Veneer and Plywood</t>
    </r>
  </si>
  <si>
    <r>
      <rPr>
        <sz val="12"/>
        <rFont val="Arial"/>
        <family val="2"/>
      </rPr>
      <t xml:space="preserve">Softwood Veneer and Plywood
</t>
    </r>
    <r>
      <rPr>
        <sz val="12"/>
        <rFont val="Arial"/>
        <family val="2"/>
      </rPr>
      <t>Manufacturing</t>
    </r>
  </si>
  <si>
    <r>
      <rPr>
        <sz val="12"/>
        <rFont val="Arial"/>
        <family val="2"/>
      </rPr>
      <t>Structural Wood Members, Nec</t>
    </r>
  </si>
  <si>
    <r>
      <rPr>
        <sz val="12"/>
        <rFont val="Arial"/>
        <family val="2"/>
      </rPr>
      <t xml:space="preserve">Engineered Wood Member (except Truss)
</t>
    </r>
    <r>
      <rPr>
        <sz val="12"/>
        <rFont val="Arial"/>
        <family val="2"/>
      </rPr>
      <t>Manufacturing</t>
    </r>
  </si>
  <si>
    <r>
      <rPr>
        <sz val="12"/>
        <rFont val="Arial"/>
        <family val="2"/>
      </rPr>
      <t>Truss Manufacturing</t>
    </r>
  </si>
  <si>
    <r>
      <rPr>
        <sz val="12"/>
        <rFont val="Arial"/>
        <family val="2"/>
      </rPr>
      <t>Nailed Wood Boxes and Shook</t>
    </r>
  </si>
  <si>
    <r>
      <rPr>
        <sz val="12"/>
        <rFont val="Arial"/>
        <family val="2"/>
      </rPr>
      <t>Wood Pallets and Skids</t>
    </r>
  </si>
  <si>
    <r>
      <rPr>
        <sz val="12"/>
        <rFont val="Arial"/>
        <family val="2"/>
      </rPr>
      <t>Wood Containers, Nec</t>
    </r>
  </si>
  <si>
    <r>
      <rPr>
        <sz val="12"/>
        <rFont val="Arial"/>
        <family val="2"/>
      </rPr>
      <t>Mobile Homes</t>
    </r>
  </si>
  <si>
    <r>
      <rPr>
        <sz val="12"/>
        <rFont val="Arial"/>
        <family val="2"/>
      </rPr>
      <t xml:space="preserve">Manufactured Home (Mobile Home)
</t>
    </r>
    <r>
      <rPr>
        <sz val="12"/>
        <rFont val="Arial"/>
        <family val="2"/>
      </rPr>
      <t>Manufacturing</t>
    </r>
  </si>
  <si>
    <r>
      <rPr>
        <sz val="12"/>
        <rFont val="Arial"/>
        <family val="2"/>
      </rPr>
      <t>Prefabricated Wood Buildings</t>
    </r>
  </si>
  <si>
    <r>
      <rPr>
        <sz val="12"/>
        <rFont val="Arial"/>
        <family val="2"/>
      </rPr>
      <t xml:space="preserve">Prefabricated Wood Building
</t>
    </r>
    <r>
      <rPr>
        <sz val="12"/>
        <rFont val="Arial"/>
        <family val="2"/>
      </rPr>
      <t>Manufacturing</t>
    </r>
  </si>
  <si>
    <r>
      <rPr>
        <sz val="12"/>
        <rFont val="Arial"/>
        <family val="2"/>
      </rPr>
      <t>Wood Preserving</t>
    </r>
  </si>
  <si>
    <r>
      <rPr>
        <sz val="12"/>
        <rFont val="Arial"/>
        <family val="2"/>
      </rPr>
      <t>Wood Preservation</t>
    </r>
  </si>
  <si>
    <r>
      <rPr>
        <sz val="12"/>
        <rFont val="Arial"/>
        <family val="2"/>
      </rPr>
      <t>Reconstituted Wood Products</t>
    </r>
  </si>
  <si>
    <r>
      <rPr>
        <sz val="12"/>
        <rFont val="Arial"/>
        <family val="2"/>
      </rPr>
      <t xml:space="preserve">Reconstituted Wood Product
</t>
    </r>
    <r>
      <rPr>
        <sz val="12"/>
        <rFont val="Arial"/>
        <family val="2"/>
      </rPr>
      <t>Manufacturing</t>
    </r>
  </si>
  <si>
    <r>
      <rPr>
        <sz val="12"/>
        <rFont val="Arial"/>
        <family val="2"/>
      </rPr>
      <t>Wood Products, Nec</t>
    </r>
  </si>
  <si>
    <r>
      <rPr>
        <sz val="12"/>
        <rFont val="Arial"/>
        <family val="2"/>
      </rPr>
      <t xml:space="preserve">Air-Conditioning and Warm Air Heating Equipment and Commercial and Industrial
</t>
    </r>
    <r>
      <rPr>
        <sz val="12"/>
        <rFont val="Arial"/>
        <family val="2"/>
      </rPr>
      <t>Refrigeration Equipment Manufacturing</t>
    </r>
  </si>
  <si>
    <r>
      <rPr>
        <sz val="12"/>
        <rFont val="Arial"/>
        <family val="2"/>
      </rPr>
      <t xml:space="preserve">Household Furniture (except Wood and
</t>
    </r>
    <r>
      <rPr>
        <sz val="12"/>
        <rFont val="Arial"/>
        <family val="2"/>
      </rPr>
      <t>Metal) Manufacturing</t>
    </r>
  </si>
  <si>
    <r>
      <rPr>
        <sz val="12"/>
        <rFont val="Arial"/>
        <family val="2"/>
      </rPr>
      <t xml:space="preserve">Surgical Appliance and Supplies
</t>
    </r>
    <r>
      <rPr>
        <sz val="12"/>
        <rFont val="Arial"/>
        <family val="2"/>
      </rPr>
      <t>Manufacturing</t>
    </r>
  </si>
  <si>
    <r>
      <rPr>
        <sz val="12"/>
        <rFont val="Arial"/>
        <family val="2"/>
      </rPr>
      <t>All Other Miscellaneous Manufacturing</t>
    </r>
  </si>
  <si>
    <r>
      <rPr>
        <sz val="12"/>
        <rFont val="Arial"/>
        <family val="2"/>
      </rPr>
      <t>Wood Household Furniture</t>
    </r>
  </si>
  <si>
    <r>
      <rPr>
        <sz val="12"/>
        <rFont val="Arial"/>
        <family val="2"/>
      </rPr>
      <t xml:space="preserve">Nonupholstered Wood Household
</t>
    </r>
    <r>
      <rPr>
        <sz val="12"/>
        <rFont val="Arial"/>
        <family val="2"/>
      </rPr>
      <t>Furniture Manufacturing</t>
    </r>
  </si>
  <si>
    <r>
      <rPr>
        <sz val="12"/>
        <rFont val="Arial"/>
        <family val="2"/>
      </rPr>
      <t>Upholstered Household Furniture</t>
    </r>
  </si>
  <si>
    <r>
      <rPr>
        <sz val="12"/>
        <rFont val="Arial"/>
        <family val="2"/>
      </rPr>
      <t xml:space="preserve">Upholstered Household Furniture
</t>
    </r>
    <r>
      <rPr>
        <sz val="12"/>
        <rFont val="Arial"/>
        <family val="2"/>
      </rPr>
      <t>Manufacturing</t>
    </r>
  </si>
  <si>
    <r>
      <rPr>
        <sz val="12"/>
        <rFont val="Arial"/>
        <family val="2"/>
      </rPr>
      <t>Metal Household Furniture</t>
    </r>
  </si>
  <si>
    <r>
      <rPr>
        <sz val="12"/>
        <rFont val="Arial"/>
        <family val="2"/>
      </rPr>
      <t>Metal Household Furniture Manufacturing</t>
    </r>
  </si>
  <si>
    <r>
      <rPr>
        <sz val="12"/>
        <rFont val="Arial"/>
        <family val="2"/>
      </rPr>
      <t>Mattresses and Bedsprings</t>
    </r>
  </si>
  <si>
    <r>
      <rPr>
        <sz val="12"/>
        <rFont val="Arial"/>
        <family val="2"/>
      </rPr>
      <t>Mattress Manufacturing</t>
    </r>
  </si>
  <si>
    <r>
      <rPr>
        <sz val="12"/>
        <rFont val="Arial"/>
        <family val="2"/>
      </rPr>
      <t>Wood Television and Radio Cabinets</t>
    </r>
  </si>
  <si>
    <r>
      <rPr>
        <sz val="12"/>
        <rFont val="Arial"/>
        <family val="2"/>
      </rPr>
      <t>Household Furniture, Nec</t>
    </r>
  </si>
  <si>
    <r>
      <rPr>
        <sz val="12"/>
        <rFont val="Arial"/>
        <family val="2"/>
      </rPr>
      <t>Wood Office Furniture</t>
    </r>
  </si>
  <si>
    <r>
      <rPr>
        <sz val="12"/>
        <rFont val="Arial"/>
        <family val="2"/>
      </rPr>
      <t>Wood Office Furniture Manufacturing</t>
    </r>
  </si>
  <si>
    <r>
      <rPr>
        <sz val="12"/>
        <rFont val="Arial"/>
        <family val="2"/>
      </rPr>
      <t>Office Furniture, Except Wood</t>
    </r>
  </si>
  <si>
    <r>
      <rPr>
        <sz val="12"/>
        <rFont val="Arial"/>
        <family val="2"/>
      </rPr>
      <t xml:space="preserve">Office Furniture (except Wood)
</t>
    </r>
    <r>
      <rPr>
        <sz val="12"/>
        <rFont val="Arial"/>
        <family val="2"/>
      </rPr>
      <t>Manufacturing</t>
    </r>
  </si>
  <si>
    <r>
      <rPr>
        <sz val="12"/>
        <rFont val="Arial"/>
        <family val="2"/>
      </rPr>
      <t>Public Building and Related Furniture</t>
    </r>
  </si>
  <si>
    <r>
      <rPr>
        <sz val="12"/>
        <rFont val="Arial"/>
        <family val="2"/>
      </rPr>
      <t>Institutional Furniture Manufacturing</t>
    </r>
  </si>
  <si>
    <r>
      <rPr>
        <sz val="12"/>
        <rFont val="Arial"/>
        <family val="2"/>
      </rPr>
      <t xml:space="preserve">Office Supplies (except Paper)
</t>
    </r>
    <r>
      <rPr>
        <sz val="12"/>
        <rFont val="Arial"/>
        <family val="2"/>
      </rPr>
      <t>Manufacturing</t>
    </r>
  </si>
  <si>
    <r>
      <rPr>
        <sz val="12"/>
        <rFont val="Arial"/>
        <family val="2"/>
      </rPr>
      <t>Wood Partitions and Fixtures</t>
    </r>
  </si>
  <si>
    <r>
      <rPr>
        <sz val="12"/>
        <rFont val="Arial"/>
        <family val="2"/>
      </rPr>
      <t xml:space="preserve">Custom Architectural Woodwork and
</t>
    </r>
    <r>
      <rPr>
        <sz val="12"/>
        <rFont val="Arial"/>
        <family val="2"/>
      </rPr>
      <t>Millwork Manufacturing</t>
    </r>
  </si>
  <si>
    <r>
      <rPr>
        <sz val="12"/>
        <rFont val="Arial"/>
        <family val="2"/>
      </rPr>
      <t>Partitions and Fixtures, Except Wood</t>
    </r>
  </si>
  <si>
    <r>
      <rPr>
        <sz val="12"/>
        <rFont val="Arial"/>
        <family val="2"/>
      </rPr>
      <t>Drapery Hardware and Blinds and Shades</t>
    </r>
  </si>
  <si>
    <r>
      <rPr>
        <sz val="12"/>
        <rFont val="Arial"/>
        <family val="2"/>
      </rPr>
      <t>Blind and Shade Manufacturing</t>
    </r>
  </si>
  <si>
    <r>
      <rPr>
        <sz val="12"/>
        <rFont val="Arial"/>
        <family val="2"/>
      </rPr>
      <t>Furniture and Fixtures, Nec</t>
    </r>
  </si>
  <si>
    <r>
      <rPr>
        <sz val="12"/>
        <rFont val="Arial"/>
        <family val="2"/>
      </rPr>
      <t>Other Industrial Machinery Manufacturing</t>
    </r>
  </si>
  <si>
    <r>
      <rPr>
        <sz val="12"/>
        <rFont val="Arial"/>
        <family val="2"/>
      </rPr>
      <t xml:space="preserve">Industrial Process Furnace and Oven
</t>
    </r>
    <r>
      <rPr>
        <sz val="12"/>
        <rFont val="Arial"/>
        <family val="2"/>
      </rPr>
      <t>Manufacturing</t>
    </r>
  </si>
  <si>
    <r>
      <rPr>
        <sz val="12"/>
        <rFont val="Arial"/>
        <family val="2"/>
      </rPr>
      <t>Scale and Balance Manufacturing</t>
    </r>
  </si>
  <si>
    <r>
      <rPr>
        <sz val="12"/>
        <rFont val="Arial"/>
        <family val="2"/>
      </rPr>
      <t xml:space="preserve">All Other Miscellaneous General Purpose
</t>
    </r>
    <r>
      <rPr>
        <sz val="12"/>
        <rFont val="Arial"/>
        <family val="2"/>
      </rPr>
      <t>Machinery Manufacturing</t>
    </r>
  </si>
  <si>
    <r>
      <rPr>
        <sz val="12"/>
        <rFont val="Arial"/>
        <family val="2"/>
      </rPr>
      <t>Pulp Mills</t>
    </r>
  </si>
  <si>
    <r>
      <rPr>
        <sz val="12"/>
        <rFont val="Arial"/>
        <family val="2"/>
      </rPr>
      <t>Paper (except Newsprint) Mills</t>
    </r>
  </si>
  <si>
    <r>
      <rPr>
        <sz val="12"/>
        <rFont val="Arial"/>
        <family val="2"/>
      </rPr>
      <t>Newsprint Mills</t>
    </r>
  </si>
  <si>
    <r>
      <rPr>
        <sz val="12"/>
        <rFont val="Arial"/>
        <family val="2"/>
      </rPr>
      <t>Paperboard Mills</t>
    </r>
  </si>
  <si>
    <r>
      <rPr>
        <sz val="12"/>
        <rFont val="Arial"/>
        <family val="2"/>
      </rPr>
      <t>Paper Mills</t>
    </r>
  </si>
  <si>
    <r>
      <rPr>
        <sz val="12"/>
        <rFont val="Arial"/>
        <family val="2"/>
      </rPr>
      <t>Setup Paperboard Boxes</t>
    </r>
  </si>
  <si>
    <r>
      <rPr>
        <sz val="12"/>
        <rFont val="Arial"/>
        <family val="2"/>
      </rPr>
      <t xml:space="preserve">Other Paperboard Container
</t>
    </r>
    <r>
      <rPr>
        <sz val="12"/>
        <rFont val="Arial"/>
        <family val="2"/>
      </rPr>
      <t>Manufacturing</t>
    </r>
  </si>
  <si>
    <r>
      <rPr>
        <sz val="12"/>
        <rFont val="Arial"/>
        <family val="2"/>
      </rPr>
      <t>Corrugated and Solid Fiber Boxes</t>
    </r>
  </si>
  <si>
    <r>
      <rPr>
        <sz val="12"/>
        <rFont val="Arial"/>
        <family val="2"/>
      </rPr>
      <t xml:space="preserve">Corrugated and Solid Fiber Box
</t>
    </r>
    <r>
      <rPr>
        <sz val="12"/>
        <rFont val="Arial"/>
        <family val="2"/>
      </rPr>
      <t>Manufacturing</t>
    </r>
  </si>
  <si>
    <r>
      <rPr>
        <sz val="12"/>
        <rFont val="Arial"/>
        <family val="2"/>
      </rPr>
      <t>Fiber Cans, Drums, and Similar Products</t>
    </r>
  </si>
  <si>
    <r>
      <rPr>
        <sz val="12"/>
        <rFont val="Arial"/>
        <family val="2"/>
      </rPr>
      <t>Sanitary Food Containers</t>
    </r>
  </si>
  <si>
    <r>
      <rPr>
        <sz val="12"/>
        <rFont val="Arial"/>
        <family val="2"/>
      </rPr>
      <t>Folding Paperboard Boxes</t>
    </r>
  </si>
  <si>
    <r>
      <rPr>
        <sz val="12"/>
        <rFont val="Arial"/>
        <family val="2"/>
      </rPr>
      <t>Folding Paperboard Box Manufacturing</t>
    </r>
  </si>
  <si>
    <r>
      <rPr>
        <sz val="12"/>
        <rFont val="Arial"/>
        <family val="2"/>
      </rPr>
      <t>Paper; Coated and Laminated Packaging</t>
    </r>
  </si>
  <si>
    <r>
      <rPr>
        <sz val="12"/>
        <rFont val="Arial"/>
        <family val="2"/>
      </rPr>
      <t xml:space="preserve">Paper Bag and Coated and Treated Paper
</t>
    </r>
    <r>
      <rPr>
        <sz val="12"/>
        <rFont val="Arial"/>
        <family val="2"/>
      </rPr>
      <t>Manufacturing</t>
    </r>
  </si>
  <si>
    <r>
      <rPr>
        <sz val="12"/>
        <rFont val="Arial"/>
        <family val="2"/>
      </rPr>
      <t xml:space="preserve">Plastics Packaging Film and Sheet
</t>
    </r>
    <r>
      <rPr>
        <sz val="12"/>
        <rFont val="Arial"/>
        <family val="2"/>
      </rPr>
      <t>(including Laminated) Manufacturing</t>
    </r>
  </si>
  <si>
    <r>
      <rPr>
        <sz val="12"/>
        <rFont val="Arial"/>
        <family val="2"/>
      </rPr>
      <t>Paper; Coated and Laminated, Nec</t>
    </r>
  </si>
  <si>
    <r>
      <rPr>
        <sz val="12"/>
        <rFont val="Arial"/>
        <family val="2"/>
      </rPr>
      <t>Bags: Plastic, Laminated, and Coated</t>
    </r>
  </si>
  <si>
    <r>
      <rPr>
        <sz val="12"/>
        <rFont val="Arial"/>
        <family val="2"/>
      </rPr>
      <t>Plastics Bag and Pouch Manufacturing</t>
    </r>
  </si>
  <si>
    <r>
      <rPr>
        <sz val="12"/>
        <rFont val="Arial"/>
        <family val="2"/>
      </rPr>
      <t>Bags: Uncoated Paper and Multiwall</t>
    </r>
  </si>
  <si>
    <r>
      <rPr>
        <sz val="12"/>
        <rFont val="Arial"/>
        <family val="2"/>
      </rPr>
      <t>Die-cut Paper and Board</t>
    </r>
  </si>
  <si>
    <r>
      <rPr>
        <sz val="12"/>
        <rFont val="Arial"/>
        <family val="2"/>
      </rPr>
      <t>Stationery Product Manufacturing</t>
    </r>
  </si>
  <si>
    <r>
      <rPr>
        <sz val="12"/>
        <rFont val="Arial"/>
        <family val="2"/>
      </rPr>
      <t xml:space="preserve">All Other Converted Paper Product
</t>
    </r>
    <r>
      <rPr>
        <sz val="12"/>
        <rFont val="Arial"/>
        <family val="2"/>
      </rPr>
      <t>Manufacturing</t>
    </r>
  </si>
  <si>
    <r>
      <rPr>
        <sz val="12"/>
        <rFont val="Arial"/>
        <family val="2"/>
      </rPr>
      <t>Sanitary Paper Products</t>
    </r>
  </si>
  <si>
    <r>
      <rPr>
        <sz val="12"/>
        <rFont val="Arial"/>
        <family val="2"/>
      </rPr>
      <t>Sanitary Paper Product Manufacturing</t>
    </r>
  </si>
  <si>
    <r>
      <rPr>
        <sz val="12"/>
        <rFont val="Arial"/>
        <family val="2"/>
      </rPr>
      <t>Envelopes</t>
    </r>
  </si>
  <si>
    <r>
      <rPr>
        <sz val="12"/>
        <rFont val="Arial"/>
        <family val="2"/>
      </rPr>
      <t>Stationery Products</t>
    </r>
  </si>
  <si>
    <r>
      <rPr>
        <sz val="12"/>
        <rFont val="Arial"/>
        <family val="2"/>
      </rPr>
      <t>Converted Paper Products, Nec</t>
    </r>
  </si>
  <si>
    <r>
      <rPr>
        <sz val="12"/>
        <rFont val="Arial"/>
        <family val="2"/>
      </rPr>
      <t>Newspapers</t>
    </r>
  </si>
  <si>
    <r>
      <rPr>
        <sz val="12"/>
        <rFont val="Arial"/>
        <family val="2"/>
      </rPr>
      <t>Newspaper Publishers</t>
    </r>
  </si>
  <si>
    <r>
      <rPr>
        <sz val="12"/>
        <rFont val="Arial"/>
        <family val="2"/>
      </rPr>
      <t xml:space="preserve">Internet Publishing and Broadcasting and
</t>
    </r>
    <r>
      <rPr>
        <sz val="12"/>
        <rFont val="Arial"/>
        <family val="2"/>
      </rPr>
      <t>Web Search Portals</t>
    </r>
  </si>
  <si>
    <r>
      <rPr>
        <sz val="12"/>
        <rFont val="Arial"/>
        <family val="2"/>
      </rPr>
      <t>Periodicals</t>
    </r>
  </si>
  <si>
    <r>
      <rPr>
        <sz val="12"/>
        <rFont val="Arial"/>
        <family val="2"/>
      </rPr>
      <t>Periodical Publishers</t>
    </r>
  </si>
  <si>
    <r>
      <rPr>
        <sz val="12"/>
        <rFont val="Arial"/>
        <family val="2"/>
      </rPr>
      <t>Book Publishing</t>
    </r>
  </si>
  <si>
    <r>
      <rPr>
        <sz val="12"/>
        <rFont val="Arial"/>
        <family val="2"/>
      </rPr>
      <t>Book Publishers</t>
    </r>
  </si>
  <si>
    <r>
      <rPr>
        <sz val="12"/>
        <rFont val="Arial"/>
        <family val="2"/>
      </rPr>
      <t>Music Publishers</t>
    </r>
  </si>
  <si>
    <r>
      <rPr>
        <sz val="12"/>
        <rFont val="Arial"/>
        <family val="2"/>
      </rPr>
      <t>Book Printing</t>
    </r>
  </si>
  <si>
    <r>
      <rPr>
        <sz val="12"/>
        <rFont val="Arial"/>
        <family val="2"/>
      </rPr>
      <t>Books Printing</t>
    </r>
  </si>
  <si>
    <r>
      <rPr>
        <sz val="12"/>
        <rFont val="Arial"/>
        <family val="2"/>
      </rPr>
      <t>Miscellaneous Publishing</t>
    </r>
  </si>
  <si>
    <r>
      <rPr>
        <sz val="12"/>
        <rFont val="Arial"/>
        <family val="2"/>
      </rPr>
      <t>Directory and Mailing List Publishers</t>
    </r>
  </si>
  <si>
    <r>
      <rPr>
        <sz val="12"/>
        <rFont val="Arial"/>
        <family val="2"/>
      </rPr>
      <t>All Other Publishers</t>
    </r>
  </si>
  <si>
    <r>
      <rPr>
        <sz val="12"/>
        <rFont val="Arial"/>
        <family val="2"/>
      </rPr>
      <t>Commercial Printing, Lithographic</t>
    </r>
  </si>
  <si>
    <r>
      <rPr>
        <sz val="12"/>
        <rFont val="Arial"/>
        <family val="2"/>
      </rPr>
      <t xml:space="preserve">Commercial Printing (except Screen and
</t>
    </r>
    <r>
      <rPr>
        <sz val="12"/>
        <rFont val="Arial"/>
        <family val="2"/>
      </rPr>
      <t>Books)</t>
    </r>
  </si>
  <si>
    <r>
      <rPr>
        <sz val="12"/>
        <rFont val="Arial"/>
        <family val="2"/>
      </rPr>
      <t>Commercial Printing, Gravure</t>
    </r>
  </si>
  <si>
    <r>
      <rPr>
        <sz val="12"/>
        <rFont val="Arial"/>
        <family val="2"/>
      </rPr>
      <t>Commercial Printing, Nec</t>
    </r>
  </si>
  <si>
    <r>
      <rPr>
        <sz val="12"/>
        <rFont val="Arial"/>
        <family val="2"/>
      </rPr>
      <t>Manifold Business Forms</t>
    </r>
  </si>
  <si>
    <r>
      <rPr>
        <sz val="12"/>
        <rFont val="Arial"/>
        <family val="2"/>
      </rPr>
      <t>Greeting Cards</t>
    </r>
  </si>
  <si>
    <r>
      <rPr>
        <sz val="12"/>
        <rFont val="Arial"/>
        <family val="2"/>
      </rPr>
      <t>Greeting Card Publishers</t>
    </r>
  </si>
  <si>
    <r>
      <rPr>
        <sz val="12"/>
        <rFont val="Arial"/>
        <family val="2"/>
      </rPr>
      <t>Blankbooks and Looseleaf Binders</t>
    </r>
  </si>
  <si>
    <r>
      <rPr>
        <sz val="12"/>
        <rFont val="Arial"/>
        <family val="2"/>
      </rPr>
      <t>Bookbinding and Related Work</t>
    </r>
  </si>
  <si>
    <r>
      <rPr>
        <sz val="12"/>
        <rFont val="Arial"/>
        <family val="2"/>
      </rPr>
      <t>Support Activities for Printing</t>
    </r>
  </si>
  <si>
    <r>
      <rPr>
        <sz val="12"/>
        <rFont val="Arial"/>
        <family val="2"/>
      </rPr>
      <t>Typesetting</t>
    </r>
  </si>
  <si>
    <r>
      <rPr>
        <sz val="12"/>
        <rFont val="Arial"/>
        <family val="2"/>
      </rPr>
      <t>Platemaking Services</t>
    </r>
  </si>
  <si>
    <r>
      <rPr>
        <sz val="12"/>
        <rFont val="Arial"/>
        <family val="2"/>
      </rPr>
      <t>Alkalies and Chlorine</t>
    </r>
  </si>
  <si>
    <r>
      <rPr>
        <sz val="12"/>
        <rFont val="Arial"/>
        <family val="2"/>
      </rPr>
      <t xml:space="preserve">Other Basic Inorganic Chemical
</t>
    </r>
    <r>
      <rPr>
        <sz val="12"/>
        <rFont val="Arial"/>
        <family val="2"/>
      </rPr>
      <t>Manufacturing</t>
    </r>
  </si>
  <si>
    <r>
      <rPr>
        <sz val="12"/>
        <rFont val="Arial"/>
        <family val="2"/>
      </rPr>
      <t>Industrial Gases</t>
    </r>
  </si>
  <si>
    <r>
      <rPr>
        <sz val="12"/>
        <rFont val="Arial"/>
        <family val="2"/>
      </rPr>
      <t>Industrial Gas Manufacturing</t>
    </r>
  </si>
  <si>
    <r>
      <rPr>
        <sz val="12"/>
        <rFont val="Arial"/>
        <family val="2"/>
      </rPr>
      <t>Inorganic Pigments</t>
    </r>
  </si>
  <si>
    <r>
      <rPr>
        <sz val="12"/>
        <rFont val="Arial"/>
        <family val="2"/>
      </rPr>
      <t>Synthetic Dye and Pigment Manufacturing</t>
    </r>
  </si>
  <si>
    <r>
      <rPr>
        <sz val="12"/>
        <rFont val="Arial"/>
        <family val="2"/>
      </rPr>
      <t>Industrial Inorganic Chemicals, Nec</t>
    </r>
  </si>
  <si>
    <r>
      <rPr>
        <sz val="12"/>
        <rFont val="Arial"/>
        <family val="2"/>
      </rPr>
      <t xml:space="preserve">All Other Miscellaneous Chemical Product
</t>
    </r>
    <r>
      <rPr>
        <sz val="12"/>
        <rFont val="Arial"/>
        <family val="2"/>
      </rPr>
      <t>and Preparation Manufacturing</t>
    </r>
  </si>
  <si>
    <r>
      <rPr>
        <sz val="12"/>
        <rFont val="Arial"/>
        <family val="2"/>
      </rPr>
      <t xml:space="preserve">Alumina Refining and Primary Aluminum
</t>
    </r>
    <r>
      <rPr>
        <sz val="12"/>
        <rFont val="Arial"/>
        <family val="2"/>
      </rPr>
      <t>Production</t>
    </r>
  </si>
  <si>
    <r>
      <rPr>
        <sz val="12"/>
        <rFont val="Arial"/>
        <family val="2"/>
      </rPr>
      <t>Plastics Materials and Resins</t>
    </r>
  </si>
  <si>
    <r>
      <rPr>
        <sz val="12"/>
        <rFont val="Arial"/>
        <family val="2"/>
      </rPr>
      <t>Plastics Material and Resin Manufacturing</t>
    </r>
  </si>
  <si>
    <r>
      <rPr>
        <sz val="12"/>
        <rFont val="Arial"/>
        <family val="2"/>
      </rPr>
      <t>Synthetic Rubber</t>
    </r>
  </si>
  <si>
    <r>
      <rPr>
        <sz val="12"/>
        <rFont val="Arial"/>
        <family val="2"/>
      </rPr>
      <t>Synthetic Rubber Manufacturing</t>
    </r>
  </si>
  <si>
    <r>
      <rPr>
        <sz val="12"/>
        <rFont val="Arial"/>
        <family val="2"/>
      </rPr>
      <t>Cellulosic Manmade Fibers</t>
    </r>
  </si>
  <si>
    <r>
      <rPr>
        <sz val="12"/>
        <rFont val="Arial"/>
        <family val="2"/>
      </rPr>
      <t xml:space="preserve">Artificial and Synthetic Fibers and
</t>
    </r>
    <r>
      <rPr>
        <sz val="12"/>
        <rFont val="Arial"/>
        <family val="2"/>
      </rPr>
      <t>Filaments Manufacturing</t>
    </r>
  </si>
  <si>
    <r>
      <rPr>
        <sz val="12"/>
        <rFont val="Arial"/>
        <family val="2"/>
      </rPr>
      <t>Organic Fibers, Noncellulosic</t>
    </r>
  </si>
  <si>
    <r>
      <rPr>
        <sz val="12"/>
        <rFont val="Arial"/>
        <family val="2"/>
      </rPr>
      <t>Medicinals and Botanicals</t>
    </r>
  </si>
  <si>
    <r>
      <rPr>
        <sz val="12"/>
        <rFont val="Arial"/>
        <family val="2"/>
      </rPr>
      <t>Medicinal and Botanical Manufacturing</t>
    </r>
  </si>
  <si>
    <r>
      <rPr>
        <sz val="12"/>
        <rFont val="Arial"/>
        <family val="2"/>
      </rPr>
      <t>Pharmaceutical Preparations</t>
    </r>
  </si>
  <si>
    <r>
      <rPr>
        <sz val="12"/>
        <rFont val="Arial"/>
        <family val="2"/>
      </rPr>
      <t>Pharmaceutical Preparation Manufacturing</t>
    </r>
  </si>
  <si>
    <r>
      <rPr>
        <sz val="12"/>
        <rFont val="Arial"/>
        <family val="2"/>
      </rPr>
      <t>Diagnostic Substances</t>
    </r>
  </si>
  <si>
    <r>
      <rPr>
        <sz val="12"/>
        <rFont val="Arial"/>
        <family val="2"/>
      </rPr>
      <t xml:space="preserve">In-Vitro Diagnostic Substance
</t>
    </r>
    <r>
      <rPr>
        <sz val="12"/>
        <rFont val="Arial"/>
        <family val="2"/>
      </rPr>
      <t>Manufacturing</t>
    </r>
  </si>
  <si>
    <r>
      <rPr>
        <sz val="12"/>
        <rFont val="Arial"/>
        <family val="2"/>
      </rPr>
      <t>Biological Products, Except Diagnostic</t>
    </r>
  </si>
  <si>
    <r>
      <rPr>
        <sz val="12"/>
        <rFont val="Arial"/>
        <family val="2"/>
      </rPr>
      <t xml:space="preserve">Biological Product (except Diagnostic)
</t>
    </r>
    <r>
      <rPr>
        <sz val="12"/>
        <rFont val="Arial"/>
        <family val="2"/>
      </rPr>
      <t>Manufacturing</t>
    </r>
  </si>
  <si>
    <r>
      <rPr>
        <sz val="12"/>
        <rFont val="Arial"/>
        <family val="2"/>
      </rPr>
      <t>Soap and Other Detergents</t>
    </r>
  </si>
  <si>
    <r>
      <rPr>
        <sz val="12"/>
        <rFont val="Arial"/>
        <family val="2"/>
      </rPr>
      <t>Soap and Other Detergent Manufacturing</t>
    </r>
  </si>
  <si>
    <r>
      <rPr>
        <sz val="12"/>
        <rFont val="Arial"/>
        <family val="2"/>
      </rPr>
      <t>Polishes and Sanitation Goods</t>
    </r>
  </si>
  <si>
    <r>
      <rPr>
        <sz val="12"/>
        <rFont val="Arial"/>
        <family val="2"/>
      </rPr>
      <t xml:space="preserve">Polish and Other Sanitation Good
</t>
    </r>
    <r>
      <rPr>
        <sz val="12"/>
        <rFont val="Arial"/>
        <family val="2"/>
      </rPr>
      <t>Manufacturing</t>
    </r>
  </si>
  <si>
    <r>
      <rPr>
        <sz val="12"/>
        <rFont val="Arial"/>
        <family val="2"/>
      </rPr>
      <t>Surface Active Agents</t>
    </r>
  </si>
  <si>
    <r>
      <rPr>
        <sz val="12"/>
        <rFont val="Arial"/>
        <family val="2"/>
      </rPr>
      <t>Surface Active Agent Manufacturing</t>
    </r>
  </si>
  <si>
    <r>
      <rPr>
        <sz val="12"/>
        <rFont val="Arial"/>
        <family val="2"/>
      </rPr>
      <t>Toilet Preparations</t>
    </r>
  </si>
  <si>
    <r>
      <rPr>
        <sz val="12"/>
        <rFont val="Arial"/>
        <family val="2"/>
      </rPr>
      <t>Toilet Preparation Manufacturing</t>
    </r>
  </si>
  <si>
    <r>
      <rPr>
        <sz val="12"/>
        <rFont val="Arial"/>
        <family val="2"/>
      </rPr>
      <t>Paints and Allied Products</t>
    </r>
  </si>
  <si>
    <r>
      <rPr>
        <sz val="12"/>
        <rFont val="Arial"/>
        <family val="2"/>
      </rPr>
      <t>Paint and Coating Manufacturing</t>
    </r>
  </si>
  <si>
    <r>
      <rPr>
        <sz val="12"/>
        <rFont val="Arial"/>
        <family val="2"/>
      </rPr>
      <t>Gum and Wood Chemicals</t>
    </r>
  </si>
  <si>
    <r>
      <rPr>
        <sz val="12"/>
        <rFont val="Arial"/>
        <family val="2"/>
      </rPr>
      <t xml:space="preserve">Cyclic Crude, Intermediate, and Gum and
</t>
    </r>
    <r>
      <rPr>
        <sz val="12"/>
        <rFont val="Arial"/>
        <family val="2"/>
      </rPr>
      <t>Wood Chemical Manufacturing</t>
    </r>
  </si>
  <si>
    <r>
      <rPr>
        <sz val="12"/>
        <rFont val="Arial"/>
        <family val="2"/>
      </rPr>
      <t>Cyclic Crudes and Intermediates</t>
    </r>
  </si>
  <si>
    <r>
      <rPr>
        <sz val="12"/>
        <rFont val="Arial"/>
        <family val="2"/>
      </rPr>
      <t>Petrochemical Manufacturing</t>
    </r>
  </si>
  <si>
    <r>
      <rPr>
        <sz val="12"/>
        <rFont val="Arial"/>
        <family val="2"/>
      </rPr>
      <t>Industrial Organic Chemicals, Nec</t>
    </r>
  </si>
  <si>
    <r>
      <rPr>
        <sz val="12"/>
        <rFont val="Arial"/>
        <family val="2"/>
      </rPr>
      <t>Nitrogenous Fertilizers</t>
    </r>
  </si>
  <si>
    <r>
      <rPr>
        <sz val="12"/>
        <rFont val="Arial"/>
        <family val="2"/>
      </rPr>
      <t>Nitrogenous Fertilizer Manufacturing</t>
    </r>
  </si>
  <si>
    <r>
      <rPr>
        <sz val="12"/>
        <rFont val="Arial"/>
        <family val="2"/>
      </rPr>
      <t>Phosphatic Fertilizers</t>
    </r>
  </si>
  <si>
    <r>
      <rPr>
        <sz val="12"/>
        <rFont val="Arial"/>
        <family val="2"/>
      </rPr>
      <t>Phosphatic Fertilizer Manufacturing</t>
    </r>
  </si>
  <si>
    <r>
      <rPr>
        <sz val="12"/>
        <rFont val="Arial"/>
        <family val="2"/>
      </rPr>
      <t>Fertilizers, Mixing Only</t>
    </r>
  </si>
  <si>
    <r>
      <rPr>
        <sz val="12"/>
        <rFont val="Arial"/>
        <family val="2"/>
      </rPr>
      <t>Fertilizer (Mixing Only) Manufacturing</t>
    </r>
  </si>
  <si>
    <r>
      <rPr>
        <sz val="12"/>
        <rFont val="Arial"/>
        <family val="2"/>
      </rPr>
      <t>Agricultural Chemicals, Nec</t>
    </r>
  </si>
  <si>
    <r>
      <rPr>
        <sz val="12"/>
        <rFont val="Arial"/>
        <family val="2"/>
      </rPr>
      <t xml:space="preserve">Pesticide and Other Agricultural Chemical
</t>
    </r>
    <r>
      <rPr>
        <sz val="12"/>
        <rFont val="Arial"/>
        <family val="2"/>
      </rPr>
      <t>Manufacturing</t>
    </r>
  </si>
  <si>
    <r>
      <rPr>
        <sz val="12"/>
        <rFont val="Arial"/>
        <family val="2"/>
      </rPr>
      <t>Adhesives and Sealants</t>
    </r>
  </si>
  <si>
    <r>
      <rPr>
        <sz val="12"/>
        <rFont val="Arial"/>
        <family val="2"/>
      </rPr>
      <t>Adhesive Manufacturing</t>
    </r>
  </si>
  <si>
    <r>
      <rPr>
        <sz val="12"/>
        <rFont val="Arial"/>
        <family val="2"/>
      </rPr>
      <t>Explosives</t>
    </r>
  </si>
  <si>
    <r>
      <rPr>
        <sz val="12"/>
        <rFont val="Arial"/>
        <family val="2"/>
      </rPr>
      <t>Explosives Manufacturing</t>
    </r>
  </si>
  <si>
    <r>
      <rPr>
        <sz val="12"/>
        <rFont val="Arial"/>
        <family val="2"/>
      </rPr>
      <t>Printing Ink</t>
    </r>
  </si>
  <si>
    <r>
      <rPr>
        <sz val="12"/>
        <rFont val="Arial"/>
        <family val="2"/>
      </rPr>
      <t>Printing Ink Manufacturing</t>
    </r>
  </si>
  <si>
    <r>
      <rPr>
        <sz val="12"/>
        <rFont val="Arial"/>
        <family val="2"/>
      </rPr>
      <t>Carbon Black</t>
    </r>
  </si>
  <si>
    <r>
      <rPr>
        <sz val="12"/>
        <rFont val="Arial"/>
        <family val="2"/>
      </rPr>
      <t>Chemical Preparations, Nec</t>
    </r>
  </si>
  <si>
    <r>
      <rPr>
        <sz val="12"/>
        <rFont val="Arial"/>
        <family val="2"/>
      </rPr>
      <t xml:space="preserve">All Other Basic Organic Chemical
</t>
    </r>
    <r>
      <rPr>
        <sz val="12"/>
        <rFont val="Arial"/>
        <family val="2"/>
      </rPr>
      <t>Manufacturing</t>
    </r>
  </si>
  <si>
    <r>
      <rPr>
        <sz val="12"/>
        <rFont val="Arial"/>
        <family val="2"/>
      </rPr>
      <t>Petroleum Refining</t>
    </r>
  </si>
  <si>
    <r>
      <rPr>
        <sz val="12"/>
        <rFont val="Arial"/>
        <family val="2"/>
      </rPr>
      <t>Petroleum Refineries</t>
    </r>
  </si>
  <si>
    <r>
      <rPr>
        <sz val="12"/>
        <rFont val="Arial"/>
        <family val="2"/>
      </rPr>
      <t>Asphalt Paving Mixtures and Blocks</t>
    </r>
  </si>
  <si>
    <r>
      <rPr>
        <sz val="12"/>
        <rFont val="Arial"/>
        <family val="2"/>
      </rPr>
      <t xml:space="preserve">Asphalt Paving Mixture and Block
</t>
    </r>
    <r>
      <rPr>
        <sz val="12"/>
        <rFont val="Arial"/>
        <family val="2"/>
      </rPr>
      <t>Manufacturing</t>
    </r>
  </si>
  <si>
    <r>
      <rPr>
        <sz val="12"/>
        <rFont val="Arial"/>
        <family val="2"/>
      </rPr>
      <t>Asphalt Felts and Coatings</t>
    </r>
  </si>
  <si>
    <r>
      <rPr>
        <sz val="12"/>
        <rFont val="Arial"/>
        <family val="2"/>
      </rPr>
      <t xml:space="preserve">Asphalt Shingle and Coating Materials
</t>
    </r>
    <r>
      <rPr>
        <sz val="12"/>
        <rFont val="Arial"/>
        <family val="2"/>
      </rPr>
      <t>Manufacturing</t>
    </r>
  </si>
  <si>
    <r>
      <rPr>
        <sz val="12"/>
        <rFont val="Arial"/>
        <family val="2"/>
      </rPr>
      <t>Lubricating Oils and Greases</t>
    </r>
  </si>
  <si>
    <r>
      <rPr>
        <sz val="12"/>
        <rFont val="Arial"/>
        <family val="2"/>
      </rPr>
      <t xml:space="preserve">Petroleum Lubricating Oil and Grease
</t>
    </r>
    <r>
      <rPr>
        <sz val="12"/>
        <rFont val="Arial"/>
        <family val="2"/>
      </rPr>
      <t>Manufacturing</t>
    </r>
  </si>
  <si>
    <r>
      <rPr>
        <sz val="12"/>
        <rFont val="Arial"/>
        <family val="2"/>
      </rPr>
      <t>Petroleum and Coal Products, Nec</t>
    </r>
  </si>
  <si>
    <r>
      <rPr>
        <sz val="12"/>
        <rFont val="Arial"/>
        <family val="2"/>
      </rPr>
      <t xml:space="preserve">All Other Petroleum and Coal Products
</t>
    </r>
    <r>
      <rPr>
        <sz val="12"/>
        <rFont val="Arial"/>
        <family val="2"/>
      </rPr>
      <t>Manufacturing</t>
    </r>
  </si>
  <si>
    <r>
      <rPr>
        <sz val="12"/>
        <rFont val="Arial"/>
        <family val="2"/>
      </rPr>
      <t>Tires and Inner Tubes</t>
    </r>
  </si>
  <si>
    <r>
      <rPr>
        <sz val="12"/>
        <rFont val="Arial"/>
        <family val="2"/>
      </rPr>
      <t>Tire Manufacturing (except Retreading)</t>
    </r>
  </si>
  <si>
    <r>
      <rPr>
        <sz val="12"/>
        <rFont val="Arial"/>
        <family val="2"/>
      </rPr>
      <t>Rubber and Plastics Footwear</t>
    </r>
  </si>
  <si>
    <r>
      <rPr>
        <sz val="12"/>
        <rFont val="Arial"/>
        <family val="2"/>
      </rPr>
      <t>Footwear Manufacturing</t>
    </r>
  </si>
  <si>
    <r>
      <rPr>
        <sz val="12"/>
        <rFont val="Arial"/>
        <family val="2"/>
      </rPr>
      <t>Rubber and Plastics Hose and Beltings</t>
    </r>
  </si>
  <si>
    <r>
      <rPr>
        <sz val="12"/>
        <rFont val="Arial"/>
        <family val="2"/>
      </rPr>
      <t xml:space="preserve">Rubber and Plastics Hoses and Belting
</t>
    </r>
    <r>
      <rPr>
        <sz val="12"/>
        <rFont val="Arial"/>
        <family val="2"/>
      </rPr>
      <t>Manufacturing</t>
    </r>
  </si>
  <si>
    <r>
      <rPr>
        <sz val="12"/>
        <rFont val="Arial"/>
        <family val="2"/>
      </rPr>
      <t>Gaskets; Packing and Sealing Devices</t>
    </r>
  </si>
  <si>
    <r>
      <rPr>
        <sz val="12"/>
        <rFont val="Arial"/>
        <family val="2"/>
      </rPr>
      <t xml:space="preserve">Gasket, Packing, and Sealing Device
</t>
    </r>
    <r>
      <rPr>
        <sz val="12"/>
        <rFont val="Arial"/>
        <family val="2"/>
      </rPr>
      <t>Manufacturing</t>
    </r>
  </si>
  <si>
    <r>
      <rPr>
        <sz val="12"/>
        <rFont val="Arial"/>
        <family val="2"/>
      </rPr>
      <t>Mechanical Rubber Goods</t>
    </r>
  </si>
  <si>
    <r>
      <rPr>
        <sz val="12"/>
        <rFont val="Arial"/>
        <family val="2"/>
      </rPr>
      <t xml:space="preserve">Rubber Product Manufacturing for
</t>
    </r>
    <r>
      <rPr>
        <sz val="12"/>
        <rFont val="Arial"/>
        <family val="2"/>
      </rPr>
      <t>Mechanical Use</t>
    </r>
  </si>
  <si>
    <r>
      <rPr>
        <sz val="12"/>
        <rFont val="Arial"/>
        <family val="2"/>
      </rPr>
      <t>All Other Rubber Product Manufacturing</t>
    </r>
  </si>
  <si>
    <r>
      <rPr>
        <sz val="12"/>
        <rFont val="Arial"/>
        <family val="2"/>
      </rPr>
      <t>Fabricated Rubber Products, Nec</t>
    </r>
  </si>
  <si>
    <r>
      <rPr>
        <sz val="12"/>
        <rFont val="Arial"/>
        <family val="2"/>
      </rPr>
      <t>All Other Plastics Product Manufacturing</t>
    </r>
  </si>
  <si>
    <r>
      <rPr>
        <sz val="12"/>
        <rFont val="Arial"/>
        <family val="2"/>
      </rPr>
      <t>Boat Building</t>
    </r>
  </si>
  <si>
    <r>
      <rPr>
        <sz val="12"/>
        <rFont val="Arial"/>
        <family val="2"/>
      </rPr>
      <t>Sporting and Athletic Goods Manufacturing</t>
    </r>
  </si>
  <si>
    <r>
      <rPr>
        <sz val="12"/>
        <rFont val="Arial"/>
        <family val="2"/>
      </rPr>
      <t>Doll, Toy, and Game Manufacturing</t>
    </r>
  </si>
  <si>
    <r>
      <rPr>
        <sz val="12"/>
        <rFont val="Arial"/>
        <family val="2"/>
      </rPr>
      <t>Unsupported Plastics Film and Sheet</t>
    </r>
  </si>
  <si>
    <r>
      <rPr>
        <sz val="12"/>
        <rFont val="Arial"/>
        <family val="2"/>
      </rPr>
      <t xml:space="preserve">Unlaminated Plastics Film and Sheet
</t>
    </r>
    <r>
      <rPr>
        <sz val="12"/>
        <rFont val="Arial"/>
        <family val="2"/>
      </rPr>
      <t>(except Packaging) Manufacturing</t>
    </r>
  </si>
  <si>
    <r>
      <rPr>
        <sz val="12"/>
        <rFont val="Arial"/>
        <family val="2"/>
      </rPr>
      <t>Unsupported Plastics Profile Shapes</t>
    </r>
  </si>
  <si>
    <r>
      <rPr>
        <sz val="12"/>
        <rFont val="Arial"/>
        <family val="2"/>
      </rPr>
      <t xml:space="preserve">Unlaminated Plastics Profile Shape
</t>
    </r>
    <r>
      <rPr>
        <sz val="12"/>
        <rFont val="Arial"/>
        <family val="2"/>
      </rPr>
      <t>Manufacturing</t>
    </r>
  </si>
  <si>
    <r>
      <rPr>
        <sz val="12"/>
        <rFont val="Arial"/>
        <family val="2"/>
      </rPr>
      <t>Laminated Plastics Plate and Sheet</t>
    </r>
  </si>
  <si>
    <r>
      <rPr>
        <sz val="12"/>
        <rFont val="Arial"/>
        <family val="2"/>
      </rPr>
      <t xml:space="preserve">Laminated Plastics Plate, Sheet (except
</t>
    </r>
    <r>
      <rPr>
        <sz val="12"/>
        <rFont val="Arial"/>
        <family val="2"/>
      </rPr>
      <t>Packaging), and Shape Manufacturing</t>
    </r>
  </si>
  <si>
    <r>
      <rPr>
        <sz val="12"/>
        <rFont val="Arial"/>
        <family val="2"/>
      </rPr>
      <t>Plastics Pipe</t>
    </r>
  </si>
  <si>
    <r>
      <rPr>
        <sz val="12"/>
        <rFont val="Arial"/>
        <family val="2"/>
      </rPr>
      <t xml:space="preserve">Plastics Pipe and Pipe Fitting
</t>
    </r>
    <r>
      <rPr>
        <sz val="12"/>
        <rFont val="Arial"/>
        <family val="2"/>
      </rPr>
      <t>Manufacturing</t>
    </r>
  </si>
  <si>
    <r>
      <rPr>
        <sz val="12"/>
        <rFont val="Arial"/>
        <family val="2"/>
      </rPr>
      <t>Plastics Bottles</t>
    </r>
  </si>
  <si>
    <r>
      <rPr>
        <sz val="12"/>
        <rFont val="Arial"/>
        <family val="2"/>
      </rPr>
      <t>Plastics Bottle Manufacturing</t>
    </r>
  </si>
  <si>
    <r>
      <rPr>
        <sz val="12"/>
        <rFont val="Arial"/>
        <family val="2"/>
      </rPr>
      <t>Plastics Foam Products</t>
    </r>
  </si>
  <si>
    <r>
      <rPr>
        <sz val="12"/>
        <rFont val="Arial"/>
        <family val="2"/>
      </rPr>
      <t>Polystyrene Foam Product Manufacturing</t>
    </r>
  </si>
  <si>
    <r>
      <rPr>
        <sz val="12"/>
        <rFont val="Arial"/>
        <family val="2"/>
      </rPr>
      <t xml:space="preserve">Urethane and Other Foam Product (except
</t>
    </r>
    <r>
      <rPr>
        <sz val="12"/>
        <rFont val="Arial"/>
        <family val="2"/>
      </rPr>
      <t>Polystyrene) Manufacturing</t>
    </r>
  </si>
  <si>
    <r>
      <rPr>
        <sz val="12"/>
        <rFont val="Arial"/>
        <family val="2"/>
      </rPr>
      <t>Custom Compound Purchased Resins</t>
    </r>
  </si>
  <si>
    <r>
      <rPr>
        <sz val="12"/>
        <rFont val="Arial"/>
        <family val="2"/>
      </rPr>
      <t xml:space="preserve">Custom Compounding of Purchased
</t>
    </r>
    <r>
      <rPr>
        <sz val="12"/>
        <rFont val="Arial"/>
        <family val="2"/>
      </rPr>
      <t>Resins</t>
    </r>
  </si>
  <si>
    <r>
      <rPr>
        <sz val="12"/>
        <rFont val="Arial"/>
        <family val="2"/>
      </rPr>
      <t>Plastics Plumbing Fixtures</t>
    </r>
  </si>
  <si>
    <r>
      <rPr>
        <sz val="12"/>
        <rFont val="Arial"/>
        <family val="2"/>
      </rPr>
      <t>Plastics Plumbing Fixture Manufacturing</t>
    </r>
  </si>
  <si>
    <r>
      <rPr>
        <sz val="12"/>
        <rFont val="Arial"/>
        <family val="2"/>
      </rPr>
      <t>Plastics Products, Nec</t>
    </r>
  </si>
  <si>
    <r>
      <rPr>
        <sz val="12"/>
        <rFont val="Arial"/>
        <family val="2"/>
      </rPr>
      <t>Leather Tanning and Finishing</t>
    </r>
  </si>
  <si>
    <r>
      <rPr>
        <sz val="12"/>
        <rFont val="Arial"/>
        <family val="2"/>
      </rPr>
      <t>Leather and Hide Tanning and Finishing</t>
    </r>
  </si>
  <si>
    <r>
      <rPr>
        <sz val="12"/>
        <rFont val="Arial"/>
        <family val="2"/>
      </rPr>
      <t>Footwear Cut Stock</t>
    </r>
  </si>
  <si>
    <r>
      <rPr>
        <sz val="12"/>
        <rFont val="Arial"/>
        <family val="2"/>
      </rPr>
      <t xml:space="preserve">All Other Leather Good and Allied Product
</t>
    </r>
    <r>
      <rPr>
        <sz val="12"/>
        <rFont val="Arial"/>
        <family val="2"/>
      </rPr>
      <t>Manufacturing</t>
    </r>
  </si>
  <si>
    <r>
      <rPr>
        <sz val="12"/>
        <rFont val="Arial"/>
        <family val="2"/>
      </rPr>
      <t xml:space="preserve">Fastener, Button, Needle, and Pin
</t>
    </r>
    <r>
      <rPr>
        <sz val="12"/>
        <rFont val="Arial"/>
        <family val="2"/>
      </rPr>
      <t>Manufacturing</t>
    </r>
  </si>
  <si>
    <r>
      <rPr>
        <sz val="12"/>
        <rFont val="Arial"/>
        <family val="2"/>
      </rPr>
      <t>House Slippers</t>
    </r>
  </si>
  <si>
    <r>
      <rPr>
        <sz val="12"/>
        <rFont val="Arial"/>
        <family val="2"/>
      </rPr>
      <t>Men's Footwear, Except athletic</t>
    </r>
  </si>
  <si>
    <r>
      <rPr>
        <sz val="12"/>
        <rFont val="Arial"/>
        <family val="2"/>
      </rPr>
      <t>Women's Footwear, Except athletic</t>
    </r>
  </si>
  <si>
    <r>
      <rPr>
        <sz val="12"/>
        <rFont val="Arial"/>
        <family val="2"/>
      </rPr>
      <t>Footwear, Except Rubber, Nec</t>
    </r>
  </si>
  <si>
    <r>
      <rPr>
        <sz val="12"/>
        <rFont val="Arial"/>
        <family val="2"/>
      </rPr>
      <t>Leather Gloves and Mittens</t>
    </r>
  </si>
  <si>
    <r>
      <rPr>
        <sz val="12"/>
        <rFont val="Arial"/>
        <family val="2"/>
      </rPr>
      <t>Luggage</t>
    </r>
  </si>
  <si>
    <r>
      <rPr>
        <sz val="12"/>
        <rFont val="Arial"/>
        <family val="2"/>
      </rPr>
      <t>Women's Handbags and Purses</t>
    </r>
  </si>
  <si>
    <r>
      <rPr>
        <sz val="12"/>
        <rFont val="Arial"/>
        <family val="2"/>
      </rPr>
      <t xml:space="preserve">Women's Handbag and Purse
</t>
    </r>
    <r>
      <rPr>
        <sz val="12"/>
        <rFont val="Arial"/>
        <family val="2"/>
      </rPr>
      <t>Manufacturing</t>
    </r>
  </si>
  <si>
    <r>
      <rPr>
        <sz val="12"/>
        <rFont val="Arial"/>
        <family val="2"/>
      </rPr>
      <t>Personal Leather Goods, Nec</t>
    </r>
  </si>
  <si>
    <r>
      <rPr>
        <sz val="12"/>
        <rFont val="Arial"/>
        <family val="2"/>
      </rPr>
      <t>Jewelry and Silverware Manufacturing</t>
    </r>
  </si>
  <si>
    <r>
      <rPr>
        <sz val="12"/>
        <rFont val="Arial"/>
        <family val="2"/>
      </rPr>
      <t>Leather Goods, Nec</t>
    </r>
  </si>
  <si>
    <r>
      <rPr>
        <sz val="12"/>
        <rFont val="Arial"/>
        <family val="2"/>
      </rPr>
      <t>Flat Glass</t>
    </r>
  </si>
  <si>
    <r>
      <rPr>
        <sz val="12"/>
        <rFont val="Arial"/>
        <family val="2"/>
      </rPr>
      <t>Flat Glass Manufacturing</t>
    </r>
  </si>
  <si>
    <r>
      <rPr>
        <sz val="12"/>
        <rFont val="Arial"/>
        <family val="2"/>
      </rPr>
      <t>Glass Containers</t>
    </r>
  </si>
  <si>
    <r>
      <rPr>
        <sz val="12"/>
        <rFont val="Arial"/>
        <family val="2"/>
      </rPr>
      <t>Glass Container Manufacturing</t>
    </r>
  </si>
  <si>
    <r>
      <rPr>
        <sz val="12"/>
        <rFont val="Arial"/>
        <family val="2"/>
      </rPr>
      <t>Pressed and Blown Glass, Nec</t>
    </r>
  </si>
  <si>
    <r>
      <rPr>
        <sz val="12"/>
        <rFont val="Arial"/>
        <family val="2"/>
      </rPr>
      <t xml:space="preserve">Other Pressed and Blown Glass and
</t>
    </r>
    <r>
      <rPr>
        <sz val="12"/>
        <rFont val="Arial"/>
        <family val="2"/>
      </rPr>
      <t>Glassware Manufacturing</t>
    </r>
  </si>
  <si>
    <r>
      <rPr>
        <sz val="12"/>
        <rFont val="Arial"/>
        <family val="2"/>
      </rPr>
      <t>Products of Purchased Glass</t>
    </r>
  </si>
  <si>
    <r>
      <rPr>
        <sz val="12"/>
        <rFont val="Arial"/>
        <family val="2"/>
      </rPr>
      <t xml:space="preserve">Glass Product Manufacturing Made of
</t>
    </r>
    <r>
      <rPr>
        <sz val="12"/>
        <rFont val="Arial"/>
        <family val="2"/>
      </rPr>
      <t>Purchased Glass</t>
    </r>
  </si>
  <si>
    <r>
      <rPr>
        <sz val="12"/>
        <rFont val="Arial"/>
        <family val="2"/>
      </rPr>
      <t>Cement, Hydraulic</t>
    </r>
  </si>
  <si>
    <r>
      <rPr>
        <sz val="12"/>
        <rFont val="Arial"/>
        <family val="2"/>
      </rPr>
      <t>Cement Manufacturing</t>
    </r>
  </si>
  <si>
    <r>
      <rPr>
        <sz val="12"/>
        <rFont val="Arial"/>
        <family val="2"/>
      </rPr>
      <t>Brick and Structural Clay Tile</t>
    </r>
  </si>
  <si>
    <r>
      <rPr>
        <sz val="12"/>
        <rFont val="Arial"/>
        <family val="2"/>
      </rPr>
      <t xml:space="preserve">Clay Building Material and Refractories
</t>
    </r>
    <r>
      <rPr>
        <sz val="12"/>
        <rFont val="Arial"/>
        <family val="2"/>
      </rPr>
      <t>Manufacturing</t>
    </r>
  </si>
  <si>
    <r>
      <rPr>
        <sz val="12"/>
        <rFont val="Arial"/>
        <family val="2"/>
      </rPr>
      <t>Concrete Block and Brick Manufacturing</t>
    </r>
  </si>
  <si>
    <r>
      <rPr>
        <sz val="12"/>
        <rFont val="Arial"/>
        <family val="2"/>
      </rPr>
      <t>Ceramic Wall and Floor Tile</t>
    </r>
  </si>
  <si>
    <r>
      <rPr>
        <sz val="12"/>
        <rFont val="Arial"/>
        <family val="2"/>
      </rPr>
      <t>Clay Refractories</t>
    </r>
  </si>
  <si>
    <r>
      <rPr>
        <sz val="12"/>
        <rFont val="Arial"/>
        <family val="2"/>
      </rPr>
      <t>Structural Clay Products, Nec</t>
    </r>
  </si>
  <si>
    <r>
      <rPr>
        <sz val="12"/>
        <rFont val="Arial"/>
        <family val="2"/>
      </rPr>
      <t>Vitreous Plumbing Fixtures</t>
    </r>
  </si>
  <si>
    <r>
      <rPr>
        <sz val="12"/>
        <rFont val="Arial"/>
        <family val="2"/>
      </rPr>
      <t xml:space="preserve">Pottery, Ceramics, and Plumbing Fixture
</t>
    </r>
    <r>
      <rPr>
        <sz val="12"/>
        <rFont val="Arial"/>
        <family val="2"/>
      </rPr>
      <t>Manufacturing</t>
    </r>
  </si>
  <si>
    <r>
      <rPr>
        <sz val="12"/>
        <rFont val="Arial"/>
        <family val="2"/>
      </rPr>
      <t>Vitreous China Table and Kitchenware</t>
    </r>
  </si>
  <si>
    <r>
      <rPr>
        <sz val="12"/>
        <rFont val="Arial"/>
        <family val="2"/>
      </rPr>
      <t>Semivitreous Table and Kitchenware</t>
    </r>
  </si>
  <si>
    <r>
      <rPr>
        <sz val="12"/>
        <rFont val="Arial"/>
        <family val="2"/>
      </rPr>
      <t>Porcelain Electrical Supplies</t>
    </r>
  </si>
  <si>
    <r>
      <rPr>
        <sz val="12"/>
        <rFont val="Arial"/>
        <family val="2"/>
      </rPr>
      <t>Pottery Products, Nec</t>
    </r>
  </si>
  <si>
    <r>
      <rPr>
        <sz val="12"/>
        <rFont val="Arial"/>
        <family val="2"/>
      </rPr>
      <t>Concrete Block and Brick</t>
    </r>
  </si>
  <si>
    <r>
      <rPr>
        <sz val="12"/>
        <rFont val="Arial"/>
        <family val="2"/>
      </rPr>
      <t>Concrete Products, Nec</t>
    </r>
  </si>
  <si>
    <r>
      <rPr>
        <sz val="12"/>
        <rFont val="Arial"/>
        <family val="2"/>
      </rPr>
      <t>Concrete Pipe Manufacturing</t>
    </r>
  </si>
  <si>
    <r>
      <rPr>
        <sz val="12"/>
        <rFont val="Arial"/>
        <family val="2"/>
      </rPr>
      <t>Other Concrete Product Manufacturing</t>
    </r>
  </si>
  <si>
    <r>
      <rPr>
        <sz val="12"/>
        <rFont val="Arial"/>
        <family val="2"/>
      </rPr>
      <t xml:space="preserve">All Other Miscellaneous Nonmetallic
</t>
    </r>
    <r>
      <rPr>
        <sz val="12"/>
        <rFont val="Arial"/>
        <family val="2"/>
      </rPr>
      <t>Mineral Product Manufacturing</t>
    </r>
  </si>
  <si>
    <r>
      <rPr>
        <sz val="12"/>
        <rFont val="Arial"/>
        <family val="2"/>
      </rPr>
      <t>Ready-mixed Concrete</t>
    </r>
  </si>
  <si>
    <r>
      <rPr>
        <sz val="12"/>
        <rFont val="Arial"/>
        <family val="2"/>
      </rPr>
      <t>Ready-Mix Concrete Manufacturing</t>
    </r>
  </si>
  <si>
    <r>
      <rPr>
        <sz val="12"/>
        <rFont val="Arial"/>
        <family val="2"/>
      </rPr>
      <t>Lime</t>
    </r>
  </si>
  <si>
    <r>
      <rPr>
        <sz val="12"/>
        <rFont val="Arial"/>
        <family val="2"/>
      </rPr>
      <t>Lime Manufacturing</t>
    </r>
  </si>
  <si>
    <r>
      <rPr>
        <sz val="12"/>
        <rFont val="Arial"/>
        <family val="2"/>
      </rPr>
      <t>Gypsum Products</t>
    </r>
  </si>
  <si>
    <r>
      <rPr>
        <sz val="12"/>
        <rFont val="Arial"/>
        <family val="2"/>
      </rPr>
      <t>Gypsum Product Manufacturing</t>
    </r>
  </si>
  <si>
    <r>
      <rPr>
        <sz val="12"/>
        <rFont val="Arial"/>
        <family val="2"/>
      </rPr>
      <t>Cut Stone and Stone Products</t>
    </r>
  </si>
  <si>
    <r>
      <rPr>
        <sz val="12"/>
        <rFont val="Arial"/>
        <family val="2"/>
      </rPr>
      <t xml:space="preserve">Cut Stone and Stone Product
</t>
    </r>
    <r>
      <rPr>
        <sz val="12"/>
        <rFont val="Arial"/>
        <family val="2"/>
      </rPr>
      <t>Manufacturing</t>
    </r>
  </si>
  <si>
    <r>
      <rPr>
        <sz val="12"/>
        <rFont val="Arial"/>
        <family val="2"/>
      </rPr>
      <t>Abrasive Products</t>
    </r>
  </si>
  <si>
    <r>
      <rPr>
        <sz val="12"/>
        <rFont val="Arial"/>
        <family val="2"/>
      </rPr>
      <t>Abrasive Product Manufacturing</t>
    </r>
  </si>
  <si>
    <r>
      <rPr>
        <sz val="12"/>
        <rFont val="Arial"/>
        <family val="2"/>
      </rPr>
      <t xml:space="preserve">All Other Miscellaneous Fabricated Metal
</t>
    </r>
    <r>
      <rPr>
        <sz val="12"/>
        <rFont val="Arial"/>
        <family val="2"/>
      </rPr>
      <t>Product Manufacturing</t>
    </r>
  </si>
  <si>
    <r>
      <rPr>
        <sz val="12"/>
        <rFont val="Arial"/>
        <family val="2"/>
      </rPr>
      <t>Asbestos Products</t>
    </r>
  </si>
  <si>
    <r>
      <rPr>
        <sz val="12"/>
        <rFont val="Arial"/>
        <family val="2"/>
      </rPr>
      <t xml:space="preserve">Motor Vehicle Brake System
</t>
    </r>
    <r>
      <rPr>
        <sz val="12"/>
        <rFont val="Arial"/>
        <family val="2"/>
      </rPr>
      <t>Manufacturing</t>
    </r>
  </si>
  <si>
    <r>
      <rPr>
        <sz val="12"/>
        <rFont val="Arial"/>
        <family val="2"/>
      </rPr>
      <t xml:space="preserve">Motor Vehicle Transmission and Power
</t>
    </r>
    <r>
      <rPr>
        <sz val="12"/>
        <rFont val="Arial"/>
        <family val="2"/>
      </rPr>
      <t>Train Parts Manufacturing</t>
    </r>
  </si>
  <si>
    <r>
      <rPr>
        <sz val="12"/>
        <rFont val="Arial"/>
        <family val="2"/>
      </rPr>
      <t>Minerals, Ground or Treated</t>
    </r>
  </si>
  <si>
    <r>
      <rPr>
        <sz val="12"/>
        <rFont val="Arial"/>
        <family val="2"/>
      </rPr>
      <t xml:space="preserve">Ground or Treated Mineral and Earth
</t>
    </r>
    <r>
      <rPr>
        <sz val="12"/>
        <rFont val="Arial"/>
        <family val="2"/>
      </rPr>
      <t>Manufacturing</t>
    </r>
  </si>
  <si>
    <r>
      <rPr>
        <sz val="12"/>
        <rFont val="Arial"/>
        <family val="2"/>
      </rPr>
      <t>Mineral Wool</t>
    </r>
  </si>
  <si>
    <r>
      <rPr>
        <sz val="12"/>
        <rFont val="Arial"/>
        <family val="2"/>
      </rPr>
      <t>Mineral Wool Manufacturing</t>
    </r>
  </si>
  <si>
    <r>
      <rPr>
        <sz val="12"/>
        <rFont val="Arial"/>
        <family val="2"/>
      </rPr>
      <t>Nonclay Refractories</t>
    </r>
  </si>
  <si>
    <r>
      <rPr>
        <sz val="12"/>
        <rFont val="Arial"/>
        <family val="2"/>
      </rPr>
      <t>Nonmetallic Mineral Products,</t>
    </r>
  </si>
  <si>
    <r>
      <rPr>
        <sz val="12"/>
        <rFont val="Arial"/>
        <family val="2"/>
      </rPr>
      <t>Blast Furnaces and Steel Mills</t>
    </r>
  </si>
  <si>
    <r>
      <rPr>
        <sz val="12"/>
        <rFont val="Arial"/>
        <family val="2"/>
      </rPr>
      <t xml:space="preserve">Iron and Steel Mills and Ferroalloy
</t>
    </r>
    <r>
      <rPr>
        <sz val="12"/>
        <rFont val="Arial"/>
        <family val="2"/>
      </rPr>
      <t>Manufacturing</t>
    </r>
  </si>
  <si>
    <r>
      <rPr>
        <sz val="12"/>
        <rFont val="Arial"/>
        <family val="2"/>
      </rPr>
      <t>Rolled Steel Shape Manufacturing</t>
    </r>
  </si>
  <si>
    <r>
      <rPr>
        <sz val="12"/>
        <rFont val="Arial"/>
        <family val="2"/>
      </rPr>
      <t>Electrometallurgical Products</t>
    </r>
  </si>
  <si>
    <r>
      <rPr>
        <sz val="12"/>
        <rFont val="Arial"/>
        <family val="2"/>
      </rPr>
      <t>Steel Wire and Related Products</t>
    </r>
  </si>
  <si>
    <r>
      <rPr>
        <sz val="12"/>
        <rFont val="Arial"/>
        <family val="2"/>
      </rPr>
      <t>Steel Wire Drawing</t>
    </r>
  </si>
  <si>
    <r>
      <rPr>
        <sz val="12"/>
        <rFont val="Arial"/>
        <family val="2"/>
      </rPr>
      <t xml:space="preserve">Other Fabricated Wire Product
</t>
    </r>
    <r>
      <rPr>
        <sz val="12"/>
        <rFont val="Arial"/>
        <family val="2"/>
      </rPr>
      <t>Manufacturing</t>
    </r>
  </si>
  <si>
    <r>
      <rPr>
        <sz val="12"/>
        <rFont val="Arial"/>
        <family val="2"/>
      </rPr>
      <t>Cold Finishing of Steel Shapes</t>
    </r>
  </si>
  <si>
    <r>
      <rPr>
        <sz val="12"/>
        <rFont val="Arial"/>
        <family val="2"/>
      </rPr>
      <t>Steel Pipe and Tubes</t>
    </r>
  </si>
  <si>
    <r>
      <rPr>
        <sz val="12"/>
        <rFont val="Arial"/>
        <family val="2"/>
      </rPr>
      <t xml:space="preserve">Iron and Steel Pipe and Tube
</t>
    </r>
    <r>
      <rPr>
        <sz val="12"/>
        <rFont val="Arial"/>
        <family val="2"/>
      </rPr>
      <t>Manufacturing from Purchased Steel</t>
    </r>
  </si>
  <si>
    <r>
      <rPr>
        <sz val="12"/>
        <rFont val="Arial"/>
        <family val="2"/>
      </rPr>
      <t>Gray and Ductile Iron Foundries</t>
    </r>
  </si>
  <si>
    <r>
      <rPr>
        <sz val="12"/>
        <rFont val="Arial"/>
        <family val="2"/>
      </rPr>
      <t>Iron Foundries</t>
    </r>
  </si>
  <si>
    <r>
      <rPr>
        <sz val="12"/>
        <rFont val="Arial"/>
        <family val="2"/>
      </rPr>
      <t>Malleable Iron Foundries</t>
    </r>
  </si>
  <si>
    <r>
      <rPr>
        <sz val="12"/>
        <rFont val="Arial"/>
        <family val="2"/>
      </rPr>
      <t>Steel Investment Foundries</t>
    </r>
  </si>
  <si>
    <r>
      <rPr>
        <sz val="12"/>
        <rFont val="Arial"/>
        <family val="2"/>
      </rPr>
      <t>Steel Foundries, Nec</t>
    </r>
  </si>
  <si>
    <r>
      <rPr>
        <sz val="12"/>
        <rFont val="Arial"/>
        <family val="2"/>
      </rPr>
      <t>Steel Foundries (except Investment)</t>
    </r>
  </si>
  <si>
    <r>
      <rPr>
        <sz val="12"/>
        <rFont val="Arial"/>
        <family val="2"/>
      </rPr>
      <t>Primary Copper</t>
    </r>
  </si>
  <si>
    <r>
      <rPr>
        <sz val="12"/>
        <rFont val="Arial"/>
        <family val="2"/>
      </rPr>
      <t xml:space="preserve">Nonferrous Metal (except Aluminum)
</t>
    </r>
    <r>
      <rPr>
        <sz val="12"/>
        <rFont val="Arial"/>
        <family val="2"/>
      </rPr>
      <t>Smelting and Refining</t>
    </r>
  </si>
  <si>
    <r>
      <rPr>
        <sz val="12"/>
        <rFont val="Arial"/>
        <family val="2"/>
      </rPr>
      <t>Primary Aluminum</t>
    </r>
  </si>
  <si>
    <r>
      <rPr>
        <sz val="12"/>
        <rFont val="Arial"/>
        <family val="2"/>
      </rPr>
      <t>Primary Nonferrous Metals, Nec</t>
    </r>
  </si>
  <si>
    <r>
      <rPr>
        <sz val="12"/>
        <rFont val="Arial"/>
        <family val="2"/>
      </rPr>
      <t>Secondary Nonferrous Metals</t>
    </r>
  </si>
  <si>
    <r>
      <rPr>
        <sz val="12"/>
        <rFont val="Arial"/>
        <family val="2"/>
      </rPr>
      <t xml:space="preserve">Secondary Smelting and Alloying of
</t>
    </r>
    <r>
      <rPr>
        <sz val="12"/>
        <rFont val="Arial"/>
        <family val="2"/>
      </rPr>
      <t>Aluminum</t>
    </r>
  </si>
  <si>
    <r>
      <rPr>
        <sz val="12"/>
        <rFont val="Arial"/>
        <family val="2"/>
      </rPr>
      <t xml:space="preserve">Copper Rolling, Drawing, Extruding, and
</t>
    </r>
    <r>
      <rPr>
        <sz val="12"/>
        <rFont val="Arial"/>
        <family val="2"/>
      </rPr>
      <t>Alloying</t>
    </r>
  </si>
  <si>
    <r>
      <rPr>
        <sz val="12"/>
        <rFont val="Arial"/>
        <family val="2"/>
      </rPr>
      <t xml:space="preserve">Secondary Smelting, Refining, and Alloying
</t>
    </r>
    <r>
      <rPr>
        <sz val="12"/>
        <rFont val="Arial"/>
        <family val="2"/>
      </rPr>
      <t>of Nonferrous Metal (except Copper and Aluminum)</t>
    </r>
  </si>
  <si>
    <r>
      <rPr>
        <sz val="12"/>
        <rFont val="Arial"/>
        <family val="2"/>
      </rPr>
      <t>Copper Rolling and Drawing</t>
    </r>
  </si>
  <si>
    <r>
      <rPr>
        <sz val="12"/>
        <rFont val="Arial"/>
        <family val="2"/>
      </rPr>
      <t>Aluminum Sheet, Plate, and Foil</t>
    </r>
  </si>
  <si>
    <r>
      <rPr>
        <sz val="12"/>
        <rFont val="Arial"/>
        <family val="2"/>
      </rPr>
      <t xml:space="preserve">Aluminum Sheet, Plate, and Foil
</t>
    </r>
    <r>
      <rPr>
        <sz val="12"/>
        <rFont val="Arial"/>
        <family val="2"/>
      </rPr>
      <t>Manufacturing</t>
    </r>
  </si>
  <si>
    <r>
      <rPr>
        <sz val="12"/>
        <rFont val="Arial"/>
        <family val="2"/>
      </rPr>
      <t>Aluminum Extruded Products</t>
    </r>
  </si>
  <si>
    <r>
      <rPr>
        <sz val="12"/>
        <rFont val="Arial"/>
        <family val="2"/>
      </rPr>
      <t xml:space="preserve">Other Aluminum Rolling, Drawing, and
</t>
    </r>
    <r>
      <rPr>
        <sz val="12"/>
        <rFont val="Arial"/>
        <family val="2"/>
      </rPr>
      <t>Extruding</t>
    </r>
  </si>
  <si>
    <r>
      <rPr>
        <sz val="12"/>
        <rFont val="Arial"/>
        <family val="2"/>
      </rPr>
      <t>Aluminum Rolling and Drawing, Nec</t>
    </r>
  </si>
  <si>
    <r>
      <rPr>
        <sz val="12"/>
        <rFont val="Arial"/>
        <family val="2"/>
      </rPr>
      <t>Nonferrous Rolling and Drawing, Nec</t>
    </r>
  </si>
  <si>
    <r>
      <rPr>
        <sz val="12"/>
        <rFont val="Arial"/>
        <family val="2"/>
      </rPr>
      <t>Nonferrous Metal (except Copper and Aluminum) Rolling, Drawing, and Extruding</t>
    </r>
  </si>
  <si>
    <r>
      <rPr>
        <sz val="12"/>
        <rFont val="Arial"/>
        <family val="2"/>
      </rPr>
      <t>Nonferrous Wiredrawing and Insulating</t>
    </r>
  </si>
  <si>
    <r>
      <rPr>
        <sz val="12"/>
        <rFont val="Arial"/>
        <family val="2"/>
      </rPr>
      <t>Fiber Optic Cable Manufacturing</t>
    </r>
  </si>
  <si>
    <r>
      <rPr>
        <sz val="12"/>
        <rFont val="Arial"/>
        <family val="2"/>
      </rPr>
      <t xml:space="preserve">Other Communication and Energy Wire
</t>
    </r>
    <r>
      <rPr>
        <sz val="12"/>
        <rFont val="Arial"/>
        <family val="2"/>
      </rPr>
      <t>Manufacturing</t>
    </r>
  </si>
  <si>
    <r>
      <rPr>
        <sz val="12"/>
        <rFont val="Arial"/>
        <family val="2"/>
      </rPr>
      <t>Aluminum Die-castings</t>
    </r>
  </si>
  <si>
    <r>
      <rPr>
        <sz val="12"/>
        <rFont val="Arial"/>
        <family val="2"/>
      </rPr>
      <t>Nonferrous Metal Die-Casting Foundries</t>
    </r>
  </si>
  <si>
    <r>
      <rPr>
        <sz val="12"/>
        <rFont val="Arial"/>
        <family val="2"/>
      </rPr>
      <t>Nonferrous Die-castings Except Aluminum</t>
    </r>
  </si>
  <si>
    <r>
      <rPr>
        <sz val="12"/>
        <rFont val="Arial"/>
        <family val="2"/>
      </rPr>
      <t>Aluminum Foundries</t>
    </r>
  </si>
  <si>
    <r>
      <rPr>
        <sz val="12"/>
        <rFont val="Arial"/>
        <family val="2"/>
      </rPr>
      <t>Aluminum Foundries (except Die-Casting)</t>
    </r>
  </si>
  <si>
    <r>
      <rPr>
        <sz val="12"/>
        <rFont val="Arial"/>
        <family val="2"/>
      </rPr>
      <t>Copper Foundries</t>
    </r>
  </si>
  <si>
    <r>
      <rPr>
        <sz val="12"/>
        <rFont val="Arial"/>
        <family val="2"/>
      </rPr>
      <t xml:space="preserve">Other Nonferrous Metal Foundries (except
</t>
    </r>
    <r>
      <rPr>
        <sz val="12"/>
        <rFont val="Arial"/>
        <family val="2"/>
      </rPr>
      <t>Die-Casting)</t>
    </r>
  </si>
  <si>
    <r>
      <rPr>
        <sz val="12"/>
        <rFont val="Arial"/>
        <family val="2"/>
      </rPr>
      <t>Nonferrous Foundries, Nec</t>
    </r>
  </si>
  <si>
    <r>
      <rPr>
        <sz val="12"/>
        <rFont val="Arial"/>
        <family val="2"/>
      </rPr>
      <t>Metal Heat Treating</t>
    </r>
  </si>
  <si>
    <r>
      <rPr>
        <sz val="12"/>
        <rFont val="Arial"/>
        <family val="2"/>
      </rPr>
      <t>Primary Metal Products</t>
    </r>
  </si>
  <si>
    <r>
      <rPr>
        <sz val="12"/>
        <rFont val="Arial"/>
        <family val="2"/>
      </rPr>
      <t xml:space="preserve">Secondary Smelting, Refining, and Alloying of Nonferrous Metal (except Copper and
</t>
    </r>
    <r>
      <rPr>
        <sz val="12"/>
        <rFont val="Arial"/>
        <family val="2"/>
      </rPr>
      <t>Aluminum)</t>
    </r>
  </si>
  <si>
    <r>
      <rPr>
        <sz val="12"/>
        <rFont val="Arial"/>
        <family val="2"/>
      </rPr>
      <t xml:space="preserve">Electroplating, Plating, Polishing,
</t>
    </r>
    <r>
      <rPr>
        <sz val="12"/>
        <rFont val="Arial"/>
        <family val="2"/>
      </rPr>
      <t>Anodizing, and Coloring</t>
    </r>
  </si>
  <si>
    <r>
      <rPr>
        <sz val="12"/>
        <rFont val="Arial"/>
        <family val="2"/>
      </rPr>
      <t>Metal Cans</t>
    </r>
  </si>
  <si>
    <r>
      <rPr>
        <sz val="12"/>
        <rFont val="Arial"/>
        <family val="2"/>
      </rPr>
      <t>Metal Can Manufacturing</t>
    </r>
  </si>
  <si>
    <r>
      <rPr>
        <sz val="12"/>
        <rFont val="Arial"/>
        <family val="2"/>
      </rPr>
      <t>Metal Barrels, Drums, and Pails</t>
    </r>
  </si>
  <si>
    <r>
      <rPr>
        <sz val="12"/>
        <rFont val="Arial"/>
        <family val="2"/>
      </rPr>
      <t>Other Metal Container Manufacturing</t>
    </r>
  </si>
  <si>
    <r>
      <rPr>
        <sz val="12"/>
        <rFont val="Arial"/>
        <family val="2"/>
      </rPr>
      <t>Cutlery</t>
    </r>
  </si>
  <si>
    <r>
      <rPr>
        <sz val="12"/>
        <rFont val="Arial"/>
        <family val="2"/>
      </rPr>
      <t xml:space="preserve">Metal Kitchen Cookware, Utensil, Cutlery, and Flatware (except Precious)
</t>
    </r>
    <r>
      <rPr>
        <sz val="12"/>
        <rFont val="Arial"/>
        <family val="2"/>
      </rPr>
      <t>Manufacturing</t>
    </r>
  </si>
  <si>
    <r>
      <rPr>
        <sz val="12"/>
        <rFont val="Arial"/>
        <family val="2"/>
      </rPr>
      <t>Saw Blade and Handtool Manufacturing</t>
    </r>
  </si>
  <si>
    <r>
      <rPr>
        <sz val="12"/>
        <rFont val="Arial"/>
        <family val="2"/>
      </rPr>
      <t>Hand and Edge Tools, Nec</t>
    </r>
  </si>
  <si>
    <r>
      <rPr>
        <sz val="12"/>
        <rFont val="Arial"/>
        <family val="2"/>
      </rPr>
      <t>Saw Blades and Handsaws</t>
    </r>
  </si>
  <si>
    <r>
      <rPr>
        <sz val="12"/>
        <rFont val="Arial"/>
        <family val="2"/>
      </rPr>
      <t>Hardware, Nec</t>
    </r>
  </si>
  <si>
    <r>
      <rPr>
        <sz val="12"/>
        <rFont val="Arial"/>
        <family val="2"/>
      </rPr>
      <t>Hardware Manufacturing</t>
    </r>
  </si>
  <si>
    <r>
      <rPr>
        <sz val="12"/>
        <rFont val="Arial"/>
        <family val="2"/>
      </rPr>
      <t xml:space="preserve">Bolt, Nut, Screw, Rivet, and Washer
</t>
    </r>
    <r>
      <rPr>
        <sz val="12"/>
        <rFont val="Arial"/>
        <family val="2"/>
      </rPr>
      <t>Manufacturing</t>
    </r>
  </si>
  <si>
    <r>
      <rPr>
        <sz val="12"/>
        <rFont val="Arial"/>
        <family val="2"/>
      </rPr>
      <t xml:space="preserve">Other Metal Valve and Pipe Fitting
</t>
    </r>
    <r>
      <rPr>
        <sz val="12"/>
        <rFont val="Arial"/>
        <family val="2"/>
      </rPr>
      <t>Manufacturing</t>
    </r>
  </si>
  <si>
    <r>
      <rPr>
        <sz val="12"/>
        <rFont val="Arial"/>
        <family val="2"/>
      </rPr>
      <t xml:space="preserve">Overhead Traveling Crane, Hoist, and
</t>
    </r>
    <r>
      <rPr>
        <sz val="12"/>
        <rFont val="Arial"/>
        <family val="2"/>
      </rPr>
      <t>Monorail System Manufacturing</t>
    </r>
  </si>
  <si>
    <r>
      <rPr>
        <sz val="12"/>
        <rFont val="Arial"/>
        <family val="2"/>
      </rPr>
      <t xml:space="preserve">Other Measuring and Controlling Device
</t>
    </r>
    <r>
      <rPr>
        <sz val="12"/>
        <rFont val="Arial"/>
        <family val="2"/>
      </rPr>
      <t>Manufacturing</t>
    </r>
  </si>
  <si>
    <r>
      <rPr>
        <sz val="12"/>
        <rFont val="Arial"/>
        <family val="2"/>
      </rPr>
      <t>Other Motor Vehicle Parts Manufacturing</t>
    </r>
  </si>
  <si>
    <r>
      <rPr>
        <sz val="12"/>
        <rFont val="Arial"/>
        <family val="2"/>
      </rPr>
      <t>Metal Sanitary Ware</t>
    </r>
  </si>
  <si>
    <r>
      <rPr>
        <sz val="12"/>
        <rFont val="Arial"/>
        <family val="2"/>
      </rPr>
      <t>Plumbing Fixture Fittings and Trim</t>
    </r>
  </si>
  <si>
    <r>
      <rPr>
        <sz val="12"/>
        <rFont val="Arial"/>
        <family val="2"/>
      </rPr>
      <t xml:space="preserve">Plumbing Fixture Fitting and Trim
</t>
    </r>
    <r>
      <rPr>
        <sz val="12"/>
        <rFont val="Arial"/>
        <family val="2"/>
      </rPr>
      <t>Manufacturing</t>
    </r>
  </si>
  <si>
    <r>
      <rPr>
        <sz val="12"/>
        <rFont val="Arial"/>
        <family val="2"/>
      </rPr>
      <t>Heating Equipment, Except Electric</t>
    </r>
  </si>
  <si>
    <r>
      <rPr>
        <sz val="12"/>
        <rFont val="Arial"/>
        <family val="2"/>
      </rPr>
      <t xml:space="preserve">Heating Equipment (except Warm Air
</t>
    </r>
    <r>
      <rPr>
        <sz val="12"/>
        <rFont val="Arial"/>
        <family val="2"/>
      </rPr>
      <t>Furnaces) Manufacturing</t>
    </r>
  </si>
  <si>
    <r>
      <rPr>
        <sz val="12"/>
        <rFont val="Arial"/>
        <family val="2"/>
      </rPr>
      <t>Fabricated Structural Metal</t>
    </r>
  </si>
  <si>
    <r>
      <rPr>
        <sz val="12"/>
        <rFont val="Arial"/>
        <family val="2"/>
      </rPr>
      <t>Fabricated Structural Metal Manufacturing</t>
    </r>
  </si>
  <si>
    <r>
      <rPr>
        <sz val="12"/>
        <rFont val="Arial"/>
        <family val="2"/>
      </rPr>
      <t>Metal Doors, Sash, and Trim</t>
    </r>
  </si>
  <si>
    <r>
      <rPr>
        <sz val="12"/>
        <rFont val="Arial"/>
        <family val="2"/>
      </rPr>
      <t>Metal Window and Door Manufacturing</t>
    </r>
  </si>
  <si>
    <r>
      <rPr>
        <sz val="12"/>
        <rFont val="Arial"/>
        <family val="2"/>
      </rPr>
      <t>Fabricated Plate Work (boiler Shop)</t>
    </r>
  </si>
  <si>
    <r>
      <rPr>
        <sz val="12"/>
        <rFont val="Arial"/>
        <family val="2"/>
      </rPr>
      <t>Plate Work Manufacturing</t>
    </r>
  </si>
  <si>
    <r>
      <rPr>
        <sz val="12"/>
        <rFont val="Arial"/>
        <family val="2"/>
      </rPr>
      <t xml:space="preserve">Power Boiler and Heat Exchanger
</t>
    </r>
    <r>
      <rPr>
        <sz val="12"/>
        <rFont val="Arial"/>
        <family val="2"/>
      </rPr>
      <t>Manufacturing</t>
    </r>
  </si>
  <si>
    <r>
      <rPr>
        <sz val="12"/>
        <rFont val="Arial"/>
        <family val="2"/>
      </rPr>
      <t>Metal Tank (Heavy Gauge) Manufacturing</t>
    </r>
  </si>
  <si>
    <r>
      <rPr>
        <sz val="12"/>
        <rFont val="Arial"/>
        <family val="2"/>
      </rPr>
      <t xml:space="preserve">Air-Conditioning and Warm Air Heating
</t>
    </r>
    <r>
      <rPr>
        <sz val="12"/>
        <rFont val="Arial"/>
        <family val="2"/>
      </rPr>
      <t>Equipment and Commercial and Industrial Refrigeration Equipment Manufacturing</t>
    </r>
  </si>
  <si>
    <r>
      <rPr>
        <sz val="12"/>
        <rFont val="Arial"/>
        <family val="2"/>
      </rPr>
      <t>Sheet Metalwork</t>
    </r>
  </si>
  <si>
    <r>
      <rPr>
        <sz val="12"/>
        <rFont val="Arial"/>
        <family val="2"/>
      </rPr>
      <t>Sheet Metal Work Manufacturing</t>
    </r>
  </si>
  <si>
    <r>
      <rPr>
        <sz val="12"/>
        <rFont val="Arial"/>
        <family val="2"/>
      </rPr>
      <t>Architectural Metalwork</t>
    </r>
  </si>
  <si>
    <r>
      <rPr>
        <sz val="12"/>
        <rFont val="Arial"/>
        <family val="2"/>
      </rPr>
      <t xml:space="preserve">Ornamental and Architectural Metal Work
</t>
    </r>
    <r>
      <rPr>
        <sz val="12"/>
        <rFont val="Arial"/>
        <family val="2"/>
      </rPr>
      <t>Manufacturing</t>
    </r>
  </si>
  <si>
    <r>
      <rPr>
        <sz val="12"/>
        <rFont val="Arial"/>
        <family val="2"/>
      </rPr>
      <t>Prefabricated Metal Buildings</t>
    </r>
  </si>
  <si>
    <r>
      <rPr>
        <sz val="12"/>
        <rFont val="Arial"/>
        <family val="2"/>
      </rPr>
      <t xml:space="preserve">Prefabricated Metal Building and
</t>
    </r>
    <r>
      <rPr>
        <sz val="12"/>
        <rFont val="Arial"/>
        <family val="2"/>
      </rPr>
      <t>Component Manufacturing</t>
    </r>
  </si>
  <si>
    <r>
      <rPr>
        <sz val="12"/>
        <rFont val="Arial"/>
        <family val="2"/>
      </rPr>
      <t>Miscellaneous Metalwork</t>
    </r>
  </si>
  <si>
    <r>
      <rPr>
        <sz val="12"/>
        <rFont val="Arial"/>
        <family val="2"/>
      </rPr>
      <t>Custom Roll Forming</t>
    </r>
  </si>
  <si>
    <r>
      <rPr>
        <sz val="12"/>
        <rFont val="Arial"/>
        <family val="2"/>
      </rPr>
      <t>Screw Machine Products</t>
    </r>
  </si>
  <si>
    <r>
      <rPr>
        <sz val="12"/>
        <rFont val="Arial"/>
        <family val="2"/>
      </rPr>
      <t>Precision Turned Product Manufacturing</t>
    </r>
  </si>
  <si>
    <r>
      <rPr>
        <sz val="12"/>
        <rFont val="Arial"/>
        <family val="2"/>
      </rPr>
      <t>Bolts, Nuts, Rivets, and Washers</t>
    </r>
  </si>
  <si>
    <r>
      <rPr>
        <sz val="12"/>
        <rFont val="Arial"/>
        <family val="2"/>
      </rPr>
      <t>Iron and Steel Forgings</t>
    </r>
  </si>
  <si>
    <r>
      <rPr>
        <sz val="12"/>
        <rFont val="Arial"/>
        <family val="2"/>
      </rPr>
      <t>Iron and Steel Forging</t>
    </r>
  </si>
  <si>
    <r>
      <rPr>
        <sz val="12"/>
        <rFont val="Arial"/>
        <family val="2"/>
      </rPr>
      <t>Nonferrous Forgings</t>
    </r>
  </si>
  <si>
    <r>
      <rPr>
        <sz val="12"/>
        <rFont val="Arial"/>
        <family val="2"/>
      </rPr>
      <t>Nonferrous Forging</t>
    </r>
  </si>
  <si>
    <r>
      <rPr>
        <sz val="12"/>
        <rFont val="Arial"/>
        <family val="2"/>
      </rPr>
      <t>Automotive Stampings</t>
    </r>
  </si>
  <si>
    <r>
      <rPr>
        <sz val="12"/>
        <rFont val="Arial"/>
        <family val="2"/>
      </rPr>
      <t>Motor Vehicle Metal Stamping</t>
    </r>
  </si>
  <si>
    <r>
      <rPr>
        <sz val="12"/>
        <rFont val="Arial"/>
        <family val="2"/>
      </rPr>
      <t>Crowns and Closures</t>
    </r>
  </si>
  <si>
    <r>
      <rPr>
        <sz val="12"/>
        <rFont val="Arial"/>
        <family val="2"/>
      </rPr>
      <t xml:space="preserve">Metal Crown, Closure, and Other Metal
</t>
    </r>
    <r>
      <rPr>
        <sz val="12"/>
        <rFont val="Arial"/>
        <family val="2"/>
      </rPr>
      <t>Stamping (except Automotive)</t>
    </r>
  </si>
  <si>
    <r>
      <rPr>
        <sz val="12"/>
        <rFont val="Arial"/>
        <family val="2"/>
      </rPr>
      <t>Metal Stampings, Nec</t>
    </r>
  </si>
  <si>
    <r>
      <rPr>
        <sz val="12"/>
        <rFont val="Arial"/>
        <family val="2"/>
      </rPr>
      <t>Plating and Polishing</t>
    </r>
  </si>
  <si>
    <r>
      <rPr>
        <sz val="12"/>
        <rFont val="Arial"/>
        <family val="2"/>
      </rPr>
      <t>Metal Coating and Allied Services</t>
    </r>
  </si>
  <si>
    <r>
      <rPr>
        <sz val="12"/>
        <rFont val="Arial"/>
        <family val="2"/>
      </rPr>
      <t xml:space="preserve">Metal Coating, Engraving (except Jewelry and Silverware), and Allied Services to
</t>
    </r>
    <r>
      <rPr>
        <sz val="12"/>
        <rFont val="Arial"/>
        <family val="2"/>
      </rPr>
      <t>Manufacturers</t>
    </r>
  </si>
  <si>
    <r>
      <rPr>
        <sz val="12"/>
        <rFont val="Arial"/>
        <family val="2"/>
      </rPr>
      <t>Small Arms Ammunition</t>
    </r>
  </si>
  <si>
    <r>
      <rPr>
        <sz val="12"/>
        <rFont val="Arial"/>
        <family val="2"/>
      </rPr>
      <t>Small Arms Ammunition Manufacturing</t>
    </r>
  </si>
  <si>
    <r>
      <rPr>
        <sz val="12"/>
        <rFont val="Arial"/>
        <family val="2"/>
      </rPr>
      <t>Ammunition, Except For Small Arms, Nec</t>
    </r>
  </si>
  <si>
    <r>
      <rPr>
        <sz val="12"/>
        <rFont val="Arial"/>
        <family val="2"/>
      </rPr>
      <t xml:space="preserve">Ammunition (except Small Arms)
</t>
    </r>
    <r>
      <rPr>
        <sz val="12"/>
        <rFont val="Arial"/>
        <family val="2"/>
      </rPr>
      <t>Manufacturing</t>
    </r>
  </si>
  <si>
    <r>
      <rPr>
        <sz val="12"/>
        <rFont val="Arial"/>
        <family val="2"/>
      </rPr>
      <t>Small Arms</t>
    </r>
  </si>
  <si>
    <r>
      <rPr>
        <sz val="12"/>
        <rFont val="Arial"/>
        <family val="2"/>
      </rPr>
      <t xml:space="preserve">Small Arms, Ordnance, and Ordnance
</t>
    </r>
    <r>
      <rPr>
        <sz val="12"/>
        <rFont val="Arial"/>
        <family val="2"/>
      </rPr>
      <t>Accessories Manufacturing</t>
    </r>
  </si>
  <si>
    <r>
      <rPr>
        <sz val="12"/>
        <rFont val="Arial"/>
        <family val="2"/>
      </rPr>
      <t>Ordnance and Accessories, Nec</t>
    </r>
  </si>
  <si>
    <r>
      <rPr>
        <sz val="12"/>
        <rFont val="Arial"/>
        <family val="2"/>
      </rPr>
      <t>Industrial Valves</t>
    </r>
  </si>
  <si>
    <r>
      <rPr>
        <sz val="12"/>
        <rFont val="Arial"/>
        <family val="2"/>
      </rPr>
      <t>Industrial Valve Manufacturing</t>
    </r>
  </si>
  <si>
    <r>
      <rPr>
        <sz val="12"/>
        <rFont val="Arial"/>
        <family val="2"/>
      </rPr>
      <t>Fluid Power Valves and Hose Fittings</t>
    </r>
  </si>
  <si>
    <r>
      <rPr>
        <sz val="12"/>
        <rFont val="Arial"/>
        <family val="2"/>
      </rPr>
      <t xml:space="preserve">Fluid Power Valve and Hose Fitting
</t>
    </r>
    <r>
      <rPr>
        <sz val="12"/>
        <rFont val="Arial"/>
        <family val="2"/>
      </rPr>
      <t>Manufacturing</t>
    </r>
  </si>
  <si>
    <r>
      <rPr>
        <sz val="12"/>
        <rFont val="Arial"/>
        <family val="2"/>
      </rPr>
      <t>Steel Springs, Except Wire</t>
    </r>
  </si>
  <si>
    <r>
      <rPr>
        <sz val="12"/>
        <rFont val="Arial"/>
        <family val="2"/>
      </rPr>
      <t>Spring Manufacturing</t>
    </r>
  </si>
  <si>
    <r>
      <rPr>
        <sz val="12"/>
        <rFont val="Arial"/>
        <family val="2"/>
      </rPr>
      <t>Valves and Pipe Fittings, Nec</t>
    </r>
  </si>
  <si>
    <r>
      <rPr>
        <sz val="12"/>
        <rFont val="Arial"/>
        <family val="2"/>
      </rPr>
      <t>Wire Springs</t>
    </r>
  </si>
  <si>
    <r>
      <rPr>
        <sz val="12"/>
        <rFont val="Arial"/>
        <family val="2"/>
      </rPr>
      <t>Miscellaneous Fabricated Wire Products</t>
    </r>
  </si>
  <si>
    <r>
      <rPr>
        <sz val="12"/>
        <rFont val="Arial"/>
        <family val="2"/>
      </rPr>
      <t xml:space="preserve">Metal Kitchen Cookware, Utensil, Cutlery,
</t>
    </r>
    <r>
      <rPr>
        <sz val="12"/>
        <rFont val="Arial"/>
        <family val="2"/>
      </rPr>
      <t>and Flatware (except Precious) Manufacturing</t>
    </r>
  </si>
  <si>
    <r>
      <rPr>
        <sz val="12"/>
        <rFont val="Arial"/>
        <family val="2"/>
      </rPr>
      <t xml:space="preserve">Industrial Truck, Tractor, Trailer, and
</t>
    </r>
    <r>
      <rPr>
        <sz val="12"/>
        <rFont val="Arial"/>
        <family val="2"/>
      </rPr>
      <t>Stacker Machinery Manufacturing</t>
    </r>
  </si>
  <si>
    <r>
      <rPr>
        <sz val="12"/>
        <rFont val="Arial"/>
        <family val="2"/>
      </rPr>
      <t>Metal Foil and Leaf</t>
    </r>
  </si>
  <si>
    <r>
      <rPr>
        <sz val="12"/>
        <rFont val="Arial"/>
        <family val="2"/>
      </rPr>
      <t>Fabricated Pipe and Fittings</t>
    </r>
  </si>
  <si>
    <r>
      <rPr>
        <sz val="12"/>
        <rFont val="Arial"/>
        <family val="2"/>
      </rPr>
      <t xml:space="preserve">Fabricated Pipe and Pipe Fitting
</t>
    </r>
    <r>
      <rPr>
        <sz val="12"/>
        <rFont val="Arial"/>
        <family val="2"/>
      </rPr>
      <t>Manufacturing</t>
    </r>
  </si>
  <si>
    <r>
      <rPr>
        <sz val="12"/>
        <rFont val="Arial"/>
        <family val="2"/>
      </rPr>
      <t>Fabricated Metal Products, Nec</t>
    </r>
  </si>
  <si>
    <r>
      <rPr>
        <sz val="12"/>
        <rFont val="Arial"/>
        <family val="2"/>
      </rPr>
      <t>Powder Metallurgy Part Manufacturing</t>
    </r>
  </si>
  <si>
    <r>
      <rPr>
        <sz val="12"/>
        <rFont val="Arial"/>
        <family val="2"/>
      </rPr>
      <t>Turbines and Turbine Generator Sets</t>
    </r>
  </si>
  <si>
    <r>
      <rPr>
        <sz val="12"/>
        <rFont val="Arial"/>
        <family val="2"/>
      </rPr>
      <t xml:space="preserve">Turbine and Turbine Generator Set Units
</t>
    </r>
    <r>
      <rPr>
        <sz val="12"/>
        <rFont val="Arial"/>
        <family val="2"/>
      </rPr>
      <t>Manufacturing</t>
    </r>
  </si>
  <si>
    <r>
      <rPr>
        <sz val="12"/>
        <rFont val="Arial"/>
        <family val="2"/>
      </rPr>
      <t>Internal Combustion Engines, Nec</t>
    </r>
  </si>
  <si>
    <r>
      <rPr>
        <sz val="12"/>
        <rFont val="Arial"/>
        <family val="2"/>
      </rPr>
      <t>Other Engine Equipment Manufacturing</t>
    </r>
  </si>
  <si>
    <r>
      <rPr>
        <sz val="12"/>
        <rFont val="Arial"/>
        <family val="2"/>
      </rPr>
      <t>Farm Machinery and Equipment</t>
    </r>
  </si>
  <si>
    <r>
      <rPr>
        <sz val="12"/>
        <rFont val="Arial"/>
        <family val="2"/>
      </rPr>
      <t xml:space="preserve">Farm Machinery and Equipment
</t>
    </r>
    <r>
      <rPr>
        <sz val="12"/>
        <rFont val="Arial"/>
        <family val="2"/>
      </rPr>
      <t>Manufacturing</t>
    </r>
  </si>
  <si>
    <r>
      <rPr>
        <sz val="12"/>
        <rFont val="Arial"/>
        <family val="2"/>
      </rPr>
      <t xml:space="preserve">Conveyor and Conveying Equipment
</t>
    </r>
    <r>
      <rPr>
        <sz val="12"/>
        <rFont val="Arial"/>
        <family val="2"/>
      </rPr>
      <t>Manufacturing</t>
    </r>
  </si>
  <si>
    <r>
      <rPr>
        <sz val="12"/>
        <rFont val="Arial"/>
        <family val="2"/>
      </rPr>
      <t>Lawn and Garden Equipment</t>
    </r>
  </si>
  <si>
    <r>
      <rPr>
        <sz val="12"/>
        <rFont val="Arial"/>
        <family val="2"/>
      </rPr>
      <t>Lawn and Garden Tractor and Home Lawn and Garden Equipment Manufacturing</t>
    </r>
  </si>
  <si>
    <r>
      <rPr>
        <sz val="12"/>
        <rFont val="Arial"/>
        <family val="2"/>
      </rPr>
      <t>Construction Machinery</t>
    </r>
  </si>
  <si>
    <r>
      <rPr>
        <sz val="12"/>
        <rFont val="Arial"/>
        <family val="2"/>
      </rPr>
      <t>Construction Machinery Manufacturing</t>
    </r>
  </si>
  <si>
    <r>
      <rPr>
        <sz val="12"/>
        <rFont val="Arial"/>
        <family val="2"/>
      </rPr>
      <t>Railroad Rolling Stock Manufacturing</t>
    </r>
  </si>
  <si>
    <r>
      <rPr>
        <sz val="12"/>
        <rFont val="Arial"/>
        <family val="2"/>
      </rPr>
      <t>Mining Machinery</t>
    </r>
  </si>
  <si>
    <r>
      <rPr>
        <sz val="12"/>
        <rFont val="Arial"/>
        <family val="2"/>
      </rPr>
      <t xml:space="preserve">Mining Machinery and Equipment
</t>
    </r>
    <r>
      <rPr>
        <sz val="12"/>
        <rFont val="Arial"/>
        <family val="2"/>
      </rPr>
      <t>Manufacturing</t>
    </r>
  </si>
  <si>
    <r>
      <rPr>
        <sz val="12"/>
        <rFont val="Arial"/>
        <family val="2"/>
      </rPr>
      <t>Oil and Gas Field Machinery</t>
    </r>
  </si>
  <si>
    <r>
      <rPr>
        <sz val="12"/>
        <rFont val="Arial"/>
        <family val="2"/>
      </rPr>
      <t xml:space="preserve">Oil and Gas Field Machinery and
</t>
    </r>
    <r>
      <rPr>
        <sz val="12"/>
        <rFont val="Arial"/>
        <family val="2"/>
      </rPr>
      <t>Equipment Manufacturing</t>
    </r>
  </si>
  <si>
    <r>
      <rPr>
        <sz val="12"/>
        <rFont val="Arial"/>
        <family val="2"/>
      </rPr>
      <t>Elevators and Moving Stairways</t>
    </r>
  </si>
  <si>
    <r>
      <rPr>
        <sz val="12"/>
        <rFont val="Arial"/>
        <family val="2"/>
      </rPr>
      <t xml:space="preserve">Elevator and Moving Stairway
</t>
    </r>
    <r>
      <rPr>
        <sz val="12"/>
        <rFont val="Arial"/>
        <family val="2"/>
      </rPr>
      <t>Manufacturing</t>
    </r>
  </si>
  <si>
    <r>
      <rPr>
        <sz val="12"/>
        <rFont val="Arial"/>
        <family val="2"/>
      </rPr>
      <t>Conveyors and Conveying Equipment</t>
    </r>
  </si>
  <si>
    <r>
      <rPr>
        <sz val="12"/>
        <rFont val="Arial"/>
        <family val="2"/>
      </rPr>
      <t>Hoists, Cranes, and Monorails</t>
    </r>
  </si>
  <si>
    <r>
      <rPr>
        <sz val="12"/>
        <rFont val="Arial"/>
        <family val="2"/>
      </rPr>
      <t>Industrial Trucks and Tractors</t>
    </r>
  </si>
  <si>
    <r>
      <rPr>
        <sz val="12"/>
        <rFont val="Arial"/>
        <family val="2"/>
      </rPr>
      <t>Machine Tools, Metal Cutting Type</t>
    </r>
  </si>
  <si>
    <r>
      <rPr>
        <sz val="12"/>
        <rFont val="Arial"/>
        <family val="2"/>
      </rPr>
      <t>Machine Tool Manufacturing</t>
    </r>
  </si>
  <si>
    <r>
      <rPr>
        <sz val="12"/>
        <rFont val="Arial"/>
        <family val="2"/>
      </rPr>
      <t>Machine Tools, Metal Forming Type</t>
    </r>
  </si>
  <si>
    <r>
      <rPr>
        <sz val="12"/>
        <rFont val="Arial"/>
        <family val="2"/>
      </rPr>
      <t>Industrial Patterns</t>
    </r>
  </si>
  <si>
    <r>
      <rPr>
        <sz val="12"/>
        <rFont val="Arial"/>
        <family val="2"/>
      </rPr>
      <t>Special Dies, Tools, Jigs, and Fixtures</t>
    </r>
  </si>
  <si>
    <r>
      <rPr>
        <sz val="12"/>
        <rFont val="Arial"/>
        <family val="2"/>
      </rPr>
      <t>Industrial Mold Manufacturing</t>
    </r>
  </si>
  <si>
    <r>
      <rPr>
        <sz val="12"/>
        <rFont val="Arial"/>
        <family val="2"/>
      </rPr>
      <t xml:space="preserve">Special Die and Tool, Die Set, Jig, and
</t>
    </r>
    <r>
      <rPr>
        <sz val="12"/>
        <rFont val="Arial"/>
        <family val="2"/>
      </rPr>
      <t>Fixture Manufacturing</t>
    </r>
  </si>
  <si>
    <r>
      <rPr>
        <sz val="12"/>
        <rFont val="Arial"/>
        <family val="2"/>
      </rPr>
      <t>Machine Tool Accessories</t>
    </r>
  </si>
  <si>
    <r>
      <rPr>
        <sz val="12"/>
        <rFont val="Arial"/>
        <family val="2"/>
      </rPr>
      <t xml:space="preserve">Cutting Tool and Machine Tool Accessory
</t>
    </r>
    <r>
      <rPr>
        <sz val="12"/>
        <rFont val="Arial"/>
        <family val="2"/>
      </rPr>
      <t>Manufacturing</t>
    </r>
  </si>
  <si>
    <r>
      <rPr>
        <sz val="12"/>
        <rFont val="Arial"/>
        <family val="2"/>
      </rPr>
      <t>Power-driven Handtools</t>
    </r>
  </si>
  <si>
    <r>
      <rPr>
        <sz val="12"/>
        <rFont val="Arial"/>
        <family val="2"/>
      </rPr>
      <t>Power-Driven Handtool Manufacturing</t>
    </r>
  </si>
  <si>
    <r>
      <rPr>
        <sz val="12"/>
        <rFont val="Arial"/>
        <family val="2"/>
      </rPr>
      <t>Rolling Mill Machinery</t>
    </r>
  </si>
  <si>
    <r>
      <rPr>
        <sz val="12"/>
        <rFont val="Arial"/>
        <family val="2"/>
      </rPr>
      <t xml:space="preserve">Rolling Mill and Other Metalworking
</t>
    </r>
    <r>
      <rPr>
        <sz val="12"/>
        <rFont val="Arial"/>
        <family val="2"/>
      </rPr>
      <t>Machinery Manufacturing</t>
    </r>
  </si>
  <si>
    <r>
      <rPr>
        <sz val="12"/>
        <rFont val="Arial"/>
        <family val="2"/>
      </rPr>
      <t>Welding Apparatus</t>
    </r>
  </si>
  <si>
    <r>
      <rPr>
        <sz val="12"/>
        <rFont val="Arial"/>
        <family val="2"/>
      </rPr>
      <t xml:space="preserve">Welding and Soldering Equipment
</t>
    </r>
    <r>
      <rPr>
        <sz val="12"/>
        <rFont val="Arial"/>
        <family val="2"/>
      </rPr>
      <t>Manufacturing</t>
    </r>
  </si>
  <si>
    <r>
      <rPr>
        <sz val="12"/>
        <rFont val="Arial"/>
        <family val="2"/>
      </rPr>
      <t xml:space="preserve">Power, Distribution, and Specialty
</t>
    </r>
    <r>
      <rPr>
        <sz val="12"/>
        <rFont val="Arial"/>
        <family val="2"/>
      </rPr>
      <t>Transformer Manufacturing</t>
    </r>
  </si>
  <si>
    <r>
      <rPr>
        <sz val="12"/>
        <rFont val="Arial"/>
        <family val="2"/>
      </rPr>
      <t>Metalworking Machinery, Nec</t>
    </r>
  </si>
  <si>
    <r>
      <rPr>
        <sz val="12"/>
        <rFont val="Arial"/>
        <family val="2"/>
      </rPr>
      <t>Textile Machinery</t>
    </r>
  </si>
  <si>
    <r>
      <rPr>
        <sz val="12"/>
        <rFont val="Arial"/>
        <family val="2"/>
      </rPr>
      <t>Woodworking Machinery</t>
    </r>
  </si>
  <si>
    <r>
      <rPr>
        <sz val="12"/>
        <rFont val="Arial"/>
        <family val="2"/>
      </rPr>
      <t xml:space="preserve">Sawmill, Woodworking, and Paper
</t>
    </r>
    <r>
      <rPr>
        <sz val="12"/>
        <rFont val="Arial"/>
        <family val="2"/>
      </rPr>
      <t>Machinery Manufacturing</t>
    </r>
  </si>
  <si>
    <r>
      <rPr>
        <sz val="12"/>
        <rFont val="Arial"/>
        <family val="2"/>
      </rPr>
      <t>Paper Industries Machinery</t>
    </r>
  </si>
  <si>
    <r>
      <rPr>
        <sz val="12"/>
        <rFont val="Arial"/>
        <family val="2"/>
      </rPr>
      <t>Printing Trades Machinery</t>
    </r>
  </si>
  <si>
    <r>
      <rPr>
        <sz val="12"/>
        <rFont val="Arial"/>
        <family val="2"/>
      </rPr>
      <t xml:space="preserve">Printing Machinery and Equipment
</t>
    </r>
    <r>
      <rPr>
        <sz val="12"/>
        <rFont val="Arial"/>
        <family val="2"/>
      </rPr>
      <t>Manufacturing</t>
    </r>
  </si>
  <si>
    <r>
      <rPr>
        <sz val="12"/>
        <rFont val="Arial"/>
        <family val="2"/>
      </rPr>
      <t>Food Products Machinery</t>
    </r>
  </si>
  <si>
    <r>
      <rPr>
        <sz val="12"/>
        <rFont val="Arial"/>
        <family val="2"/>
      </rPr>
      <t>Food Product Machinery Manufacturing</t>
    </r>
  </si>
  <si>
    <r>
      <rPr>
        <sz val="12"/>
        <rFont val="Arial"/>
        <family val="2"/>
      </rPr>
      <t>Special Industry Machinery, Nec</t>
    </r>
  </si>
  <si>
    <r>
      <rPr>
        <sz val="12"/>
        <rFont val="Arial"/>
        <family val="2"/>
      </rPr>
      <t>Semiconductor Machinery Manufacturing</t>
    </r>
  </si>
  <si>
    <r>
      <rPr>
        <sz val="12"/>
        <rFont val="Arial"/>
        <family val="2"/>
      </rPr>
      <t xml:space="preserve">Other Commercial and Service Industry
</t>
    </r>
    <r>
      <rPr>
        <sz val="12"/>
        <rFont val="Arial"/>
        <family val="2"/>
      </rPr>
      <t>Machinery Manufacturing</t>
    </r>
  </si>
  <si>
    <r>
      <rPr>
        <sz val="12"/>
        <rFont val="Arial"/>
        <family val="2"/>
      </rPr>
      <t>Pumps and Pumping Equipment</t>
    </r>
  </si>
  <si>
    <r>
      <rPr>
        <sz val="12"/>
        <rFont val="Arial"/>
        <family val="2"/>
      </rPr>
      <t xml:space="preserve">Measuring, Dispensing, and Other
</t>
    </r>
    <r>
      <rPr>
        <sz val="12"/>
        <rFont val="Arial"/>
        <family val="2"/>
      </rPr>
      <t>Pumping Equipment Manufacturing</t>
    </r>
  </si>
  <si>
    <r>
      <rPr>
        <sz val="12"/>
        <rFont val="Arial"/>
        <family val="2"/>
      </rPr>
      <t>Ball and Roller Bearings</t>
    </r>
  </si>
  <si>
    <r>
      <rPr>
        <sz val="12"/>
        <rFont val="Arial"/>
        <family val="2"/>
      </rPr>
      <t>Ball and Roller Bearing Manufacturing</t>
    </r>
  </si>
  <si>
    <r>
      <rPr>
        <sz val="12"/>
        <rFont val="Arial"/>
        <family val="2"/>
      </rPr>
      <t>Air and Gas Compressors</t>
    </r>
  </si>
  <si>
    <r>
      <rPr>
        <sz val="12"/>
        <rFont val="Arial"/>
        <family val="2"/>
      </rPr>
      <t>Air and Gas Compressor Manufacturing</t>
    </r>
  </si>
  <si>
    <r>
      <rPr>
        <sz val="12"/>
        <rFont val="Arial"/>
        <family val="2"/>
      </rPr>
      <t>Blowers and Fans</t>
    </r>
  </si>
  <si>
    <r>
      <rPr>
        <sz val="12"/>
        <rFont val="Arial"/>
        <family val="2"/>
      </rPr>
      <t xml:space="preserve">Industrial and Commercial Fan and Blower
</t>
    </r>
    <r>
      <rPr>
        <sz val="12"/>
        <rFont val="Arial"/>
        <family val="2"/>
      </rPr>
      <t>and Air Purification Equipment Manufacturing</t>
    </r>
  </si>
  <si>
    <r>
      <rPr>
        <sz val="12"/>
        <rFont val="Arial"/>
        <family val="2"/>
      </rPr>
      <t xml:space="preserve">Industrial and Commercial Fan and Blower and Air Purification Equipment
</t>
    </r>
    <r>
      <rPr>
        <sz val="12"/>
        <rFont val="Arial"/>
        <family val="2"/>
      </rPr>
      <t>Manufacturing</t>
    </r>
  </si>
  <si>
    <r>
      <rPr>
        <sz val="12"/>
        <rFont val="Arial"/>
        <family val="2"/>
      </rPr>
      <t>Packaging Machinery</t>
    </r>
  </si>
  <si>
    <r>
      <rPr>
        <sz val="12"/>
        <rFont val="Arial"/>
        <family val="2"/>
      </rPr>
      <t>Packaging Machinery Manufacturing</t>
    </r>
  </si>
  <si>
    <r>
      <rPr>
        <sz val="12"/>
        <rFont val="Arial"/>
        <family val="2"/>
      </rPr>
      <t>Speed Changers, Drives, and Gears</t>
    </r>
  </si>
  <si>
    <r>
      <rPr>
        <sz val="12"/>
        <rFont val="Arial"/>
        <family val="2"/>
      </rPr>
      <t xml:space="preserve">Speed Changer, Industrial High-Speed
</t>
    </r>
    <r>
      <rPr>
        <sz val="12"/>
        <rFont val="Arial"/>
        <family val="2"/>
      </rPr>
      <t>Drive, and Gear Manufacturing</t>
    </r>
  </si>
  <si>
    <r>
      <rPr>
        <sz val="12"/>
        <rFont val="Arial"/>
        <family val="2"/>
      </rPr>
      <t>Industrial Furnaces and Ovens</t>
    </r>
  </si>
  <si>
    <r>
      <rPr>
        <sz val="12"/>
        <rFont val="Arial"/>
        <family val="2"/>
      </rPr>
      <t>Power Transmission Equipment, Nec</t>
    </r>
  </si>
  <si>
    <r>
      <rPr>
        <sz val="12"/>
        <rFont val="Arial"/>
        <family val="2"/>
      </rPr>
      <t xml:space="preserve">Mechanical Power Transmission
</t>
    </r>
    <r>
      <rPr>
        <sz val="12"/>
        <rFont val="Arial"/>
        <family val="2"/>
      </rPr>
      <t>Equipment Manufacturing</t>
    </r>
  </si>
  <si>
    <r>
      <rPr>
        <sz val="12"/>
        <rFont val="Arial"/>
        <family val="2"/>
      </rPr>
      <t>General Industrial Machinery,</t>
    </r>
  </si>
  <si>
    <r>
      <rPr>
        <sz val="12"/>
        <rFont val="Arial"/>
        <family val="2"/>
      </rPr>
      <t>Electronic Computers</t>
    </r>
  </si>
  <si>
    <r>
      <rPr>
        <sz val="12"/>
        <rFont val="Arial"/>
        <family val="2"/>
      </rPr>
      <t>Electronic Computer Manufacturing</t>
    </r>
  </si>
  <si>
    <r>
      <rPr>
        <sz val="12"/>
        <rFont val="Arial"/>
        <family val="2"/>
      </rPr>
      <t>Computer Storage Devices</t>
    </r>
  </si>
  <si>
    <r>
      <rPr>
        <sz val="12"/>
        <rFont val="Arial"/>
        <family val="2"/>
      </rPr>
      <t>Computer Storage Device Manufacturing</t>
    </r>
  </si>
  <si>
    <r>
      <rPr>
        <sz val="12"/>
        <rFont val="Arial"/>
        <family val="2"/>
      </rPr>
      <t>Computer Terminals</t>
    </r>
  </si>
  <si>
    <r>
      <rPr>
        <sz val="12"/>
        <rFont val="Arial"/>
        <family val="2"/>
      </rPr>
      <t xml:space="preserve">Computer Terminal and Other Computer
</t>
    </r>
    <r>
      <rPr>
        <sz val="12"/>
        <rFont val="Arial"/>
        <family val="2"/>
      </rPr>
      <t>Peripheral Equipment Manufacturing</t>
    </r>
  </si>
  <si>
    <r>
      <rPr>
        <sz val="12"/>
        <rFont val="Arial"/>
        <family val="2"/>
      </rPr>
      <t>Computer Peripheral Equipment, Nec</t>
    </r>
  </si>
  <si>
    <r>
      <rPr>
        <sz val="12"/>
        <rFont val="Arial"/>
        <family val="2"/>
      </rPr>
      <t xml:space="preserve">Photographic and Photocopying
</t>
    </r>
    <r>
      <rPr>
        <sz val="12"/>
        <rFont val="Arial"/>
        <family val="2"/>
      </rPr>
      <t>Equipment Manufacturing</t>
    </r>
  </si>
  <si>
    <r>
      <rPr>
        <sz val="12"/>
        <rFont val="Arial"/>
        <family val="2"/>
      </rPr>
      <t xml:space="preserve">Printed Circuit Assembly (Electronic
</t>
    </r>
    <r>
      <rPr>
        <sz val="12"/>
        <rFont val="Arial"/>
        <family val="2"/>
      </rPr>
      <t>Assembly) Manufacturing</t>
    </r>
  </si>
  <si>
    <r>
      <rPr>
        <sz val="12"/>
        <rFont val="Arial"/>
        <family val="2"/>
      </rPr>
      <t xml:space="preserve">Blank Magnetic and Optical Recording
</t>
    </r>
    <r>
      <rPr>
        <sz val="12"/>
        <rFont val="Arial"/>
        <family val="2"/>
      </rPr>
      <t>Media Manufacturing</t>
    </r>
  </si>
  <si>
    <r>
      <rPr>
        <sz val="12"/>
        <rFont val="Arial"/>
        <family val="2"/>
      </rPr>
      <t>Calculating and Accounting Equipment</t>
    </r>
  </si>
  <si>
    <r>
      <rPr>
        <sz val="12"/>
        <rFont val="Arial"/>
        <family val="2"/>
      </rPr>
      <t>Office Machines, Nec</t>
    </r>
  </si>
  <si>
    <r>
      <rPr>
        <sz val="12"/>
        <rFont val="Arial"/>
        <family val="2"/>
      </rPr>
      <t>Automatic Vending Machines</t>
    </r>
  </si>
  <si>
    <r>
      <rPr>
        <sz val="12"/>
        <rFont val="Arial"/>
        <family val="2"/>
      </rPr>
      <t>Commercial Laundry Equipment</t>
    </r>
  </si>
  <si>
    <r>
      <rPr>
        <sz val="12"/>
        <rFont val="Arial"/>
        <family val="2"/>
      </rPr>
      <t>Refrigeration and Heating Equipment</t>
    </r>
  </si>
  <si>
    <r>
      <rPr>
        <sz val="12"/>
        <rFont val="Arial"/>
        <family val="2"/>
      </rPr>
      <t>Measuring and Dispensing Pumps</t>
    </r>
  </si>
  <si>
    <r>
      <rPr>
        <sz val="12"/>
        <rFont val="Arial"/>
        <family val="2"/>
      </rPr>
      <t>Service Industry Machinery, Nec</t>
    </r>
  </si>
  <si>
    <r>
      <rPr>
        <sz val="12"/>
        <rFont val="Arial"/>
        <family val="2"/>
      </rPr>
      <t>Carburetors, Pistons, Rings, Valves</t>
    </r>
  </si>
  <si>
    <r>
      <rPr>
        <sz val="12"/>
        <rFont val="Arial"/>
        <family val="2"/>
      </rPr>
      <t xml:space="preserve">Motor Vehicle Gasoline Engine and Engine
</t>
    </r>
    <r>
      <rPr>
        <sz val="12"/>
        <rFont val="Arial"/>
        <family val="2"/>
      </rPr>
      <t>Parts Manufacturing</t>
    </r>
  </si>
  <si>
    <r>
      <rPr>
        <sz val="12"/>
        <rFont val="Arial"/>
        <family val="2"/>
      </rPr>
      <t>Fluid Power Cylinders and Actuators</t>
    </r>
  </si>
  <si>
    <r>
      <rPr>
        <sz val="12"/>
        <rFont val="Arial"/>
        <family val="2"/>
      </rPr>
      <t xml:space="preserve">Fluid Power Cylinder and Actuator
</t>
    </r>
    <r>
      <rPr>
        <sz val="12"/>
        <rFont val="Arial"/>
        <family val="2"/>
      </rPr>
      <t>Manufacturing</t>
    </r>
  </si>
  <si>
    <r>
      <rPr>
        <sz val="12"/>
        <rFont val="Arial"/>
        <family val="2"/>
      </rPr>
      <t>Fluid Power Pumps and Motors</t>
    </r>
  </si>
  <si>
    <r>
      <rPr>
        <sz val="12"/>
        <rFont val="Arial"/>
        <family val="2"/>
      </rPr>
      <t xml:space="preserve">Fluid Power Pump and Motor
</t>
    </r>
    <r>
      <rPr>
        <sz val="12"/>
        <rFont val="Arial"/>
        <family val="2"/>
      </rPr>
      <t>Manufacturing</t>
    </r>
  </si>
  <si>
    <r>
      <rPr>
        <sz val="12"/>
        <rFont val="Arial"/>
        <family val="2"/>
      </rPr>
      <t>Scales and Balances, Except Laboratory</t>
    </r>
  </si>
  <si>
    <r>
      <rPr>
        <sz val="12"/>
        <rFont val="Arial"/>
        <family val="2"/>
      </rPr>
      <t>Industrial Machinery, Nec</t>
    </r>
  </si>
  <si>
    <r>
      <rPr>
        <sz val="12"/>
        <rFont val="Arial"/>
        <family val="2"/>
      </rPr>
      <t>Machine Shops</t>
    </r>
  </si>
  <si>
    <r>
      <rPr>
        <sz val="12"/>
        <rFont val="Arial"/>
        <family val="2"/>
      </rPr>
      <t xml:space="preserve">Power, Distribution and Specialty
</t>
    </r>
    <r>
      <rPr>
        <sz val="12"/>
        <rFont val="Arial"/>
        <family val="2"/>
      </rPr>
      <t>Transformers</t>
    </r>
  </si>
  <si>
    <r>
      <rPr>
        <sz val="12"/>
        <rFont val="Arial"/>
        <family val="2"/>
      </rPr>
      <t>Switchgear and Switchboard Apparatus</t>
    </r>
  </si>
  <si>
    <r>
      <rPr>
        <sz val="12"/>
        <rFont val="Arial"/>
        <family val="2"/>
      </rPr>
      <t xml:space="preserve">Switchgear and Switchboard Apparatus
</t>
    </r>
    <r>
      <rPr>
        <sz val="12"/>
        <rFont val="Arial"/>
        <family val="2"/>
      </rPr>
      <t>Manufacturing</t>
    </r>
  </si>
  <si>
    <r>
      <rPr>
        <sz val="12"/>
        <rFont val="Arial"/>
        <family val="2"/>
      </rPr>
      <t>Motors and Generators</t>
    </r>
  </si>
  <si>
    <r>
      <rPr>
        <sz val="12"/>
        <rFont val="Arial"/>
        <family val="2"/>
      </rPr>
      <t>Motor and Generator Manufacturing</t>
    </r>
  </si>
  <si>
    <r>
      <rPr>
        <sz val="12"/>
        <rFont val="Arial"/>
        <family val="2"/>
      </rPr>
      <t>Carbon and Graphite Products</t>
    </r>
  </si>
  <si>
    <r>
      <rPr>
        <sz val="12"/>
        <rFont val="Arial"/>
        <family val="2"/>
      </rPr>
      <t xml:space="preserve">Carbon and Graphite Product
</t>
    </r>
    <r>
      <rPr>
        <sz val="12"/>
        <rFont val="Arial"/>
        <family val="2"/>
      </rPr>
      <t>Manufacturing</t>
    </r>
  </si>
  <si>
    <r>
      <rPr>
        <sz val="12"/>
        <rFont val="Arial"/>
        <family val="2"/>
      </rPr>
      <t>Relays and Industrial Controls</t>
    </r>
  </si>
  <si>
    <r>
      <rPr>
        <sz val="12"/>
        <rFont val="Arial"/>
        <family val="2"/>
      </rPr>
      <t>Relay and Industrial Control Manufacturing</t>
    </r>
  </si>
  <si>
    <r>
      <rPr>
        <sz val="12"/>
        <rFont val="Arial"/>
        <family val="2"/>
      </rPr>
      <t>Electrical Industrial Apparatus</t>
    </r>
  </si>
  <si>
    <r>
      <rPr>
        <sz val="12"/>
        <rFont val="Arial"/>
        <family val="2"/>
      </rPr>
      <t xml:space="preserve">All Other Miscellaneous Electrical
</t>
    </r>
    <r>
      <rPr>
        <sz val="12"/>
        <rFont val="Arial"/>
        <family val="2"/>
      </rPr>
      <t>Equipment and Component Manufacturing</t>
    </r>
  </si>
  <si>
    <r>
      <rPr>
        <sz val="12"/>
        <rFont val="Arial"/>
        <family val="2"/>
      </rPr>
      <t>Household Cooking Equipment</t>
    </r>
  </si>
  <si>
    <r>
      <rPr>
        <sz val="12"/>
        <rFont val="Arial"/>
        <family val="2"/>
      </rPr>
      <t>Major Household Appliance Manufacturing</t>
    </r>
  </si>
  <si>
    <r>
      <rPr>
        <sz val="12"/>
        <rFont val="Arial"/>
        <family val="2"/>
      </rPr>
      <t>Household Refrigerators and Freezers</t>
    </r>
  </si>
  <si>
    <r>
      <rPr>
        <sz val="12"/>
        <rFont val="Arial"/>
        <family val="2"/>
      </rPr>
      <t>Household Laundry Equipment</t>
    </r>
  </si>
  <si>
    <r>
      <rPr>
        <sz val="12"/>
        <rFont val="Arial"/>
        <family val="2"/>
      </rPr>
      <t>Electric Housewares and Fans</t>
    </r>
  </si>
  <si>
    <r>
      <rPr>
        <sz val="12"/>
        <rFont val="Arial"/>
        <family val="2"/>
      </rPr>
      <t>Small Electrical Appliance Manufacturing</t>
    </r>
  </si>
  <si>
    <r>
      <rPr>
        <sz val="12"/>
        <rFont val="Arial"/>
        <family val="2"/>
      </rPr>
      <t>Household Vacuum Cleaners</t>
    </r>
  </si>
  <si>
    <r>
      <rPr>
        <sz val="12"/>
        <rFont val="Arial"/>
        <family val="2"/>
      </rPr>
      <t>Household Appliances, Nec</t>
    </r>
  </si>
  <si>
    <r>
      <rPr>
        <sz val="12"/>
        <rFont val="Arial"/>
        <family val="2"/>
      </rPr>
      <t>Electric Lamps</t>
    </r>
  </si>
  <si>
    <r>
      <rPr>
        <sz val="12"/>
        <rFont val="Arial"/>
        <family val="2"/>
      </rPr>
      <t>Electric Lamp Bulb and Part Manufacturing</t>
    </r>
  </si>
  <si>
    <r>
      <rPr>
        <sz val="12"/>
        <rFont val="Arial"/>
        <family val="2"/>
      </rPr>
      <t>Current-carrying Wiring Devices</t>
    </r>
  </si>
  <si>
    <r>
      <rPr>
        <sz val="12"/>
        <rFont val="Arial"/>
        <family val="2"/>
      </rPr>
      <t xml:space="preserve">Current-Carrying Wiring Device
</t>
    </r>
    <r>
      <rPr>
        <sz val="12"/>
        <rFont val="Arial"/>
        <family val="2"/>
      </rPr>
      <t>Manufacturing</t>
    </r>
  </si>
  <si>
    <r>
      <rPr>
        <sz val="12"/>
        <rFont val="Arial"/>
        <family val="2"/>
      </rPr>
      <t>Noncurrent-carrying Wiring Devices</t>
    </r>
  </si>
  <si>
    <r>
      <rPr>
        <sz val="12"/>
        <rFont val="Arial"/>
        <family val="2"/>
      </rPr>
      <t xml:space="preserve">Noncurrent-Carrying Wiring Device
</t>
    </r>
    <r>
      <rPr>
        <sz val="12"/>
        <rFont val="Arial"/>
        <family val="2"/>
      </rPr>
      <t>Manufacturing</t>
    </r>
  </si>
  <si>
    <r>
      <rPr>
        <sz val="12"/>
        <rFont val="Arial"/>
        <family val="2"/>
      </rPr>
      <t>Residential Lighting Fixtures</t>
    </r>
  </si>
  <si>
    <r>
      <rPr>
        <sz val="12"/>
        <rFont val="Arial"/>
        <family val="2"/>
      </rPr>
      <t xml:space="preserve">Residential Electric Lighting Fixture
</t>
    </r>
    <r>
      <rPr>
        <sz val="12"/>
        <rFont val="Arial"/>
        <family val="2"/>
      </rPr>
      <t>Manufacturing</t>
    </r>
  </si>
  <si>
    <r>
      <rPr>
        <sz val="12"/>
        <rFont val="Arial"/>
        <family val="2"/>
      </rPr>
      <t>Commercial Lighting Fixtures</t>
    </r>
  </si>
  <si>
    <r>
      <rPr>
        <sz val="12"/>
        <rFont val="Arial"/>
        <family val="2"/>
      </rPr>
      <t xml:space="preserve">Commercial, Industrial, and Institutional
</t>
    </r>
    <r>
      <rPr>
        <sz val="12"/>
        <rFont val="Arial"/>
        <family val="2"/>
      </rPr>
      <t>Electric Lighting Fixture Manufacturing</t>
    </r>
  </si>
  <si>
    <r>
      <rPr>
        <sz val="12"/>
        <rFont val="Arial"/>
        <family val="2"/>
      </rPr>
      <t>Vehicular Lighting Equipment</t>
    </r>
  </si>
  <si>
    <r>
      <rPr>
        <sz val="12"/>
        <rFont val="Arial"/>
        <family val="2"/>
      </rPr>
      <t xml:space="preserve">Motor Vehicle Electrical and Electronic
</t>
    </r>
    <r>
      <rPr>
        <sz val="12"/>
        <rFont val="Arial"/>
        <family val="2"/>
      </rPr>
      <t>Equipment Manufacturing</t>
    </r>
  </si>
  <si>
    <r>
      <rPr>
        <sz val="12"/>
        <rFont val="Arial"/>
        <family val="2"/>
      </rPr>
      <t>Lighting Equipment, Nec</t>
    </r>
  </si>
  <si>
    <r>
      <rPr>
        <sz val="12"/>
        <rFont val="Arial"/>
        <family val="2"/>
      </rPr>
      <t>Other Lighting Equipment Manufacturing</t>
    </r>
  </si>
  <si>
    <r>
      <rPr>
        <sz val="12"/>
        <rFont val="Arial"/>
        <family val="2"/>
      </rPr>
      <t>Household Audio and Video Equipment</t>
    </r>
  </si>
  <si>
    <r>
      <rPr>
        <sz val="12"/>
        <rFont val="Arial"/>
        <family val="2"/>
      </rPr>
      <t>Audio and Video Equipment Manufacturing</t>
    </r>
  </si>
  <si>
    <r>
      <rPr>
        <sz val="12"/>
        <rFont val="Arial"/>
        <family val="2"/>
      </rPr>
      <t>Prerecorded Records and Tapes</t>
    </r>
  </si>
  <si>
    <r>
      <rPr>
        <sz val="12"/>
        <rFont val="Arial"/>
        <family val="2"/>
      </rPr>
      <t>Software and Other Prerecorded Compact Disc, Tape, and Record Reproducing</t>
    </r>
  </si>
  <si>
    <r>
      <rPr>
        <sz val="12"/>
        <rFont val="Arial"/>
        <family val="2"/>
      </rPr>
      <t>Record Production and Distribution</t>
    </r>
  </si>
  <si>
    <r>
      <rPr>
        <sz val="12"/>
        <rFont val="Arial"/>
        <family val="2"/>
      </rPr>
      <t>Telephone and Telegraph Apparatus</t>
    </r>
  </si>
  <si>
    <r>
      <rPr>
        <sz val="12"/>
        <rFont val="Arial"/>
        <family val="2"/>
      </rPr>
      <t>Telephone Apparatus Manufacturing</t>
    </r>
  </si>
  <si>
    <r>
      <rPr>
        <sz val="12"/>
        <rFont val="Arial"/>
        <family val="2"/>
      </rPr>
      <t>Radio and T.v. Communications Equipment</t>
    </r>
  </si>
  <si>
    <r>
      <rPr>
        <sz val="12"/>
        <rFont val="Arial"/>
        <family val="2"/>
      </rPr>
      <t xml:space="preserve">Radio and Television Broadcasting and
</t>
    </r>
    <r>
      <rPr>
        <sz val="12"/>
        <rFont val="Arial"/>
        <family val="2"/>
      </rPr>
      <t>Wireless Communications Equipment Manufacturing</t>
    </r>
  </si>
  <si>
    <r>
      <rPr>
        <sz val="12"/>
        <rFont val="Arial"/>
        <family val="2"/>
      </rPr>
      <t xml:space="preserve">Instrument Manufacturing for Measuring and Testing Electricity and Electrical
</t>
    </r>
    <r>
      <rPr>
        <sz val="12"/>
        <rFont val="Arial"/>
        <family val="2"/>
      </rPr>
      <t>Signals</t>
    </r>
  </si>
  <si>
    <r>
      <rPr>
        <sz val="12"/>
        <rFont val="Arial"/>
        <family val="2"/>
      </rPr>
      <t>Communications Equipment, Nec</t>
    </r>
  </si>
  <si>
    <r>
      <rPr>
        <sz val="12"/>
        <rFont val="Arial"/>
        <family val="2"/>
      </rPr>
      <t xml:space="preserve">Other Communications Equipment
</t>
    </r>
    <r>
      <rPr>
        <sz val="12"/>
        <rFont val="Arial"/>
        <family val="2"/>
      </rPr>
      <t>Manufacturing</t>
    </r>
  </si>
  <si>
    <r>
      <rPr>
        <sz val="12"/>
        <rFont val="Arial"/>
        <family val="2"/>
      </rPr>
      <t>Electron Tubes</t>
    </r>
  </si>
  <si>
    <r>
      <rPr>
        <sz val="12"/>
        <rFont val="Arial"/>
        <family val="2"/>
      </rPr>
      <t xml:space="preserve">Other Electronic Component
</t>
    </r>
    <r>
      <rPr>
        <sz val="12"/>
        <rFont val="Arial"/>
        <family val="2"/>
      </rPr>
      <t>Manufacturing</t>
    </r>
  </si>
  <si>
    <r>
      <rPr>
        <sz val="12"/>
        <rFont val="Arial"/>
        <family val="2"/>
      </rPr>
      <t>Printed Circuit Boards</t>
    </r>
  </si>
  <si>
    <r>
      <rPr>
        <sz val="12"/>
        <rFont val="Arial"/>
        <family val="2"/>
      </rPr>
      <t>Bare Printed Circuit Board Manufacturing</t>
    </r>
  </si>
  <si>
    <r>
      <rPr>
        <sz val="12"/>
        <rFont val="Arial"/>
        <family val="2"/>
      </rPr>
      <t>Semiconductors and Related Devices</t>
    </r>
  </si>
  <si>
    <r>
      <rPr>
        <sz val="12"/>
        <rFont val="Arial"/>
        <family val="2"/>
      </rPr>
      <t xml:space="preserve">Semiconductor and Related Device
</t>
    </r>
    <r>
      <rPr>
        <sz val="12"/>
        <rFont val="Arial"/>
        <family val="2"/>
      </rPr>
      <t>Manufacturing</t>
    </r>
  </si>
  <si>
    <r>
      <rPr>
        <sz val="12"/>
        <rFont val="Arial"/>
        <family val="2"/>
      </rPr>
      <t>Electronic Capacitors</t>
    </r>
  </si>
  <si>
    <r>
      <rPr>
        <sz val="12"/>
        <rFont val="Arial"/>
        <family val="2"/>
      </rPr>
      <t xml:space="preserve">Capacitor, Resistor, Coil, Transformer, and
</t>
    </r>
    <r>
      <rPr>
        <sz val="12"/>
        <rFont val="Arial"/>
        <family val="2"/>
      </rPr>
      <t>Other Inductor Manufacturing</t>
    </r>
  </si>
  <si>
    <r>
      <rPr>
        <sz val="12"/>
        <rFont val="Arial"/>
        <family val="2"/>
      </rPr>
      <t>Electronic Resistors</t>
    </r>
  </si>
  <si>
    <r>
      <rPr>
        <sz val="12"/>
        <rFont val="Arial"/>
        <family val="2"/>
      </rPr>
      <t>Electronic Coils and Transformers</t>
    </r>
  </si>
  <si>
    <r>
      <rPr>
        <sz val="12"/>
        <rFont val="Arial"/>
        <family val="2"/>
      </rPr>
      <t>Electronic Connectors</t>
    </r>
  </si>
  <si>
    <r>
      <rPr>
        <sz val="12"/>
        <rFont val="Arial"/>
        <family val="2"/>
      </rPr>
      <t>Electronic Connector Manufacturing</t>
    </r>
  </si>
  <si>
    <r>
      <rPr>
        <sz val="12"/>
        <rFont val="Arial"/>
        <family val="2"/>
      </rPr>
      <t>Electronic Components, Nec</t>
    </r>
  </si>
  <si>
    <r>
      <rPr>
        <sz val="12"/>
        <rFont val="Arial"/>
        <family val="2"/>
      </rPr>
      <t>Storage Batteries</t>
    </r>
  </si>
  <si>
    <r>
      <rPr>
        <sz val="12"/>
        <rFont val="Arial"/>
        <family val="2"/>
      </rPr>
      <t>Storage Battery Manufacturing</t>
    </r>
  </si>
  <si>
    <r>
      <rPr>
        <sz val="12"/>
        <rFont val="Arial"/>
        <family val="2"/>
      </rPr>
      <t>Primary Batteries, Dry and Wet</t>
    </r>
  </si>
  <si>
    <r>
      <rPr>
        <sz val="12"/>
        <rFont val="Arial"/>
        <family val="2"/>
      </rPr>
      <t>Primary Battery Manufacturing</t>
    </r>
  </si>
  <si>
    <r>
      <rPr>
        <sz val="12"/>
        <rFont val="Arial"/>
        <family val="2"/>
      </rPr>
      <t>Engine Electrical Equipment</t>
    </r>
  </si>
  <si>
    <r>
      <rPr>
        <sz val="12"/>
        <rFont val="Arial"/>
        <family val="2"/>
      </rPr>
      <t>Magnetic and Optical Recording Media</t>
    </r>
  </si>
  <si>
    <r>
      <rPr>
        <sz val="12"/>
        <rFont val="Arial"/>
        <family val="2"/>
      </rPr>
      <t>Electrical Equipment and Supplies, Nec</t>
    </r>
  </si>
  <si>
    <r>
      <rPr>
        <sz val="12"/>
        <rFont val="Arial"/>
        <family val="2"/>
      </rPr>
      <t>Motor Vehicles and Car Bodies</t>
    </r>
  </si>
  <si>
    <r>
      <rPr>
        <sz val="12"/>
        <rFont val="Arial"/>
        <family val="2"/>
      </rPr>
      <t>Automobile Manufacturing</t>
    </r>
  </si>
  <si>
    <r>
      <rPr>
        <sz val="12"/>
        <rFont val="Arial"/>
        <family val="2"/>
      </rPr>
      <t xml:space="preserve">Light Truck and Utility Vehicle
</t>
    </r>
    <r>
      <rPr>
        <sz val="12"/>
        <rFont val="Arial"/>
        <family val="2"/>
      </rPr>
      <t>Manufacturing</t>
    </r>
  </si>
  <si>
    <r>
      <rPr>
        <sz val="12"/>
        <rFont val="Arial"/>
        <family val="2"/>
      </rPr>
      <t>Heavy Duty Truck Manufacturing</t>
    </r>
  </si>
  <si>
    <r>
      <rPr>
        <sz val="12"/>
        <rFont val="Arial"/>
        <family val="2"/>
      </rPr>
      <t>Motor Vehicle Body Manufacturing</t>
    </r>
  </si>
  <si>
    <r>
      <rPr>
        <sz val="12"/>
        <rFont val="Arial"/>
        <family val="2"/>
      </rPr>
      <t xml:space="preserve">Military Armored Vehicle, Tank, and Tank
</t>
    </r>
    <r>
      <rPr>
        <sz val="12"/>
        <rFont val="Arial"/>
        <family val="2"/>
      </rPr>
      <t>Component Manufacturing</t>
    </r>
  </si>
  <si>
    <r>
      <rPr>
        <sz val="12"/>
        <rFont val="Arial"/>
        <family val="2"/>
      </rPr>
      <t>Truck and Bus Bodies</t>
    </r>
  </si>
  <si>
    <r>
      <rPr>
        <sz val="12"/>
        <rFont val="Arial"/>
        <family val="2"/>
      </rPr>
      <t>Motor Vehicle Parts and Accessories</t>
    </r>
  </si>
  <si>
    <r>
      <rPr>
        <sz val="12"/>
        <rFont val="Arial"/>
        <family val="2"/>
      </rPr>
      <t xml:space="preserve">Motor Vehicle Steering and Suspension Components (except Spring)
</t>
    </r>
    <r>
      <rPr>
        <sz val="12"/>
        <rFont val="Arial"/>
        <family val="2"/>
      </rPr>
      <t>Manufacturing</t>
    </r>
  </si>
  <si>
    <r>
      <rPr>
        <sz val="12"/>
        <rFont val="Arial"/>
        <family val="2"/>
      </rPr>
      <t>Truck Trailers</t>
    </r>
  </si>
  <si>
    <r>
      <rPr>
        <sz val="12"/>
        <rFont val="Arial"/>
        <family val="2"/>
      </rPr>
      <t>Truck Trailer Manufacturing</t>
    </r>
  </si>
  <si>
    <r>
      <rPr>
        <sz val="12"/>
        <rFont val="Arial"/>
        <family val="2"/>
      </rPr>
      <t>Motor Homes</t>
    </r>
  </si>
  <si>
    <r>
      <rPr>
        <sz val="12"/>
        <rFont val="Arial"/>
        <family val="2"/>
      </rPr>
      <t>Motor Home Manufacturing</t>
    </r>
  </si>
  <si>
    <r>
      <rPr>
        <sz val="12"/>
        <rFont val="Arial"/>
        <family val="2"/>
      </rPr>
      <t>Aircraft</t>
    </r>
  </si>
  <si>
    <r>
      <rPr>
        <sz val="12"/>
        <rFont val="Arial"/>
        <family val="2"/>
      </rPr>
      <t>Aircraft Manufacturing</t>
    </r>
  </si>
  <si>
    <r>
      <rPr>
        <sz val="12"/>
        <rFont val="Arial"/>
        <family val="2"/>
      </rPr>
      <t xml:space="preserve">Aircraft (research and development not
</t>
    </r>
    <r>
      <rPr>
        <sz val="12"/>
        <rFont val="Arial"/>
        <family val="2"/>
      </rPr>
      <t>producing prototypes)</t>
    </r>
  </si>
  <si>
    <r>
      <rPr>
        <sz val="12"/>
        <rFont val="Arial"/>
        <family val="2"/>
      </rPr>
      <t xml:space="preserve">Research and Development in
</t>
    </r>
    <r>
      <rPr>
        <sz val="12"/>
        <rFont val="Arial"/>
        <family val="2"/>
      </rPr>
      <t>Nanotechnology</t>
    </r>
  </si>
  <si>
    <r>
      <rPr>
        <sz val="12"/>
        <rFont val="Arial"/>
        <family val="2"/>
      </rPr>
      <t>Aircraft Engines and Engine Parts</t>
    </r>
  </si>
  <si>
    <r>
      <rPr>
        <sz val="12"/>
        <rFont val="Arial"/>
        <family val="2"/>
      </rPr>
      <t xml:space="preserve">Aircraft Engine and Engine Parts
</t>
    </r>
    <r>
      <rPr>
        <sz val="12"/>
        <rFont val="Arial"/>
        <family val="2"/>
      </rPr>
      <t>Manufacturing</t>
    </r>
  </si>
  <si>
    <r>
      <rPr>
        <sz val="12"/>
        <rFont val="Arial"/>
        <family val="2"/>
      </rPr>
      <t xml:space="preserve">Aircraft Engines and Engine Parts (research and development not producing
</t>
    </r>
    <r>
      <rPr>
        <sz val="12"/>
        <rFont val="Arial"/>
        <family val="2"/>
      </rPr>
      <t>prototypes)</t>
    </r>
  </si>
  <si>
    <r>
      <rPr>
        <sz val="12"/>
        <rFont val="Arial"/>
        <family val="2"/>
      </rPr>
      <t>Research and Development in Nanotechnology</t>
    </r>
  </si>
  <si>
    <r>
      <rPr>
        <sz val="12"/>
        <rFont val="Arial"/>
        <family val="2"/>
      </rPr>
      <t>Aircraft Parts and Equipment, Nec</t>
    </r>
  </si>
  <si>
    <r>
      <rPr>
        <sz val="12"/>
        <rFont val="Arial"/>
        <family val="2"/>
      </rPr>
      <t xml:space="preserve">Other Aircraft Parts and Auxiliary
</t>
    </r>
    <r>
      <rPr>
        <sz val="12"/>
        <rFont val="Arial"/>
        <family val="2"/>
      </rPr>
      <t>Equipment Manufacturing</t>
    </r>
  </si>
  <si>
    <r>
      <rPr>
        <sz val="12"/>
        <rFont val="Arial"/>
        <family val="2"/>
      </rPr>
      <t xml:space="preserve">Aircraft Parts and Auxiliary Equipment, NEC (research and development not
</t>
    </r>
    <r>
      <rPr>
        <sz val="12"/>
        <rFont val="Arial"/>
        <family val="2"/>
      </rPr>
      <t>producing prototypes)</t>
    </r>
  </si>
  <si>
    <r>
      <rPr>
        <sz val="12"/>
        <rFont val="Arial"/>
        <family val="2"/>
      </rPr>
      <t>Shipbuilding and Repairing</t>
    </r>
  </si>
  <si>
    <r>
      <rPr>
        <sz val="12"/>
        <rFont val="Arial"/>
        <family val="2"/>
      </rPr>
      <t>Ship Building and Repairing</t>
    </r>
  </si>
  <si>
    <r>
      <rPr>
        <sz val="12"/>
        <rFont val="Arial"/>
        <family val="2"/>
      </rPr>
      <t xml:space="preserve">Other Support Activities for Water
</t>
    </r>
    <r>
      <rPr>
        <sz val="12"/>
        <rFont val="Arial"/>
        <family val="2"/>
      </rPr>
      <t>Transportation</t>
    </r>
  </si>
  <si>
    <r>
      <rPr>
        <sz val="12"/>
        <rFont val="Arial"/>
        <family val="2"/>
      </rPr>
      <t>Boatbuilding and Repairing</t>
    </r>
  </si>
  <si>
    <r>
      <rPr>
        <sz val="12"/>
        <rFont val="Arial"/>
        <family val="2"/>
      </rPr>
      <t xml:space="preserve">Other Personal and Household Goods
</t>
    </r>
    <r>
      <rPr>
        <sz val="12"/>
        <rFont val="Arial"/>
        <family val="2"/>
      </rPr>
      <t>Repair and Maintenance</t>
    </r>
  </si>
  <si>
    <r>
      <rPr>
        <sz val="12"/>
        <rFont val="Arial"/>
        <family val="2"/>
      </rPr>
      <t>Railroad Equipment</t>
    </r>
  </si>
  <si>
    <r>
      <rPr>
        <sz val="12"/>
        <rFont val="Arial"/>
        <family val="2"/>
      </rPr>
      <t>Motorcycles, Bicycles, and Parts</t>
    </r>
  </si>
  <si>
    <r>
      <rPr>
        <sz val="12"/>
        <rFont val="Arial"/>
        <family val="2"/>
      </rPr>
      <t xml:space="preserve">Motorcycle, Bicycle, and Parts
</t>
    </r>
    <r>
      <rPr>
        <sz val="12"/>
        <rFont val="Arial"/>
        <family val="2"/>
      </rPr>
      <t>Manufacturing</t>
    </r>
  </si>
  <si>
    <r>
      <rPr>
        <sz val="12"/>
        <rFont val="Arial"/>
        <family val="2"/>
      </rPr>
      <t>Guided Missiles and Space Vehicles</t>
    </r>
  </si>
  <si>
    <r>
      <rPr>
        <sz val="12"/>
        <rFont val="Arial"/>
        <family val="2"/>
      </rPr>
      <t xml:space="preserve">Guided Missile and Space Vehicle
</t>
    </r>
    <r>
      <rPr>
        <sz val="12"/>
        <rFont val="Arial"/>
        <family val="2"/>
      </rPr>
      <t>Manufacturing</t>
    </r>
  </si>
  <si>
    <r>
      <rPr>
        <sz val="12"/>
        <rFont val="Arial"/>
        <family val="2"/>
      </rPr>
      <t xml:space="preserve">Guided Missiles and Space Vehicles (research and development not producing
</t>
    </r>
    <r>
      <rPr>
        <sz val="12"/>
        <rFont val="Arial"/>
        <family val="2"/>
      </rPr>
      <t>prototypes)</t>
    </r>
  </si>
  <si>
    <r>
      <rPr>
        <sz val="12"/>
        <rFont val="Arial"/>
        <family val="2"/>
      </rPr>
      <t>Space Propulsion Units and Parts</t>
    </r>
  </si>
  <si>
    <r>
      <rPr>
        <sz val="12"/>
        <rFont val="Arial"/>
        <family val="2"/>
      </rPr>
      <t xml:space="preserve">Guided Missile and Space Vehicle Propulsion Unit and Propulsion Unit Parts
</t>
    </r>
    <r>
      <rPr>
        <sz val="12"/>
        <rFont val="Arial"/>
        <family val="2"/>
      </rPr>
      <t>Manufacturing</t>
    </r>
  </si>
  <si>
    <r>
      <rPr>
        <sz val="12"/>
        <rFont val="Arial"/>
        <family val="2"/>
      </rPr>
      <t xml:space="preserve">Space Propulsion Units and Parts
</t>
    </r>
    <r>
      <rPr>
        <sz val="12"/>
        <rFont val="Arial"/>
        <family val="2"/>
      </rPr>
      <t>(research and development not producing prototypes)</t>
    </r>
  </si>
  <si>
    <r>
      <rPr>
        <sz val="12"/>
        <rFont val="Arial"/>
        <family val="2"/>
      </rPr>
      <t>Space Vehicle Equipment, Nec</t>
    </r>
  </si>
  <si>
    <r>
      <rPr>
        <sz val="12"/>
        <rFont val="Arial"/>
        <family val="2"/>
      </rPr>
      <t xml:space="preserve">Other Guided Missile and Space Vehicle Parts and Auxiliary Equipment
</t>
    </r>
    <r>
      <rPr>
        <sz val="12"/>
        <rFont val="Arial"/>
        <family val="2"/>
      </rPr>
      <t>Manufacturing</t>
    </r>
  </si>
  <si>
    <r>
      <rPr>
        <sz val="12"/>
        <rFont val="Arial"/>
        <family val="2"/>
      </rPr>
      <t>Space Vehicle Equipment, Nec (research and development not producing prototypes)</t>
    </r>
  </si>
  <si>
    <r>
      <rPr>
        <sz val="12"/>
        <rFont val="Arial"/>
        <family val="2"/>
      </rPr>
      <t>Travel Trailers and Campers</t>
    </r>
  </si>
  <si>
    <r>
      <rPr>
        <sz val="12"/>
        <rFont val="Arial"/>
        <family val="2"/>
      </rPr>
      <t>Travel Trailer and Camper Manufacturing</t>
    </r>
  </si>
  <si>
    <r>
      <rPr>
        <sz val="12"/>
        <rFont val="Arial"/>
        <family val="2"/>
      </rPr>
      <t>Tanks and Tank Components</t>
    </r>
  </si>
  <si>
    <r>
      <rPr>
        <sz val="12"/>
        <rFont val="Arial"/>
        <family val="2"/>
      </rPr>
      <t>Transportation Equipment, Nec</t>
    </r>
  </si>
  <si>
    <r>
      <rPr>
        <sz val="12"/>
        <rFont val="Arial"/>
        <family val="2"/>
      </rPr>
      <t xml:space="preserve">All Other Transportation Equipment
</t>
    </r>
    <r>
      <rPr>
        <sz val="12"/>
        <rFont val="Arial"/>
        <family val="2"/>
      </rPr>
      <t>Manufacturing</t>
    </r>
  </si>
  <si>
    <r>
      <rPr>
        <sz val="12"/>
        <rFont val="Arial"/>
        <family val="2"/>
      </rPr>
      <t>Search and Navigation Equipment</t>
    </r>
  </si>
  <si>
    <r>
      <rPr>
        <sz val="12"/>
        <rFont val="Arial"/>
        <family val="2"/>
      </rPr>
      <t xml:space="preserve">Search, Detection, Navigation, Guidance, Aeronautical, and Nautical System and
</t>
    </r>
    <r>
      <rPr>
        <sz val="12"/>
        <rFont val="Arial"/>
        <family val="2"/>
      </rPr>
      <t>Instrument Manufacturing</t>
    </r>
  </si>
  <si>
    <r>
      <rPr>
        <sz val="12"/>
        <rFont val="Arial"/>
        <family val="2"/>
      </rPr>
      <t>Laboratory Apparatus and Furniture</t>
    </r>
  </si>
  <si>
    <r>
      <rPr>
        <sz val="12"/>
        <rFont val="Arial"/>
        <family val="2"/>
      </rPr>
      <t>Environmental Controls</t>
    </r>
  </si>
  <si>
    <r>
      <rPr>
        <sz val="12"/>
        <rFont val="Arial"/>
        <family val="2"/>
      </rPr>
      <t xml:space="preserve">Automatic Environmental Control Manufacturing for Residential,
</t>
    </r>
    <r>
      <rPr>
        <sz val="12"/>
        <rFont val="Arial"/>
        <family val="2"/>
      </rPr>
      <t>Commercial, and Appliance Use</t>
    </r>
  </si>
  <si>
    <r>
      <rPr>
        <sz val="12"/>
        <rFont val="Arial"/>
        <family val="2"/>
      </rPr>
      <t>Process Control Instruments</t>
    </r>
  </si>
  <si>
    <r>
      <rPr>
        <sz val="12"/>
        <rFont val="Arial"/>
        <family val="2"/>
      </rPr>
      <t xml:space="preserve">Instruments and Related Products Manufacturing for Measuring, Displaying, and Controlling Industrial Process
</t>
    </r>
    <r>
      <rPr>
        <sz val="12"/>
        <rFont val="Arial"/>
        <family val="2"/>
      </rPr>
      <t>Variables</t>
    </r>
  </si>
  <si>
    <r>
      <rPr>
        <sz val="12"/>
        <rFont val="Arial"/>
        <family val="2"/>
      </rPr>
      <t>Fluid Meters and Counting Devices</t>
    </r>
  </si>
  <si>
    <r>
      <rPr>
        <sz val="12"/>
        <rFont val="Arial"/>
        <family val="2"/>
      </rPr>
      <t xml:space="preserve">Totalizing Fluid Meter and Counting Device
</t>
    </r>
    <r>
      <rPr>
        <sz val="12"/>
        <rFont val="Arial"/>
        <family val="2"/>
      </rPr>
      <t>Manufacturing</t>
    </r>
  </si>
  <si>
    <r>
      <rPr>
        <sz val="12"/>
        <rFont val="Arial"/>
        <family val="2"/>
      </rPr>
      <t>Instruments To Measure Electricity</t>
    </r>
  </si>
  <si>
    <r>
      <rPr>
        <sz val="12"/>
        <rFont val="Arial"/>
        <family val="2"/>
      </rPr>
      <t xml:space="preserve">Instrument Manufacturing for Measuring
</t>
    </r>
    <r>
      <rPr>
        <sz val="12"/>
        <rFont val="Arial"/>
        <family val="2"/>
      </rPr>
      <t>and Testing Electricity and Electrical Signals</t>
    </r>
  </si>
  <si>
    <r>
      <rPr>
        <sz val="12"/>
        <rFont val="Arial"/>
        <family val="2"/>
      </rPr>
      <t>Analytical Instruments</t>
    </r>
  </si>
  <si>
    <r>
      <rPr>
        <sz val="12"/>
        <rFont val="Arial"/>
        <family val="2"/>
      </rPr>
      <t xml:space="preserve">Analytical Laboratory Instrument
</t>
    </r>
    <r>
      <rPr>
        <sz val="12"/>
        <rFont val="Arial"/>
        <family val="2"/>
      </rPr>
      <t>Manufacturing</t>
    </r>
  </si>
  <si>
    <r>
      <rPr>
        <sz val="12"/>
        <rFont val="Arial"/>
        <family val="2"/>
      </rPr>
      <t>Optical Instruments and Lenses</t>
    </r>
  </si>
  <si>
    <r>
      <rPr>
        <sz val="12"/>
        <rFont val="Arial"/>
        <family val="2"/>
      </rPr>
      <t>Optical Instrument and Lens Manufacturing</t>
    </r>
  </si>
  <si>
    <r>
      <rPr>
        <sz val="12"/>
        <rFont val="Arial"/>
        <family val="2"/>
      </rPr>
      <t>Measuring and Controlling Devices, Nec</t>
    </r>
  </si>
  <si>
    <r>
      <rPr>
        <sz val="12"/>
        <rFont val="Arial"/>
        <family val="2"/>
      </rPr>
      <t xml:space="preserve">Surgical and Medical Instrument
</t>
    </r>
    <r>
      <rPr>
        <sz val="12"/>
        <rFont val="Arial"/>
        <family val="2"/>
      </rPr>
      <t>Manufacturing</t>
    </r>
  </si>
  <si>
    <r>
      <rPr>
        <sz val="12"/>
        <rFont val="Arial"/>
        <family val="2"/>
      </rPr>
      <t>Surgical and Medical Instruments</t>
    </r>
  </si>
  <si>
    <r>
      <rPr>
        <sz val="12"/>
        <rFont val="Arial"/>
        <family val="2"/>
      </rPr>
      <t>Surgical Appliances and Supplies</t>
    </r>
  </si>
  <si>
    <r>
      <rPr>
        <sz val="12"/>
        <rFont val="Arial"/>
        <family val="2"/>
      </rPr>
      <t xml:space="preserve">Electromedical and Electrotherapeutic
</t>
    </r>
    <r>
      <rPr>
        <sz val="12"/>
        <rFont val="Arial"/>
        <family val="2"/>
      </rPr>
      <t>Apparatus Manufacturing</t>
    </r>
  </si>
  <si>
    <r>
      <rPr>
        <sz val="12"/>
        <rFont val="Arial"/>
        <family val="2"/>
      </rPr>
      <t>Dental Equipment and Supplies</t>
    </r>
  </si>
  <si>
    <r>
      <rPr>
        <sz val="12"/>
        <rFont val="Arial"/>
        <family val="2"/>
      </rPr>
      <t xml:space="preserve">Dental Equipment and Supplies
</t>
    </r>
    <r>
      <rPr>
        <sz val="12"/>
        <rFont val="Arial"/>
        <family val="2"/>
      </rPr>
      <t>Manufacturing</t>
    </r>
  </si>
  <si>
    <r>
      <rPr>
        <sz val="12"/>
        <rFont val="Arial"/>
        <family val="2"/>
      </rPr>
      <t>X-ray Apparatus and Tubes</t>
    </r>
  </si>
  <si>
    <r>
      <rPr>
        <sz val="12"/>
        <rFont val="Arial"/>
        <family val="2"/>
      </rPr>
      <t>Irradiation Apparatus Manufacturing</t>
    </r>
  </si>
  <si>
    <r>
      <rPr>
        <sz val="12"/>
        <rFont val="Arial"/>
        <family val="2"/>
      </rPr>
      <t>Electromedical Equipment</t>
    </r>
  </si>
  <si>
    <r>
      <rPr>
        <sz val="12"/>
        <rFont val="Arial"/>
        <family val="2"/>
      </rPr>
      <t>Ophthalmic Goods</t>
    </r>
  </si>
  <si>
    <r>
      <rPr>
        <sz val="12"/>
        <rFont val="Arial"/>
        <family val="2"/>
      </rPr>
      <t>Ophthalmic Goods Manufacturing</t>
    </r>
  </si>
  <si>
    <r>
      <rPr>
        <sz val="12"/>
        <rFont val="Arial"/>
        <family val="2"/>
      </rPr>
      <t>Photographic Equipment and Supplies</t>
    </r>
  </si>
  <si>
    <r>
      <rPr>
        <sz val="12"/>
        <rFont val="Arial"/>
        <family val="2"/>
      </rPr>
      <t xml:space="preserve">Photographic Film, Paper, Plate, and
</t>
    </r>
    <r>
      <rPr>
        <sz val="12"/>
        <rFont val="Arial"/>
        <family val="2"/>
      </rPr>
      <t>Chemical Manufacturing</t>
    </r>
  </si>
  <si>
    <r>
      <rPr>
        <sz val="12"/>
        <rFont val="Arial"/>
        <family val="2"/>
      </rPr>
      <t>Watches, Clocks, Watchcases, and Parts</t>
    </r>
  </si>
  <si>
    <r>
      <rPr>
        <sz val="12"/>
        <rFont val="Arial"/>
        <family val="2"/>
      </rPr>
      <t>Jewelry, Precious Metal</t>
    </r>
  </si>
  <si>
    <r>
      <rPr>
        <sz val="12"/>
        <rFont val="Arial"/>
        <family val="2"/>
      </rPr>
      <t>Silverware and Plated Ware</t>
    </r>
  </si>
  <si>
    <r>
      <rPr>
        <sz val="12"/>
        <rFont val="Arial"/>
        <family val="2"/>
      </rPr>
      <t>Jewelers' Materials and Lapidary Work</t>
    </r>
  </si>
  <si>
    <r>
      <rPr>
        <sz val="12"/>
        <rFont val="Arial"/>
        <family val="2"/>
      </rPr>
      <t>Musical Instruments</t>
    </r>
  </si>
  <si>
    <r>
      <rPr>
        <sz val="12"/>
        <rFont val="Arial"/>
        <family val="2"/>
      </rPr>
      <t>Musical Instrument Manufacturing</t>
    </r>
  </si>
  <si>
    <r>
      <rPr>
        <sz val="12"/>
        <rFont val="Arial"/>
        <family val="2"/>
      </rPr>
      <t>Dolls and Stuffed Toys</t>
    </r>
  </si>
  <si>
    <r>
      <rPr>
        <sz val="12"/>
        <rFont val="Arial"/>
        <family val="2"/>
      </rPr>
      <t>Games, Toys, and Children's Vehicles</t>
    </r>
  </si>
  <si>
    <r>
      <rPr>
        <sz val="12"/>
        <rFont val="Arial"/>
        <family val="2"/>
      </rPr>
      <t>Sporting and athletic Goods, Nec</t>
    </r>
  </si>
  <si>
    <r>
      <rPr>
        <sz val="12"/>
        <rFont val="Arial"/>
        <family val="2"/>
      </rPr>
      <t>Pens and Mechanical Pencils</t>
    </r>
  </si>
  <si>
    <r>
      <rPr>
        <sz val="12"/>
        <rFont val="Arial"/>
        <family val="2"/>
      </rPr>
      <t>Lead Pencils and Art Goods</t>
    </r>
  </si>
  <si>
    <r>
      <rPr>
        <sz val="12"/>
        <rFont val="Arial"/>
        <family val="2"/>
      </rPr>
      <t>Marking Devices</t>
    </r>
  </si>
  <si>
    <r>
      <rPr>
        <sz val="12"/>
        <rFont val="Arial"/>
        <family val="2"/>
      </rPr>
      <t>Carbon Paper and Inked Ribbons</t>
    </r>
  </si>
  <si>
    <r>
      <rPr>
        <sz val="12"/>
        <rFont val="Arial"/>
        <family val="2"/>
      </rPr>
      <t>Costume Jewelry</t>
    </r>
  </si>
  <si>
    <r>
      <rPr>
        <sz val="12"/>
        <rFont val="Arial"/>
        <family val="2"/>
      </rPr>
      <t>Fasteners, Buttons, Needles, and Pins</t>
    </r>
  </si>
  <si>
    <r>
      <rPr>
        <sz val="12"/>
        <rFont val="Arial"/>
        <family val="2"/>
      </rPr>
      <t>Brooms and Brushes</t>
    </r>
  </si>
  <si>
    <r>
      <rPr>
        <sz val="12"/>
        <rFont val="Arial"/>
        <family val="2"/>
      </rPr>
      <t>Signs and Advertising Specialties</t>
    </r>
  </si>
  <si>
    <r>
      <rPr>
        <sz val="12"/>
        <rFont val="Arial"/>
        <family val="2"/>
      </rPr>
      <t>Sign Manufacturing</t>
    </r>
  </si>
  <si>
    <r>
      <rPr>
        <sz val="12"/>
        <rFont val="Arial"/>
        <family val="2"/>
      </rPr>
      <t>Burial Caskets</t>
    </r>
  </si>
  <si>
    <r>
      <rPr>
        <sz val="12"/>
        <rFont val="Arial"/>
        <family val="2"/>
      </rPr>
      <t>Burial Casket Manufacturing</t>
    </r>
  </si>
  <si>
    <r>
      <rPr>
        <sz val="12"/>
        <rFont val="Arial"/>
        <family val="2"/>
      </rPr>
      <t>Hard Surface Floor Coverings, Nec</t>
    </r>
  </si>
  <si>
    <r>
      <rPr>
        <sz val="12"/>
        <rFont val="Arial"/>
        <family val="2"/>
      </rPr>
      <t>Manufacturing Industries, Nec</t>
    </r>
  </si>
  <si>
    <r>
      <rPr>
        <sz val="12"/>
        <rFont val="Arial"/>
        <family val="2"/>
      </rPr>
      <t>Railroads, Line-haul Operating</t>
    </r>
  </si>
  <si>
    <r>
      <rPr>
        <sz val="12"/>
        <rFont val="Arial"/>
        <family val="2"/>
      </rPr>
      <t>Line-Haul Railroads</t>
    </r>
  </si>
  <si>
    <r>
      <rPr>
        <sz val="12"/>
        <rFont val="Arial"/>
        <family val="2"/>
      </rPr>
      <t>Switching and Terminal Services</t>
    </r>
  </si>
  <si>
    <r>
      <rPr>
        <sz val="12"/>
        <rFont val="Arial"/>
        <family val="2"/>
      </rPr>
      <t>Short Line Railroads</t>
    </r>
  </si>
  <si>
    <r>
      <rPr>
        <sz val="12"/>
        <rFont val="Arial"/>
        <family val="2"/>
      </rPr>
      <t>Support Activities for Rail Transportation</t>
    </r>
  </si>
  <si>
    <r>
      <rPr>
        <sz val="12"/>
        <rFont val="Arial"/>
        <family val="2"/>
      </rPr>
      <t>Local and Suburban Transit</t>
    </r>
  </si>
  <si>
    <r>
      <rPr>
        <sz val="12"/>
        <rFont val="Arial"/>
        <family val="2"/>
      </rPr>
      <t>Mixed Mode Transit Systems</t>
    </r>
  </si>
  <si>
    <r>
      <rPr>
        <sz val="12"/>
        <rFont val="Arial"/>
        <family val="2"/>
      </rPr>
      <t>Commuter Rail Systems</t>
    </r>
  </si>
  <si>
    <r>
      <rPr>
        <sz val="12"/>
        <rFont val="Arial"/>
        <family val="2"/>
      </rPr>
      <t xml:space="preserve">Bus and Other Motor Vehicle Transit
</t>
    </r>
    <r>
      <rPr>
        <sz val="12"/>
        <rFont val="Arial"/>
        <family val="2"/>
      </rPr>
      <t>Systems</t>
    </r>
  </si>
  <si>
    <r>
      <rPr>
        <sz val="12"/>
        <rFont val="Arial"/>
        <family val="2"/>
      </rPr>
      <t>Other Urban Transit Systems</t>
    </r>
  </si>
  <si>
    <r>
      <rPr>
        <sz val="12"/>
        <rFont val="Arial"/>
        <family val="2"/>
      </rPr>
      <t xml:space="preserve">All Other Transit and Ground Passenger
</t>
    </r>
    <r>
      <rPr>
        <sz val="12"/>
        <rFont val="Arial"/>
        <family val="2"/>
      </rPr>
      <t>Transportation</t>
    </r>
  </si>
  <si>
    <r>
      <rPr>
        <sz val="12"/>
        <rFont val="Arial"/>
        <family val="2"/>
      </rPr>
      <t>Local Passenger Transportation, Nec</t>
    </r>
  </si>
  <si>
    <r>
      <rPr>
        <sz val="12"/>
        <rFont val="Arial"/>
        <family val="2"/>
      </rPr>
      <t>Limousine Service</t>
    </r>
  </si>
  <si>
    <r>
      <rPr>
        <sz val="12"/>
        <rFont val="Arial"/>
        <family val="2"/>
      </rPr>
      <t>School and Employee Bus Transportation</t>
    </r>
  </si>
  <si>
    <r>
      <rPr>
        <sz val="12"/>
        <rFont val="Arial"/>
        <family val="2"/>
      </rPr>
      <t>Special Needs Transportation</t>
    </r>
  </si>
  <si>
    <r>
      <rPr>
        <sz val="12"/>
        <rFont val="Arial"/>
        <family val="2"/>
      </rPr>
      <t xml:space="preserve">Scenic and Sightseeing Transportation,
</t>
    </r>
    <r>
      <rPr>
        <sz val="12"/>
        <rFont val="Arial"/>
        <family val="2"/>
      </rPr>
      <t>Land</t>
    </r>
  </si>
  <si>
    <r>
      <rPr>
        <sz val="12"/>
        <rFont val="Arial"/>
        <family val="2"/>
      </rPr>
      <t>Ambulance Services</t>
    </r>
  </si>
  <si>
    <r>
      <rPr>
        <sz val="12"/>
        <rFont val="Arial"/>
        <family val="2"/>
      </rPr>
      <t>Taxicabs</t>
    </r>
  </si>
  <si>
    <r>
      <rPr>
        <sz val="12"/>
        <rFont val="Arial"/>
        <family val="2"/>
      </rPr>
      <t>Taxi Service</t>
    </r>
  </si>
  <si>
    <r>
      <rPr>
        <sz val="12"/>
        <rFont val="Arial"/>
        <family val="2"/>
      </rPr>
      <t>Intercity and Rural Bus Transportation</t>
    </r>
  </si>
  <si>
    <r>
      <rPr>
        <sz val="12"/>
        <rFont val="Arial"/>
        <family val="2"/>
      </rPr>
      <t>Interurban and Rural Bus Transportation</t>
    </r>
  </si>
  <si>
    <r>
      <rPr>
        <sz val="12"/>
        <rFont val="Arial"/>
        <family val="2"/>
      </rPr>
      <t>Local Bus Charter Service</t>
    </r>
  </si>
  <si>
    <r>
      <rPr>
        <sz val="12"/>
        <rFont val="Arial"/>
        <family val="2"/>
      </rPr>
      <t>Charter Bus Industry</t>
    </r>
  </si>
  <si>
    <r>
      <rPr>
        <sz val="12"/>
        <rFont val="Arial"/>
        <family val="2"/>
      </rPr>
      <t>Bus Charter Service, Except Local</t>
    </r>
  </si>
  <si>
    <r>
      <rPr>
        <sz val="12"/>
        <rFont val="Arial"/>
        <family val="2"/>
      </rPr>
      <t>School Buses</t>
    </r>
  </si>
  <si>
    <r>
      <rPr>
        <sz val="12"/>
        <rFont val="Arial"/>
        <family val="2"/>
      </rPr>
      <t>Bus Terminal and Service Facilities</t>
    </r>
  </si>
  <si>
    <r>
      <rPr>
        <sz val="12"/>
        <rFont val="Arial"/>
        <family val="2"/>
      </rPr>
      <t xml:space="preserve">Other Support Activities for Road
</t>
    </r>
    <r>
      <rPr>
        <sz val="12"/>
        <rFont val="Arial"/>
        <family val="2"/>
      </rPr>
      <t>Transportation</t>
    </r>
  </si>
  <si>
    <r>
      <rPr>
        <sz val="12"/>
        <rFont val="Arial"/>
        <family val="2"/>
      </rPr>
      <t>Local Trucking, Without Storage</t>
    </r>
  </si>
  <si>
    <r>
      <rPr>
        <sz val="12"/>
        <rFont val="Arial"/>
        <family val="2"/>
      </rPr>
      <t>General Freight Trucking, Local</t>
    </r>
  </si>
  <si>
    <r>
      <rPr>
        <sz val="12"/>
        <rFont val="Arial"/>
        <family val="2"/>
      </rPr>
      <t>Used Household and Office Goods Moving</t>
    </r>
  </si>
  <si>
    <r>
      <rPr>
        <sz val="12"/>
        <rFont val="Arial"/>
        <family val="2"/>
      </rPr>
      <t xml:space="preserve">Specialized Freight (except Used Goods)
</t>
    </r>
    <r>
      <rPr>
        <sz val="12"/>
        <rFont val="Arial"/>
        <family val="2"/>
      </rPr>
      <t>Trucking, Local</t>
    </r>
  </si>
  <si>
    <r>
      <rPr>
        <sz val="12"/>
        <rFont val="Arial"/>
        <family val="2"/>
      </rPr>
      <t>Solid Waste Collection</t>
    </r>
  </si>
  <si>
    <r>
      <rPr>
        <sz val="12"/>
        <rFont val="Arial"/>
        <family val="2"/>
      </rPr>
      <t>Hazardous Waste Collection</t>
    </r>
  </si>
  <si>
    <r>
      <rPr>
        <sz val="12"/>
        <rFont val="Arial"/>
        <family val="2"/>
      </rPr>
      <t>Other Waste Collection</t>
    </r>
  </si>
  <si>
    <r>
      <rPr>
        <sz val="12"/>
        <rFont val="Arial"/>
        <family val="2"/>
      </rPr>
      <t>Trucking, Except Local</t>
    </r>
  </si>
  <si>
    <r>
      <rPr>
        <sz val="12"/>
        <rFont val="Arial"/>
        <family val="2"/>
      </rPr>
      <t xml:space="preserve">General Freight Trucking, Long-Distance,
</t>
    </r>
    <r>
      <rPr>
        <sz val="12"/>
        <rFont val="Arial"/>
        <family val="2"/>
      </rPr>
      <t>Truckload</t>
    </r>
  </si>
  <si>
    <r>
      <rPr>
        <sz val="12"/>
        <rFont val="Arial"/>
        <family val="2"/>
      </rPr>
      <t xml:space="preserve">General Freight Trucking, Long-Distance,
</t>
    </r>
    <r>
      <rPr>
        <sz val="12"/>
        <rFont val="Arial"/>
        <family val="2"/>
      </rPr>
      <t>Less Than Truckload</t>
    </r>
  </si>
  <si>
    <r>
      <rPr>
        <sz val="12"/>
        <rFont val="Arial"/>
        <family val="2"/>
      </rPr>
      <t xml:space="preserve">Specialized Freight (except Used Goods)
</t>
    </r>
    <r>
      <rPr>
        <sz val="12"/>
        <rFont val="Arial"/>
        <family val="2"/>
      </rPr>
      <t>Trucking, Long-Distance</t>
    </r>
  </si>
  <si>
    <r>
      <rPr>
        <sz val="12"/>
        <rFont val="Arial"/>
        <family val="2"/>
      </rPr>
      <t>Local Trucking With Storage</t>
    </r>
  </si>
  <si>
    <r>
      <rPr>
        <sz val="12"/>
        <rFont val="Arial"/>
        <family val="2"/>
      </rPr>
      <t>Courier Services, Except By Air</t>
    </r>
  </si>
  <si>
    <r>
      <rPr>
        <sz val="12"/>
        <rFont val="Arial"/>
        <family val="2"/>
      </rPr>
      <t>Couriers and Express Delivery Services</t>
    </r>
  </si>
  <si>
    <r>
      <rPr>
        <sz val="12"/>
        <rFont val="Arial"/>
        <family val="2"/>
      </rPr>
      <t>Local Messengers and Local Delivery</t>
    </r>
  </si>
  <si>
    <r>
      <rPr>
        <sz val="12"/>
        <rFont val="Arial"/>
        <family val="2"/>
      </rPr>
      <t>Farm Product Warehousing and Storage</t>
    </r>
  </si>
  <si>
    <r>
      <rPr>
        <sz val="12"/>
        <rFont val="Arial"/>
        <family val="2"/>
      </rPr>
      <t>Refrigerated Warehousing and Storage</t>
    </r>
  </si>
  <si>
    <r>
      <rPr>
        <sz val="12"/>
        <rFont val="Arial"/>
        <family val="2"/>
      </rPr>
      <t>General Warehousing and Storage</t>
    </r>
  </si>
  <si>
    <r>
      <rPr>
        <sz val="12"/>
        <rFont val="Arial"/>
        <family val="2"/>
      </rPr>
      <t xml:space="preserve">Lessors of Miniwarehouses and Self-
</t>
    </r>
    <r>
      <rPr>
        <sz val="12"/>
        <rFont val="Arial"/>
        <family val="2"/>
      </rPr>
      <t>Storage Units</t>
    </r>
  </si>
  <si>
    <r>
      <rPr>
        <sz val="12"/>
        <rFont val="Arial"/>
        <family val="2"/>
      </rPr>
      <t>Special Warehousing and Storage, Nec</t>
    </r>
  </si>
  <si>
    <r>
      <rPr>
        <sz val="12"/>
        <rFont val="Arial"/>
        <family val="2"/>
      </rPr>
      <t>Other Warehousing and Storage</t>
    </r>
  </si>
  <si>
    <r>
      <rPr>
        <sz val="12"/>
        <rFont val="Arial"/>
        <family val="2"/>
      </rPr>
      <t>Trucking Terminal Facilities</t>
    </r>
  </si>
  <si>
    <r>
      <rPr>
        <sz val="12"/>
        <rFont val="Arial"/>
        <family val="2"/>
      </rPr>
      <t>U.S. Postal Service</t>
    </r>
  </si>
  <si>
    <r>
      <rPr>
        <sz val="12"/>
        <rFont val="Arial"/>
        <family val="2"/>
      </rPr>
      <t>Postal Service</t>
    </r>
  </si>
  <si>
    <r>
      <rPr>
        <sz val="12"/>
        <rFont val="Arial"/>
        <family val="2"/>
      </rPr>
      <t>Deep Sea Foreign Transportation of Freight</t>
    </r>
  </si>
  <si>
    <r>
      <rPr>
        <sz val="12"/>
        <rFont val="Arial"/>
        <family val="2"/>
      </rPr>
      <t>Deep Sea Freight Transportation</t>
    </r>
  </si>
  <si>
    <r>
      <rPr>
        <sz val="12"/>
        <rFont val="Arial"/>
        <family val="2"/>
      </rPr>
      <t xml:space="preserve">Deep Sea Domestic Transportation of
</t>
    </r>
    <r>
      <rPr>
        <sz val="12"/>
        <rFont val="Arial"/>
        <family val="2"/>
      </rPr>
      <t>Freight</t>
    </r>
  </si>
  <si>
    <r>
      <rPr>
        <sz val="12"/>
        <rFont val="Arial"/>
        <family val="2"/>
      </rPr>
      <t xml:space="preserve">Coastal and Great Lakes Freight
</t>
    </r>
    <r>
      <rPr>
        <sz val="12"/>
        <rFont val="Arial"/>
        <family val="2"/>
      </rPr>
      <t>Transportation</t>
    </r>
  </si>
  <si>
    <r>
      <rPr>
        <sz val="12"/>
        <rFont val="Arial"/>
        <family val="2"/>
      </rPr>
      <t>Freight Transportation On The Great Lakes</t>
    </r>
  </si>
  <si>
    <r>
      <rPr>
        <sz val="12"/>
        <rFont val="Arial"/>
        <family val="2"/>
      </rPr>
      <t>Water Transportation of Freight</t>
    </r>
  </si>
  <si>
    <r>
      <rPr>
        <sz val="12"/>
        <rFont val="Arial"/>
        <family val="2"/>
      </rPr>
      <t>Inland Water Freight Transportation</t>
    </r>
  </si>
  <si>
    <r>
      <rPr>
        <sz val="12"/>
        <rFont val="Arial"/>
        <family val="2"/>
      </rPr>
      <t xml:space="preserve">Deep Sea Passenger Transportation,
</t>
    </r>
    <r>
      <rPr>
        <sz val="12"/>
        <rFont val="Arial"/>
        <family val="2"/>
      </rPr>
      <t>Except Ferry</t>
    </r>
  </si>
  <si>
    <r>
      <rPr>
        <sz val="12"/>
        <rFont val="Arial"/>
        <family val="2"/>
      </rPr>
      <t>Deep Sea Passenger Transportation</t>
    </r>
  </si>
  <si>
    <r>
      <rPr>
        <sz val="12"/>
        <rFont val="Arial"/>
        <family val="2"/>
      </rPr>
      <t xml:space="preserve">Coastal and Great Lakes Passenger
</t>
    </r>
    <r>
      <rPr>
        <sz val="12"/>
        <rFont val="Arial"/>
        <family val="2"/>
      </rPr>
      <t>Transportation</t>
    </r>
  </si>
  <si>
    <r>
      <rPr>
        <sz val="12"/>
        <rFont val="Arial"/>
        <family val="2"/>
      </rPr>
      <t>Ferries</t>
    </r>
  </si>
  <si>
    <r>
      <rPr>
        <sz val="12"/>
        <rFont val="Arial"/>
        <family val="2"/>
      </rPr>
      <t>Inland Water Passenger Transportation</t>
    </r>
  </si>
  <si>
    <r>
      <rPr>
        <sz val="12"/>
        <rFont val="Arial"/>
        <family val="2"/>
      </rPr>
      <t>Water Passenger Transportation</t>
    </r>
  </si>
  <si>
    <r>
      <rPr>
        <sz val="12"/>
        <rFont val="Arial"/>
        <family val="2"/>
      </rPr>
      <t xml:space="preserve">Scenic and Sightseeing Transportation,
</t>
    </r>
    <r>
      <rPr>
        <sz val="12"/>
        <rFont val="Arial"/>
        <family val="2"/>
      </rPr>
      <t>Water</t>
    </r>
  </si>
  <si>
    <r>
      <rPr>
        <sz val="12"/>
        <rFont val="Arial"/>
        <family val="2"/>
      </rPr>
      <t>Marine Cargo Handling</t>
    </r>
  </si>
  <si>
    <r>
      <rPr>
        <sz val="12"/>
        <rFont val="Arial"/>
        <family val="2"/>
      </rPr>
      <t>Port and Harbor Operations</t>
    </r>
  </si>
  <si>
    <r>
      <rPr>
        <sz val="12"/>
        <rFont val="Arial"/>
        <family val="2"/>
      </rPr>
      <t>Towing and Tugboat Service</t>
    </r>
  </si>
  <si>
    <r>
      <rPr>
        <sz val="12"/>
        <rFont val="Arial"/>
        <family val="2"/>
      </rPr>
      <t>Navigational Services to Shipping</t>
    </r>
  </si>
  <si>
    <r>
      <rPr>
        <sz val="12"/>
        <rFont val="Arial"/>
        <family val="2"/>
      </rPr>
      <t>Marinas</t>
    </r>
  </si>
  <si>
    <r>
      <rPr>
        <sz val="12"/>
        <rFont val="Arial"/>
        <family val="2"/>
      </rPr>
      <t>Water Transportation Services, Nec</t>
    </r>
  </si>
  <si>
    <r>
      <rPr>
        <sz val="12"/>
        <rFont val="Arial"/>
        <family val="2"/>
      </rPr>
      <t xml:space="preserve">Commercial Air, Rail, and Water
</t>
    </r>
    <r>
      <rPr>
        <sz val="12"/>
        <rFont val="Arial"/>
        <family val="2"/>
      </rPr>
      <t>Transportation Equipment Rental and Leasing</t>
    </r>
  </si>
  <si>
    <r>
      <rPr>
        <sz val="12"/>
        <rFont val="Arial"/>
        <family val="2"/>
      </rPr>
      <t xml:space="preserve">All Other Professional, Scientific, and
</t>
    </r>
    <r>
      <rPr>
        <sz val="12"/>
        <rFont val="Arial"/>
        <family val="2"/>
      </rPr>
      <t>Technical Services</t>
    </r>
  </si>
  <si>
    <r>
      <rPr>
        <sz val="12"/>
        <rFont val="Arial"/>
        <family val="2"/>
      </rPr>
      <t>Air Transportation, Scheduled</t>
    </r>
  </si>
  <si>
    <r>
      <rPr>
        <sz val="12"/>
        <rFont val="Arial"/>
        <family val="2"/>
      </rPr>
      <t>Scheduled Passenger Air Transportation</t>
    </r>
  </si>
  <si>
    <r>
      <rPr>
        <sz val="12"/>
        <rFont val="Arial"/>
        <family val="2"/>
      </rPr>
      <t>Scheduled Freight Air Transportation</t>
    </r>
  </si>
  <si>
    <r>
      <rPr>
        <sz val="12"/>
        <rFont val="Arial"/>
        <family val="2"/>
      </rPr>
      <t>Air Courier Services</t>
    </r>
  </si>
  <si>
    <r>
      <rPr>
        <sz val="12"/>
        <rFont val="Arial"/>
        <family val="2"/>
      </rPr>
      <t>Air Transportation, Nonscheduled</t>
    </r>
  </si>
  <si>
    <r>
      <rPr>
        <sz val="12"/>
        <rFont val="Arial"/>
        <family val="2"/>
      </rPr>
      <t xml:space="preserve">Nonscheduled Chartered Passenger Air
</t>
    </r>
    <r>
      <rPr>
        <sz val="12"/>
        <rFont val="Arial"/>
        <family val="2"/>
      </rPr>
      <t>Transportation</t>
    </r>
  </si>
  <si>
    <r>
      <rPr>
        <sz val="12"/>
        <rFont val="Arial"/>
        <family val="2"/>
      </rPr>
      <t xml:space="preserve">Nonscheduled Chartered Freight Air
</t>
    </r>
    <r>
      <rPr>
        <sz val="12"/>
        <rFont val="Arial"/>
        <family val="2"/>
      </rPr>
      <t>Transportation</t>
    </r>
  </si>
  <si>
    <r>
      <rPr>
        <sz val="12"/>
        <rFont val="Arial"/>
        <family val="2"/>
      </rPr>
      <t>Other Nonscheduled Air Transportation</t>
    </r>
  </si>
  <si>
    <r>
      <rPr>
        <sz val="12"/>
        <rFont val="Arial"/>
        <family val="2"/>
      </rPr>
      <t xml:space="preserve">Scenic and Sightseeing Transportation,
</t>
    </r>
    <r>
      <rPr>
        <sz val="12"/>
        <rFont val="Arial"/>
        <family val="2"/>
      </rPr>
      <t>Other</t>
    </r>
  </si>
  <si>
    <r>
      <rPr>
        <sz val="12"/>
        <rFont val="Arial"/>
        <family val="2"/>
      </rPr>
      <t>Airports, Flying Fields, and Services</t>
    </r>
  </si>
  <si>
    <r>
      <rPr>
        <sz val="12"/>
        <rFont val="Arial"/>
        <family val="2"/>
      </rPr>
      <t>Air Traffic Control</t>
    </r>
  </si>
  <si>
    <r>
      <rPr>
        <sz val="12"/>
        <rFont val="Arial"/>
        <family val="2"/>
      </rPr>
      <t>Other Airport Operations</t>
    </r>
  </si>
  <si>
    <r>
      <rPr>
        <sz val="12"/>
        <rFont val="Arial"/>
        <family val="2"/>
      </rPr>
      <t xml:space="preserve">Other Support Activities for Air
</t>
    </r>
    <r>
      <rPr>
        <sz val="12"/>
        <rFont val="Arial"/>
        <family val="2"/>
      </rPr>
      <t>Transportation</t>
    </r>
  </si>
  <si>
    <r>
      <rPr>
        <sz val="12"/>
        <rFont val="Arial"/>
        <family val="2"/>
      </rPr>
      <t>Janitorial Services</t>
    </r>
  </si>
  <si>
    <r>
      <rPr>
        <sz val="12"/>
        <rFont val="Arial"/>
        <family val="2"/>
      </rPr>
      <t>Reupholstery and Furniture Repair</t>
    </r>
  </si>
  <si>
    <r>
      <rPr>
        <sz val="12"/>
        <rFont val="Arial"/>
        <family val="2"/>
      </rPr>
      <t>Crude Petroleum Pipelines</t>
    </r>
  </si>
  <si>
    <r>
      <rPr>
        <sz val="12"/>
        <rFont val="Arial"/>
        <family val="2"/>
      </rPr>
      <t>Pipeline Transportation of Crude Oil</t>
    </r>
  </si>
  <si>
    <r>
      <rPr>
        <sz val="12"/>
        <rFont val="Arial"/>
        <family val="2"/>
      </rPr>
      <t>Refined Petroleum Pipelines</t>
    </r>
  </si>
  <si>
    <r>
      <rPr>
        <sz val="12"/>
        <rFont val="Arial"/>
        <family val="2"/>
      </rPr>
      <t xml:space="preserve">Pipeline Transportation of Refined
</t>
    </r>
    <r>
      <rPr>
        <sz val="12"/>
        <rFont val="Arial"/>
        <family val="2"/>
      </rPr>
      <t>Petroleum Products</t>
    </r>
  </si>
  <si>
    <r>
      <rPr>
        <sz val="12"/>
        <rFont val="Arial"/>
        <family val="2"/>
      </rPr>
      <t>Pipelines, Nec</t>
    </r>
  </si>
  <si>
    <r>
      <rPr>
        <sz val="12"/>
        <rFont val="Arial"/>
        <family val="2"/>
      </rPr>
      <t>All Other Pipeline Transportation</t>
    </r>
  </si>
  <si>
    <r>
      <rPr>
        <sz val="12"/>
        <rFont val="Arial"/>
        <family val="2"/>
      </rPr>
      <t>Travel Agencies</t>
    </r>
  </si>
  <si>
    <r>
      <rPr>
        <sz val="12"/>
        <rFont val="Arial"/>
        <family val="2"/>
      </rPr>
      <t>Tour Operators</t>
    </r>
  </si>
  <si>
    <r>
      <rPr>
        <sz val="12"/>
        <rFont val="Arial"/>
        <family val="2"/>
      </rPr>
      <t>Passenger Transportation Arrangement</t>
    </r>
  </si>
  <si>
    <r>
      <rPr>
        <sz val="12"/>
        <rFont val="Arial"/>
        <family val="2"/>
      </rPr>
      <t xml:space="preserve">All Other Support Activities for
</t>
    </r>
    <r>
      <rPr>
        <sz val="12"/>
        <rFont val="Arial"/>
        <family val="2"/>
      </rPr>
      <t>Transportation</t>
    </r>
  </si>
  <si>
    <r>
      <rPr>
        <sz val="12"/>
        <rFont val="Arial"/>
        <family val="2"/>
      </rPr>
      <t xml:space="preserve">All Other Travel Arrangement and
</t>
    </r>
    <r>
      <rPr>
        <sz val="12"/>
        <rFont val="Arial"/>
        <family val="2"/>
      </rPr>
      <t>Reservation Services</t>
    </r>
  </si>
  <si>
    <r>
      <rPr>
        <sz val="12"/>
        <rFont val="Arial"/>
        <family val="2"/>
      </rPr>
      <t>Freight Transportation Arrangement</t>
    </r>
  </si>
  <si>
    <r>
      <rPr>
        <sz val="12"/>
        <rFont val="Arial"/>
        <family val="2"/>
      </rPr>
      <t xml:space="preserve">Process, Physical Distribution, and
</t>
    </r>
    <r>
      <rPr>
        <sz val="12"/>
        <rFont val="Arial"/>
        <family val="2"/>
      </rPr>
      <t>Logistics Consulting Services</t>
    </r>
  </si>
  <si>
    <r>
      <rPr>
        <sz val="12"/>
        <rFont val="Arial"/>
        <family val="2"/>
      </rPr>
      <t>Rental of Railroad Cars</t>
    </r>
  </si>
  <si>
    <r>
      <rPr>
        <sz val="12"/>
        <rFont val="Arial"/>
        <family val="2"/>
      </rPr>
      <t>Packing and Crating</t>
    </r>
  </si>
  <si>
    <r>
      <rPr>
        <sz val="12"/>
        <rFont val="Arial"/>
        <family val="2"/>
      </rPr>
      <t>Inspection and Fixed Facilities</t>
    </r>
  </si>
  <si>
    <r>
      <rPr>
        <sz val="12"/>
        <rFont val="Arial"/>
        <family val="2"/>
      </rPr>
      <t>Transportation Services, Nec</t>
    </r>
  </si>
  <si>
    <r>
      <rPr>
        <sz val="12"/>
        <rFont val="Arial"/>
        <family val="2"/>
      </rPr>
      <t>Food Service Contractors</t>
    </r>
  </si>
  <si>
    <r>
      <rPr>
        <sz val="12"/>
        <rFont val="Arial"/>
        <family val="2"/>
      </rPr>
      <t>Radiotelephone Communication</t>
    </r>
  </si>
  <si>
    <r>
      <rPr>
        <sz val="12"/>
        <rFont val="Arial"/>
        <family val="2"/>
      </rPr>
      <t xml:space="preserve">Wireless Telecommunications Carriers
</t>
    </r>
    <r>
      <rPr>
        <sz val="12"/>
        <rFont val="Arial"/>
        <family val="2"/>
      </rPr>
      <t>(except Satellite)</t>
    </r>
  </si>
  <si>
    <r>
      <rPr>
        <sz val="12"/>
        <rFont val="Arial"/>
        <family val="2"/>
      </rPr>
      <t>Telecommunications Resellers</t>
    </r>
  </si>
  <si>
    <r>
      <rPr>
        <sz val="12"/>
        <rFont val="Arial"/>
        <family val="2"/>
      </rPr>
      <t>Telephone Communication, Except Radio</t>
    </r>
  </si>
  <si>
    <r>
      <rPr>
        <sz val="12"/>
        <rFont val="Arial"/>
        <family val="2"/>
      </rPr>
      <t>Wired Telecommunications Carriers</t>
    </r>
  </si>
  <si>
    <r>
      <rPr>
        <sz val="12"/>
        <rFont val="Arial"/>
        <family val="2"/>
      </rPr>
      <t>Telegraph and Other Communications</t>
    </r>
  </si>
  <si>
    <r>
      <rPr>
        <sz val="12"/>
        <rFont val="Arial"/>
        <family val="2"/>
      </rPr>
      <t>Radio Broadcasting Stations</t>
    </r>
  </si>
  <si>
    <r>
      <rPr>
        <sz val="12"/>
        <rFont val="Arial"/>
        <family val="2"/>
      </rPr>
      <t>Radio Networks</t>
    </r>
  </si>
  <si>
    <r>
      <rPr>
        <sz val="12"/>
        <rFont val="Arial"/>
        <family val="2"/>
      </rPr>
      <t>Radio Stations</t>
    </r>
  </si>
  <si>
    <r>
      <rPr>
        <sz val="12"/>
        <rFont val="Arial"/>
        <family val="2"/>
      </rPr>
      <t>Television Broadcasting Stations</t>
    </r>
  </si>
  <si>
    <r>
      <rPr>
        <sz val="12"/>
        <rFont val="Arial"/>
        <family val="2"/>
      </rPr>
      <t>Television Broadcasting</t>
    </r>
  </si>
  <si>
    <r>
      <rPr>
        <sz val="12"/>
        <rFont val="Arial"/>
        <family val="2"/>
      </rPr>
      <t>Cable and Other Pay Television Services</t>
    </r>
  </si>
  <si>
    <r>
      <rPr>
        <sz val="12"/>
        <rFont val="Arial"/>
        <family val="2"/>
      </rPr>
      <t xml:space="preserve">Cable and Other Subscription
</t>
    </r>
    <r>
      <rPr>
        <sz val="12"/>
        <rFont val="Arial"/>
        <family val="2"/>
      </rPr>
      <t>Programming</t>
    </r>
  </si>
  <si>
    <r>
      <rPr>
        <sz val="12"/>
        <rFont val="Arial"/>
        <family val="2"/>
      </rPr>
      <t>Communication Services, Nec</t>
    </r>
  </si>
  <si>
    <r>
      <rPr>
        <sz val="12"/>
        <rFont val="Arial"/>
        <family val="2"/>
      </rPr>
      <t>Satellite Telecommunications</t>
    </r>
  </si>
  <si>
    <r>
      <rPr>
        <sz val="12"/>
        <rFont val="Arial"/>
        <family val="2"/>
      </rPr>
      <t>All Other Telecommunications</t>
    </r>
  </si>
  <si>
    <r>
      <rPr>
        <sz val="12"/>
        <rFont val="Arial"/>
        <family val="2"/>
      </rPr>
      <t>All Other Personal Services</t>
    </r>
  </si>
  <si>
    <r>
      <rPr>
        <sz val="12"/>
        <rFont val="Arial"/>
        <family val="2"/>
      </rPr>
      <t>Electric Services</t>
    </r>
  </si>
  <si>
    <r>
      <rPr>
        <sz val="12"/>
        <rFont val="Arial"/>
        <family val="2"/>
      </rPr>
      <t>Hydroelectric Power Generation</t>
    </r>
  </si>
  <si>
    <r>
      <rPr>
        <sz val="12"/>
        <rFont val="Arial"/>
        <family val="2"/>
      </rPr>
      <t>Fossil Fuel Electric Power Generation</t>
    </r>
  </si>
  <si>
    <r>
      <rPr>
        <sz val="12"/>
        <rFont val="Arial"/>
        <family val="2"/>
      </rPr>
      <t>Nuclear Electric Power Generation</t>
    </r>
  </si>
  <si>
    <r>
      <rPr>
        <sz val="12"/>
        <rFont val="Arial"/>
        <family val="2"/>
      </rPr>
      <t>Solar Electric Power Generation</t>
    </r>
  </si>
  <si>
    <r>
      <rPr>
        <sz val="12"/>
        <rFont val="Arial"/>
        <family val="2"/>
      </rPr>
      <t>Wind Electric Power Generation</t>
    </r>
  </si>
  <si>
    <r>
      <rPr>
        <sz val="12"/>
        <rFont val="Arial"/>
        <family val="2"/>
      </rPr>
      <t>Geothermal Electric Power Generation</t>
    </r>
  </si>
  <si>
    <r>
      <rPr>
        <sz val="12"/>
        <rFont val="Arial"/>
        <family val="2"/>
      </rPr>
      <t>Biomass Electric Power Generation</t>
    </r>
  </si>
  <si>
    <r>
      <rPr>
        <sz val="12"/>
        <rFont val="Arial"/>
        <family val="2"/>
      </rPr>
      <t>Other Electric Power Generation</t>
    </r>
  </si>
  <si>
    <r>
      <rPr>
        <sz val="12"/>
        <rFont val="Arial"/>
        <family val="2"/>
      </rPr>
      <t xml:space="preserve">Electric Bulk Power Transmission and
</t>
    </r>
    <r>
      <rPr>
        <sz val="12"/>
        <rFont val="Arial"/>
        <family val="2"/>
      </rPr>
      <t>Control</t>
    </r>
  </si>
  <si>
    <r>
      <rPr>
        <sz val="12"/>
        <rFont val="Arial"/>
        <family val="2"/>
      </rPr>
      <t>Electric Power Distribution</t>
    </r>
  </si>
  <si>
    <r>
      <rPr>
        <sz val="12"/>
        <rFont val="Arial"/>
        <family val="2"/>
      </rPr>
      <t>Natural Gas Transmission</t>
    </r>
  </si>
  <si>
    <r>
      <rPr>
        <sz val="12"/>
        <rFont val="Arial"/>
        <family val="2"/>
      </rPr>
      <t>Pipeline Transportation of Natural Gas</t>
    </r>
  </si>
  <si>
    <r>
      <rPr>
        <sz val="12"/>
        <rFont val="Arial"/>
        <family val="2"/>
      </rPr>
      <t>Gas Transmission and Distribution</t>
    </r>
  </si>
  <si>
    <r>
      <rPr>
        <sz val="12"/>
        <rFont val="Arial"/>
        <family val="2"/>
      </rPr>
      <t>Natural Gas Distribution</t>
    </r>
  </si>
  <si>
    <r>
      <rPr>
        <sz val="12"/>
        <rFont val="Arial"/>
        <family val="2"/>
      </rPr>
      <t>Gas Production and/or Distribution</t>
    </r>
  </si>
  <si>
    <r>
      <rPr>
        <sz val="12"/>
        <rFont val="Arial"/>
        <family val="2"/>
      </rPr>
      <t>Electric and Other Services Combined</t>
    </r>
  </si>
  <si>
    <r>
      <rPr>
        <sz val="12"/>
        <rFont val="Arial"/>
        <family val="2"/>
      </rPr>
      <t>Gas and Other Services Combined</t>
    </r>
  </si>
  <si>
    <r>
      <rPr>
        <sz val="12"/>
        <rFont val="Arial"/>
        <family val="2"/>
      </rPr>
      <t>Combination Utilities, Nec</t>
    </r>
  </si>
  <si>
    <r>
      <rPr>
        <sz val="12"/>
        <rFont val="Arial"/>
        <family val="2"/>
      </rPr>
      <t>Water Supply</t>
    </r>
  </si>
  <si>
    <r>
      <rPr>
        <sz val="12"/>
        <rFont val="Arial"/>
        <family val="2"/>
      </rPr>
      <t>Water Supply and Irrigation Systems</t>
    </r>
  </si>
  <si>
    <r>
      <rPr>
        <sz val="12"/>
        <rFont val="Arial"/>
        <family val="2"/>
      </rPr>
      <t>Sewerage Systems</t>
    </r>
  </si>
  <si>
    <r>
      <rPr>
        <sz val="12"/>
        <rFont val="Arial"/>
        <family val="2"/>
      </rPr>
      <t>Sewage Treatment Facilities</t>
    </r>
  </si>
  <si>
    <r>
      <rPr>
        <sz val="12"/>
        <rFont val="Arial"/>
        <family val="2"/>
      </rPr>
      <t>Refuse Systems</t>
    </r>
  </si>
  <si>
    <r>
      <rPr>
        <sz val="12"/>
        <rFont val="Arial"/>
        <family val="2"/>
      </rPr>
      <t>Hazardous Waste Treatment and Disposal</t>
    </r>
  </si>
  <si>
    <r>
      <rPr>
        <sz val="12"/>
        <rFont val="Arial"/>
        <family val="2"/>
      </rPr>
      <t>Solid Waste Landfill</t>
    </r>
  </si>
  <si>
    <r>
      <rPr>
        <sz val="12"/>
        <rFont val="Arial"/>
        <family val="2"/>
      </rPr>
      <t>Solid Waste Combustors and Incinerators</t>
    </r>
  </si>
  <si>
    <r>
      <rPr>
        <sz val="12"/>
        <rFont val="Arial"/>
        <family val="2"/>
      </rPr>
      <t xml:space="preserve">Other Nonhazardous Waste Treatment
</t>
    </r>
    <r>
      <rPr>
        <sz val="12"/>
        <rFont val="Arial"/>
        <family val="2"/>
      </rPr>
      <t>and Disposal</t>
    </r>
  </si>
  <si>
    <r>
      <rPr>
        <sz val="12"/>
        <rFont val="Arial"/>
        <family val="2"/>
      </rPr>
      <t>Materials Recovery Facilities</t>
    </r>
  </si>
  <si>
    <r>
      <rPr>
        <sz val="12"/>
        <rFont val="Arial"/>
        <family val="2"/>
      </rPr>
      <t>Sanitary Services, Nec</t>
    </r>
  </si>
  <si>
    <r>
      <rPr>
        <sz val="12"/>
        <rFont val="Arial"/>
        <family val="2"/>
      </rPr>
      <t>Exterminating and Pest Control Services</t>
    </r>
  </si>
  <si>
    <r>
      <rPr>
        <sz val="12"/>
        <rFont val="Arial"/>
        <family val="2"/>
      </rPr>
      <t xml:space="preserve">All Other Miscellaneous Waste
</t>
    </r>
    <r>
      <rPr>
        <sz val="12"/>
        <rFont val="Arial"/>
        <family val="2"/>
      </rPr>
      <t>Management Services</t>
    </r>
  </si>
  <si>
    <r>
      <rPr>
        <sz val="12"/>
        <rFont val="Arial"/>
        <family val="2"/>
      </rPr>
      <t>Steam and Air-conditioning Supply</t>
    </r>
  </si>
  <si>
    <r>
      <rPr>
        <sz val="12"/>
        <rFont val="Arial"/>
        <family val="2"/>
      </rPr>
      <t>Steam and Air-Conditioning Supply</t>
    </r>
  </si>
  <si>
    <r>
      <rPr>
        <sz val="12"/>
        <rFont val="Arial"/>
        <family val="2"/>
      </rPr>
      <t>Irrigation Systems</t>
    </r>
  </si>
  <si>
    <r>
      <rPr>
        <sz val="12"/>
        <rFont val="Arial"/>
        <family val="2"/>
      </rPr>
      <t>Automobiles and Other Motor Vehicles</t>
    </r>
  </si>
  <si>
    <r>
      <rPr>
        <sz val="12"/>
        <rFont val="Arial"/>
        <family val="2"/>
      </rPr>
      <t xml:space="preserve">Automobile and Other Motor Vehicle
</t>
    </r>
    <r>
      <rPr>
        <sz val="12"/>
        <rFont val="Arial"/>
        <family val="2"/>
      </rPr>
      <t>Merchant Wholesalers</t>
    </r>
  </si>
  <si>
    <r>
      <rPr>
        <sz val="12"/>
        <rFont val="Arial"/>
        <family val="2"/>
      </rPr>
      <t>Business to Business Electronic Markets</t>
    </r>
  </si>
  <si>
    <r>
      <rPr>
        <sz val="12"/>
        <rFont val="Arial"/>
        <family val="2"/>
      </rPr>
      <t>Wholesale Trade Agents and Brokers</t>
    </r>
  </si>
  <si>
    <r>
      <rPr>
        <sz val="12"/>
        <rFont val="Arial"/>
        <family val="2"/>
      </rPr>
      <t>Motor Vehicle Supplies and New Parts</t>
    </r>
  </si>
  <si>
    <r>
      <rPr>
        <sz val="12"/>
        <rFont val="Arial"/>
        <family val="2"/>
      </rPr>
      <t xml:space="preserve">Motor Vehicle Supplies and New Parts
</t>
    </r>
    <r>
      <rPr>
        <sz val="12"/>
        <rFont val="Arial"/>
        <family val="2"/>
      </rPr>
      <t>Merchant Wholesalers</t>
    </r>
  </si>
  <si>
    <r>
      <rPr>
        <sz val="12"/>
        <rFont val="Arial"/>
        <family val="2"/>
      </rPr>
      <t>Automotive Parts and Accessories Stores</t>
    </r>
  </si>
  <si>
    <r>
      <rPr>
        <sz val="12"/>
        <rFont val="Arial"/>
        <family val="2"/>
      </rPr>
      <t>Tires and Tubes</t>
    </r>
  </si>
  <si>
    <r>
      <rPr>
        <sz val="12"/>
        <rFont val="Arial"/>
        <family val="2"/>
      </rPr>
      <t>Tire and Tube Merchant Wholesalers</t>
    </r>
  </si>
  <si>
    <r>
      <rPr>
        <sz val="12"/>
        <rFont val="Arial"/>
        <family val="2"/>
      </rPr>
      <t>Tire Dealers</t>
    </r>
  </si>
  <si>
    <r>
      <rPr>
        <sz val="12"/>
        <rFont val="Arial"/>
        <family val="2"/>
      </rPr>
      <t>Motor Vehicle Parts, Used</t>
    </r>
  </si>
  <si>
    <r>
      <rPr>
        <sz val="12"/>
        <rFont val="Arial"/>
        <family val="2"/>
      </rPr>
      <t xml:space="preserve">Motor Vehicle Parts (Used) Merchant
</t>
    </r>
    <r>
      <rPr>
        <sz val="12"/>
        <rFont val="Arial"/>
        <family val="2"/>
      </rPr>
      <t>Wholesalers</t>
    </r>
  </si>
  <si>
    <r>
      <rPr>
        <sz val="12"/>
        <rFont val="Arial"/>
        <family val="2"/>
      </rPr>
      <t>Furniture</t>
    </r>
  </si>
  <si>
    <r>
      <rPr>
        <sz val="12"/>
        <rFont val="Arial"/>
        <family val="2"/>
      </rPr>
      <t>Furniture Merchant Wholesalers</t>
    </r>
  </si>
  <si>
    <r>
      <rPr>
        <sz val="12"/>
        <rFont val="Arial"/>
        <family val="2"/>
      </rPr>
      <t>Furniture Stores</t>
    </r>
  </si>
  <si>
    <r>
      <rPr>
        <sz val="12"/>
        <rFont val="Arial"/>
        <family val="2"/>
      </rPr>
      <t>Homefurnishings</t>
    </r>
  </si>
  <si>
    <r>
      <rPr>
        <sz val="12"/>
        <rFont val="Arial"/>
        <family val="2"/>
      </rPr>
      <t>Home Furnishing Merchant Wholesalers</t>
    </r>
  </si>
  <si>
    <r>
      <rPr>
        <sz val="12"/>
        <rFont val="Arial"/>
        <family val="2"/>
      </rPr>
      <t>Floor Covering Stores</t>
    </r>
  </si>
  <si>
    <r>
      <rPr>
        <sz val="12"/>
        <rFont val="Arial"/>
        <family val="2"/>
      </rPr>
      <t>Lumber, Plywood, and Millwork</t>
    </r>
  </si>
  <si>
    <r>
      <rPr>
        <sz val="12"/>
        <rFont val="Arial"/>
        <family val="2"/>
      </rPr>
      <t xml:space="preserve">Lumber, Plywood, Millwork, and Wood
</t>
    </r>
    <r>
      <rPr>
        <sz val="12"/>
        <rFont val="Arial"/>
        <family val="2"/>
      </rPr>
      <t>Panel Merchant Wholesalers</t>
    </r>
  </si>
  <si>
    <r>
      <rPr>
        <sz val="12"/>
        <rFont val="Arial"/>
        <family val="2"/>
      </rPr>
      <t>Home Centers</t>
    </r>
  </si>
  <si>
    <r>
      <rPr>
        <sz val="12"/>
        <rFont val="Arial"/>
        <family val="2"/>
      </rPr>
      <t>Brick, Stone, and Related Material</t>
    </r>
  </si>
  <si>
    <r>
      <rPr>
        <sz val="12"/>
        <rFont val="Arial"/>
        <family val="2"/>
      </rPr>
      <t xml:space="preserve">Brick, Stone, and Related Construction
</t>
    </r>
    <r>
      <rPr>
        <sz val="12"/>
        <rFont val="Arial"/>
        <family val="2"/>
      </rPr>
      <t>Material Merchant Wholesalers</t>
    </r>
  </si>
  <si>
    <r>
      <rPr>
        <sz val="12"/>
        <rFont val="Arial"/>
        <family val="2"/>
      </rPr>
      <t>Other Building Material Dealers</t>
    </r>
  </si>
  <si>
    <r>
      <rPr>
        <sz val="12"/>
        <rFont val="Arial"/>
        <family val="2"/>
      </rPr>
      <t>Roofing, Siding, and Insulation</t>
    </r>
  </si>
  <si>
    <r>
      <rPr>
        <sz val="12"/>
        <rFont val="Arial"/>
        <family val="2"/>
      </rPr>
      <t xml:space="preserve">Roofing, Siding, and Insulation Material
</t>
    </r>
    <r>
      <rPr>
        <sz val="12"/>
        <rFont val="Arial"/>
        <family val="2"/>
      </rPr>
      <t>Merchant Wholesalers</t>
    </r>
  </si>
  <si>
    <r>
      <rPr>
        <sz val="12"/>
        <rFont val="Arial"/>
        <family val="2"/>
      </rPr>
      <t>Construction Materials, Nec</t>
    </r>
  </si>
  <si>
    <r>
      <rPr>
        <sz val="12"/>
        <rFont val="Arial"/>
        <family val="2"/>
      </rPr>
      <t xml:space="preserve">Other Construction Material Merchant
</t>
    </r>
    <r>
      <rPr>
        <sz val="12"/>
        <rFont val="Arial"/>
        <family val="2"/>
      </rPr>
      <t>Wholesalers</t>
    </r>
  </si>
  <si>
    <r>
      <rPr>
        <sz val="12"/>
        <rFont val="Arial"/>
        <family val="2"/>
      </rPr>
      <t xml:space="preserve">Photographic Equipment and Supplies
</t>
    </r>
    <r>
      <rPr>
        <sz val="12"/>
        <rFont val="Arial"/>
        <family val="2"/>
      </rPr>
      <t>Merchant Wholesalers</t>
    </r>
  </si>
  <si>
    <r>
      <rPr>
        <sz val="12"/>
        <rFont val="Arial"/>
        <family val="2"/>
      </rPr>
      <t>Office Equipment</t>
    </r>
  </si>
  <si>
    <r>
      <rPr>
        <sz val="12"/>
        <rFont val="Arial"/>
        <family val="2"/>
      </rPr>
      <t>Office Equipment Merchant Wholesalers</t>
    </r>
  </si>
  <si>
    <r>
      <rPr>
        <sz val="12"/>
        <rFont val="Arial"/>
        <family val="2"/>
      </rPr>
      <t>Office Supplies and Stationery Stores</t>
    </r>
  </si>
  <si>
    <r>
      <rPr>
        <sz val="12"/>
        <rFont val="Arial"/>
        <family val="2"/>
      </rPr>
      <t>Computers, Peripherals, and Software</t>
    </r>
  </si>
  <si>
    <r>
      <rPr>
        <sz val="12"/>
        <rFont val="Arial"/>
        <family val="2"/>
      </rPr>
      <t xml:space="preserve">Computer and Computer Peripheral Equipment and Software Merchant
</t>
    </r>
    <r>
      <rPr>
        <sz val="12"/>
        <rFont val="Arial"/>
        <family val="2"/>
      </rPr>
      <t>Wholesalers</t>
    </r>
  </si>
  <si>
    <r>
      <rPr>
        <sz val="12"/>
        <rFont val="Arial"/>
        <family val="2"/>
      </rPr>
      <t>Electronics Stores</t>
    </r>
  </si>
  <si>
    <r>
      <rPr>
        <sz val="12"/>
        <rFont val="Arial"/>
        <family val="2"/>
      </rPr>
      <t>Commercial Equipment, Nec</t>
    </r>
  </si>
  <si>
    <r>
      <rPr>
        <sz val="12"/>
        <rFont val="Arial"/>
        <family val="2"/>
      </rPr>
      <t xml:space="preserve">Other Commercial Equipment Merchant
</t>
    </r>
    <r>
      <rPr>
        <sz val="12"/>
        <rFont val="Arial"/>
        <family val="2"/>
      </rPr>
      <t>Wholesalers</t>
    </r>
  </si>
  <si>
    <r>
      <rPr>
        <sz val="12"/>
        <rFont val="Arial"/>
        <family val="2"/>
      </rPr>
      <t>Medical and Hospital Equipment</t>
    </r>
  </si>
  <si>
    <r>
      <rPr>
        <sz val="12"/>
        <rFont val="Arial"/>
        <family val="2"/>
      </rPr>
      <t xml:space="preserve">Medical, Dental, and Hospital Equipment
</t>
    </r>
    <r>
      <rPr>
        <sz val="12"/>
        <rFont val="Arial"/>
        <family val="2"/>
      </rPr>
      <t>and Supplies Merchant Wholesalers</t>
    </r>
  </si>
  <si>
    <r>
      <rPr>
        <sz val="12"/>
        <rFont val="Arial"/>
        <family val="2"/>
      </rPr>
      <t>All Other Health and Personal Care Stores</t>
    </r>
  </si>
  <si>
    <r>
      <rPr>
        <sz val="12"/>
        <rFont val="Arial"/>
        <family val="2"/>
      </rPr>
      <t>Ophthalmic Goods Merchant Wholesalers</t>
    </r>
  </si>
  <si>
    <r>
      <rPr>
        <sz val="12"/>
        <rFont val="Arial"/>
        <family val="2"/>
      </rPr>
      <t>Professional Equipment, Nec</t>
    </r>
  </si>
  <si>
    <r>
      <rPr>
        <sz val="12"/>
        <rFont val="Arial"/>
        <family val="2"/>
      </rPr>
      <t xml:space="preserve">Other Professional Equipment and
</t>
    </r>
    <r>
      <rPr>
        <sz val="12"/>
        <rFont val="Arial"/>
        <family val="2"/>
      </rPr>
      <t>Supplies Merchant Wholesalers</t>
    </r>
  </si>
  <si>
    <r>
      <rPr>
        <sz val="12"/>
        <rFont val="Arial"/>
        <family val="2"/>
      </rPr>
      <t>Metals Service Centers and Offices</t>
    </r>
  </si>
  <si>
    <r>
      <rPr>
        <sz val="12"/>
        <rFont val="Arial"/>
        <family val="2"/>
      </rPr>
      <t xml:space="preserve">Metal Service Centers and Other Metal
</t>
    </r>
    <r>
      <rPr>
        <sz val="12"/>
        <rFont val="Arial"/>
        <family val="2"/>
      </rPr>
      <t>Merchant Wholesalers</t>
    </r>
  </si>
  <si>
    <r>
      <rPr>
        <sz val="12"/>
        <rFont val="Arial"/>
        <family val="2"/>
      </rPr>
      <t>Coal and Other Minerals and Ores</t>
    </r>
  </si>
  <si>
    <r>
      <rPr>
        <sz val="12"/>
        <rFont val="Arial"/>
        <family val="2"/>
      </rPr>
      <t xml:space="preserve">Coal and Other Mineral and Ore Merchant
</t>
    </r>
    <r>
      <rPr>
        <sz val="12"/>
        <rFont val="Arial"/>
        <family val="2"/>
      </rPr>
      <t>Wholesalers</t>
    </r>
  </si>
  <si>
    <r>
      <rPr>
        <sz val="12"/>
        <rFont val="Arial"/>
        <family val="2"/>
      </rPr>
      <t>Electrical Apparatus and Equipment</t>
    </r>
  </si>
  <si>
    <r>
      <rPr>
        <sz val="12"/>
        <rFont val="Arial"/>
        <family val="2"/>
      </rPr>
      <t xml:space="preserve">Electrical Apparatus and Equipment,
</t>
    </r>
    <r>
      <rPr>
        <sz val="12"/>
        <rFont val="Arial"/>
        <family val="2"/>
      </rPr>
      <t>Wiring Supplies, and Related Equipment Merchant Wholesalers</t>
    </r>
  </si>
  <si>
    <r>
      <rPr>
        <sz val="12"/>
        <rFont val="Arial"/>
        <family val="2"/>
      </rPr>
      <t>Electrical Appliances, Television and Radio</t>
    </r>
  </si>
  <si>
    <r>
      <rPr>
        <sz val="12"/>
        <rFont val="Arial"/>
        <family val="2"/>
      </rPr>
      <t xml:space="preserve">Household Appliances, Electric
</t>
    </r>
    <r>
      <rPr>
        <sz val="12"/>
        <rFont val="Arial"/>
        <family val="2"/>
      </rPr>
      <t>Housewares, and Consumer Electronics Merchant Wholesalers</t>
    </r>
  </si>
  <si>
    <r>
      <rPr>
        <sz val="12"/>
        <rFont val="Arial"/>
        <family val="2"/>
      </rPr>
      <t xml:space="preserve">Plumbing and Heating Equipment and
</t>
    </r>
    <r>
      <rPr>
        <sz val="12"/>
        <rFont val="Arial"/>
        <family val="2"/>
      </rPr>
      <t>Supplies (Hydronics) Merchant Wholesalers</t>
    </r>
  </si>
  <si>
    <r>
      <rPr>
        <sz val="12"/>
        <rFont val="Arial"/>
        <family val="2"/>
      </rPr>
      <t>Household Appliance Stores</t>
    </r>
  </si>
  <si>
    <r>
      <rPr>
        <sz val="12"/>
        <rFont val="Arial"/>
        <family val="2"/>
      </rPr>
      <t>Electronic Parts and Equipment, Nec</t>
    </r>
  </si>
  <si>
    <r>
      <rPr>
        <sz val="12"/>
        <rFont val="Arial"/>
        <family val="2"/>
      </rPr>
      <t xml:space="preserve">Other Electronic Parts and Equipment
</t>
    </r>
    <r>
      <rPr>
        <sz val="12"/>
        <rFont val="Arial"/>
        <family val="2"/>
      </rPr>
      <t>Merchant Wholesalers</t>
    </r>
  </si>
  <si>
    <r>
      <rPr>
        <sz val="12"/>
        <rFont val="Arial"/>
        <family val="2"/>
      </rPr>
      <t>Hardware</t>
    </r>
  </si>
  <si>
    <r>
      <rPr>
        <sz val="12"/>
        <rFont val="Arial"/>
        <family val="2"/>
      </rPr>
      <t>Hardware Merchant Wholesalers</t>
    </r>
  </si>
  <si>
    <r>
      <rPr>
        <sz val="12"/>
        <rFont val="Arial"/>
        <family val="2"/>
      </rPr>
      <t>Hardware Stores</t>
    </r>
  </si>
  <si>
    <r>
      <rPr>
        <sz val="12"/>
        <rFont val="Arial"/>
        <family val="2"/>
      </rPr>
      <t>Plumbing and Hydronic Heating Supplies</t>
    </r>
  </si>
  <si>
    <r>
      <rPr>
        <sz val="12"/>
        <rFont val="Arial"/>
        <family val="2"/>
      </rPr>
      <t xml:space="preserve">Household Appliances, Electric Housewares, and Consumer Electronics
</t>
    </r>
    <r>
      <rPr>
        <sz val="12"/>
        <rFont val="Arial"/>
        <family val="2"/>
      </rPr>
      <t>Merchant Wholesalers</t>
    </r>
  </si>
  <si>
    <r>
      <rPr>
        <sz val="12"/>
        <rFont val="Arial"/>
        <family val="2"/>
      </rPr>
      <t xml:space="preserve">Plumbing and Heating Equipment and Supplies (Hydronics) Merchant
</t>
    </r>
    <r>
      <rPr>
        <sz val="12"/>
        <rFont val="Arial"/>
        <family val="2"/>
      </rPr>
      <t>Wholesalers</t>
    </r>
  </si>
  <si>
    <r>
      <rPr>
        <sz val="12"/>
        <rFont val="Arial"/>
        <family val="2"/>
      </rPr>
      <t>Warm Air Heating and Air Conditioning</t>
    </r>
  </si>
  <si>
    <r>
      <rPr>
        <sz val="12"/>
        <rFont val="Arial"/>
        <family val="2"/>
      </rPr>
      <t xml:space="preserve">Warm Air Heating and Air-Conditioning Equipment and Supplies Merchant
</t>
    </r>
    <r>
      <rPr>
        <sz val="12"/>
        <rFont val="Arial"/>
        <family val="2"/>
      </rPr>
      <t>Wholesalers</t>
    </r>
  </si>
  <si>
    <r>
      <rPr>
        <sz val="12"/>
        <rFont val="Arial"/>
        <family val="2"/>
      </rPr>
      <t>Refrigeration Equipment and Supplies</t>
    </r>
  </si>
  <si>
    <r>
      <rPr>
        <sz val="12"/>
        <rFont val="Arial"/>
        <family val="2"/>
      </rPr>
      <t xml:space="preserve">Refrigeration Equipment and Supplies
</t>
    </r>
    <r>
      <rPr>
        <sz val="12"/>
        <rFont val="Arial"/>
        <family val="2"/>
      </rPr>
      <t>Merchant Wholesalers</t>
    </r>
  </si>
  <si>
    <r>
      <rPr>
        <sz val="12"/>
        <rFont val="Arial"/>
        <family val="2"/>
      </rPr>
      <t>Construction and Mining Machinery</t>
    </r>
  </si>
  <si>
    <r>
      <rPr>
        <sz val="12"/>
        <rFont val="Arial"/>
        <family val="2"/>
      </rPr>
      <t xml:space="preserve">Construction and Mining (except Oil Well) Machinery and Equipment Merchant
</t>
    </r>
    <r>
      <rPr>
        <sz val="12"/>
        <rFont val="Arial"/>
        <family val="2"/>
      </rPr>
      <t>Wholesalers</t>
    </r>
  </si>
  <si>
    <r>
      <rPr>
        <sz val="12"/>
        <rFont val="Arial"/>
        <family val="2"/>
      </rPr>
      <t>Farm and Garden Machinery</t>
    </r>
  </si>
  <si>
    <r>
      <rPr>
        <sz val="12"/>
        <rFont val="Arial"/>
        <family val="2"/>
      </rPr>
      <t xml:space="preserve">Farm and Garden Machinery and
</t>
    </r>
    <r>
      <rPr>
        <sz val="12"/>
        <rFont val="Arial"/>
        <family val="2"/>
      </rPr>
      <t>Equipment Merchant Wholesalers</t>
    </r>
  </si>
  <si>
    <r>
      <rPr>
        <sz val="12"/>
        <rFont val="Arial"/>
        <family val="2"/>
      </rPr>
      <t>Outdoor Power Equipment Stores</t>
    </r>
  </si>
  <si>
    <r>
      <rPr>
        <sz val="12"/>
        <rFont val="Arial"/>
        <family val="2"/>
      </rPr>
      <t>Industrial Machinery and Equipment</t>
    </r>
  </si>
  <si>
    <r>
      <rPr>
        <sz val="12"/>
        <rFont val="Arial"/>
        <family val="2"/>
      </rPr>
      <t xml:space="preserve">Industrial Machinery and Equipment
</t>
    </r>
    <r>
      <rPr>
        <sz val="12"/>
        <rFont val="Arial"/>
        <family val="2"/>
      </rPr>
      <t>Merchant Wholesalers</t>
    </r>
  </si>
  <si>
    <r>
      <rPr>
        <sz val="12"/>
        <rFont val="Arial"/>
        <family val="2"/>
      </rPr>
      <t>Industrial Supplies</t>
    </r>
  </si>
  <si>
    <r>
      <rPr>
        <sz val="12"/>
        <rFont val="Arial"/>
        <family val="2"/>
      </rPr>
      <t>Industrial Supplies Merchant Wholesalers</t>
    </r>
  </si>
  <si>
    <r>
      <rPr>
        <sz val="12"/>
        <rFont val="Arial"/>
        <family val="2"/>
      </rPr>
      <t xml:space="preserve">All Other Miscellaneous Store Retailers
</t>
    </r>
    <r>
      <rPr>
        <sz val="12"/>
        <rFont val="Arial"/>
        <family val="2"/>
      </rPr>
      <t>(except Tobacco Stores)</t>
    </r>
  </si>
  <si>
    <r>
      <rPr>
        <sz val="12"/>
        <rFont val="Arial"/>
        <family val="2"/>
      </rPr>
      <t>Service Establishment Equipment</t>
    </r>
  </si>
  <si>
    <r>
      <rPr>
        <sz val="12"/>
        <rFont val="Arial"/>
        <family val="2"/>
      </rPr>
      <t xml:space="preserve">Service Establishment Equipment and
</t>
    </r>
    <r>
      <rPr>
        <sz val="12"/>
        <rFont val="Arial"/>
        <family val="2"/>
      </rPr>
      <t>Supplies Merchant Wholesalers</t>
    </r>
  </si>
  <si>
    <r>
      <rPr>
        <sz val="12"/>
        <rFont val="Arial"/>
        <family val="2"/>
      </rPr>
      <t xml:space="preserve">Cosmetics, Beauty Supplies, and Perfume
</t>
    </r>
    <r>
      <rPr>
        <sz val="12"/>
        <rFont val="Arial"/>
        <family val="2"/>
      </rPr>
      <t>Stores</t>
    </r>
  </si>
  <si>
    <r>
      <rPr>
        <sz val="12"/>
        <rFont val="Arial"/>
        <family val="2"/>
      </rPr>
      <t>Transportation Equipment and Supplies</t>
    </r>
  </si>
  <si>
    <r>
      <rPr>
        <sz val="12"/>
        <rFont val="Arial"/>
        <family val="2"/>
      </rPr>
      <t xml:space="preserve">Transportation Equipment and Supplies (except Motor Vehicle) Merchant
</t>
    </r>
    <r>
      <rPr>
        <sz val="12"/>
        <rFont val="Arial"/>
        <family val="2"/>
      </rPr>
      <t>Wholesalers</t>
    </r>
  </si>
  <si>
    <r>
      <rPr>
        <sz val="12"/>
        <rFont val="Arial"/>
        <family val="2"/>
      </rPr>
      <t>Sporting and Recreation Goods</t>
    </r>
  </si>
  <si>
    <r>
      <rPr>
        <sz val="12"/>
        <rFont val="Arial"/>
        <family val="2"/>
      </rPr>
      <t xml:space="preserve">Sporting and Recreational Goods and
</t>
    </r>
    <r>
      <rPr>
        <sz val="12"/>
        <rFont val="Arial"/>
        <family val="2"/>
      </rPr>
      <t>Supplies Merchant Wholesalers</t>
    </r>
  </si>
  <si>
    <r>
      <rPr>
        <sz val="12"/>
        <rFont val="Arial"/>
        <family val="2"/>
      </rPr>
      <t>Sporting Goods Stores</t>
    </r>
  </si>
  <si>
    <r>
      <rPr>
        <sz val="12"/>
        <rFont val="Arial"/>
        <family val="2"/>
      </rPr>
      <t>Toys and Hobby Goods and Supplies</t>
    </r>
  </si>
  <si>
    <r>
      <rPr>
        <sz val="12"/>
        <rFont val="Arial"/>
        <family val="2"/>
      </rPr>
      <t xml:space="preserve">Toy and Hobby Goods and Supplies
</t>
    </r>
    <r>
      <rPr>
        <sz val="12"/>
        <rFont val="Arial"/>
        <family val="2"/>
      </rPr>
      <t>Merchant Wholesalers</t>
    </r>
  </si>
  <si>
    <r>
      <rPr>
        <sz val="12"/>
        <rFont val="Arial"/>
        <family val="2"/>
      </rPr>
      <t>Hobby, Toy, and Game Stores</t>
    </r>
  </si>
  <si>
    <r>
      <rPr>
        <sz val="12"/>
        <rFont val="Arial"/>
        <family val="2"/>
      </rPr>
      <t>Scrap and Waste Materials</t>
    </r>
  </si>
  <si>
    <r>
      <rPr>
        <sz val="12"/>
        <rFont val="Arial"/>
        <family val="2"/>
      </rPr>
      <t>Recyclable Material Merchant Wholesalers</t>
    </r>
  </si>
  <si>
    <r>
      <rPr>
        <sz val="12"/>
        <rFont val="Arial"/>
        <family val="2"/>
      </rPr>
      <t>Jewelry and Precious Stones</t>
    </r>
  </si>
  <si>
    <r>
      <rPr>
        <sz val="12"/>
        <rFont val="Arial"/>
        <family val="2"/>
      </rPr>
      <t xml:space="preserve">Jewelry, Watch, Precious Stone, and
</t>
    </r>
    <r>
      <rPr>
        <sz val="12"/>
        <rFont val="Arial"/>
        <family val="2"/>
      </rPr>
      <t>Precious Metal Merchant Wholesalers</t>
    </r>
  </si>
  <si>
    <r>
      <rPr>
        <sz val="12"/>
        <rFont val="Arial"/>
        <family val="2"/>
      </rPr>
      <t>Jewelry Stores</t>
    </r>
  </si>
  <si>
    <r>
      <rPr>
        <sz val="12"/>
        <rFont val="Arial"/>
        <family val="2"/>
      </rPr>
      <t>Durable Goods, Nec</t>
    </r>
  </si>
  <si>
    <r>
      <rPr>
        <sz val="12"/>
        <rFont val="Arial"/>
        <family val="2"/>
      </rPr>
      <t xml:space="preserve">Other Miscellaneous Durable Goods
</t>
    </r>
    <r>
      <rPr>
        <sz val="12"/>
        <rFont val="Arial"/>
        <family val="2"/>
      </rPr>
      <t>Merchant Wholesalers</t>
    </r>
  </si>
  <si>
    <r>
      <rPr>
        <sz val="12"/>
        <rFont val="Arial"/>
        <family val="2"/>
      </rPr>
      <t>Printing and Writing Paper</t>
    </r>
  </si>
  <si>
    <r>
      <rPr>
        <sz val="12"/>
        <rFont val="Arial"/>
        <family val="2"/>
      </rPr>
      <t xml:space="preserve">Printing and Writing Paper Merchant
</t>
    </r>
    <r>
      <rPr>
        <sz val="12"/>
        <rFont val="Arial"/>
        <family val="2"/>
      </rPr>
      <t>Wholesalers</t>
    </r>
  </si>
  <si>
    <r>
      <rPr>
        <sz val="12"/>
        <rFont val="Arial"/>
        <family val="2"/>
      </rPr>
      <t>Stationery and Office Supplies</t>
    </r>
  </si>
  <si>
    <r>
      <rPr>
        <sz val="12"/>
        <rFont val="Arial"/>
        <family val="2"/>
      </rPr>
      <t xml:space="preserve">Stationery and Office Supplies Merchant
</t>
    </r>
    <r>
      <rPr>
        <sz val="12"/>
        <rFont val="Arial"/>
        <family val="2"/>
      </rPr>
      <t>Wholesalers</t>
    </r>
  </si>
  <si>
    <r>
      <rPr>
        <sz val="12"/>
        <rFont val="Arial"/>
        <family val="2"/>
      </rPr>
      <t>Industrial and Personal Service Paper</t>
    </r>
  </si>
  <si>
    <r>
      <rPr>
        <sz val="12"/>
        <rFont val="Arial"/>
        <family val="2"/>
      </rPr>
      <t xml:space="preserve">Industrial and Personal Service Paper
</t>
    </r>
    <r>
      <rPr>
        <sz val="12"/>
        <rFont val="Arial"/>
        <family val="2"/>
      </rPr>
      <t>Merchant Wholesalers</t>
    </r>
  </si>
  <si>
    <r>
      <rPr>
        <sz val="12"/>
        <rFont val="Arial"/>
        <family val="2"/>
      </rPr>
      <t>Drugs, Proprietaries, and Sundries</t>
    </r>
  </si>
  <si>
    <r>
      <rPr>
        <sz val="12"/>
        <rFont val="Arial"/>
        <family val="2"/>
      </rPr>
      <t xml:space="preserve">Drugs and Druggists' Sundries Merchant
</t>
    </r>
    <r>
      <rPr>
        <sz val="12"/>
        <rFont val="Arial"/>
        <family val="2"/>
      </rPr>
      <t>Wholesalers</t>
    </r>
  </si>
  <si>
    <r>
      <rPr>
        <sz val="12"/>
        <rFont val="Arial"/>
        <family val="2"/>
      </rPr>
      <t>Pharmacies and Drug Stores</t>
    </r>
  </si>
  <si>
    <r>
      <rPr>
        <sz val="12"/>
        <rFont val="Arial"/>
        <family val="2"/>
      </rPr>
      <t>Food (Health) Supplement Stores</t>
    </r>
  </si>
  <si>
    <r>
      <rPr>
        <sz val="12"/>
        <rFont val="Arial"/>
        <family val="2"/>
      </rPr>
      <t>Piece Goods and Notions</t>
    </r>
  </si>
  <si>
    <r>
      <rPr>
        <sz val="12"/>
        <rFont val="Arial"/>
        <family val="2"/>
      </rPr>
      <t xml:space="preserve">Piece Goods, Notions, and Other Dry
</t>
    </r>
    <r>
      <rPr>
        <sz val="12"/>
        <rFont val="Arial"/>
        <family val="2"/>
      </rPr>
      <t>Goods Merchant Wholesalers</t>
    </r>
  </si>
  <si>
    <r>
      <rPr>
        <sz val="12"/>
        <rFont val="Arial"/>
        <family val="2"/>
      </rPr>
      <t xml:space="preserve">Sewing, Needlework, and Piece Goods
</t>
    </r>
    <r>
      <rPr>
        <sz val="12"/>
        <rFont val="Arial"/>
        <family val="2"/>
      </rPr>
      <t>Stores</t>
    </r>
  </si>
  <si>
    <r>
      <rPr>
        <sz val="12"/>
        <rFont val="Arial"/>
        <family val="2"/>
      </rPr>
      <t>Men's and Boy's Clothing</t>
    </r>
  </si>
  <si>
    <r>
      <rPr>
        <sz val="12"/>
        <rFont val="Arial"/>
        <family val="2"/>
      </rPr>
      <t xml:space="preserve">Men's and Boys' Clothing and Furnishings
</t>
    </r>
    <r>
      <rPr>
        <sz val="12"/>
        <rFont val="Arial"/>
        <family val="2"/>
      </rPr>
      <t>Merchant Wholesalers</t>
    </r>
  </si>
  <si>
    <r>
      <rPr>
        <sz val="12"/>
        <rFont val="Arial"/>
        <family val="2"/>
      </rPr>
      <t>Men's Clothing Stores</t>
    </r>
  </si>
  <si>
    <r>
      <rPr>
        <sz val="12"/>
        <rFont val="Arial"/>
        <family val="2"/>
      </rPr>
      <t>Other Clothing Stores</t>
    </r>
  </si>
  <si>
    <r>
      <rPr>
        <sz val="12"/>
        <rFont val="Arial"/>
        <family val="2"/>
      </rPr>
      <t>Women's and Children's Clothing</t>
    </r>
  </si>
  <si>
    <r>
      <rPr>
        <sz val="12"/>
        <rFont val="Arial"/>
        <family val="2"/>
      </rPr>
      <t xml:space="preserve">Women's, Children's, and Infants' Clothing
</t>
    </r>
    <r>
      <rPr>
        <sz val="12"/>
        <rFont val="Arial"/>
        <family val="2"/>
      </rPr>
      <t>and Accessories Merchant Wholesalers</t>
    </r>
  </si>
  <si>
    <r>
      <rPr>
        <sz val="12"/>
        <rFont val="Arial"/>
        <family val="2"/>
      </rPr>
      <t>Women's Clothing Stores</t>
    </r>
  </si>
  <si>
    <r>
      <rPr>
        <sz val="12"/>
        <rFont val="Arial"/>
        <family val="2"/>
      </rPr>
      <t>Children's and Infants' Clothing Stores</t>
    </r>
  </si>
  <si>
    <r>
      <rPr>
        <sz val="12"/>
        <rFont val="Arial"/>
        <family val="2"/>
      </rPr>
      <t>Footwear</t>
    </r>
  </si>
  <si>
    <r>
      <rPr>
        <sz val="12"/>
        <rFont val="Arial"/>
        <family val="2"/>
      </rPr>
      <t>Footwear Merchant Wholesalers</t>
    </r>
  </si>
  <si>
    <r>
      <rPr>
        <sz val="12"/>
        <rFont val="Arial"/>
        <family val="2"/>
      </rPr>
      <t>Shoe Stores</t>
    </r>
  </si>
  <si>
    <r>
      <rPr>
        <sz val="12"/>
        <rFont val="Arial"/>
        <family val="2"/>
      </rPr>
      <t>Groceries, General Line</t>
    </r>
  </si>
  <si>
    <r>
      <rPr>
        <sz val="12"/>
        <rFont val="Arial"/>
        <family val="2"/>
      </rPr>
      <t xml:space="preserve">General Line Grocery Merchant
</t>
    </r>
    <r>
      <rPr>
        <sz val="12"/>
        <rFont val="Arial"/>
        <family val="2"/>
      </rPr>
      <t>Wholesalers</t>
    </r>
  </si>
  <si>
    <r>
      <rPr>
        <sz val="12"/>
        <rFont val="Arial"/>
        <family val="2"/>
      </rPr>
      <t xml:space="preserve">Supermarkets and Other Grocery (except
</t>
    </r>
    <r>
      <rPr>
        <sz val="12"/>
        <rFont val="Arial"/>
        <family val="2"/>
      </rPr>
      <t>Convenience) Stores</t>
    </r>
  </si>
  <si>
    <r>
      <rPr>
        <sz val="12"/>
        <rFont val="Arial"/>
        <family val="2"/>
      </rPr>
      <t>Packaged Frozen Goods</t>
    </r>
  </si>
  <si>
    <r>
      <rPr>
        <sz val="12"/>
        <rFont val="Arial"/>
        <family val="2"/>
      </rPr>
      <t xml:space="preserve">Packaged Frozen Food Merchant
</t>
    </r>
    <r>
      <rPr>
        <sz val="12"/>
        <rFont val="Arial"/>
        <family val="2"/>
      </rPr>
      <t>Wholesalers</t>
    </r>
  </si>
  <si>
    <r>
      <rPr>
        <sz val="12"/>
        <rFont val="Arial"/>
        <family val="2"/>
      </rPr>
      <t>Other Direct Selling Establishments</t>
    </r>
  </si>
  <si>
    <r>
      <rPr>
        <sz val="12"/>
        <rFont val="Arial"/>
        <family val="2"/>
      </rPr>
      <t>Dairy Products, Except Dried or Canned</t>
    </r>
  </si>
  <si>
    <r>
      <rPr>
        <sz val="12"/>
        <rFont val="Arial"/>
        <family val="2"/>
      </rPr>
      <t xml:space="preserve">Dairy Product (except Dried or Canned)
</t>
    </r>
    <r>
      <rPr>
        <sz val="12"/>
        <rFont val="Arial"/>
        <family val="2"/>
      </rPr>
      <t>Merchant Wholesalers</t>
    </r>
  </si>
  <si>
    <r>
      <rPr>
        <sz val="12"/>
        <rFont val="Arial"/>
        <family val="2"/>
      </rPr>
      <t>All Other Specialty Food Stores</t>
    </r>
  </si>
  <si>
    <r>
      <rPr>
        <sz val="12"/>
        <rFont val="Arial"/>
        <family val="2"/>
      </rPr>
      <t>Poultry and Poultry Products</t>
    </r>
  </si>
  <si>
    <r>
      <rPr>
        <sz val="12"/>
        <rFont val="Arial"/>
        <family val="2"/>
      </rPr>
      <t xml:space="preserve">Poultry and Poultry Product Merchant
</t>
    </r>
    <r>
      <rPr>
        <sz val="12"/>
        <rFont val="Arial"/>
        <family val="2"/>
      </rPr>
      <t>Wholesalers</t>
    </r>
  </si>
  <si>
    <r>
      <rPr>
        <sz val="12"/>
        <rFont val="Arial"/>
        <family val="2"/>
      </rPr>
      <t>Meat Markets</t>
    </r>
  </si>
  <si>
    <r>
      <rPr>
        <sz val="12"/>
        <rFont val="Arial"/>
        <family val="2"/>
      </rPr>
      <t>Confectionery</t>
    </r>
  </si>
  <si>
    <r>
      <rPr>
        <sz val="12"/>
        <rFont val="Arial"/>
        <family val="2"/>
      </rPr>
      <t>Confectionery Merchant Wholesalers</t>
    </r>
  </si>
  <si>
    <r>
      <rPr>
        <sz val="12"/>
        <rFont val="Arial"/>
        <family val="2"/>
      </rPr>
      <t>Confectionery and Nut Stores</t>
    </r>
  </si>
  <si>
    <r>
      <rPr>
        <sz val="12"/>
        <rFont val="Arial"/>
        <family val="2"/>
      </rPr>
      <t>Fish and Seafoods</t>
    </r>
  </si>
  <si>
    <r>
      <rPr>
        <sz val="12"/>
        <rFont val="Arial"/>
        <family val="2"/>
      </rPr>
      <t>Fish and Seafood Merchant Wholesalers</t>
    </r>
  </si>
  <si>
    <r>
      <rPr>
        <sz val="12"/>
        <rFont val="Arial"/>
        <family val="2"/>
      </rPr>
      <t>Fish and Seafood Markets</t>
    </r>
  </si>
  <si>
    <r>
      <rPr>
        <sz val="12"/>
        <rFont val="Arial"/>
        <family val="2"/>
      </rPr>
      <t>Meats and Meat Products</t>
    </r>
  </si>
  <si>
    <r>
      <rPr>
        <sz val="12"/>
        <rFont val="Arial"/>
        <family val="2"/>
      </rPr>
      <t xml:space="preserve">Meat and Meat Product Merchant
</t>
    </r>
    <r>
      <rPr>
        <sz val="12"/>
        <rFont val="Arial"/>
        <family val="2"/>
      </rPr>
      <t>Wholesalers</t>
    </r>
  </si>
  <si>
    <r>
      <rPr>
        <sz val="12"/>
        <rFont val="Arial"/>
        <family val="2"/>
      </rPr>
      <t>Fresh Fruits and Vegetables</t>
    </r>
  </si>
  <si>
    <r>
      <rPr>
        <sz val="12"/>
        <rFont val="Arial"/>
        <family val="2"/>
      </rPr>
      <t xml:space="preserve">Fresh Fruit and Vegetable Merchant
</t>
    </r>
    <r>
      <rPr>
        <sz val="12"/>
        <rFont val="Arial"/>
        <family val="2"/>
      </rPr>
      <t>Wholesalers</t>
    </r>
  </si>
  <si>
    <r>
      <rPr>
        <sz val="12"/>
        <rFont val="Arial"/>
        <family val="2"/>
      </rPr>
      <t>Fruit and Vegetable Markets</t>
    </r>
  </si>
  <si>
    <r>
      <rPr>
        <sz val="12"/>
        <rFont val="Arial"/>
        <family val="2"/>
      </rPr>
      <t>Groceries and Related Products, Nec</t>
    </r>
  </si>
  <si>
    <r>
      <rPr>
        <sz val="12"/>
        <rFont val="Arial"/>
        <family val="2"/>
      </rPr>
      <t xml:space="preserve">Other Grocery and Related Products
</t>
    </r>
    <r>
      <rPr>
        <sz val="12"/>
        <rFont val="Arial"/>
        <family val="2"/>
      </rPr>
      <t>Merchant Wholesalers</t>
    </r>
  </si>
  <si>
    <r>
      <rPr>
        <sz val="12"/>
        <rFont val="Arial"/>
        <family val="2"/>
      </rPr>
      <t>Pet and Pet Supplies Stores</t>
    </r>
  </si>
  <si>
    <r>
      <rPr>
        <sz val="12"/>
        <rFont val="Arial"/>
        <family val="2"/>
      </rPr>
      <t>Grain and Field Beans</t>
    </r>
  </si>
  <si>
    <r>
      <rPr>
        <sz val="12"/>
        <rFont val="Arial"/>
        <family val="2"/>
      </rPr>
      <t xml:space="preserve">Grain and Field Bean Merchant
</t>
    </r>
    <r>
      <rPr>
        <sz val="12"/>
        <rFont val="Arial"/>
        <family val="2"/>
      </rPr>
      <t>Wholesalers</t>
    </r>
  </si>
  <si>
    <r>
      <rPr>
        <sz val="12"/>
        <rFont val="Arial"/>
        <family val="2"/>
      </rPr>
      <t xml:space="preserve">Nursery, Garden Center, and Farm Supply
</t>
    </r>
    <r>
      <rPr>
        <sz val="12"/>
        <rFont val="Arial"/>
        <family val="2"/>
      </rPr>
      <t>Stores</t>
    </r>
  </si>
  <si>
    <r>
      <rPr>
        <sz val="12"/>
        <rFont val="Arial"/>
        <family val="2"/>
      </rPr>
      <t>Livestock</t>
    </r>
  </si>
  <si>
    <r>
      <rPr>
        <sz val="12"/>
        <rFont val="Arial"/>
        <family val="2"/>
      </rPr>
      <t>Livestock Merchant Wholesalers</t>
    </r>
  </si>
  <si>
    <r>
      <rPr>
        <sz val="12"/>
        <rFont val="Arial"/>
        <family val="2"/>
      </rPr>
      <t>Farm-product Raw Materials, Nec</t>
    </r>
  </si>
  <si>
    <r>
      <rPr>
        <sz val="12"/>
        <rFont val="Arial"/>
        <family val="2"/>
      </rPr>
      <t xml:space="preserve">Other Farm Product Raw Material
</t>
    </r>
    <r>
      <rPr>
        <sz val="12"/>
        <rFont val="Arial"/>
        <family val="2"/>
      </rPr>
      <t>Merchant Wholesalers</t>
    </r>
  </si>
  <si>
    <r>
      <rPr>
        <sz val="12"/>
        <rFont val="Arial"/>
        <family val="2"/>
      </rPr>
      <t>Plastics Materials and Basic Shapes</t>
    </r>
  </si>
  <si>
    <r>
      <rPr>
        <sz val="12"/>
        <rFont val="Arial"/>
        <family val="2"/>
      </rPr>
      <t xml:space="preserve">Plastics Materials and Basic Forms and
</t>
    </r>
    <r>
      <rPr>
        <sz val="12"/>
        <rFont val="Arial"/>
        <family val="2"/>
      </rPr>
      <t>Shapes Merchant Wholesalers</t>
    </r>
  </si>
  <si>
    <r>
      <rPr>
        <sz val="12"/>
        <rFont val="Arial"/>
        <family val="2"/>
      </rPr>
      <t>Chemicals and Allied Products, Nec</t>
    </r>
  </si>
  <si>
    <r>
      <rPr>
        <sz val="12"/>
        <rFont val="Arial"/>
        <family val="2"/>
      </rPr>
      <t xml:space="preserve">Other Chemical and Allied Products
</t>
    </r>
    <r>
      <rPr>
        <sz val="12"/>
        <rFont val="Arial"/>
        <family val="2"/>
      </rPr>
      <t>Merchant Wholesalers</t>
    </r>
  </si>
  <si>
    <r>
      <rPr>
        <sz val="12"/>
        <rFont val="Arial"/>
        <family val="2"/>
      </rPr>
      <t>Petroleum Bulk Stations and Terminals</t>
    </r>
  </si>
  <si>
    <r>
      <rPr>
        <sz val="12"/>
        <rFont val="Arial"/>
        <family val="2"/>
      </rPr>
      <t>Fuel Dealers</t>
    </r>
  </si>
  <si>
    <r>
      <rPr>
        <sz val="12"/>
        <rFont val="Arial"/>
        <family val="2"/>
      </rPr>
      <t>Petroleum Products, Nec</t>
    </r>
  </si>
  <si>
    <r>
      <rPr>
        <sz val="12"/>
        <rFont val="Arial"/>
        <family val="2"/>
      </rPr>
      <t xml:space="preserve">Petroleum and Petroleum Products Merchant Wholesalers (except Bulk
</t>
    </r>
    <r>
      <rPr>
        <sz val="12"/>
        <rFont val="Arial"/>
        <family val="2"/>
      </rPr>
      <t>Stations and Terminals)</t>
    </r>
  </si>
  <si>
    <r>
      <rPr>
        <sz val="12"/>
        <rFont val="Arial"/>
        <family val="2"/>
      </rPr>
      <t>Beer and Ale</t>
    </r>
  </si>
  <si>
    <r>
      <rPr>
        <sz val="12"/>
        <rFont val="Arial"/>
        <family val="2"/>
      </rPr>
      <t>Beer and Ale Merchant Wholesalers</t>
    </r>
  </si>
  <si>
    <r>
      <rPr>
        <sz val="12"/>
        <rFont val="Arial"/>
        <family val="2"/>
      </rPr>
      <t>Beer, Wine, and Liquor Stores</t>
    </r>
  </si>
  <si>
    <r>
      <rPr>
        <sz val="12"/>
        <rFont val="Arial"/>
        <family val="2"/>
      </rPr>
      <t>Wine and Distilled Beverages</t>
    </r>
  </si>
  <si>
    <r>
      <rPr>
        <sz val="12"/>
        <rFont val="Arial"/>
        <family val="2"/>
      </rPr>
      <t xml:space="preserve">Wine and Distilled Alcoholic Beverage
</t>
    </r>
    <r>
      <rPr>
        <sz val="12"/>
        <rFont val="Arial"/>
        <family val="2"/>
      </rPr>
      <t>Merchant Wholesalers</t>
    </r>
  </si>
  <si>
    <r>
      <rPr>
        <sz val="12"/>
        <rFont val="Arial"/>
        <family val="2"/>
      </rPr>
      <t>Farm Supplies</t>
    </r>
  </si>
  <si>
    <r>
      <rPr>
        <sz val="12"/>
        <rFont val="Arial"/>
        <family val="2"/>
      </rPr>
      <t>Farm Supplies Merchant Wholesalers</t>
    </r>
  </si>
  <si>
    <r>
      <rPr>
        <sz val="12"/>
        <rFont val="Arial"/>
        <family val="2"/>
      </rPr>
      <t>Books, Periodicals, and Newspapers</t>
    </r>
  </si>
  <si>
    <r>
      <rPr>
        <sz val="12"/>
        <rFont val="Arial"/>
        <family val="2"/>
      </rPr>
      <t xml:space="preserve">Book, Periodical, and Newspaper
</t>
    </r>
    <r>
      <rPr>
        <sz val="12"/>
        <rFont val="Arial"/>
        <family val="2"/>
      </rPr>
      <t>Merchant Wholesalers</t>
    </r>
  </si>
  <si>
    <r>
      <rPr>
        <sz val="12"/>
        <rFont val="Arial"/>
        <family val="2"/>
      </rPr>
      <t>Book Stores</t>
    </r>
  </si>
  <si>
    <r>
      <rPr>
        <sz val="12"/>
        <rFont val="Arial"/>
        <family val="2"/>
      </rPr>
      <t>Flowers and Florists Supplies</t>
    </r>
  </si>
  <si>
    <r>
      <rPr>
        <sz val="12"/>
        <rFont val="Arial"/>
        <family val="2"/>
      </rPr>
      <t xml:space="preserve">Flower, Nursery Stock, and Florists'
</t>
    </r>
    <r>
      <rPr>
        <sz val="12"/>
        <rFont val="Arial"/>
        <family val="2"/>
      </rPr>
      <t>Supplies Merchant Wholesalers</t>
    </r>
  </si>
  <si>
    <r>
      <rPr>
        <sz val="12"/>
        <rFont val="Arial"/>
        <family val="2"/>
      </rPr>
      <t>Tobacco and Tobacco Products</t>
    </r>
  </si>
  <si>
    <r>
      <rPr>
        <sz val="12"/>
        <rFont val="Arial"/>
        <family val="2"/>
      </rPr>
      <t xml:space="preserve">Tobacco and Tobacco Product Merchant
</t>
    </r>
    <r>
      <rPr>
        <sz val="12"/>
        <rFont val="Arial"/>
        <family val="2"/>
      </rPr>
      <t>Wholesalers</t>
    </r>
  </si>
  <si>
    <r>
      <rPr>
        <sz val="12"/>
        <rFont val="Arial"/>
        <family val="2"/>
      </rPr>
      <t>Tobacco Stores</t>
    </r>
  </si>
  <si>
    <r>
      <rPr>
        <sz val="12"/>
        <rFont val="Arial"/>
        <family val="2"/>
      </rPr>
      <t>Paints, Varnishes, and Supplies</t>
    </r>
  </si>
  <si>
    <r>
      <rPr>
        <sz val="12"/>
        <rFont val="Arial"/>
        <family val="2"/>
      </rPr>
      <t xml:space="preserve">Paint, Varnish, and Supplies Merchant
</t>
    </r>
    <r>
      <rPr>
        <sz val="12"/>
        <rFont val="Arial"/>
        <family val="2"/>
      </rPr>
      <t>Wholesalers</t>
    </r>
  </si>
  <si>
    <r>
      <rPr>
        <sz val="12"/>
        <rFont val="Arial"/>
        <family val="2"/>
      </rPr>
      <t>Nondurable Goods, Nec</t>
    </r>
  </si>
  <si>
    <r>
      <rPr>
        <sz val="12"/>
        <rFont val="Arial"/>
        <family val="2"/>
      </rPr>
      <t xml:space="preserve">Other Miscellaneous Nondurable Goods
</t>
    </r>
    <r>
      <rPr>
        <sz val="12"/>
        <rFont val="Arial"/>
        <family val="2"/>
      </rPr>
      <t>Merchant Wholesalers</t>
    </r>
  </si>
  <si>
    <r>
      <rPr>
        <sz val="12"/>
        <rFont val="Arial"/>
        <family val="2"/>
      </rPr>
      <t>Gift, Novelty, and Souvenir Stores</t>
    </r>
  </si>
  <si>
    <r>
      <rPr>
        <sz val="12"/>
        <rFont val="Arial"/>
        <family val="2"/>
      </rPr>
      <t>Other Services Related to Advertising</t>
    </r>
  </si>
  <si>
    <r>
      <rPr>
        <sz val="12"/>
        <rFont val="Arial"/>
        <family val="2"/>
      </rPr>
      <t>Lumber and Other Building Materials</t>
    </r>
  </si>
  <si>
    <r>
      <rPr>
        <sz val="12"/>
        <rFont val="Arial"/>
        <family val="2"/>
      </rPr>
      <t>Paint, Glass, and Wallpaper Stores</t>
    </r>
  </si>
  <si>
    <r>
      <rPr>
        <sz val="12"/>
        <rFont val="Arial"/>
        <family val="2"/>
      </rPr>
      <t>Paint and Wallpaper Stores</t>
    </r>
  </si>
  <si>
    <r>
      <rPr>
        <sz val="12"/>
        <rFont val="Arial"/>
        <family val="2"/>
      </rPr>
      <t>Retail Nurseries and Garden Stores</t>
    </r>
  </si>
  <si>
    <r>
      <rPr>
        <sz val="12"/>
        <rFont val="Arial"/>
        <family val="2"/>
      </rPr>
      <t>Mobile Home Dealers</t>
    </r>
  </si>
  <si>
    <r>
      <rPr>
        <sz val="12"/>
        <rFont val="Arial"/>
        <family val="2"/>
      </rPr>
      <t>Manufactured (Mobile) Home Dealers</t>
    </r>
  </si>
  <si>
    <r>
      <rPr>
        <sz val="12"/>
        <rFont val="Arial"/>
        <family val="2"/>
      </rPr>
      <t>Department Stores</t>
    </r>
  </si>
  <si>
    <r>
      <rPr>
        <sz val="12"/>
        <rFont val="Arial"/>
        <family val="2"/>
      </rPr>
      <t>Warehouse Clubs and Supercenters</t>
    </r>
  </si>
  <si>
    <r>
      <rPr>
        <sz val="12"/>
        <rFont val="Arial"/>
        <family val="2"/>
      </rPr>
      <t>Variety Stores</t>
    </r>
  </si>
  <si>
    <r>
      <rPr>
        <sz val="12"/>
        <rFont val="Arial"/>
        <family val="2"/>
      </rPr>
      <t>All Other General Merchandise Stores</t>
    </r>
  </si>
  <si>
    <r>
      <rPr>
        <sz val="12"/>
        <rFont val="Arial"/>
        <family val="2"/>
      </rPr>
      <t>Miscellaneous General Merchandise</t>
    </r>
  </si>
  <si>
    <r>
      <rPr>
        <sz val="12"/>
        <rFont val="Arial"/>
        <family val="2"/>
      </rPr>
      <t>Grocery Stores</t>
    </r>
  </si>
  <si>
    <r>
      <rPr>
        <sz val="12"/>
        <rFont val="Arial"/>
        <family val="2"/>
      </rPr>
      <t>Convenience Stores</t>
    </r>
  </si>
  <si>
    <r>
      <rPr>
        <sz val="12"/>
        <rFont val="Arial"/>
        <family val="2"/>
      </rPr>
      <t>Gasoline Stations with Convenience Stores</t>
    </r>
  </si>
  <si>
    <r>
      <rPr>
        <sz val="12"/>
        <rFont val="Arial"/>
        <family val="2"/>
      </rPr>
      <t>Meat and Fish Markets</t>
    </r>
  </si>
  <si>
    <r>
      <rPr>
        <sz val="12"/>
        <rFont val="Arial"/>
        <family val="2"/>
      </rPr>
      <t>Candy, Nut, and Confectionery Stores</t>
    </r>
  </si>
  <si>
    <r>
      <rPr>
        <sz val="12"/>
        <rFont val="Arial"/>
        <family val="2"/>
      </rPr>
      <t>Dairy Products Stores</t>
    </r>
  </si>
  <si>
    <r>
      <rPr>
        <sz val="12"/>
        <rFont val="Arial"/>
        <family val="2"/>
      </rPr>
      <t>Retail Bakeries</t>
    </r>
  </si>
  <si>
    <r>
      <rPr>
        <sz val="12"/>
        <rFont val="Arial"/>
        <family val="2"/>
      </rPr>
      <t>Baked Goods Stores</t>
    </r>
  </si>
  <si>
    <r>
      <rPr>
        <sz val="12"/>
        <rFont val="Arial"/>
        <family val="2"/>
      </rPr>
      <t>Snack and Nonalcoholic Beverage Bars</t>
    </r>
  </si>
  <si>
    <r>
      <rPr>
        <sz val="12"/>
        <rFont val="Arial"/>
        <family val="2"/>
      </rPr>
      <t>Miscellaneous Food Stores</t>
    </r>
  </si>
  <si>
    <r>
      <rPr>
        <sz val="12"/>
        <rFont val="Arial"/>
        <family val="2"/>
      </rPr>
      <t>New and Used Car Dealers</t>
    </r>
  </si>
  <si>
    <r>
      <rPr>
        <sz val="12"/>
        <rFont val="Arial"/>
        <family val="2"/>
      </rPr>
      <t>New Car Dealers</t>
    </r>
  </si>
  <si>
    <r>
      <rPr>
        <sz val="12"/>
        <rFont val="Arial"/>
        <family val="2"/>
      </rPr>
      <t>Used Car Dealers</t>
    </r>
  </si>
  <si>
    <r>
      <rPr>
        <sz val="12"/>
        <rFont val="Arial"/>
        <family val="2"/>
      </rPr>
      <t>Auto and Home Supply Stores</t>
    </r>
  </si>
  <si>
    <r>
      <rPr>
        <sz val="12"/>
        <rFont val="Arial"/>
        <family val="2"/>
      </rPr>
      <t>Gasoline Service Stations</t>
    </r>
  </si>
  <si>
    <r>
      <rPr>
        <sz val="12"/>
        <rFont val="Arial"/>
        <family val="2"/>
      </rPr>
      <t>Other Gasoline Stations</t>
    </r>
  </si>
  <si>
    <r>
      <rPr>
        <sz val="12"/>
        <rFont val="Arial"/>
        <family val="2"/>
      </rPr>
      <t>Boat Dealers</t>
    </r>
  </si>
  <si>
    <r>
      <rPr>
        <sz val="12"/>
        <rFont val="Arial"/>
        <family val="2"/>
      </rPr>
      <t>Recreational Vehicle Dealers</t>
    </r>
  </si>
  <si>
    <r>
      <rPr>
        <sz val="12"/>
        <rFont val="Arial"/>
        <family val="2"/>
      </rPr>
      <t>Motorcycle Dealers</t>
    </r>
  </si>
  <si>
    <r>
      <rPr>
        <sz val="12"/>
        <rFont val="Arial"/>
        <family val="2"/>
      </rPr>
      <t xml:space="preserve">Motorcycle, ATV, and All Other Motor
</t>
    </r>
    <r>
      <rPr>
        <sz val="12"/>
        <rFont val="Arial"/>
        <family val="2"/>
      </rPr>
      <t>Vehicle Dealers</t>
    </r>
  </si>
  <si>
    <r>
      <rPr>
        <sz val="12"/>
        <rFont val="Arial"/>
        <family val="2"/>
      </rPr>
      <t>Automotive Dealers, Nec</t>
    </r>
  </si>
  <si>
    <r>
      <rPr>
        <sz val="12"/>
        <rFont val="Arial"/>
        <family val="2"/>
      </rPr>
      <t>Men's and Boys' Clothing Stores</t>
    </r>
  </si>
  <si>
    <r>
      <rPr>
        <sz val="12"/>
        <rFont val="Arial"/>
        <family val="2"/>
      </rPr>
      <t>Clothing Accessories Stores</t>
    </r>
  </si>
  <si>
    <r>
      <rPr>
        <sz val="12"/>
        <rFont val="Arial"/>
        <family val="2"/>
      </rPr>
      <t>Women's Accessory and Specialty Stores</t>
    </r>
  </si>
  <si>
    <r>
      <rPr>
        <sz val="12"/>
        <rFont val="Arial"/>
        <family val="2"/>
      </rPr>
      <t>Children's and Infants' Wear Stores</t>
    </r>
  </si>
  <si>
    <r>
      <rPr>
        <sz val="12"/>
        <rFont val="Arial"/>
        <family val="2"/>
      </rPr>
      <t>Family Clothing Stores</t>
    </r>
  </si>
  <si>
    <r>
      <rPr>
        <sz val="12"/>
        <rFont val="Arial"/>
        <family val="2"/>
      </rPr>
      <t>Miscellaneous Apparel and Accessories</t>
    </r>
  </si>
  <si>
    <r>
      <rPr>
        <sz val="12"/>
        <rFont val="Arial"/>
        <family val="2"/>
      </rPr>
      <t>Drapery and Upholstery Stores</t>
    </r>
  </si>
  <si>
    <r>
      <rPr>
        <sz val="12"/>
        <rFont val="Arial"/>
        <family val="2"/>
      </rPr>
      <t>Window Treatment Stores</t>
    </r>
  </si>
  <si>
    <r>
      <rPr>
        <sz val="12"/>
        <rFont val="Arial"/>
        <family val="2"/>
      </rPr>
      <t>Miscellaneous Homefurnishings</t>
    </r>
  </si>
  <si>
    <r>
      <rPr>
        <sz val="12"/>
        <rFont val="Arial"/>
        <family val="2"/>
      </rPr>
      <t>All Other Home Furnishings Stores</t>
    </r>
  </si>
  <si>
    <r>
      <rPr>
        <sz val="12"/>
        <rFont val="Arial"/>
        <family val="2"/>
      </rPr>
      <t>Radio, Television, and Electronic Stores</t>
    </r>
  </si>
  <si>
    <r>
      <rPr>
        <sz val="12"/>
        <rFont val="Arial"/>
        <family val="2"/>
      </rPr>
      <t>Computer and Software Stores</t>
    </r>
  </si>
  <si>
    <r>
      <rPr>
        <sz val="12"/>
        <rFont val="Arial"/>
        <family val="2"/>
      </rPr>
      <t>Record and Prerecorded Tape Stores</t>
    </r>
  </si>
  <si>
    <r>
      <rPr>
        <sz val="12"/>
        <rFont val="Arial"/>
        <family val="2"/>
      </rPr>
      <t>Musical Instrument Stores</t>
    </r>
  </si>
  <si>
    <r>
      <rPr>
        <sz val="12"/>
        <rFont val="Arial"/>
        <family val="2"/>
      </rPr>
      <t>Musical Instrument and Supplies Stores</t>
    </r>
  </si>
  <si>
    <r>
      <rPr>
        <sz val="12"/>
        <rFont val="Arial"/>
        <family val="2"/>
      </rPr>
      <t>Eating Places</t>
    </r>
  </si>
  <si>
    <r>
      <rPr>
        <sz val="12"/>
        <rFont val="Arial"/>
        <family val="2"/>
      </rPr>
      <t>Theater Companies and Dinner Theaters</t>
    </r>
  </si>
  <si>
    <r>
      <rPr>
        <sz val="12"/>
        <rFont val="Arial"/>
        <family val="2"/>
      </rPr>
      <t>Caterers</t>
    </r>
  </si>
  <si>
    <r>
      <rPr>
        <sz val="12"/>
        <rFont val="Arial"/>
        <family val="2"/>
      </rPr>
      <t>Full-Service Restaurants</t>
    </r>
  </si>
  <si>
    <r>
      <rPr>
        <sz val="12"/>
        <rFont val="Arial"/>
        <family val="2"/>
      </rPr>
      <t>Limited-Service Restaurants</t>
    </r>
  </si>
  <si>
    <r>
      <rPr>
        <sz val="12"/>
        <rFont val="Arial"/>
        <family val="2"/>
      </rPr>
      <t>Cafeterias, Grill Buffets, and Buffets</t>
    </r>
  </si>
  <si>
    <r>
      <rPr>
        <sz val="12"/>
        <rFont val="Arial"/>
        <family val="2"/>
      </rPr>
      <t>Drinking Places</t>
    </r>
  </si>
  <si>
    <r>
      <rPr>
        <sz val="12"/>
        <rFont val="Arial"/>
        <family val="2"/>
      </rPr>
      <t>Drinking Places (Alcoholic Beverages)</t>
    </r>
  </si>
  <si>
    <r>
      <rPr>
        <sz val="12"/>
        <rFont val="Arial"/>
        <family val="2"/>
      </rPr>
      <t>Drug Stores and Proprietary Stores</t>
    </r>
  </si>
  <si>
    <r>
      <rPr>
        <sz val="12"/>
        <rFont val="Arial"/>
        <family val="2"/>
      </rPr>
      <t>Liquor Stores</t>
    </r>
  </si>
  <si>
    <r>
      <rPr>
        <sz val="12"/>
        <rFont val="Arial"/>
        <family val="2"/>
      </rPr>
      <t>Used Merchandise Stores</t>
    </r>
  </si>
  <si>
    <r>
      <rPr>
        <sz val="12"/>
        <rFont val="Arial"/>
        <family val="2"/>
      </rPr>
      <t xml:space="preserve">All Other Nondepository Credit
</t>
    </r>
    <r>
      <rPr>
        <sz val="12"/>
        <rFont val="Arial"/>
        <family val="2"/>
      </rPr>
      <t>Intermediation</t>
    </r>
  </si>
  <si>
    <r>
      <rPr>
        <sz val="12"/>
        <rFont val="Arial"/>
        <family val="2"/>
      </rPr>
      <t>Sporting Goods and Bicycle Shops</t>
    </r>
  </si>
  <si>
    <r>
      <rPr>
        <sz val="12"/>
        <rFont val="Arial"/>
        <family val="2"/>
      </rPr>
      <t>Stationery Stores</t>
    </r>
  </si>
  <si>
    <r>
      <rPr>
        <sz val="12"/>
        <rFont val="Arial"/>
        <family val="2"/>
      </rPr>
      <t>Hobby, Toy, and Game Shops</t>
    </r>
  </si>
  <si>
    <r>
      <rPr>
        <sz val="12"/>
        <rFont val="Arial"/>
        <family val="2"/>
      </rPr>
      <t>Camera and Photographic Supply Stores</t>
    </r>
  </si>
  <si>
    <r>
      <rPr>
        <sz val="12"/>
        <rFont val="Arial"/>
        <family val="2"/>
      </rPr>
      <t>Gift, Novelty, and Souvenir Shop</t>
    </r>
  </si>
  <si>
    <r>
      <rPr>
        <sz val="12"/>
        <rFont val="Arial"/>
        <family val="2"/>
      </rPr>
      <t>Luggage and Leather Goods Stores</t>
    </r>
  </si>
  <si>
    <r>
      <rPr>
        <sz val="12"/>
        <rFont val="Arial"/>
        <family val="2"/>
      </rPr>
      <t>Sewing, Needlework, and Piece Goods</t>
    </r>
  </si>
  <si>
    <r>
      <rPr>
        <sz val="12"/>
        <rFont val="Arial"/>
        <family val="2"/>
      </rPr>
      <t>Catalog and Mail-order Houses</t>
    </r>
  </si>
  <si>
    <r>
      <rPr>
        <sz val="12"/>
        <rFont val="Arial"/>
        <family val="2"/>
      </rPr>
      <t xml:space="preserve">Electronic Shopping and Mail-Order
</t>
    </r>
    <r>
      <rPr>
        <sz val="12"/>
        <rFont val="Arial"/>
        <family val="2"/>
      </rPr>
      <t>Houses</t>
    </r>
  </si>
  <si>
    <r>
      <rPr>
        <sz val="12"/>
        <rFont val="Arial"/>
        <family val="2"/>
      </rPr>
      <t>Merchandising Machine Operators</t>
    </r>
  </si>
  <si>
    <r>
      <rPr>
        <sz val="12"/>
        <rFont val="Arial"/>
        <family val="2"/>
      </rPr>
      <t>Vending Machine Operators</t>
    </r>
  </si>
  <si>
    <r>
      <rPr>
        <sz val="12"/>
        <rFont val="Arial"/>
        <family val="2"/>
      </rPr>
      <t>Direct Selling Establishments</t>
    </r>
  </si>
  <si>
    <r>
      <rPr>
        <sz val="12"/>
        <rFont val="Arial"/>
        <family val="2"/>
      </rPr>
      <t>Mobile Food Services</t>
    </r>
  </si>
  <si>
    <r>
      <rPr>
        <sz val="12"/>
        <rFont val="Arial"/>
        <family val="2"/>
      </rPr>
      <t>Fuel Oil Dealers</t>
    </r>
  </si>
  <si>
    <r>
      <rPr>
        <sz val="12"/>
        <rFont val="Arial"/>
        <family val="2"/>
      </rPr>
      <t>Liquefied Petroleum Gas Dealers</t>
    </r>
  </si>
  <si>
    <r>
      <rPr>
        <sz val="12"/>
        <rFont val="Arial"/>
        <family val="2"/>
      </rPr>
      <t>Fuel Dealers, Nec</t>
    </r>
  </si>
  <si>
    <r>
      <rPr>
        <sz val="12"/>
        <rFont val="Arial"/>
        <family val="2"/>
      </rPr>
      <t>Florists</t>
    </r>
  </si>
  <si>
    <r>
      <rPr>
        <sz val="12"/>
        <rFont val="Arial"/>
        <family val="2"/>
      </rPr>
      <t>Tobacco Stores and Stands</t>
    </r>
  </si>
  <si>
    <r>
      <rPr>
        <sz val="12"/>
        <rFont val="Arial"/>
        <family val="2"/>
      </rPr>
      <t>News Dealers and Newsstands</t>
    </r>
  </si>
  <si>
    <r>
      <rPr>
        <sz val="12"/>
        <rFont val="Arial"/>
        <family val="2"/>
      </rPr>
      <t>Optical Goods Stores</t>
    </r>
  </si>
  <si>
    <r>
      <rPr>
        <sz val="12"/>
        <rFont val="Arial"/>
        <family val="2"/>
      </rPr>
      <t>Miscellaneous Retail Stores, Nec</t>
    </r>
  </si>
  <si>
    <r>
      <rPr>
        <sz val="12"/>
        <rFont val="Arial"/>
        <family val="2"/>
      </rPr>
      <t>Art Dealers</t>
    </r>
  </si>
  <si>
    <r>
      <rPr>
        <sz val="12"/>
        <rFont val="Arial"/>
        <family val="2"/>
      </rPr>
      <t>Federal Reserve Banks</t>
    </r>
  </si>
  <si>
    <r>
      <rPr>
        <sz val="12"/>
        <rFont val="Arial"/>
        <family val="2"/>
      </rPr>
      <t>Monetary Authorities-Central Bank</t>
    </r>
  </si>
  <si>
    <r>
      <rPr>
        <sz val="12"/>
        <rFont val="Arial"/>
        <family val="2"/>
      </rPr>
      <t>Central Reserve Depository, Nec</t>
    </r>
  </si>
  <si>
    <r>
      <rPr>
        <sz val="12"/>
        <rFont val="Arial"/>
        <family val="2"/>
      </rPr>
      <t>National Commercial Banks</t>
    </r>
  </si>
  <si>
    <r>
      <rPr>
        <sz val="12"/>
        <rFont val="Arial"/>
        <family val="2"/>
      </rPr>
      <t>Commercial Banking</t>
    </r>
  </si>
  <si>
    <r>
      <rPr>
        <sz val="12"/>
        <rFont val="Arial"/>
        <family val="2"/>
      </rPr>
      <t>Credit Card Issuing</t>
    </r>
  </si>
  <si>
    <r>
      <rPr>
        <sz val="12"/>
        <rFont val="Arial"/>
        <family val="2"/>
      </rPr>
      <t>State Commercial Banks</t>
    </r>
  </si>
  <si>
    <r>
      <rPr>
        <sz val="12"/>
        <rFont val="Arial"/>
        <family val="2"/>
      </rPr>
      <t>Other Depository Credit Intermediation</t>
    </r>
  </si>
  <si>
    <r>
      <rPr>
        <sz val="12"/>
        <rFont val="Arial"/>
        <family val="2"/>
      </rPr>
      <t>Commercial Banks, Nec</t>
    </r>
  </si>
  <si>
    <r>
      <rPr>
        <sz val="12"/>
        <rFont val="Arial"/>
        <family val="2"/>
      </rPr>
      <t>Federal Savings Institutions</t>
    </r>
  </si>
  <si>
    <r>
      <rPr>
        <sz val="12"/>
        <rFont val="Arial"/>
        <family val="2"/>
      </rPr>
      <t>Savings Institutions</t>
    </r>
  </si>
  <si>
    <r>
      <rPr>
        <sz val="12"/>
        <rFont val="Arial"/>
        <family val="2"/>
      </rPr>
      <t>Savings Institutions, Except Federal</t>
    </r>
  </si>
  <si>
    <r>
      <rPr>
        <sz val="12"/>
        <rFont val="Arial"/>
        <family val="2"/>
      </rPr>
      <t>Federal Credit Unions</t>
    </r>
  </si>
  <si>
    <r>
      <rPr>
        <sz val="12"/>
        <rFont val="Arial"/>
        <family val="2"/>
      </rPr>
      <t>Credit Unions</t>
    </r>
  </si>
  <si>
    <r>
      <rPr>
        <sz val="12"/>
        <rFont val="Arial"/>
        <family val="2"/>
      </rPr>
      <t>State Credit Unions</t>
    </r>
  </si>
  <si>
    <r>
      <rPr>
        <sz val="12"/>
        <rFont val="Arial"/>
        <family val="2"/>
      </rPr>
      <t>Foreign Bank and Branches and Agencies</t>
    </r>
  </si>
  <si>
    <r>
      <rPr>
        <sz val="12"/>
        <rFont val="Arial"/>
        <family val="2"/>
      </rPr>
      <t>International Trade Financing</t>
    </r>
  </si>
  <si>
    <r>
      <rPr>
        <sz val="12"/>
        <rFont val="Arial"/>
        <family val="2"/>
      </rPr>
      <t>Foreign Trade and International Banks</t>
    </r>
  </si>
  <si>
    <r>
      <rPr>
        <sz val="12"/>
        <rFont val="Arial"/>
        <family val="2"/>
      </rPr>
      <t>Nondeposit Trust Facilities</t>
    </r>
  </si>
  <si>
    <r>
      <rPr>
        <sz val="12"/>
        <rFont val="Arial"/>
        <family val="2"/>
      </rPr>
      <t>Trust, Fiduciary, and Custody Activities</t>
    </r>
  </si>
  <si>
    <r>
      <rPr>
        <sz val="12"/>
        <rFont val="Arial"/>
        <family val="2"/>
      </rPr>
      <t>Functions Related To Depository Banking</t>
    </r>
  </si>
  <si>
    <r>
      <rPr>
        <sz val="12"/>
        <rFont val="Arial"/>
        <family val="2"/>
      </rPr>
      <t xml:space="preserve">Financial Transactions Processing,
</t>
    </r>
    <r>
      <rPr>
        <sz val="12"/>
        <rFont val="Arial"/>
        <family val="2"/>
      </rPr>
      <t>Reserve, and Clearinghouse Activities</t>
    </r>
  </si>
  <si>
    <r>
      <rPr>
        <sz val="12"/>
        <rFont val="Arial"/>
        <family val="2"/>
      </rPr>
      <t xml:space="preserve">Other Activities Related to Credit
</t>
    </r>
    <r>
      <rPr>
        <sz val="12"/>
        <rFont val="Arial"/>
        <family val="2"/>
      </rPr>
      <t>Intermediation</t>
    </r>
  </si>
  <si>
    <r>
      <rPr>
        <sz val="12"/>
        <rFont val="Arial"/>
        <family val="2"/>
      </rPr>
      <t>Commodity Contracts Dealing</t>
    </r>
  </si>
  <si>
    <r>
      <rPr>
        <sz val="12"/>
        <rFont val="Arial"/>
        <family val="2"/>
      </rPr>
      <t>Federal and Federally Sponsored Credit</t>
    </r>
  </si>
  <si>
    <r>
      <rPr>
        <sz val="12"/>
        <rFont val="Arial"/>
        <family val="2"/>
      </rPr>
      <t>Real Estate Credit</t>
    </r>
  </si>
  <si>
    <r>
      <rPr>
        <sz val="12"/>
        <rFont val="Arial"/>
        <family val="2"/>
      </rPr>
      <t>Secondary Market Financing</t>
    </r>
  </si>
  <si>
    <r>
      <rPr>
        <sz val="12"/>
        <rFont val="Arial"/>
        <family val="2"/>
      </rPr>
      <t>Personal Credit Institutions</t>
    </r>
  </si>
  <si>
    <r>
      <rPr>
        <sz val="12"/>
        <rFont val="Arial"/>
        <family val="2"/>
      </rPr>
      <t>Sales Financing</t>
    </r>
  </si>
  <si>
    <r>
      <rPr>
        <sz val="12"/>
        <rFont val="Arial"/>
        <family val="2"/>
      </rPr>
      <t>Consumer Lending</t>
    </r>
  </si>
  <si>
    <r>
      <rPr>
        <sz val="12"/>
        <rFont val="Arial"/>
        <family val="2"/>
      </rPr>
      <t>Short-term Business Credit</t>
    </r>
  </si>
  <si>
    <r>
      <rPr>
        <sz val="12"/>
        <rFont val="Arial"/>
        <family val="2"/>
      </rPr>
      <t>Miscellaneous Intermediation</t>
    </r>
  </si>
  <si>
    <r>
      <rPr>
        <sz val="12"/>
        <rFont val="Arial"/>
        <family val="2"/>
      </rPr>
      <t>Miscellaneous Business Credit</t>
    </r>
  </si>
  <si>
    <r>
      <rPr>
        <sz val="12"/>
        <rFont val="Arial"/>
        <family val="2"/>
      </rPr>
      <t>Mortgage Bankers and Correspondents</t>
    </r>
  </si>
  <si>
    <r>
      <rPr>
        <sz val="12"/>
        <rFont val="Arial"/>
        <family val="2"/>
      </rPr>
      <t>Loan Brokers</t>
    </r>
  </si>
  <si>
    <r>
      <rPr>
        <sz val="12"/>
        <rFont val="Arial"/>
        <family val="2"/>
      </rPr>
      <t>Mortgage and Nonmortgage Loan Brokers</t>
    </r>
  </si>
  <si>
    <r>
      <rPr>
        <sz val="12"/>
        <rFont val="Arial"/>
        <family val="2"/>
      </rPr>
      <t>Security Brokers and Dealers</t>
    </r>
  </si>
  <si>
    <r>
      <rPr>
        <sz val="12"/>
        <rFont val="Arial"/>
        <family val="2"/>
      </rPr>
      <t>Investment Banking and Securities Dealing</t>
    </r>
  </si>
  <si>
    <r>
      <rPr>
        <sz val="12"/>
        <rFont val="Arial"/>
        <family val="2"/>
      </rPr>
      <t>Securities Brokerage</t>
    </r>
  </si>
  <si>
    <r>
      <rPr>
        <sz val="12"/>
        <rFont val="Arial"/>
        <family val="2"/>
      </rPr>
      <t xml:space="preserve">Miscellaneous Financial Investment
</t>
    </r>
    <r>
      <rPr>
        <sz val="12"/>
        <rFont val="Arial"/>
        <family val="2"/>
      </rPr>
      <t>Activities</t>
    </r>
  </si>
  <si>
    <r>
      <rPr>
        <sz val="12"/>
        <rFont val="Arial"/>
        <family val="2"/>
      </rPr>
      <t>Commodity Contracts Brokers, Dealers</t>
    </r>
  </si>
  <si>
    <r>
      <rPr>
        <sz val="12"/>
        <rFont val="Arial"/>
        <family val="2"/>
      </rPr>
      <t>Commodity Contracts Brokerage</t>
    </r>
  </si>
  <si>
    <r>
      <rPr>
        <sz val="12"/>
        <rFont val="Arial"/>
        <family val="2"/>
      </rPr>
      <t>Security and Commodity Exchanges</t>
    </r>
  </si>
  <si>
    <r>
      <rPr>
        <sz val="12"/>
        <rFont val="Arial"/>
        <family val="2"/>
      </rPr>
      <t>Securities and Commodity Exchanges</t>
    </r>
  </si>
  <si>
    <r>
      <rPr>
        <sz val="12"/>
        <rFont val="Arial"/>
        <family val="2"/>
      </rPr>
      <t>Investment Advice</t>
    </r>
  </si>
  <si>
    <r>
      <rPr>
        <sz val="12"/>
        <rFont val="Arial"/>
        <family val="2"/>
      </rPr>
      <t>Portfolio Management</t>
    </r>
  </si>
  <si>
    <r>
      <rPr>
        <sz val="12"/>
        <rFont val="Arial"/>
        <family val="2"/>
      </rPr>
      <t>Security and Commodity Service</t>
    </r>
  </si>
  <si>
    <r>
      <rPr>
        <sz val="12"/>
        <rFont val="Arial"/>
        <family val="2"/>
      </rPr>
      <t>Life Insurance</t>
    </r>
  </si>
  <si>
    <r>
      <rPr>
        <sz val="12"/>
        <rFont val="Arial"/>
        <family val="2"/>
      </rPr>
      <t>Direct Life Insurance Carriers</t>
    </r>
  </si>
  <si>
    <r>
      <rPr>
        <sz val="12"/>
        <rFont val="Arial"/>
        <family val="2"/>
      </rPr>
      <t xml:space="preserve">Other Direct Insurance (except Life,
</t>
    </r>
    <r>
      <rPr>
        <sz val="12"/>
        <rFont val="Arial"/>
        <family val="2"/>
      </rPr>
      <t>Health, and Medical) Carriers</t>
    </r>
  </si>
  <si>
    <r>
      <rPr>
        <sz val="12"/>
        <rFont val="Arial"/>
        <family val="2"/>
      </rPr>
      <t>Reinsurance Carriers</t>
    </r>
  </si>
  <si>
    <r>
      <rPr>
        <sz val="12"/>
        <rFont val="Arial"/>
        <family val="2"/>
      </rPr>
      <t>Accident and Health Insurance</t>
    </r>
  </si>
  <si>
    <r>
      <rPr>
        <sz val="12"/>
        <rFont val="Arial"/>
        <family val="2"/>
      </rPr>
      <t xml:space="preserve">Direct Health and Medical Insurance
</t>
    </r>
    <r>
      <rPr>
        <sz val="12"/>
        <rFont val="Arial"/>
        <family val="2"/>
      </rPr>
      <t>Carriers</t>
    </r>
  </si>
  <si>
    <r>
      <rPr>
        <sz val="12"/>
        <rFont val="Arial"/>
        <family val="2"/>
      </rPr>
      <t>Other Insurance Funds</t>
    </r>
  </si>
  <si>
    <r>
      <rPr>
        <sz val="12"/>
        <rFont val="Arial"/>
        <family val="2"/>
      </rPr>
      <t>Hospital and Medical Service Plans</t>
    </r>
  </si>
  <si>
    <r>
      <rPr>
        <sz val="12"/>
        <rFont val="Arial"/>
        <family val="2"/>
      </rPr>
      <t>Fire, Marine, and Casualty Insurance</t>
    </r>
  </si>
  <si>
    <r>
      <rPr>
        <sz val="12"/>
        <rFont val="Arial"/>
        <family val="2"/>
      </rPr>
      <t xml:space="preserve">Direct Property and Casualty Insurance
</t>
    </r>
    <r>
      <rPr>
        <sz val="12"/>
        <rFont val="Arial"/>
        <family val="2"/>
      </rPr>
      <t>Carriers</t>
    </r>
  </si>
  <si>
    <r>
      <rPr>
        <sz val="12"/>
        <rFont val="Arial"/>
        <family val="2"/>
      </rPr>
      <t>Surety Insurance</t>
    </r>
  </si>
  <si>
    <r>
      <rPr>
        <sz val="12"/>
        <rFont val="Arial"/>
        <family val="2"/>
      </rPr>
      <t>Title Insurance</t>
    </r>
  </si>
  <si>
    <r>
      <rPr>
        <sz val="12"/>
        <rFont val="Arial"/>
        <family val="2"/>
      </rPr>
      <t>Direct Title Insurance Carriers</t>
    </r>
  </si>
  <si>
    <r>
      <rPr>
        <sz val="12"/>
        <rFont val="Arial"/>
        <family val="2"/>
      </rPr>
      <t>Pension, Health, and Welfare Funds</t>
    </r>
  </si>
  <si>
    <r>
      <rPr>
        <sz val="12"/>
        <rFont val="Arial"/>
        <family val="2"/>
      </rPr>
      <t xml:space="preserve">Third Party Administration of Insurance
</t>
    </r>
    <r>
      <rPr>
        <sz val="12"/>
        <rFont val="Arial"/>
        <family val="2"/>
      </rPr>
      <t>and Pension Funds</t>
    </r>
  </si>
  <si>
    <r>
      <rPr>
        <sz val="12"/>
        <rFont val="Arial"/>
        <family val="2"/>
      </rPr>
      <t>Pension Funds</t>
    </r>
  </si>
  <si>
    <r>
      <rPr>
        <sz val="12"/>
        <rFont val="Arial"/>
        <family val="2"/>
      </rPr>
      <t>Health and Welfare Funds</t>
    </r>
  </si>
  <si>
    <r>
      <rPr>
        <sz val="12"/>
        <rFont val="Arial"/>
        <family val="2"/>
      </rPr>
      <t>Other Financial Vehicles</t>
    </r>
  </si>
  <si>
    <r>
      <rPr>
        <sz val="12"/>
        <rFont val="Arial"/>
        <family val="2"/>
      </rPr>
      <t>Insurance Carriers, Nec</t>
    </r>
  </si>
  <si>
    <r>
      <rPr>
        <sz val="12"/>
        <rFont val="Arial"/>
        <family val="2"/>
      </rPr>
      <t>Insurance Agents, Brokers, and Service</t>
    </r>
  </si>
  <si>
    <r>
      <rPr>
        <sz val="12"/>
        <rFont val="Arial"/>
        <family val="2"/>
      </rPr>
      <t>Insurance Agencies and Brokerages</t>
    </r>
  </si>
  <si>
    <r>
      <rPr>
        <sz val="12"/>
        <rFont val="Arial"/>
        <family val="2"/>
      </rPr>
      <t>Claims Adjusting</t>
    </r>
  </si>
  <si>
    <r>
      <rPr>
        <sz val="12"/>
        <rFont val="Arial"/>
        <family val="2"/>
      </rPr>
      <t>All Other Insurance Related Activities</t>
    </r>
  </si>
  <si>
    <r>
      <rPr>
        <sz val="12"/>
        <rFont val="Arial"/>
        <family val="2"/>
      </rPr>
      <t>Nonresidential Building Operators</t>
    </r>
  </si>
  <si>
    <r>
      <rPr>
        <sz val="12"/>
        <rFont val="Arial"/>
        <family val="2"/>
      </rPr>
      <t xml:space="preserve">Lessors of Nonresidential Buildings (except
</t>
    </r>
    <r>
      <rPr>
        <sz val="12"/>
        <rFont val="Arial"/>
        <family val="2"/>
      </rPr>
      <t>Miniwarehouses)</t>
    </r>
  </si>
  <si>
    <r>
      <rPr>
        <sz val="12"/>
        <rFont val="Arial"/>
        <family val="2"/>
      </rPr>
      <t xml:space="preserve">Promoters of Performing Arts, Sports, and
</t>
    </r>
    <r>
      <rPr>
        <sz val="12"/>
        <rFont val="Arial"/>
        <family val="2"/>
      </rPr>
      <t>Similar Events with Facilities</t>
    </r>
  </si>
  <si>
    <r>
      <rPr>
        <sz val="12"/>
        <rFont val="Arial"/>
        <family val="2"/>
      </rPr>
      <t>Apartment Building Operators</t>
    </r>
  </si>
  <si>
    <r>
      <rPr>
        <sz val="12"/>
        <rFont val="Arial"/>
        <family val="2"/>
      </rPr>
      <t xml:space="preserve">Lessors of Residential Buildings and
</t>
    </r>
    <r>
      <rPr>
        <sz val="12"/>
        <rFont val="Arial"/>
        <family val="2"/>
      </rPr>
      <t>Dwellings</t>
    </r>
  </si>
  <si>
    <r>
      <rPr>
        <sz val="12"/>
        <rFont val="Arial"/>
        <family val="2"/>
      </rPr>
      <t>Dwelling Operators, Except Apartments</t>
    </r>
  </si>
  <si>
    <r>
      <rPr>
        <sz val="12"/>
        <rFont val="Arial"/>
        <family val="2"/>
      </rPr>
      <t>Mobile Home Site Operators</t>
    </r>
  </si>
  <si>
    <r>
      <rPr>
        <sz val="12"/>
        <rFont val="Arial"/>
        <family val="2"/>
      </rPr>
      <t>Lessors of Other Real Estate Property</t>
    </r>
  </si>
  <si>
    <r>
      <rPr>
        <sz val="12"/>
        <rFont val="Arial"/>
        <family val="2"/>
      </rPr>
      <t>Railroad Property Lessors</t>
    </r>
  </si>
  <si>
    <r>
      <rPr>
        <sz val="12"/>
        <rFont val="Arial"/>
        <family val="2"/>
      </rPr>
      <t>Real Property Lessors, Nec</t>
    </r>
  </si>
  <si>
    <r>
      <rPr>
        <sz val="12"/>
        <rFont val="Arial"/>
        <family val="2"/>
      </rPr>
      <t>Real Estate Agents and Managers</t>
    </r>
  </si>
  <si>
    <r>
      <rPr>
        <sz val="12"/>
        <rFont val="Arial"/>
        <family val="2"/>
      </rPr>
      <t>Offices of Real Estate Agents and Brokers</t>
    </r>
  </si>
  <si>
    <r>
      <rPr>
        <sz val="12"/>
        <rFont val="Arial"/>
        <family val="2"/>
      </rPr>
      <t>Residential Property Managers</t>
    </r>
  </si>
  <si>
    <r>
      <rPr>
        <sz val="12"/>
        <rFont val="Arial"/>
        <family val="2"/>
      </rPr>
      <t>Nonresidential Property Managers</t>
    </r>
  </si>
  <si>
    <r>
      <rPr>
        <sz val="12"/>
        <rFont val="Arial"/>
        <family val="2"/>
      </rPr>
      <t>Offices of Real Estate Appraisers</t>
    </r>
  </si>
  <si>
    <r>
      <rPr>
        <sz val="12"/>
        <rFont val="Arial"/>
        <family val="2"/>
      </rPr>
      <t>Other Activities Related to Real Estate</t>
    </r>
  </si>
  <si>
    <r>
      <rPr>
        <sz val="12"/>
        <rFont val="Arial"/>
        <family val="2"/>
      </rPr>
      <t>Cemeteries and Crematories</t>
    </r>
  </si>
  <si>
    <r>
      <rPr>
        <sz val="12"/>
        <rFont val="Arial"/>
        <family val="2"/>
      </rPr>
      <t xml:space="preserve">Other Similar Organizations (except Business, Professional, Labor, and
</t>
    </r>
    <r>
      <rPr>
        <sz val="12"/>
        <rFont val="Arial"/>
        <family val="2"/>
      </rPr>
      <t>Political Organizations)</t>
    </r>
  </si>
  <si>
    <r>
      <rPr>
        <sz val="12"/>
        <rFont val="Arial"/>
        <family val="2"/>
      </rPr>
      <t>Title abstract Offices</t>
    </r>
  </si>
  <si>
    <r>
      <rPr>
        <sz val="12"/>
        <rFont val="Arial"/>
        <family val="2"/>
      </rPr>
      <t>Title Abstract and Settlement Offices</t>
    </r>
  </si>
  <si>
    <r>
      <rPr>
        <sz val="12"/>
        <rFont val="Arial"/>
        <family val="2"/>
      </rPr>
      <t>Subdividers and Developers, Nec</t>
    </r>
  </si>
  <si>
    <r>
      <rPr>
        <sz val="12"/>
        <rFont val="Arial"/>
        <family val="2"/>
      </rPr>
      <t>Land Subdivision</t>
    </r>
  </si>
  <si>
    <r>
      <rPr>
        <sz val="12"/>
        <rFont val="Arial"/>
        <family val="2"/>
      </rPr>
      <t>Cemetery Subdividers and Developers</t>
    </r>
  </si>
  <si>
    <r>
      <rPr>
        <sz val="12"/>
        <rFont val="Arial"/>
        <family val="2"/>
      </rPr>
      <t>Bank Holding Companies</t>
    </r>
  </si>
  <si>
    <r>
      <rPr>
        <sz val="12"/>
        <rFont val="Arial"/>
        <family val="2"/>
      </rPr>
      <t>Offices of Bank Holding Companies</t>
    </r>
  </si>
  <si>
    <r>
      <rPr>
        <sz val="12"/>
        <rFont val="Arial"/>
        <family val="2"/>
      </rPr>
      <t>Holding Companies, Nec</t>
    </r>
  </si>
  <si>
    <r>
      <rPr>
        <sz val="12"/>
        <rFont val="Arial"/>
        <family val="2"/>
      </rPr>
      <t>Offices of Other Holding Companies</t>
    </r>
  </si>
  <si>
    <r>
      <rPr>
        <sz val="12"/>
        <rFont val="Arial"/>
        <family val="2"/>
      </rPr>
      <t>Management Investment, Open-ended</t>
    </r>
  </si>
  <si>
    <r>
      <rPr>
        <sz val="12"/>
        <rFont val="Arial"/>
        <family val="2"/>
      </rPr>
      <t>Open-End Investment Funds</t>
    </r>
  </si>
  <si>
    <r>
      <rPr>
        <sz val="12"/>
        <rFont val="Arial"/>
        <family val="2"/>
      </rPr>
      <t>Investment Offices, Nec</t>
    </r>
  </si>
  <si>
    <r>
      <rPr>
        <sz val="12"/>
        <rFont val="Arial"/>
        <family val="2"/>
      </rPr>
      <t>Trusts: Educational, Religious, Etc.</t>
    </r>
  </si>
  <si>
    <r>
      <rPr>
        <sz val="12"/>
        <rFont val="Arial"/>
        <family val="2"/>
      </rPr>
      <t>Grantmaking Foundations</t>
    </r>
  </si>
  <si>
    <r>
      <rPr>
        <sz val="12"/>
        <rFont val="Arial"/>
        <family val="2"/>
      </rPr>
      <t>Trusts, Nec</t>
    </r>
  </si>
  <si>
    <r>
      <rPr>
        <sz val="12"/>
        <rFont val="Arial"/>
        <family val="2"/>
      </rPr>
      <t>Trusts, Estates, and Agency Accounts</t>
    </r>
  </si>
  <si>
    <r>
      <rPr>
        <sz val="12"/>
        <rFont val="Arial"/>
        <family val="2"/>
      </rPr>
      <t>Oil Royalty Traders</t>
    </r>
  </si>
  <si>
    <r>
      <rPr>
        <sz val="12"/>
        <rFont val="Arial"/>
        <family val="2"/>
      </rPr>
      <t xml:space="preserve">Lessors of Nonfinancial Intangible Assets
</t>
    </r>
    <r>
      <rPr>
        <sz val="12"/>
        <rFont val="Arial"/>
        <family val="2"/>
      </rPr>
      <t>(except Copyrighted Works)</t>
    </r>
  </si>
  <si>
    <r>
      <rPr>
        <sz val="12"/>
        <rFont val="Arial"/>
        <family val="2"/>
      </rPr>
      <t>Patent Owners and Lessors</t>
    </r>
  </si>
  <si>
    <r>
      <rPr>
        <sz val="12"/>
        <rFont val="Arial"/>
        <family val="2"/>
      </rPr>
      <t>Real Estate Investment Trusts</t>
    </r>
  </si>
  <si>
    <r>
      <rPr>
        <sz val="12"/>
        <rFont val="Arial"/>
        <family val="2"/>
      </rPr>
      <t>Investors, Nec</t>
    </r>
  </si>
  <si>
    <r>
      <rPr>
        <sz val="12"/>
        <rFont val="Arial"/>
        <family val="2"/>
      </rPr>
      <t>Hotels and Motels</t>
    </r>
  </si>
  <si>
    <r>
      <rPr>
        <sz val="12"/>
        <rFont val="Arial"/>
        <family val="2"/>
      </rPr>
      <t>Hotels (except Casino Hotels) and Motels</t>
    </r>
  </si>
  <si>
    <r>
      <rPr>
        <sz val="12"/>
        <rFont val="Arial"/>
        <family val="2"/>
      </rPr>
      <t>Casino Hotels</t>
    </r>
  </si>
  <si>
    <r>
      <rPr>
        <sz val="12"/>
        <rFont val="Arial"/>
        <family val="2"/>
      </rPr>
      <t>Bed-and-Breakfast Inns</t>
    </r>
  </si>
  <si>
    <r>
      <rPr>
        <sz val="12"/>
        <rFont val="Arial"/>
        <family val="2"/>
      </rPr>
      <t>All Other Traveler Accommodation</t>
    </r>
  </si>
  <si>
    <r>
      <rPr>
        <sz val="12"/>
        <rFont val="Arial"/>
        <family val="2"/>
      </rPr>
      <t>Rooming and Boarding Houses</t>
    </r>
  </si>
  <si>
    <r>
      <rPr>
        <sz val="12"/>
        <rFont val="Arial"/>
        <family val="2"/>
      </rPr>
      <t>Sporting and Recreational Camps</t>
    </r>
  </si>
  <si>
    <r>
      <rPr>
        <sz val="12"/>
        <rFont val="Arial"/>
        <family val="2"/>
      </rPr>
      <t xml:space="preserve">Recreational and Vacation Camps (except
</t>
    </r>
    <r>
      <rPr>
        <sz val="12"/>
        <rFont val="Arial"/>
        <family val="2"/>
      </rPr>
      <t>Campgrounds)</t>
    </r>
  </si>
  <si>
    <r>
      <rPr>
        <sz val="12"/>
        <rFont val="Arial"/>
        <family val="2"/>
      </rPr>
      <t>Trailer Parks and Campsites</t>
    </r>
  </si>
  <si>
    <r>
      <rPr>
        <sz val="12"/>
        <rFont val="Arial"/>
        <family val="2"/>
      </rPr>
      <t xml:space="preserve">RV (Recreational Vehicle) Parks and
</t>
    </r>
    <r>
      <rPr>
        <sz val="12"/>
        <rFont val="Arial"/>
        <family val="2"/>
      </rPr>
      <t>Campgrounds</t>
    </r>
  </si>
  <si>
    <r>
      <rPr>
        <sz val="12"/>
        <rFont val="Arial"/>
        <family val="2"/>
      </rPr>
      <t>Membership-basis Organization Hotels</t>
    </r>
  </si>
  <si>
    <r>
      <rPr>
        <sz val="12"/>
        <rFont val="Arial"/>
        <family val="2"/>
      </rPr>
      <t>Power Laundries, Family and Commercial</t>
    </r>
  </si>
  <si>
    <r>
      <rPr>
        <sz val="12"/>
        <rFont val="Arial"/>
        <family val="2"/>
      </rPr>
      <t xml:space="preserve">Drycleaning and Laundry Services (except
</t>
    </r>
    <r>
      <rPr>
        <sz val="12"/>
        <rFont val="Arial"/>
        <family val="2"/>
      </rPr>
      <t>Coin-Operated)</t>
    </r>
  </si>
  <si>
    <r>
      <rPr>
        <sz val="12"/>
        <rFont val="Arial"/>
        <family val="2"/>
      </rPr>
      <t>Garment Pressing and Cleaners' Agents</t>
    </r>
  </si>
  <si>
    <r>
      <rPr>
        <sz val="12"/>
        <rFont val="Arial"/>
        <family val="2"/>
      </rPr>
      <t>Linen Supply</t>
    </r>
  </si>
  <si>
    <r>
      <rPr>
        <sz val="12"/>
        <rFont val="Arial"/>
        <family val="2"/>
      </rPr>
      <t>Coin-operated Laundries and Cleaning</t>
    </r>
  </si>
  <si>
    <r>
      <rPr>
        <sz val="12"/>
        <rFont val="Arial"/>
        <family val="2"/>
      </rPr>
      <t>Coin-Operated Laundries and Drycleaners</t>
    </r>
  </si>
  <si>
    <r>
      <rPr>
        <sz val="12"/>
        <rFont val="Arial"/>
        <family val="2"/>
      </rPr>
      <t>Drycleaning Plants, Except Rugs</t>
    </r>
  </si>
  <si>
    <r>
      <rPr>
        <sz val="12"/>
        <rFont val="Arial"/>
        <family val="2"/>
      </rPr>
      <t>Carpet and Upholstery Cleaning</t>
    </r>
  </si>
  <si>
    <r>
      <rPr>
        <sz val="12"/>
        <rFont val="Arial"/>
        <family val="2"/>
      </rPr>
      <t>Carpet and Upholstery Cleaning Services</t>
    </r>
  </si>
  <si>
    <r>
      <rPr>
        <sz val="12"/>
        <rFont val="Arial"/>
        <family val="2"/>
      </rPr>
      <t>Industrial Launderers</t>
    </r>
  </si>
  <si>
    <r>
      <rPr>
        <sz val="12"/>
        <rFont val="Arial"/>
        <family val="2"/>
      </rPr>
      <t>Laundry and Garment Services, Nec</t>
    </r>
  </si>
  <si>
    <r>
      <rPr>
        <sz val="12"/>
        <rFont val="Arial"/>
        <family val="2"/>
      </rPr>
      <t>Photographic Studios, Portrait</t>
    </r>
  </si>
  <si>
    <r>
      <rPr>
        <sz val="12"/>
        <rFont val="Arial"/>
        <family val="2"/>
      </rPr>
      <t>Photography Studios, Portrait</t>
    </r>
  </si>
  <si>
    <r>
      <rPr>
        <sz val="12"/>
        <rFont val="Arial"/>
        <family val="2"/>
      </rPr>
      <t>Beauty Shops</t>
    </r>
  </si>
  <si>
    <r>
      <rPr>
        <sz val="12"/>
        <rFont val="Arial"/>
        <family val="2"/>
      </rPr>
      <t>Cosmetology and Barber Schools</t>
    </r>
  </si>
  <si>
    <r>
      <rPr>
        <sz val="12"/>
        <rFont val="Arial"/>
        <family val="2"/>
      </rPr>
      <t>Beauty Salons</t>
    </r>
  </si>
  <si>
    <r>
      <rPr>
        <sz val="12"/>
        <rFont val="Arial"/>
        <family val="2"/>
      </rPr>
      <t>Nail Salons</t>
    </r>
  </si>
  <si>
    <r>
      <rPr>
        <sz val="12"/>
        <rFont val="Arial"/>
        <family val="2"/>
      </rPr>
      <t>Barber Shops</t>
    </r>
  </si>
  <si>
    <r>
      <rPr>
        <sz val="12"/>
        <rFont val="Arial"/>
        <family val="2"/>
      </rPr>
      <t>Shoe Repair and Shoeshine Parlors</t>
    </r>
  </si>
  <si>
    <r>
      <rPr>
        <sz val="12"/>
        <rFont val="Arial"/>
        <family val="2"/>
      </rPr>
      <t>Footwear and Leather Goods Repair</t>
    </r>
  </si>
  <si>
    <r>
      <rPr>
        <sz val="12"/>
        <rFont val="Arial"/>
        <family val="2"/>
      </rPr>
      <t>Funeral Service and Crematories</t>
    </r>
  </si>
  <si>
    <r>
      <rPr>
        <sz val="12"/>
        <rFont val="Arial"/>
        <family val="2"/>
      </rPr>
      <t>Funeral Homes and Funeral Services</t>
    </r>
  </si>
  <si>
    <r>
      <rPr>
        <sz val="12"/>
        <rFont val="Arial"/>
        <family val="2"/>
      </rPr>
      <t>Tax Return Preparation Services</t>
    </r>
  </si>
  <si>
    <r>
      <rPr>
        <sz val="12"/>
        <rFont val="Arial"/>
        <family val="2"/>
      </rPr>
      <t>Tax Preparation Services</t>
    </r>
  </si>
  <si>
    <r>
      <rPr>
        <sz val="12"/>
        <rFont val="Arial"/>
        <family val="2"/>
      </rPr>
      <t>Miscellaneous Personal Services</t>
    </r>
  </si>
  <si>
    <r>
      <rPr>
        <sz val="12"/>
        <rFont val="Arial"/>
        <family val="2"/>
      </rPr>
      <t>Formal Wear and Costume Rental</t>
    </r>
  </si>
  <si>
    <r>
      <rPr>
        <sz val="12"/>
        <rFont val="Arial"/>
        <family val="2"/>
      </rPr>
      <t>Employment Placement Agencies</t>
    </r>
  </si>
  <si>
    <r>
      <rPr>
        <sz val="12"/>
        <rFont val="Arial"/>
        <family val="2"/>
      </rPr>
      <t>All Other Support Services</t>
    </r>
  </si>
  <si>
    <r>
      <rPr>
        <sz val="12"/>
        <rFont val="Arial"/>
        <family val="2"/>
      </rPr>
      <t>Diet and Weight Reducing Centers</t>
    </r>
  </si>
  <si>
    <r>
      <rPr>
        <sz val="12"/>
        <rFont val="Arial"/>
        <family val="2"/>
      </rPr>
      <t>Other Personal Care Services</t>
    </r>
  </si>
  <si>
    <r>
      <rPr>
        <sz val="12"/>
        <rFont val="Arial"/>
        <family val="2"/>
      </rPr>
      <t>Parking Lots and Garages</t>
    </r>
  </si>
  <si>
    <r>
      <rPr>
        <sz val="12"/>
        <rFont val="Arial"/>
        <family val="2"/>
      </rPr>
      <t>Advertising Agencies</t>
    </r>
  </si>
  <si>
    <r>
      <rPr>
        <sz val="12"/>
        <rFont val="Arial"/>
        <family val="2"/>
      </rPr>
      <t>Outdoor Advertising Services</t>
    </r>
  </si>
  <si>
    <r>
      <rPr>
        <sz val="12"/>
        <rFont val="Arial"/>
        <family val="2"/>
      </rPr>
      <t>Outdoor Advertising</t>
    </r>
  </si>
  <si>
    <r>
      <rPr>
        <sz val="12"/>
        <rFont val="Arial"/>
        <family val="2"/>
      </rPr>
      <t xml:space="preserve">Radio, Television, Publisher
</t>
    </r>
    <r>
      <rPr>
        <sz val="12"/>
        <rFont val="Arial"/>
        <family val="2"/>
      </rPr>
      <t>Representatives</t>
    </r>
  </si>
  <si>
    <r>
      <rPr>
        <sz val="12"/>
        <rFont val="Arial"/>
        <family val="2"/>
      </rPr>
      <t>Media Representatives</t>
    </r>
  </si>
  <si>
    <r>
      <rPr>
        <sz val="12"/>
        <rFont val="Arial"/>
        <family val="2"/>
      </rPr>
      <t>Advertising, Nec</t>
    </r>
  </si>
  <si>
    <r>
      <rPr>
        <sz val="12"/>
        <rFont val="Arial"/>
        <family val="2"/>
      </rPr>
      <t>Media Buying Agencies</t>
    </r>
  </si>
  <si>
    <r>
      <rPr>
        <sz val="12"/>
        <rFont val="Arial"/>
        <family val="2"/>
      </rPr>
      <t>Advertising Material Distribution Services</t>
    </r>
  </si>
  <si>
    <r>
      <rPr>
        <sz val="12"/>
        <rFont val="Arial"/>
        <family val="2"/>
      </rPr>
      <t>Adjustment and Collection Services</t>
    </r>
  </si>
  <si>
    <r>
      <rPr>
        <sz val="12"/>
        <rFont val="Arial"/>
        <family val="2"/>
      </rPr>
      <t>Collection Agencies</t>
    </r>
  </si>
  <si>
    <r>
      <rPr>
        <sz val="12"/>
        <rFont val="Arial"/>
        <family val="2"/>
      </rPr>
      <t>Credit Reporting Services</t>
    </r>
  </si>
  <si>
    <r>
      <rPr>
        <sz val="12"/>
        <rFont val="Arial"/>
        <family val="2"/>
      </rPr>
      <t>Credit Bureaus</t>
    </r>
  </si>
  <si>
    <r>
      <rPr>
        <sz val="12"/>
        <rFont val="Arial"/>
        <family val="2"/>
      </rPr>
      <t>Direct Mail Advertising Services</t>
    </r>
  </si>
  <si>
    <r>
      <rPr>
        <sz val="12"/>
        <rFont val="Arial"/>
        <family val="2"/>
      </rPr>
      <t>Direct Mail Advertising</t>
    </r>
  </si>
  <si>
    <r>
      <rPr>
        <sz val="12"/>
        <rFont val="Arial"/>
        <family val="2"/>
      </rPr>
      <t>Photocopying and Duplicating Services</t>
    </r>
  </si>
  <si>
    <r>
      <rPr>
        <sz val="12"/>
        <rFont val="Arial"/>
        <family val="2"/>
      </rPr>
      <t xml:space="preserve">Other Business Service Centers (including
</t>
    </r>
    <r>
      <rPr>
        <sz val="12"/>
        <rFont val="Arial"/>
        <family val="2"/>
      </rPr>
      <t>Copy Shops)</t>
    </r>
  </si>
  <si>
    <r>
      <rPr>
        <sz val="12"/>
        <rFont val="Arial"/>
        <family val="2"/>
      </rPr>
      <t>Commercial Photography</t>
    </r>
  </si>
  <si>
    <r>
      <rPr>
        <sz val="12"/>
        <rFont val="Arial"/>
        <family val="2"/>
      </rPr>
      <t>Commercial Art and Graphic Design</t>
    </r>
  </si>
  <si>
    <r>
      <rPr>
        <sz val="12"/>
        <rFont val="Arial"/>
        <family val="2"/>
      </rPr>
      <t>Graphic Design Services</t>
    </r>
  </si>
  <si>
    <r>
      <rPr>
        <sz val="12"/>
        <rFont val="Arial"/>
        <family val="2"/>
      </rPr>
      <t>Secretarial and Court Reporting</t>
    </r>
  </si>
  <si>
    <r>
      <rPr>
        <sz val="12"/>
        <rFont val="Arial"/>
        <family val="2"/>
      </rPr>
      <t>Document Preparation Services</t>
    </r>
  </si>
  <si>
    <r>
      <rPr>
        <sz val="12"/>
        <rFont val="Arial"/>
        <family val="2"/>
      </rPr>
      <t>Court Reporting and Stenotype Services</t>
    </r>
  </si>
  <si>
    <r>
      <rPr>
        <sz val="12"/>
        <rFont val="Arial"/>
        <family val="2"/>
      </rPr>
      <t>Disinfecting and Pest Control Services</t>
    </r>
  </si>
  <si>
    <r>
      <rPr>
        <sz val="12"/>
        <rFont val="Arial"/>
        <family val="2"/>
      </rPr>
      <t>Building Maintenance Services, Nec</t>
    </r>
  </si>
  <si>
    <r>
      <rPr>
        <sz val="12"/>
        <rFont val="Arial"/>
        <family val="2"/>
      </rPr>
      <t>Medical Equipment Rental</t>
    </r>
  </si>
  <si>
    <r>
      <rPr>
        <sz val="12"/>
        <rFont val="Arial"/>
        <family val="2"/>
      </rPr>
      <t>Home Health Equipment Rental</t>
    </r>
  </si>
  <si>
    <r>
      <rPr>
        <sz val="12"/>
        <rFont val="Arial"/>
        <family val="2"/>
      </rPr>
      <t xml:space="preserve">Other Commercial and Industrial Machinery and Equipment Rental and
</t>
    </r>
    <r>
      <rPr>
        <sz val="12"/>
        <rFont val="Arial"/>
        <family val="2"/>
      </rPr>
      <t>Leasing</t>
    </r>
  </si>
  <si>
    <r>
      <rPr>
        <sz val="12"/>
        <rFont val="Arial"/>
        <family val="2"/>
      </rPr>
      <t>Heavy Construction Equipment Rental</t>
    </r>
  </si>
  <si>
    <r>
      <rPr>
        <sz val="12"/>
        <rFont val="Arial"/>
        <family val="2"/>
      </rPr>
      <t xml:space="preserve">Construction, Mining, and Forestry Machinery and Equipment Rental and
</t>
    </r>
    <r>
      <rPr>
        <sz val="12"/>
        <rFont val="Arial"/>
        <family val="2"/>
      </rPr>
      <t>Leasing</t>
    </r>
  </si>
  <si>
    <r>
      <rPr>
        <sz val="12"/>
        <rFont val="Arial"/>
        <family val="2"/>
      </rPr>
      <t>Equipment Rental and Leasing, Nec</t>
    </r>
  </si>
  <si>
    <r>
      <rPr>
        <sz val="12"/>
        <rFont val="Arial"/>
        <family val="2"/>
      </rPr>
      <t xml:space="preserve">Consumer Electronics and Appliances
</t>
    </r>
    <r>
      <rPr>
        <sz val="12"/>
        <rFont val="Arial"/>
        <family val="2"/>
      </rPr>
      <t>Rental</t>
    </r>
  </si>
  <si>
    <r>
      <rPr>
        <sz val="12"/>
        <rFont val="Arial"/>
        <family val="2"/>
      </rPr>
      <t>All Other Consumer Goods Rental</t>
    </r>
  </si>
  <si>
    <r>
      <rPr>
        <sz val="12"/>
        <rFont val="Arial"/>
        <family val="2"/>
      </rPr>
      <t>General Rental Centers</t>
    </r>
  </si>
  <si>
    <r>
      <rPr>
        <sz val="12"/>
        <rFont val="Arial"/>
        <family val="2"/>
      </rPr>
      <t xml:space="preserve">Office Machinery and Equipment Rental
</t>
    </r>
    <r>
      <rPr>
        <sz val="12"/>
        <rFont val="Arial"/>
        <family val="2"/>
      </rPr>
      <t>and Leasing</t>
    </r>
  </si>
  <si>
    <r>
      <rPr>
        <sz val="12"/>
        <rFont val="Arial"/>
        <family val="2"/>
      </rPr>
      <t xml:space="preserve">Other Commercial and Industrial
</t>
    </r>
    <r>
      <rPr>
        <sz val="12"/>
        <rFont val="Arial"/>
        <family val="2"/>
      </rPr>
      <t>Machinery and Equipment Rental and Leasing</t>
    </r>
  </si>
  <si>
    <r>
      <rPr>
        <sz val="12"/>
        <rFont val="Arial"/>
        <family val="2"/>
      </rPr>
      <t>Septic Tank and Related Services</t>
    </r>
  </si>
  <si>
    <r>
      <rPr>
        <sz val="12"/>
        <rFont val="Arial"/>
        <family val="2"/>
      </rPr>
      <t>Employment Agencies</t>
    </r>
  </si>
  <si>
    <r>
      <rPr>
        <sz val="12"/>
        <rFont val="Arial"/>
        <family val="2"/>
      </rPr>
      <t>Human Resources Consulting Services</t>
    </r>
  </si>
  <si>
    <r>
      <rPr>
        <sz val="12"/>
        <rFont val="Arial"/>
        <family val="2"/>
      </rPr>
      <t>Executive Search Services</t>
    </r>
  </si>
  <si>
    <r>
      <rPr>
        <sz val="12"/>
        <rFont val="Arial"/>
        <family val="2"/>
      </rPr>
      <t>Help Supply Services</t>
    </r>
  </si>
  <si>
    <r>
      <rPr>
        <sz val="12"/>
        <rFont val="Arial"/>
        <family val="2"/>
      </rPr>
      <t>Temporary Help Services</t>
    </r>
  </si>
  <si>
    <r>
      <rPr>
        <sz val="12"/>
        <rFont val="Arial"/>
        <family val="2"/>
      </rPr>
      <t>Professional Employer Organizations</t>
    </r>
  </si>
  <si>
    <r>
      <rPr>
        <sz val="12"/>
        <rFont val="Arial"/>
        <family val="2"/>
      </rPr>
      <t>Custom Computer Programming Services</t>
    </r>
  </si>
  <si>
    <r>
      <rPr>
        <sz val="12"/>
        <rFont val="Arial"/>
        <family val="2"/>
      </rPr>
      <t>Prepackaged Software</t>
    </r>
  </si>
  <si>
    <r>
      <rPr>
        <sz val="12"/>
        <rFont val="Arial"/>
        <family val="2"/>
      </rPr>
      <t>Software Publishers</t>
    </r>
  </si>
  <si>
    <r>
      <rPr>
        <sz val="12"/>
        <rFont val="Arial"/>
        <family val="2"/>
      </rPr>
      <t>Computer Integrated Systems Design</t>
    </r>
  </si>
  <si>
    <r>
      <rPr>
        <sz val="12"/>
        <rFont val="Arial"/>
        <family val="2"/>
      </rPr>
      <t>Computer Systems Design Services</t>
    </r>
  </si>
  <si>
    <r>
      <rPr>
        <sz val="12"/>
        <rFont val="Arial"/>
        <family val="2"/>
      </rPr>
      <t>Data Processing and Preparation</t>
    </r>
  </si>
  <si>
    <r>
      <rPr>
        <sz val="12"/>
        <rFont val="Arial"/>
        <family val="2"/>
      </rPr>
      <t xml:space="preserve">Data Processing, Hosting, and Related
</t>
    </r>
    <r>
      <rPr>
        <sz val="12"/>
        <rFont val="Arial"/>
        <family val="2"/>
      </rPr>
      <t>Services</t>
    </r>
  </si>
  <si>
    <r>
      <rPr>
        <sz val="12"/>
        <rFont val="Arial"/>
        <family val="2"/>
      </rPr>
      <t>Information Retrieval Services</t>
    </r>
  </si>
  <si>
    <r>
      <rPr>
        <sz val="12"/>
        <rFont val="Arial"/>
        <family val="2"/>
      </rPr>
      <t>Computer Facilities Management</t>
    </r>
  </si>
  <si>
    <r>
      <rPr>
        <sz val="12"/>
        <rFont val="Arial"/>
        <family val="2"/>
      </rPr>
      <t>Computer Facilities Management Services</t>
    </r>
  </si>
  <si>
    <r>
      <rPr>
        <sz val="12"/>
        <rFont val="Arial"/>
        <family val="2"/>
      </rPr>
      <t>Computer Rental and Leasing</t>
    </r>
  </si>
  <si>
    <r>
      <rPr>
        <sz val="12"/>
        <rFont val="Arial"/>
        <family val="2"/>
      </rPr>
      <t>Computer Maintenance and Repair</t>
    </r>
  </si>
  <si>
    <r>
      <rPr>
        <sz val="12"/>
        <rFont val="Arial"/>
        <family val="2"/>
      </rPr>
      <t xml:space="preserve">Computer and Office Machine Repair and
</t>
    </r>
    <r>
      <rPr>
        <sz val="12"/>
        <rFont val="Arial"/>
        <family val="2"/>
      </rPr>
      <t>Maintenance</t>
    </r>
  </si>
  <si>
    <r>
      <rPr>
        <sz val="12"/>
        <rFont val="Arial"/>
        <family val="2"/>
      </rPr>
      <t>Computer Related Services, Nec</t>
    </r>
  </si>
  <si>
    <r>
      <rPr>
        <sz val="12"/>
        <rFont val="Arial"/>
        <family val="2"/>
      </rPr>
      <t>Other Computer Related Services</t>
    </r>
  </si>
  <si>
    <r>
      <rPr>
        <sz val="12"/>
        <rFont val="Arial"/>
        <family val="2"/>
      </rPr>
      <t>Detective and Armored Car Services</t>
    </r>
  </si>
  <si>
    <r>
      <rPr>
        <sz val="12"/>
        <rFont val="Arial"/>
        <family val="2"/>
      </rPr>
      <t>Investigation Services</t>
    </r>
  </si>
  <si>
    <r>
      <rPr>
        <sz val="12"/>
        <rFont val="Arial"/>
        <family val="2"/>
      </rPr>
      <t>Security Guards and Patrol Services</t>
    </r>
  </si>
  <si>
    <r>
      <rPr>
        <sz val="12"/>
        <rFont val="Arial"/>
        <family val="2"/>
      </rPr>
      <t>Armored Car Services</t>
    </r>
  </si>
  <si>
    <r>
      <rPr>
        <sz val="12"/>
        <rFont val="Arial"/>
        <family val="2"/>
      </rPr>
      <t>Security Systems Services</t>
    </r>
  </si>
  <si>
    <r>
      <rPr>
        <sz val="12"/>
        <rFont val="Arial"/>
        <family val="2"/>
      </rPr>
      <t xml:space="preserve">Security Systems Services (except
</t>
    </r>
    <r>
      <rPr>
        <sz val="12"/>
        <rFont val="Arial"/>
        <family val="2"/>
      </rPr>
      <t>Locksmiths)</t>
    </r>
  </si>
  <si>
    <r>
      <rPr>
        <sz val="12"/>
        <rFont val="Arial"/>
        <family val="2"/>
      </rPr>
      <t>News Syndicates</t>
    </r>
  </si>
  <si>
    <r>
      <rPr>
        <sz val="12"/>
        <rFont val="Arial"/>
        <family val="2"/>
      </rPr>
      <t xml:space="preserve">Independent Artists, Writers, and
</t>
    </r>
    <r>
      <rPr>
        <sz val="12"/>
        <rFont val="Arial"/>
        <family val="2"/>
      </rPr>
      <t>Performers</t>
    </r>
  </si>
  <si>
    <r>
      <rPr>
        <sz val="12"/>
        <rFont val="Arial"/>
        <family val="2"/>
      </rPr>
      <t>Photofinish Laboratories</t>
    </r>
  </si>
  <si>
    <r>
      <rPr>
        <sz val="12"/>
        <rFont val="Arial"/>
        <family val="2"/>
      </rPr>
      <t xml:space="preserve">Photofinishing Laboratories (except One-
</t>
    </r>
    <r>
      <rPr>
        <sz val="12"/>
        <rFont val="Arial"/>
        <family val="2"/>
      </rPr>
      <t>Hour)</t>
    </r>
  </si>
  <si>
    <r>
      <rPr>
        <sz val="12"/>
        <rFont val="Arial"/>
        <family val="2"/>
      </rPr>
      <t>One-Hour Photofinishing</t>
    </r>
  </si>
  <si>
    <r>
      <rPr>
        <sz val="12"/>
        <rFont val="Arial"/>
        <family val="2"/>
      </rPr>
      <t>Business Services, Nec</t>
    </r>
  </si>
  <si>
    <r>
      <rPr>
        <sz val="12"/>
        <rFont val="Arial"/>
        <family val="2"/>
      </rPr>
      <t>Sound Recording Studios</t>
    </r>
  </si>
  <si>
    <r>
      <rPr>
        <sz val="12"/>
        <rFont val="Arial"/>
        <family val="2"/>
      </rPr>
      <t>Other Sound Recording Industries</t>
    </r>
  </si>
  <si>
    <r>
      <rPr>
        <sz val="12"/>
        <rFont val="Arial"/>
        <family val="2"/>
      </rPr>
      <t>All Other Information Services</t>
    </r>
  </si>
  <si>
    <r>
      <rPr>
        <sz val="12"/>
        <rFont val="Arial"/>
        <family val="2"/>
      </rPr>
      <t>All Other Legal Services</t>
    </r>
  </si>
  <si>
    <r>
      <rPr>
        <sz val="12"/>
        <rFont val="Arial"/>
        <family val="2"/>
      </rPr>
      <t>Drafting Services</t>
    </r>
  </si>
  <si>
    <r>
      <rPr>
        <sz val="12"/>
        <rFont val="Arial"/>
        <family val="2"/>
      </rPr>
      <t>Building Inspection Services</t>
    </r>
  </si>
  <si>
    <r>
      <rPr>
        <sz val="12"/>
        <rFont val="Arial"/>
        <family val="2"/>
      </rPr>
      <t xml:space="preserve">Surveying and Mapping (except
</t>
    </r>
    <r>
      <rPr>
        <sz val="12"/>
        <rFont val="Arial"/>
        <family val="2"/>
      </rPr>
      <t>Geophysical) Services</t>
    </r>
  </si>
  <si>
    <r>
      <rPr>
        <sz val="12"/>
        <rFont val="Arial"/>
        <family val="2"/>
      </rPr>
      <t>Interior Design Services</t>
    </r>
  </si>
  <si>
    <r>
      <rPr>
        <sz val="12"/>
        <rFont val="Arial"/>
        <family val="2"/>
      </rPr>
      <t>Industrial Design Services</t>
    </r>
  </si>
  <si>
    <r>
      <rPr>
        <sz val="12"/>
        <rFont val="Arial"/>
        <family val="2"/>
      </rPr>
      <t>Other Specialized Design Services</t>
    </r>
  </si>
  <si>
    <r>
      <rPr>
        <sz val="12"/>
        <rFont val="Arial"/>
        <family val="2"/>
      </rPr>
      <t>Translation and Interpretation Services</t>
    </r>
  </si>
  <si>
    <r>
      <rPr>
        <sz val="12"/>
        <rFont val="Arial"/>
        <family val="2"/>
      </rPr>
      <t>Telephone Answering Services</t>
    </r>
  </si>
  <si>
    <r>
      <rPr>
        <sz val="12"/>
        <rFont val="Arial"/>
        <family val="2"/>
      </rPr>
      <t xml:space="preserve">Telemarketing Bureaus and Other Contact
</t>
    </r>
    <r>
      <rPr>
        <sz val="12"/>
        <rFont val="Arial"/>
        <family val="2"/>
      </rPr>
      <t>Centers</t>
    </r>
  </si>
  <si>
    <r>
      <rPr>
        <sz val="12"/>
        <rFont val="Arial"/>
        <family val="2"/>
      </rPr>
      <t>Private Mail Centers</t>
    </r>
  </si>
  <si>
    <r>
      <rPr>
        <sz val="12"/>
        <rFont val="Arial"/>
        <family val="2"/>
      </rPr>
      <t>Repossession Services</t>
    </r>
  </si>
  <si>
    <r>
      <rPr>
        <sz val="12"/>
        <rFont val="Arial"/>
        <family val="2"/>
      </rPr>
      <t>All Other Business Support Services</t>
    </r>
  </si>
  <si>
    <r>
      <rPr>
        <sz val="12"/>
        <rFont val="Arial"/>
        <family val="2"/>
      </rPr>
      <t>Convention and Visitors Bureaus</t>
    </r>
  </si>
  <si>
    <r>
      <rPr>
        <sz val="12"/>
        <rFont val="Arial"/>
        <family val="2"/>
      </rPr>
      <t>Packaging and Labeling Services</t>
    </r>
  </si>
  <si>
    <r>
      <rPr>
        <sz val="12"/>
        <rFont val="Arial"/>
        <family val="2"/>
      </rPr>
      <t>Convention and Trade Show Organizers</t>
    </r>
  </si>
  <si>
    <r>
      <rPr>
        <sz val="12"/>
        <rFont val="Arial"/>
        <family val="2"/>
      </rPr>
      <t xml:space="preserve">Promoters of Performing Arts, Sports, and
</t>
    </r>
    <r>
      <rPr>
        <sz val="12"/>
        <rFont val="Arial"/>
        <family val="2"/>
      </rPr>
      <t>Similar Events without Facilities</t>
    </r>
  </si>
  <si>
    <r>
      <rPr>
        <sz val="12"/>
        <rFont val="Arial"/>
        <family val="2"/>
      </rPr>
      <t xml:space="preserve">Agents and Managers for Artists, Athletes,
</t>
    </r>
    <r>
      <rPr>
        <sz val="12"/>
        <rFont val="Arial"/>
        <family val="2"/>
      </rPr>
      <t>Entertainers, and Other Public Figures</t>
    </r>
  </si>
  <si>
    <r>
      <rPr>
        <sz val="12"/>
        <rFont val="Arial"/>
        <family val="2"/>
      </rPr>
      <t>Truck Rental and Leasing, Without Drivers</t>
    </r>
  </si>
  <si>
    <r>
      <rPr>
        <sz val="12"/>
        <rFont val="Arial"/>
        <family val="2"/>
      </rPr>
      <t xml:space="preserve">Truck, Utility Trailer, and RV (Recreational
</t>
    </r>
    <r>
      <rPr>
        <sz val="12"/>
        <rFont val="Arial"/>
        <family val="2"/>
      </rPr>
      <t>Vehicle) Rental and Leasing</t>
    </r>
  </si>
  <si>
    <r>
      <rPr>
        <sz val="12"/>
        <rFont val="Arial"/>
        <family val="2"/>
      </rPr>
      <t>Passenger Car Rental</t>
    </r>
  </si>
  <si>
    <r>
      <rPr>
        <sz val="12"/>
        <rFont val="Arial"/>
        <family val="2"/>
      </rPr>
      <t>Passenger Car Leasing</t>
    </r>
  </si>
  <si>
    <r>
      <rPr>
        <sz val="12"/>
        <rFont val="Arial"/>
        <family val="2"/>
      </rPr>
      <t>Utility Trailer Rental</t>
    </r>
  </si>
  <si>
    <r>
      <rPr>
        <sz val="12"/>
        <rFont val="Arial"/>
        <family val="2"/>
      </rPr>
      <t>Automobile Parking</t>
    </r>
  </si>
  <si>
    <r>
      <rPr>
        <sz val="12"/>
        <rFont val="Arial"/>
        <family val="2"/>
      </rPr>
      <t>Top and Body Repair and Paint Shops</t>
    </r>
  </si>
  <si>
    <r>
      <rPr>
        <sz val="12"/>
        <rFont val="Arial"/>
        <family val="2"/>
      </rPr>
      <t xml:space="preserve">Automotive Body, Paint, and Interior
</t>
    </r>
    <r>
      <rPr>
        <sz val="12"/>
        <rFont val="Arial"/>
        <family val="2"/>
      </rPr>
      <t>Repair and Maintenance</t>
    </r>
  </si>
  <si>
    <r>
      <rPr>
        <sz val="12"/>
        <rFont val="Arial"/>
        <family val="2"/>
      </rPr>
      <t>Auto Exhaust System Repair Shops</t>
    </r>
  </si>
  <si>
    <r>
      <rPr>
        <sz val="12"/>
        <rFont val="Arial"/>
        <family val="2"/>
      </rPr>
      <t>Automotive Exhaust System Repair</t>
    </r>
  </si>
  <si>
    <r>
      <rPr>
        <sz val="12"/>
        <rFont val="Arial"/>
        <family val="2"/>
      </rPr>
      <t>Tire Retreading and Repair Shops</t>
    </r>
  </si>
  <si>
    <r>
      <rPr>
        <sz val="12"/>
        <rFont val="Arial"/>
        <family val="2"/>
      </rPr>
      <t>Tire Retreading</t>
    </r>
  </si>
  <si>
    <r>
      <rPr>
        <sz val="12"/>
        <rFont val="Arial"/>
        <family val="2"/>
      </rPr>
      <t xml:space="preserve">All Other Automotive Repair and
</t>
    </r>
    <r>
      <rPr>
        <sz val="12"/>
        <rFont val="Arial"/>
        <family val="2"/>
      </rPr>
      <t>Maintenance</t>
    </r>
  </si>
  <si>
    <r>
      <rPr>
        <sz val="12"/>
        <rFont val="Arial"/>
        <family val="2"/>
      </rPr>
      <t>Automotive Glass Replacement Shops</t>
    </r>
  </si>
  <si>
    <r>
      <rPr>
        <sz val="12"/>
        <rFont val="Arial"/>
        <family val="2"/>
      </rPr>
      <t>Automotive Transmission Repair Shops</t>
    </r>
  </si>
  <si>
    <r>
      <rPr>
        <sz val="12"/>
        <rFont val="Arial"/>
        <family val="2"/>
      </rPr>
      <t>Automotive Transmission Repair</t>
    </r>
  </si>
  <si>
    <r>
      <rPr>
        <sz val="12"/>
        <rFont val="Arial"/>
        <family val="2"/>
      </rPr>
      <t>General Automotive Repair Shops</t>
    </r>
  </si>
  <si>
    <r>
      <rPr>
        <sz val="12"/>
        <rFont val="Arial"/>
        <family val="2"/>
      </rPr>
      <t>General Automotive Repair</t>
    </r>
  </si>
  <si>
    <r>
      <rPr>
        <sz val="12"/>
        <rFont val="Arial"/>
        <family val="2"/>
      </rPr>
      <t>Automotive Repair Shops, Nec</t>
    </r>
  </si>
  <si>
    <r>
      <rPr>
        <sz val="12"/>
        <rFont val="Arial"/>
        <family val="2"/>
      </rPr>
      <t xml:space="preserve">Other Automotive Mechanical and
</t>
    </r>
    <r>
      <rPr>
        <sz val="12"/>
        <rFont val="Arial"/>
        <family val="2"/>
      </rPr>
      <t>Electrical Repair and Maintenance</t>
    </r>
  </si>
  <si>
    <r>
      <rPr>
        <sz val="12"/>
        <rFont val="Arial"/>
        <family val="2"/>
      </rPr>
      <t>Carwashes</t>
    </r>
  </si>
  <si>
    <r>
      <rPr>
        <sz val="12"/>
        <rFont val="Arial"/>
        <family val="2"/>
      </rPr>
      <t>Car Washes</t>
    </r>
  </si>
  <si>
    <r>
      <rPr>
        <sz val="12"/>
        <rFont val="Arial"/>
        <family val="2"/>
      </rPr>
      <t>Automotive Services, Nec</t>
    </r>
  </si>
  <si>
    <r>
      <rPr>
        <sz val="12"/>
        <rFont val="Arial"/>
        <family val="2"/>
      </rPr>
      <t>Motor Vehicle Towing</t>
    </r>
  </si>
  <si>
    <r>
      <rPr>
        <sz val="12"/>
        <rFont val="Arial"/>
        <family val="2"/>
      </rPr>
      <t xml:space="preserve">Automotive Oil Change and Lubrication
</t>
    </r>
    <r>
      <rPr>
        <sz val="12"/>
        <rFont val="Arial"/>
        <family val="2"/>
      </rPr>
      <t>Shops</t>
    </r>
  </si>
  <si>
    <r>
      <rPr>
        <sz val="12"/>
        <rFont val="Arial"/>
        <family val="2"/>
      </rPr>
      <t>Radio and Television Repair</t>
    </r>
  </si>
  <si>
    <r>
      <rPr>
        <sz val="12"/>
        <rFont val="Arial"/>
        <family val="2"/>
      </rPr>
      <t xml:space="preserve">Consumer Electronics Repair and
</t>
    </r>
    <r>
      <rPr>
        <sz val="12"/>
        <rFont val="Arial"/>
        <family val="2"/>
      </rPr>
      <t>Maintenance</t>
    </r>
  </si>
  <si>
    <r>
      <rPr>
        <sz val="12"/>
        <rFont val="Arial"/>
        <family val="2"/>
      </rPr>
      <t xml:space="preserve">Communication Equipment Repair and
</t>
    </r>
    <r>
      <rPr>
        <sz val="12"/>
        <rFont val="Arial"/>
        <family val="2"/>
      </rPr>
      <t>Maintenance</t>
    </r>
  </si>
  <si>
    <r>
      <rPr>
        <sz val="12"/>
        <rFont val="Arial"/>
        <family val="2"/>
      </rPr>
      <t>Refrigeration Service and Repair</t>
    </r>
  </si>
  <si>
    <r>
      <rPr>
        <sz val="12"/>
        <rFont val="Arial"/>
        <family val="2"/>
      </rPr>
      <t xml:space="preserve">Commercial and Industrial Machinery and Equipment (except Automotive and
</t>
    </r>
    <r>
      <rPr>
        <sz val="12"/>
        <rFont val="Arial"/>
        <family val="2"/>
      </rPr>
      <t>Electronic) Repair and Maintenance</t>
    </r>
  </si>
  <si>
    <r>
      <rPr>
        <sz val="12"/>
        <rFont val="Arial"/>
        <family val="2"/>
      </rPr>
      <t>Appliance Repair and Maintenance</t>
    </r>
  </si>
  <si>
    <r>
      <rPr>
        <sz val="12"/>
        <rFont val="Arial"/>
        <family val="2"/>
      </rPr>
      <t>Electrical Repair Shops</t>
    </r>
  </si>
  <si>
    <r>
      <rPr>
        <sz val="12"/>
        <rFont val="Arial"/>
        <family val="2"/>
      </rPr>
      <t xml:space="preserve">Other Electronic and Precision Equipment
</t>
    </r>
    <r>
      <rPr>
        <sz val="12"/>
        <rFont val="Arial"/>
        <family val="2"/>
      </rPr>
      <t>Repair and Maintenance</t>
    </r>
  </si>
  <si>
    <r>
      <rPr>
        <sz val="12"/>
        <rFont val="Arial"/>
        <family val="2"/>
      </rPr>
      <t>Watch, Clock, and Jewelry Repair</t>
    </r>
  </si>
  <si>
    <r>
      <rPr>
        <sz val="12"/>
        <rFont val="Arial"/>
        <family val="2"/>
      </rPr>
      <t>Welding Repair</t>
    </r>
  </si>
  <si>
    <r>
      <rPr>
        <sz val="12"/>
        <rFont val="Arial"/>
        <family val="2"/>
      </rPr>
      <t>Armature Rewinding Shops</t>
    </r>
  </si>
  <si>
    <r>
      <rPr>
        <sz val="12"/>
        <rFont val="Arial"/>
        <family val="2"/>
      </rPr>
      <t>Repair Services, Nec</t>
    </r>
  </si>
  <si>
    <r>
      <rPr>
        <sz val="12"/>
        <rFont val="Arial"/>
        <family val="2"/>
      </rPr>
      <t>Locksmiths</t>
    </r>
  </si>
  <si>
    <r>
      <rPr>
        <sz val="12"/>
        <rFont val="Arial"/>
        <family val="2"/>
      </rPr>
      <t xml:space="preserve">Home and Garden Equipment Repair and
</t>
    </r>
    <r>
      <rPr>
        <sz val="12"/>
        <rFont val="Arial"/>
        <family val="2"/>
      </rPr>
      <t>Maintenance</t>
    </r>
  </si>
  <si>
    <r>
      <rPr>
        <sz val="12"/>
        <rFont val="Arial"/>
        <family val="2"/>
      </rPr>
      <t>Motion Picture and Video Production</t>
    </r>
  </si>
  <si>
    <r>
      <rPr>
        <sz val="12"/>
        <rFont val="Arial"/>
        <family val="2"/>
      </rPr>
      <t>Services Allied To Motion Pictures</t>
    </r>
  </si>
  <si>
    <r>
      <rPr>
        <sz val="12"/>
        <rFont val="Arial"/>
        <family val="2"/>
      </rPr>
      <t xml:space="preserve">Teleproduction and Other Postproduction
</t>
    </r>
    <r>
      <rPr>
        <sz val="12"/>
        <rFont val="Arial"/>
        <family val="2"/>
      </rPr>
      <t>Services</t>
    </r>
  </si>
  <si>
    <r>
      <rPr>
        <sz val="12"/>
        <rFont val="Arial"/>
        <family val="2"/>
      </rPr>
      <t>Other Motion Picture and Video Industries</t>
    </r>
  </si>
  <si>
    <r>
      <rPr>
        <sz val="12"/>
        <rFont val="Arial"/>
        <family val="2"/>
      </rPr>
      <t>Payroll Services</t>
    </r>
  </si>
  <si>
    <r>
      <rPr>
        <sz val="12"/>
        <rFont val="Arial"/>
        <family val="2"/>
      </rPr>
      <t>Motion Picture and Tape Distribution</t>
    </r>
  </si>
  <si>
    <r>
      <rPr>
        <sz val="12"/>
        <rFont val="Arial"/>
        <family val="2"/>
      </rPr>
      <t>Motion Picture and Video Distribution</t>
    </r>
  </si>
  <si>
    <r>
      <rPr>
        <sz val="12"/>
        <rFont val="Arial"/>
        <family val="2"/>
      </rPr>
      <t>Motion Picture Distribution Services</t>
    </r>
  </si>
  <si>
    <r>
      <rPr>
        <sz val="12"/>
        <rFont val="Arial"/>
        <family val="2"/>
      </rPr>
      <t>Libraries and Archives</t>
    </r>
  </si>
  <si>
    <r>
      <rPr>
        <sz val="12"/>
        <rFont val="Arial"/>
        <family val="2"/>
      </rPr>
      <t>Motion Picture Theaters, Except Drive-in</t>
    </r>
  </si>
  <si>
    <r>
      <rPr>
        <sz val="12"/>
        <rFont val="Arial"/>
        <family val="2"/>
      </rPr>
      <t>Motion Picture Theaters (except Drive-Ins)</t>
    </r>
  </si>
  <si>
    <r>
      <rPr>
        <sz val="12"/>
        <rFont val="Arial"/>
        <family val="2"/>
      </rPr>
      <t>Drive-in Motion Picture Theaters</t>
    </r>
  </si>
  <si>
    <r>
      <rPr>
        <sz val="12"/>
        <rFont val="Arial"/>
        <family val="2"/>
      </rPr>
      <t>Drive-In Motion Picture Theaters</t>
    </r>
  </si>
  <si>
    <r>
      <rPr>
        <sz val="12"/>
        <rFont val="Arial"/>
        <family val="2"/>
      </rPr>
      <t>Video Tape Rental</t>
    </r>
  </si>
  <si>
    <r>
      <rPr>
        <sz val="12"/>
        <rFont val="Arial"/>
        <family val="2"/>
      </rPr>
      <t>Video Tape and Disc Rental</t>
    </r>
  </si>
  <si>
    <r>
      <rPr>
        <sz val="12"/>
        <rFont val="Arial"/>
        <family val="2"/>
      </rPr>
      <t>Dance Studios, Schools, and Halls</t>
    </r>
  </si>
  <si>
    <r>
      <rPr>
        <sz val="12"/>
        <rFont val="Arial"/>
        <family val="2"/>
      </rPr>
      <t>Fine Arts Schools</t>
    </r>
  </si>
  <si>
    <r>
      <rPr>
        <sz val="12"/>
        <rFont val="Arial"/>
        <family val="2"/>
      </rPr>
      <t xml:space="preserve">All Other Amusement and Recreation
</t>
    </r>
    <r>
      <rPr>
        <sz val="12"/>
        <rFont val="Arial"/>
        <family val="2"/>
      </rPr>
      <t>Industries</t>
    </r>
  </si>
  <si>
    <r>
      <rPr>
        <sz val="12"/>
        <rFont val="Arial"/>
        <family val="2"/>
      </rPr>
      <t>Theatrical Producers and Services</t>
    </r>
  </si>
  <si>
    <r>
      <rPr>
        <sz val="12"/>
        <rFont val="Arial"/>
        <family val="2"/>
      </rPr>
      <t>Dance Companies</t>
    </r>
  </si>
  <si>
    <r>
      <rPr>
        <sz val="12"/>
        <rFont val="Arial"/>
        <family val="2"/>
      </rPr>
      <t>Entertainers and Entertainment Groups</t>
    </r>
  </si>
  <si>
    <r>
      <rPr>
        <sz val="12"/>
        <rFont val="Arial"/>
        <family val="2"/>
      </rPr>
      <t>Musical Groups and Artists</t>
    </r>
  </si>
  <si>
    <r>
      <rPr>
        <sz val="12"/>
        <rFont val="Arial"/>
        <family val="2"/>
      </rPr>
      <t>Other Performing Arts Companies</t>
    </r>
  </si>
  <si>
    <r>
      <rPr>
        <sz val="12"/>
        <rFont val="Arial"/>
        <family val="2"/>
      </rPr>
      <t>Bowling Centers</t>
    </r>
  </si>
  <si>
    <r>
      <rPr>
        <sz val="12"/>
        <rFont val="Arial"/>
        <family val="2"/>
      </rPr>
      <t>Sports Clubs, Managers, and Promoters</t>
    </r>
  </si>
  <si>
    <r>
      <rPr>
        <sz val="12"/>
        <rFont val="Arial"/>
        <family val="2"/>
      </rPr>
      <t>Sports Teams and Clubs</t>
    </r>
  </si>
  <si>
    <r>
      <rPr>
        <sz val="12"/>
        <rFont val="Arial"/>
        <family val="2"/>
      </rPr>
      <t>Racing, Including Track Operation</t>
    </r>
  </si>
  <si>
    <r>
      <rPr>
        <sz val="12"/>
        <rFont val="Arial"/>
        <family val="2"/>
      </rPr>
      <t>Racetracks</t>
    </r>
  </si>
  <si>
    <r>
      <rPr>
        <sz val="12"/>
        <rFont val="Arial"/>
        <family val="2"/>
      </rPr>
      <t>Other Spectator Sports</t>
    </r>
  </si>
  <si>
    <r>
      <rPr>
        <sz val="12"/>
        <rFont val="Arial"/>
        <family val="2"/>
      </rPr>
      <t>Physical Fitness Facilities</t>
    </r>
  </si>
  <si>
    <r>
      <rPr>
        <sz val="12"/>
        <rFont val="Arial"/>
        <family val="2"/>
      </rPr>
      <t>Fitness and Recreational Sports Centers</t>
    </r>
  </si>
  <si>
    <r>
      <rPr>
        <sz val="12"/>
        <rFont val="Arial"/>
        <family val="2"/>
      </rPr>
      <t>Public Golf Courses</t>
    </r>
  </si>
  <si>
    <r>
      <rPr>
        <sz val="12"/>
        <rFont val="Arial"/>
        <family val="2"/>
      </rPr>
      <t>Golf Courses and Country Clubs</t>
    </r>
  </si>
  <si>
    <r>
      <rPr>
        <sz val="12"/>
        <rFont val="Arial"/>
        <family val="2"/>
      </rPr>
      <t>Coin-operated Amusement Devices</t>
    </r>
  </si>
  <si>
    <r>
      <rPr>
        <sz val="12"/>
        <rFont val="Arial"/>
        <family val="2"/>
      </rPr>
      <t>Amusement Arcades</t>
    </r>
  </si>
  <si>
    <r>
      <rPr>
        <sz val="12"/>
        <rFont val="Arial"/>
        <family val="2"/>
      </rPr>
      <t>Other Gambling Industries</t>
    </r>
  </si>
  <si>
    <r>
      <rPr>
        <sz val="12"/>
        <rFont val="Arial"/>
        <family val="2"/>
      </rPr>
      <t>Amusement Parks</t>
    </r>
  </si>
  <si>
    <r>
      <rPr>
        <sz val="12"/>
        <rFont val="Arial"/>
        <family val="2"/>
      </rPr>
      <t>Amusement and Theme Parks</t>
    </r>
  </si>
  <si>
    <r>
      <rPr>
        <sz val="12"/>
        <rFont val="Arial"/>
        <family val="2"/>
      </rPr>
      <t>Membership Sports and Recreation Clubs</t>
    </r>
  </si>
  <si>
    <r>
      <rPr>
        <sz val="12"/>
        <rFont val="Arial"/>
        <family val="2"/>
      </rPr>
      <t>Amusement and Recreation, Nec</t>
    </r>
  </si>
  <si>
    <r>
      <rPr>
        <sz val="12"/>
        <rFont val="Arial"/>
        <family val="2"/>
      </rPr>
      <t>Recreational Goods Rental</t>
    </r>
  </si>
  <si>
    <r>
      <rPr>
        <sz val="12"/>
        <rFont val="Arial"/>
        <family val="2"/>
      </rPr>
      <t>Sports and Recreation Instruction</t>
    </r>
  </si>
  <si>
    <r>
      <rPr>
        <sz val="12"/>
        <rFont val="Arial"/>
        <family val="2"/>
      </rPr>
      <t xml:space="preserve">All Other Miscellaneous Schools and
</t>
    </r>
    <r>
      <rPr>
        <sz val="12"/>
        <rFont val="Arial"/>
        <family val="2"/>
      </rPr>
      <t>Instruction</t>
    </r>
  </si>
  <si>
    <r>
      <rPr>
        <sz val="12"/>
        <rFont val="Arial"/>
        <family val="2"/>
      </rPr>
      <t>Nature Parks and Other Similar Institutions</t>
    </r>
  </si>
  <si>
    <r>
      <rPr>
        <sz val="12"/>
        <rFont val="Arial"/>
        <family val="2"/>
      </rPr>
      <t>Casinos (except Casino Hotels)</t>
    </r>
  </si>
  <si>
    <r>
      <rPr>
        <sz val="12"/>
        <rFont val="Arial"/>
        <family val="2"/>
      </rPr>
      <t>Skiing Facilities</t>
    </r>
  </si>
  <si>
    <r>
      <rPr>
        <sz val="12"/>
        <rFont val="Arial"/>
        <family val="2"/>
      </rPr>
      <t>Offices and Clinics of Medical Doctors</t>
    </r>
  </si>
  <si>
    <r>
      <rPr>
        <sz val="12"/>
        <rFont val="Arial"/>
        <family val="2"/>
      </rPr>
      <t xml:space="preserve">Offices of Physicians (except Mental
</t>
    </r>
    <r>
      <rPr>
        <sz val="12"/>
        <rFont val="Arial"/>
        <family val="2"/>
      </rPr>
      <t>Health Specialists)</t>
    </r>
  </si>
  <si>
    <r>
      <rPr>
        <sz val="12"/>
        <rFont val="Arial"/>
        <family val="2"/>
      </rPr>
      <t xml:space="preserve">Offices of Physicians, Mental Health
</t>
    </r>
    <r>
      <rPr>
        <sz val="12"/>
        <rFont val="Arial"/>
        <family val="2"/>
      </rPr>
      <t>Specialists</t>
    </r>
  </si>
  <si>
    <r>
      <rPr>
        <sz val="12"/>
        <rFont val="Arial"/>
        <family val="2"/>
      </rPr>
      <t>HMO Medical Centers</t>
    </r>
  </si>
  <si>
    <r>
      <rPr>
        <sz val="12"/>
        <rFont val="Arial"/>
        <family val="2"/>
      </rPr>
      <t xml:space="preserve">Freestanding Ambulatory Surgical and
</t>
    </r>
    <r>
      <rPr>
        <sz val="12"/>
        <rFont val="Arial"/>
        <family val="2"/>
      </rPr>
      <t>Emergency Centers</t>
    </r>
  </si>
  <si>
    <r>
      <rPr>
        <sz val="12"/>
        <rFont val="Arial"/>
        <family val="2"/>
      </rPr>
      <t>Offices and Clinics of Dentists</t>
    </r>
  </si>
  <si>
    <r>
      <rPr>
        <sz val="12"/>
        <rFont val="Arial"/>
        <family val="2"/>
      </rPr>
      <t>Offices of Dentists</t>
    </r>
  </si>
  <si>
    <r>
      <rPr>
        <sz val="12"/>
        <rFont val="Arial"/>
        <family val="2"/>
      </rPr>
      <t xml:space="preserve">Offices and Clinics of Osteopathic
</t>
    </r>
    <r>
      <rPr>
        <sz val="12"/>
        <rFont val="Arial"/>
        <family val="2"/>
      </rPr>
      <t>Physicians</t>
    </r>
  </si>
  <si>
    <r>
      <rPr>
        <sz val="12"/>
        <rFont val="Arial"/>
        <family val="2"/>
      </rPr>
      <t>Offices and Clinics of Chiropractors</t>
    </r>
  </si>
  <si>
    <r>
      <rPr>
        <sz val="12"/>
        <rFont val="Arial"/>
        <family val="2"/>
      </rPr>
      <t>Offices of Chiropractors</t>
    </r>
  </si>
  <si>
    <r>
      <rPr>
        <sz val="12"/>
        <rFont val="Arial"/>
        <family val="2"/>
      </rPr>
      <t>Offices and Clinics of Optometrists</t>
    </r>
  </si>
  <si>
    <r>
      <rPr>
        <sz val="12"/>
        <rFont val="Arial"/>
        <family val="2"/>
      </rPr>
      <t>Offices of Optometrists</t>
    </r>
  </si>
  <si>
    <r>
      <rPr>
        <sz val="12"/>
        <rFont val="Arial"/>
        <family val="2"/>
      </rPr>
      <t>Offices and Clinics of Podiatrists</t>
    </r>
  </si>
  <si>
    <r>
      <rPr>
        <sz val="12"/>
        <rFont val="Arial"/>
        <family val="2"/>
      </rPr>
      <t>Offices of Podiatrists</t>
    </r>
  </si>
  <si>
    <r>
      <rPr>
        <sz val="12"/>
        <rFont val="Arial"/>
        <family val="2"/>
      </rPr>
      <t>Offices of Health Practitioner</t>
    </r>
  </si>
  <si>
    <r>
      <rPr>
        <sz val="12"/>
        <rFont val="Arial"/>
        <family val="2"/>
      </rPr>
      <t xml:space="preserve">Offices of Mental Health Practitioners
</t>
    </r>
    <r>
      <rPr>
        <sz val="12"/>
        <rFont val="Arial"/>
        <family val="2"/>
      </rPr>
      <t>(except Physicians)</t>
    </r>
  </si>
  <si>
    <r>
      <rPr>
        <sz val="12"/>
        <rFont val="Arial"/>
        <family val="2"/>
      </rPr>
      <t xml:space="preserve">Offices of Physical, Occupational and
</t>
    </r>
    <r>
      <rPr>
        <sz val="12"/>
        <rFont val="Arial"/>
        <family val="2"/>
      </rPr>
      <t>Speech Therapists, and Audiologists</t>
    </r>
  </si>
  <si>
    <r>
      <rPr>
        <sz val="12"/>
        <rFont val="Arial"/>
        <family val="2"/>
      </rPr>
      <t xml:space="preserve">Offices of All Other Miscellaneous Health
</t>
    </r>
    <r>
      <rPr>
        <sz val="12"/>
        <rFont val="Arial"/>
        <family val="2"/>
      </rPr>
      <t>Practitioners</t>
    </r>
  </si>
  <si>
    <r>
      <rPr>
        <sz val="12"/>
        <rFont val="Arial"/>
        <family val="2"/>
      </rPr>
      <t>Skilled Nursing Care Facilities</t>
    </r>
  </si>
  <si>
    <r>
      <rPr>
        <sz val="12"/>
        <rFont val="Arial"/>
        <family val="2"/>
      </rPr>
      <t xml:space="preserve">Nursing Care Facilities (Skilled Nursing
</t>
    </r>
    <r>
      <rPr>
        <sz val="12"/>
        <rFont val="Arial"/>
        <family val="2"/>
      </rPr>
      <t>Facilities)</t>
    </r>
  </si>
  <si>
    <r>
      <rPr>
        <sz val="12"/>
        <rFont val="Arial"/>
        <family val="2"/>
      </rPr>
      <t xml:space="preserve">Residential Intellectual and Developmental
</t>
    </r>
    <r>
      <rPr>
        <sz val="12"/>
        <rFont val="Arial"/>
        <family val="2"/>
      </rPr>
      <t>Disability Facilities</t>
    </r>
  </si>
  <si>
    <r>
      <rPr>
        <sz val="12"/>
        <rFont val="Arial"/>
        <family val="2"/>
      </rPr>
      <t>Continuing Care Retirement Communities</t>
    </r>
  </si>
  <si>
    <r>
      <rPr>
        <sz val="12"/>
        <rFont val="Arial"/>
        <family val="2"/>
      </rPr>
      <t>Intermediate Care Facilities</t>
    </r>
  </si>
  <si>
    <r>
      <rPr>
        <sz val="12"/>
        <rFont val="Arial"/>
        <family val="2"/>
      </rPr>
      <t>Nursing and Personal Care, Nec</t>
    </r>
  </si>
  <si>
    <r>
      <rPr>
        <sz val="12"/>
        <rFont val="Arial"/>
        <family val="2"/>
      </rPr>
      <t>General Medical and Surgical Hospitals</t>
    </r>
  </si>
  <si>
    <r>
      <rPr>
        <sz val="12"/>
        <rFont val="Arial"/>
        <family val="2"/>
      </rPr>
      <t>Psychiatric Hospitals</t>
    </r>
  </si>
  <si>
    <r>
      <rPr>
        <sz val="12"/>
        <rFont val="Arial"/>
        <family val="2"/>
      </rPr>
      <t xml:space="preserve">Psychiatric and Substance Abuse
</t>
    </r>
    <r>
      <rPr>
        <sz val="12"/>
        <rFont val="Arial"/>
        <family val="2"/>
      </rPr>
      <t>Hospitals</t>
    </r>
  </si>
  <si>
    <r>
      <rPr>
        <sz val="12"/>
        <rFont val="Arial"/>
        <family val="2"/>
      </rPr>
      <t>Specialty Hospitals, Except Psychiatric</t>
    </r>
  </si>
  <si>
    <r>
      <rPr>
        <sz val="12"/>
        <rFont val="Arial"/>
        <family val="2"/>
      </rPr>
      <t xml:space="preserve">Specialty (except Psychiatric and
</t>
    </r>
    <r>
      <rPr>
        <sz val="12"/>
        <rFont val="Arial"/>
        <family val="2"/>
      </rPr>
      <t>Substance Abuse) Hospitals</t>
    </r>
  </si>
  <si>
    <r>
      <rPr>
        <sz val="12"/>
        <rFont val="Arial"/>
        <family val="2"/>
      </rPr>
      <t>Medical Laboratories</t>
    </r>
  </si>
  <si>
    <r>
      <rPr>
        <sz val="12"/>
        <rFont val="Arial"/>
        <family val="2"/>
      </rPr>
      <t>Diagnostic Imaging Centers</t>
    </r>
  </si>
  <si>
    <r>
      <rPr>
        <sz val="12"/>
        <rFont val="Arial"/>
        <family val="2"/>
      </rPr>
      <t>Dental Laboratories</t>
    </r>
  </si>
  <si>
    <r>
      <rPr>
        <sz val="12"/>
        <rFont val="Arial"/>
        <family val="2"/>
      </rPr>
      <t>Home Health Care Services</t>
    </r>
  </si>
  <si>
    <r>
      <rPr>
        <sz val="12"/>
        <rFont val="Arial"/>
        <family val="2"/>
      </rPr>
      <t>Kidney Dialysis Centers</t>
    </r>
  </si>
  <si>
    <r>
      <rPr>
        <sz val="12"/>
        <rFont val="Arial"/>
        <family val="2"/>
      </rPr>
      <t>Specialty Outpatient Clinics, Nec</t>
    </r>
  </si>
  <si>
    <r>
      <rPr>
        <sz val="12"/>
        <rFont val="Arial"/>
        <family val="2"/>
      </rPr>
      <t>Family Planning Centers</t>
    </r>
  </si>
  <si>
    <r>
      <rPr>
        <sz val="12"/>
        <rFont val="Arial"/>
        <family val="2"/>
      </rPr>
      <t xml:space="preserve">Outpatient Mental Health and Substance
</t>
    </r>
    <r>
      <rPr>
        <sz val="12"/>
        <rFont val="Arial"/>
        <family val="2"/>
      </rPr>
      <t>Abuse Centers</t>
    </r>
  </si>
  <si>
    <r>
      <rPr>
        <sz val="12"/>
        <rFont val="Arial"/>
        <family val="2"/>
      </rPr>
      <t>All Other Outpatient Care Centers</t>
    </r>
  </si>
  <si>
    <r>
      <rPr>
        <sz val="12"/>
        <rFont val="Arial"/>
        <family val="2"/>
      </rPr>
      <t>Health and Allied Services, Nec</t>
    </r>
  </si>
  <si>
    <r>
      <rPr>
        <sz val="12"/>
        <rFont val="Arial"/>
        <family val="2"/>
      </rPr>
      <t>Blood and Organ Banks</t>
    </r>
  </si>
  <si>
    <r>
      <rPr>
        <sz val="12"/>
        <rFont val="Arial"/>
        <family val="2"/>
      </rPr>
      <t xml:space="preserve">All Other Miscellaneous Ambulatory Health
</t>
    </r>
    <r>
      <rPr>
        <sz val="12"/>
        <rFont val="Arial"/>
        <family val="2"/>
      </rPr>
      <t>Care Services</t>
    </r>
  </si>
  <si>
    <r>
      <rPr>
        <sz val="12"/>
        <rFont val="Arial"/>
        <family val="2"/>
      </rPr>
      <t>Legal Services</t>
    </r>
  </si>
  <si>
    <r>
      <rPr>
        <sz val="12"/>
        <rFont val="Arial"/>
        <family val="2"/>
      </rPr>
      <t>Offices of Lawyers</t>
    </r>
  </si>
  <si>
    <r>
      <rPr>
        <sz val="12"/>
        <rFont val="Arial"/>
        <family val="2"/>
      </rPr>
      <t>Elementary and Secondary Schools</t>
    </r>
  </si>
  <si>
    <r>
      <rPr>
        <sz val="12"/>
        <rFont val="Arial"/>
        <family val="2"/>
      </rPr>
      <t>Colleges and Universities</t>
    </r>
  </si>
  <si>
    <r>
      <rPr>
        <sz val="12"/>
        <rFont val="Arial"/>
        <family val="2"/>
      </rPr>
      <t xml:space="preserve">Colleges, Universities, and Professional
</t>
    </r>
    <r>
      <rPr>
        <sz val="12"/>
        <rFont val="Arial"/>
        <family val="2"/>
      </rPr>
      <t>Schools</t>
    </r>
  </si>
  <si>
    <r>
      <rPr>
        <sz val="12"/>
        <rFont val="Arial"/>
        <family val="2"/>
      </rPr>
      <t>Junior Colleges</t>
    </r>
  </si>
  <si>
    <r>
      <rPr>
        <sz val="12"/>
        <rFont val="Arial"/>
        <family val="2"/>
      </rPr>
      <t>Libraries</t>
    </r>
  </si>
  <si>
    <r>
      <rPr>
        <sz val="12"/>
        <rFont val="Arial"/>
        <family val="2"/>
      </rPr>
      <t>Data Processing Schools</t>
    </r>
  </si>
  <si>
    <r>
      <rPr>
        <sz val="12"/>
        <rFont val="Arial"/>
        <family val="2"/>
      </rPr>
      <t>Computer Training</t>
    </r>
  </si>
  <si>
    <r>
      <rPr>
        <sz val="12"/>
        <rFont val="Arial"/>
        <family val="2"/>
      </rPr>
      <t>Other Technical and Trade Schools</t>
    </r>
  </si>
  <si>
    <r>
      <rPr>
        <sz val="12"/>
        <rFont val="Arial"/>
        <family val="2"/>
      </rPr>
      <t>Business and Secretarial Schools</t>
    </r>
  </si>
  <si>
    <r>
      <rPr>
        <sz val="12"/>
        <rFont val="Arial"/>
        <family val="2"/>
      </rPr>
      <t>Vocational Schools, Nec</t>
    </r>
  </si>
  <si>
    <r>
      <rPr>
        <sz val="12"/>
        <rFont val="Arial"/>
        <family val="2"/>
      </rPr>
      <t>Flight Training</t>
    </r>
  </si>
  <si>
    <r>
      <rPr>
        <sz val="12"/>
        <rFont val="Arial"/>
        <family val="2"/>
      </rPr>
      <t>Apprenticeship Training</t>
    </r>
  </si>
  <si>
    <r>
      <rPr>
        <sz val="12"/>
        <rFont val="Arial"/>
        <family val="2"/>
      </rPr>
      <t>Schools and Educational Services</t>
    </r>
  </si>
  <si>
    <r>
      <rPr>
        <sz val="12"/>
        <rFont val="Arial"/>
        <family val="2"/>
      </rPr>
      <t xml:space="preserve">Professional and Management
</t>
    </r>
    <r>
      <rPr>
        <sz val="12"/>
        <rFont val="Arial"/>
        <family val="2"/>
      </rPr>
      <t>Development Training</t>
    </r>
  </si>
  <si>
    <r>
      <rPr>
        <sz val="12"/>
        <rFont val="Arial"/>
        <family val="2"/>
      </rPr>
      <t>Language Schools</t>
    </r>
  </si>
  <si>
    <r>
      <rPr>
        <sz val="12"/>
        <rFont val="Arial"/>
        <family val="2"/>
      </rPr>
      <t>Exam Preparation and Tutoring</t>
    </r>
  </si>
  <si>
    <r>
      <rPr>
        <sz val="12"/>
        <rFont val="Arial"/>
        <family val="2"/>
      </rPr>
      <t>Automobile Driving Schools</t>
    </r>
  </si>
  <si>
    <r>
      <rPr>
        <sz val="12"/>
        <rFont val="Arial"/>
        <family val="2"/>
      </rPr>
      <t>Educational Support Services</t>
    </r>
  </si>
  <si>
    <r>
      <rPr>
        <sz val="12"/>
        <rFont val="Arial"/>
        <family val="2"/>
      </rPr>
      <t>Individual and Family Services</t>
    </r>
  </si>
  <si>
    <r>
      <rPr>
        <sz val="12"/>
        <rFont val="Arial"/>
        <family val="2"/>
      </rPr>
      <t>Child and Youth Services</t>
    </r>
  </si>
  <si>
    <r>
      <rPr>
        <sz val="12"/>
        <rFont val="Arial"/>
        <family val="2"/>
      </rPr>
      <t xml:space="preserve">Services for the Elderly and Persons with
</t>
    </r>
    <r>
      <rPr>
        <sz val="12"/>
        <rFont val="Arial"/>
        <family val="2"/>
      </rPr>
      <t>Disabilities</t>
    </r>
  </si>
  <si>
    <r>
      <rPr>
        <sz val="12"/>
        <rFont val="Arial"/>
        <family val="2"/>
      </rPr>
      <t>Other Individual and Family Services</t>
    </r>
  </si>
  <si>
    <r>
      <rPr>
        <sz val="12"/>
        <rFont val="Arial"/>
        <family val="2"/>
      </rPr>
      <t>Community Food Services</t>
    </r>
  </si>
  <si>
    <r>
      <rPr>
        <sz val="12"/>
        <rFont val="Arial"/>
        <family val="2"/>
      </rPr>
      <t>Temporary Shelters</t>
    </r>
  </si>
  <si>
    <r>
      <rPr>
        <sz val="12"/>
        <rFont val="Arial"/>
        <family val="2"/>
      </rPr>
      <t>Other Community Housing Services</t>
    </r>
  </si>
  <si>
    <r>
      <rPr>
        <sz val="12"/>
        <rFont val="Arial"/>
        <family val="2"/>
      </rPr>
      <t>Emergency and Other Relief Services</t>
    </r>
  </si>
  <si>
    <r>
      <rPr>
        <sz val="12"/>
        <rFont val="Arial"/>
        <family val="2"/>
      </rPr>
      <t>Parole Offices and Probation Offices</t>
    </r>
  </si>
  <si>
    <r>
      <rPr>
        <sz val="12"/>
        <rFont val="Arial"/>
        <family val="2"/>
      </rPr>
      <t>Job Training and Related Services</t>
    </r>
  </si>
  <si>
    <r>
      <rPr>
        <sz val="12"/>
        <rFont val="Arial"/>
        <family val="2"/>
      </rPr>
      <t>Vocational Rehabilitation Services</t>
    </r>
  </si>
  <si>
    <r>
      <rPr>
        <sz val="12"/>
        <rFont val="Arial"/>
        <family val="2"/>
      </rPr>
      <t>Child Day Care Services</t>
    </r>
  </si>
  <si>
    <r>
      <rPr>
        <sz val="12"/>
        <rFont val="Arial"/>
        <family val="2"/>
      </rPr>
      <t>Residential Care</t>
    </r>
  </si>
  <si>
    <r>
      <rPr>
        <sz val="12"/>
        <rFont val="Arial"/>
        <family val="2"/>
      </rPr>
      <t xml:space="preserve">Residential Mental Health and Substance
</t>
    </r>
    <r>
      <rPr>
        <sz val="12"/>
        <rFont val="Arial"/>
        <family val="2"/>
      </rPr>
      <t>Abuse Facilities</t>
    </r>
  </si>
  <si>
    <r>
      <rPr>
        <sz val="12"/>
        <rFont val="Arial"/>
        <family val="2"/>
      </rPr>
      <t>Assisted Living Facilities for the Elderly</t>
    </r>
  </si>
  <si>
    <r>
      <rPr>
        <sz val="12"/>
        <rFont val="Arial"/>
        <family val="2"/>
      </rPr>
      <t>Other Residential Care Facilities</t>
    </r>
  </si>
  <si>
    <r>
      <rPr>
        <sz val="12"/>
        <rFont val="Arial"/>
        <family val="2"/>
      </rPr>
      <t>Social Services, Nec</t>
    </r>
  </si>
  <si>
    <r>
      <rPr>
        <sz val="12"/>
        <rFont val="Arial"/>
        <family val="2"/>
      </rPr>
      <t>Voluntary Health Organizations</t>
    </r>
  </si>
  <si>
    <r>
      <rPr>
        <sz val="12"/>
        <rFont val="Arial"/>
        <family val="2"/>
      </rPr>
      <t>Other Grantmaking and Giving Services</t>
    </r>
  </si>
  <si>
    <r>
      <rPr>
        <sz val="12"/>
        <rFont val="Arial"/>
        <family val="2"/>
      </rPr>
      <t>Human Rights Organizations</t>
    </r>
  </si>
  <si>
    <r>
      <rPr>
        <sz val="12"/>
        <rFont val="Arial"/>
        <family val="2"/>
      </rPr>
      <t xml:space="preserve">Environment, Conservation and Wildlife
</t>
    </r>
    <r>
      <rPr>
        <sz val="12"/>
        <rFont val="Arial"/>
        <family val="2"/>
      </rPr>
      <t>Organizations</t>
    </r>
  </si>
  <si>
    <r>
      <rPr>
        <sz val="12"/>
        <rFont val="Arial"/>
        <family val="2"/>
      </rPr>
      <t>Other Social Advocacy Organizations</t>
    </r>
  </si>
  <si>
    <r>
      <rPr>
        <sz val="12"/>
        <rFont val="Arial"/>
        <family val="2"/>
      </rPr>
      <t>Museums and Art Galleries</t>
    </r>
  </si>
  <si>
    <r>
      <rPr>
        <sz val="12"/>
        <rFont val="Arial"/>
        <family val="2"/>
      </rPr>
      <t>Museums</t>
    </r>
  </si>
  <si>
    <r>
      <rPr>
        <sz val="12"/>
        <rFont val="Arial"/>
        <family val="2"/>
      </rPr>
      <t>Historical Sites</t>
    </r>
  </si>
  <si>
    <r>
      <rPr>
        <sz val="12"/>
        <rFont val="Arial"/>
        <family val="2"/>
      </rPr>
      <t>Botanical and Zoological Gardens</t>
    </r>
  </si>
  <si>
    <r>
      <rPr>
        <sz val="12"/>
        <rFont val="Arial"/>
        <family val="2"/>
      </rPr>
      <t>Zoos and Botanical Gardens</t>
    </r>
  </si>
  <si>
    <r>
      <rPr>
        <sz val="12"/>
        <rFont val="Arial"/>
        <family val="2"/>
      </rPr>
      <t>Business Associations</t>
    </r>
  </si>
  <si>
    <r>
      <rPr>
        <sz val="12"/>
        <rFont val="Arial"/>
        <family val="2"/>
      </rPr>
      <t>Professional Organizations</t>
    </r>
  </si>
  <si>
    <r>
      <rPr>
        <sz val="12"/>
        <rFont val="Arial"/>
        <family val="2"/>
      </rPr>
      <t>Labor Organizations</t>
    </r>
  </si>
  <si>
    <r>
      <rPr>
        <sz val="12"/>
        <rFont val="Arial"/>
        <family val="2"/>
      </rPr>
      <t xml:space="preserve">Labor Unions and Similar Labor
</t>
    </r>
    <r>
      <rPr>
        <sz val="12"/>
        <rFont val="Arial"/>
        <family val="2"/>
      </rPr>
      <t>Organizations</t>
    </r>
  </si>
  <si>
    <r>
      <rPr>
        <sz val="12"/>
        <rFont val="Arial"/>
        <family val="2"/>
      </rPr>
      <t>Civic and Social Associations</t>
    </r>
  </si>
  <si>
    <r>
      <rPr>
        <sz val="12"/>
        <rFont val="Arial"/>
        <family val="2"/>
      </rPr>
      <t>Civic and Social Organizations</t>
    </r>
  </si>
  <si>
    <r>
      <rPr>
        <sz val="12"/>
        <rFont val="Arial"/>
        <family val="2"/>
      </rPr>
      <t xml:space="preserve">Other Similar Organizations (except
</t>
    </r>
    <r>
      <rPr>
        <sz val="12"/>
        <rFont val="Arial"/>
        <family val="2"/>
      </rPr>
      <t>Business, Professional, Labor, and Political Organizations)</t>
    </r>
  </si>
  <si>
    <r>
      <rPr>
        <sz val="12"/>
        <rFont val="Arial"/>
        <family val="2"/>
      </rPr>
      <t xml:space="preserve">American Indian and Alaska Native Tribal
</t>
    </r>
    <r>
      <rPr>
        <sz val="12"/>
        <rFont val="Arial"/>
        <family val="2"/>
      </rPr>
      <t>Governments</t>
    </r>
  </si>
  <si>
    <r>
      <rPr>
        <sz val="12"/>
        <rFont val="Arial"/>
        <family val="2"/>
      </rPr>
      <t>Political Organizations</t>
    </r>
  </si>
  <si>
    <r>
      <rPr>
        <sz val="12"/>
        <rFont val="Arial"/>
        <family val="2"/>
      </rPr>
      <t>Religious Organizations</t>
    </r>
  </si>
  <si>
    <r>
      <rPr>
        <sz val="12"/>
        <rFont val="Arial"/>
        <family val="2"/>
      </rPr>
      <t>Membership Organizations, Nec</t>
    </r>
  </si>
  <si>
    <r>
      <rPr>
        <sz val="12"/>
        <rFont val="Arial"/>
        <family val="2"/>
      </rPr>
      <t>Engineering Services</t>
    </r>
  </si>
  <si>
    <r>
      <rPr>
        <sz val="12"/>
        <rFont val="Arial"/>
        <family val="2"/>
      </rPr>
      <t>Architectural Services</t>
    </r>
  </si>
  <si>
    <r>
      <rPr>
        <sz val="12"/>
        <rFont val="Arial"/>
        <family val="2"/>
      </rPr>
      <t>Surveying Services</t>
    </r>
  </si>
  <si>
    <r>
      <rPr>
        <sz val="12"/>
        <rFont val="Arial"/>
        <family val="2"/>
      </rPr>
      <t>Accounting, Auditing, and Bookkeeping</t>
    </r>
  </si>
  <si>
    <r>
      <rPr>
        <sz val="12"/>
        <rFont val="Arial"/>
        <family val="2"/>
      </rPr>
      <t>Offices of Certified Public Accountants</t>
    </r>
  </si>
  <si>
    <r>
      <rPr>
        <sz val="12"/>
        <rFont val="Arial"/>
        <family val="2"/>
      </rPr>
      <t>Other Accounting Services</t>
    </r>
  </si>
  <si>
    <r>
      <rPr>
        <sz val="12"/>
        <rFont val="Arial"/>
        <family val="2"/>
      </rPr>
      <t>Commercial Physical Research</t>
    </r>
  </si>
  <si>
    <r>
      <rPr>
        <sz val="12"/>
        <rFont val="Arial"/>
        <family val="2"/>
      </rPr>
      <t>Research and Development in Biotechnology (except Nanobiotechnology)</t>
    </r>
  </si>
  <si>
    <r>
      <rPr>
        <sz val="12"/>
        <rFont val="Arial"/>
        <family val="2"/>
      </rPr>
      <t xml:space="preserve">Research and Development in the Physical, Engineering, and Life Sciences (except Nanotechnology and
</t>
    </r>
    <r>
      <rPr>
        <sz val="12"/>
        <rFont val="Arial"/>
        <family val="2"/>
      </rPr>
      <t>Biotechnology)</t>
    </r>
  </si>
  <si>
    <r>
      <rPr>
        <sz val="12"/>
        <rFont val="Arial"/>
        <family val="2"/>
      </rPr>
      <t>Commercial Nonphysical Research</t>
    </r>
  </si>
  <si>
    <r>
      <rPr>
        <sz val="12"/>
        <rFont val="Arial"/>
        <family val="2"/>
      </rPr>
      <t xml:space="preserve">Research and Development in the Social
</t>
    </r>
    <r>
      <rPr>
        <sz val="12"/>
        <rFont val="Arial"/>
        <family val="2"/>
      </rPr>
      <t>Sciences and Humanities</t>
    </r>
  </si>
  <si>
    <r>
      <rPr>
        <sz val="12"/>
        <rFont val="Arial"/>
        <family val="2"/>
      </rPr>
      <t xml:space="preserve">Marketing Research and Public Opinion
</t>
    </r>
    <r>
      <rPr>
        <sz val="12"/>
        <rFont val="Arial"/>
        <family val="2"/>
      </rPr>
      <t>Polling</t>
    </r>
  </si>
  <si>
    <r>
      <rPr>
        <sz val="12"/>
        <rFont val="Arial"/>
        <family val="2"/>
      </rPr>
      <t>Noncommercial Research Organizations</t>
    </r>
  </si>
  <si>
    <r>
      <rPr>
        <sz val="12"/>
        <rFont val="Arial"/>
        <family val="2"/>
      </rPr>
      <t>Testing Laboratories</t>
    </r>
  </si>
  <si>
    <r>
      <rPr>
        <sz val="12"/>
        <rFont val="Arial"/>
        <family val="2"/>
      </rPr>
      <t>Management Services</t>
    </r>
  </si>
  <si>
    <r>
      <rPr>
        <sz val="12"/>
        <rFont val="Arial"/>
        <family val="2"/>
      </rPr>
      <t>Office Administrative Services</t>
    </r>
  </si>
  <si>
    <r>
      <rPr>
        <sz val="12"/>
        <rFont val="Arial"/>
        <family val="2"/>
      </rPr>
      <t>Management Consulting Services</t>
    </r>
  </si>
  <si>
    <r>
      <rPr>
        <sz val="12"/>
        <rFont val="Arial"/>
        <family val="2"/>
      </rPr>
      <t xml:space="preserve">Administrative Management and General
</t>
    </r>
    <r>
      <rPr>
        <sz val="12"/>
        <rFont val="Arial"/>
        <family val="2"/>
      </rPr>
      <t>Management Consulting Services</t>
    </r>
  </si>
  <si>
    <r>
      <rPr>
        <sz val="12"/>
        <rFont val="Arial"/>
        <family val="2"/>
      </rPr>
      <t>Marketing Consulting Services</t>
    </r>
  </si>
  <si>
    <r>
      <rPr>
        <sz val="12"/>
        <rFont val="Arial"/>
        <family val="2"/>
      </rPr>
      <t>Public Relations Services</t>
    </r>
  </si>
  <si>
    <r>
      <rPr>
        <sz val="12"/>
        <rFont val="Arial"/>
        <family val="2"/>
      </rPr>
      <t>Public Relations Agencies</t>
    </r>
  </si>
  <si>
    <r>
      <rPr>
        <sz val="12"/>
        <rFont val="Arial"/>
        <family val="2"/>
      </rPr>
      <t>Facilities Support Services</t>
    </r>
  </si>
  <si>
    <r>
      <rPr>
        <sz val="12"/>
        <rFont val="Arial"/>
        <family val="2"/>
      </rPr>
      <t>Business Consulting, Nec</t>
    </r>
  </si>
  <si>
    <r>
      <rPr>
        <sz val="12"/>
        <rFont val="Arial"/>
        <family val="2"/>
      </rPr>
      <t>Other Management Consulting Services</t>
    </r>
  </si>
  <si>
    <r>
      <rPr>
        <sz val="12"/>
        <rFont val="Arial"/>
        <family val="2"/>
      </rPr>
      <t>Private Households</t>
    </r>
  </si>
  <si>
    <r>
      <rPr>
        <sz val="12"/>
        <rFont val="Arial"/>
        <family val="2"/>
      </rPr>
      <t>Services, Nec</t>
    </r>
  </si>
  <si>
    <r>
      <rPr>
        <sz val="12"/>
        <rFont val="Arial"/>
        <family val="2"/>
      </rPr>
      <t>Environmental Consulting Services</t>
    </r>
  </si>
  <si>
    <r>
      <rPr>
        <sz val="12"/>
        <rFont val="Arial"/>
        <family val="2"/>
      </rPr>
      <t>Executive Offices</t>
    </r>
  </si>
  <si>
    <r>
      <rPr>
        <sz val="12"/>
        <rFont val="Arial"/>
        <family val="2"/>
      </rPr>
      <t>Legislative Bodies</t>
    </r>
  </si>
  <si>
    <r>
      <rPr>
        <sz val="12"/>
        <rFont val="Arial"/>
        <family val="2"/>
      </rPr>
      <t>Executive and Legislative Combined</t>
    </r>
  </si>
  <si>
    <r>
      <rPr>
        <sz val="12"/>
        <rFont val="Arial"/>
        <family val="2"/>
      </rPr>
      <t xml:space="preserve">Executive and Legislative Offices,
</t>
    </r>
    <r>
      <rPr>
        <sz val="12"/>
        <rFont val="Arial"/>
        <family val="2"/>
      </rPr>
      <t>Combined</t>
    </r>
  </si>
  <si>
    <r>
      <rPr>
        <sz val="12"/>
        <rFont val="Arial"/>
        <family val="2"/>
      </rPr>
      <t>General Government, Nec</t>
    </r>
  </si>
  <si>
    <r>
      <rPr>
        <sz val="12"/>
        <rFont val="Arial"/>
        <family val="2"/>
      </rPr>
      <t>Other General Government Support</t>
    </r>
  </si>
  <si>
    <r>
      <rPr>
        <sz val="12"/>
        <rFont val="Arial"/>
        <family val="2"/>
      </rPr>
      <t>Courts</t>
    </r>
  </si>
  <si>
    <r>
      <rPr>
        <sz val="12"/>
        <rFont val="Arial"/>
        <family val="2"/>
      </rPr>
      <t>Police Protection</t>
    </r>
  </si>
  <si>
    <r>
      <rPr>
        <sz val="12"/>
        <rFont val="Arial"/>
        <family val="2"/>
      </rPr>
      <t>Legal Counsel and Prosecution</t>
    </r>
  </si>
  <si>
    <r>
      <rPr>
        <sz val="12"/>
        <rFont val="Arial"/>
        <family val="2"/>
      </rPr>
      <t>Correctional Institutions</t>
    </r>
  </si>
  <si>
    <r>
      <rPr>
        <sz val="12"/>
        <rFont val="Arial"/>
        <family val="2"/>
      </rPr>
      <t>Fire Protection</t>
    </r>
  </si>
  <si>
    <r>
      <rPr>
        <sz val="12"/>
        <rFont val="Arial"/>
        <family val="2"/>
      </rPr>
      <t>Public Order and Safety, Nec</t>
    </r>
  </si>
  <si>
    <r>
      <rPr>
        <sz val="12"/>
        <rFont val="Arial"/>
        <family val="2"/>
      </rPr>
      <t xml:space="preserve">Other Justice, Public Order, and Safety
</t>
    </r>
    <r>
      <rPr>
        <sz val="12"/>
        <rFont val="Arial"/>
        <family val="2"/>
      </rPr>
      <t>Activities</t>
    </r>
  </si>
  <si>
    <r>
      <rPr>
        <sz val="12"/>
        <rFont val="Arial"/>
        <family val="2"/>
      </rPr>
      <t>Finance, Taxation, and Monetary Policy</t>
    </r>
  </si>
  <si>
    <r>
      <rPr>
        <sz val="12"/>
        <rFont val="Arial"/>
        <family val="2"/>
      </rPr>
      <t>Public Finance Activities</t>
    </r>
  </si>
  <si>
    <r>
      <rPr>
        <sz val="12"/>
        <rFont val="Arial"/>
        <family val="2"/>
      </rPr>
      <t>Administration of Educational Programs</t>
    </r>
  </si>
  <si>
    <r>
      <rPr>
        <sz val="12"/>
        <rFont val="Arial"/>
        <family val="2"/>
      </rPr>
      <t>Administration of Education Programs</t>
    </r>
  </si>
  <si>
    <r>
      <rPr>
        <sz val="12"/>
        <rFont val="Arial"/>
        <family val="2"/>
      </rPr>
      <t>Administration of Public Health Programs</t>
    </r>
  </si>
  <si>
    <r>
      <rPr>
        <sz val="12"/>
        <rFont val="Arial"/>
        <family val="2"/>
      </rPr>
      <t>Administration of Social and Manpower Programs</t>
    </r>
  </si>
  <si>
    <r>
      <rPr>
        <sz val="12"/>
        <rFont val="Arial"/>
        <family val="2"/>
      </rPr>
      <t xml:space="preserve">Administration of Human Resource Programs (except Education, Public
</t>
    </r>
    <r>
      <rPr>
        <sz val="12"/>
        <rFont val="Arial"/>
        <family val="2"/>
      </rPr>
      <t>Health, and Veterans' Affairs Programs)</t>
    </r>
  </si>
  <si>
    <r>
      <rPr>
        <sz val="12"/>
        <rFont val="Arial"/>
        <family val="2"/>
      </rPr>
      <t>Administration of Veterans' Affairs</t>
    </r>
  </si>
  <si>
    <r>
      <rPr>
        <sz val="12"/>
        <rFont val="Arial"/>
        <family val="2"/>
      </rPr>
      <t>Air, Water, and Solid Waste Management</t>
    </r>
  </si>
  <si>
    <r>
      <rPr>
        <sz val="12"/>
        <rFont val="Arial"/>
        <family val="2"/>
      </rPr>
      <t xml:space="preserve">Administration of Air and Water Resource
</t>
    </r>
    <r>
      <rPr>
        <sz val="12"/>
        <rFont val="Arial"/>
        <family val="2"/>
      </rPr>
      <t>and Solid Waste Management Programs</t>
    </r>
  </si>
  <si>
    <r>
      <rPr>
        <sz val="12"/>
        <rFont val="Arial"/>
        <family val="2"/>
      </rPr>
      <t>Land, Mineral, and Wildlife Conservation</t>
    </r>
  </si>
  <si>
    <r>
      <rPr>
        <sz val="12"/>
        <rFont val="Arial"/>
        <family val="2"/>
      </rPr>
      <t>Administration of Conservation Programs</t>
    </r>
  </si>
  <si>
    <r>
      <rPr>
        <sz val="12"/>
        <rFont val="Arial"/>
        <family val="2"/>
      </rPr>
      <t>Housing Programs</t>
    </r>
  </si>
  <si>
    <r>
      <rPr>
        <sz val="12"/>
        <rFont val="Arial"/>
        <family val="2"/>
      </rPr>
      <t>Administration of Housing Programs</t>
    </r>
  </si>
  <si>
    <r>
      <rPr>
        <sz val="12"/>
        <rFont val="Arial"/>
        <family val="2"/>
      </rPr>
      <t>Urban and Community Development</t>
    </r>
  </si>
  <si>
    <r>
      <rPr>
        <sz val="12"/>
        <rFont val="Arial"/>
        <family val="2"/>
      </rPr>
      <t xml:space="preserve">Administration of Urban Planning and
</t>
    </r>
    <r>
      <rPr>
        <sz val="12"/>
        <rFont val="Arial"/>
        <family val="2"/>
      </rPr>
      <t>Community and Rural Development</t>
    </r>
  </si>
  <si>
    <r>
      <rPr>
        <sz val="12"/>
        <rFont val="Arial"/>
        <family val="2"/>
      </rPr>
      <t xml:space="preserve">Administration of General Economic
</t>
    </r>
    <r>
      <rPr>
        <sz val="12"/>
        <rFont val="Arial"/>
        <family val="2"/>
      </rPr>
      <t>Programs</t>
    </r>
  </si>
  <si>
    <r>
      <rPr>
        <sz val="12"/>
        <rFont val="Arial"/>
        <family val="2"/>
      </rPr>
      <t xml:space="preserve">Regulation, Administration of
</t>
    </r>
    <r>
      <rPr>
        <sz val="12"/>
        <rFont val="Arial"/>
        <family val="2"/>
      </rPr>
      <t>Transportation</t>
    </r>
  </si>
  <si>
    <r>
      <rPr>
        <sz val="12"/>
        <rFont val="Arial"/>
        <family val="2"/>
      </rPr>
      <t xml:space="preserve">Regulation and Administration of
</t>
    </r>
    <r>
      <rPr>
        <sz val="12"/>
        <rFont val="Arial"/>
        <family val="2"/>
      </rPr>
      <t>Transportation Programs</t>
    </r>
  </si>
  <si>
    <r>
      <rPr>
        <sz val="12"/>
        <rFont val="Arial"/>
        <family val="2"/>
      </rPr>
      <t>Regulation, Administration of Utilities</t>
    </r>
  </si>
  <si>
    <r>
      <rPr>
        <sz val="12"/>
        <rFont val="Arial"/>
        <family val="2"/>
      </rPr>
      <t xml:space="preserve">Regulation and Administration of Communications, Electric, Gas, and Other
</t>
    </r>
    <r>
      <rPr>
        <sz val="12"/>
        <rFont val="Arial"/>
        <family val="2"/>
      </rPr>
      <t>Utilities</t>
    </r>
  </si>
  <si>
    <r>
      <rPr>
        <sz val="12"/>
        <rFont val="Arial"/>
        <family val="2"/>
      </rPr>
      <t>Regulation of Agricultural Marketing</t>
    </r>
  </si>
  <si>
    <r>
      <rPr>
        <sz val="12"/>
        <rFont val="Arial"/>
        <family val="2"/>
      </rPr>
      <t xml:space="preserve">Regulation of Agricultural Marketing and
</t>
    </r>
    <r>
      <rPr>
        <sz val="12"/>
        <rFont val="Arial"/>
        <family val="2"/>
      </rPr>
      <t>Commodities</t>
    </r>
  </si>
  <si>
    <r>
      <rPr>
        <sz val="12"/>
        <rFont val="Arial"/>
        <family val="2"/>
      </rPr>
      <t xml:space="preserve">Regulation, Miscellaneous Commercial
</t>
    </r>
    <r>
      <rPr>
        <sz val="12"/>
        <rFont val="Arial"/>
        <family val="2"/>
      </rPr>
      <t>Sectors</t>
    </r>
  </si>
  <si>
    <r>
      <rPr>
        <sz val="12"/>
        <rFont val="Arial"/>
        <family val="2"/>
      </rPr>
      <t xml:space="preserve">Regulation, Licensing, and Inspection of
</t>
    </r>
    <r>
      <rPr>
        <sz val="12"/>
        <rFont val="Arial"/>
        <family val="2"/>
      </rPr>
      <t>Miscellaneous Commercial Sectors</t>
    </r>
  </si>
  <si>
    <r>
      <rPr>
        <sz val="12"/>
        <rFont val="Arial"/>
        <family val="2"/>
      </rPr>
      <t>Space Research and Technology</t>
    </r>
  </si>
  <si>
    <r>
      <rPr>
        <sz val="12"/>
        <rFont val="Arial"/>
        <family val="2"/>
      </rPr>
      <t>National Security</t>
    </r>
  </si>
  <si>
    <r>
      <rPr>
        <sz val="12"/>
        <rFont val="Arial"/>
        <family val="2"/>
      </rPr>
      <t>International Affairs</t>
    </r>
  </si>
  <si>
    <r>
      <rPr>
        <sz val="12"/>
        <rFont val="Arial"/>
        <family val="2"/>
      </rPr>
      <t>Aux</t>
    </r>
  </si>
  <si>
    <r>
      <rPr>
        <sz val="12"/>
        <rFont val="Arial"/>
        <family val="2"/>
      </rPr>
      <t xml:space="preserve">Dual-Purpose Cattle Ranching and
</t>
    </r>
    <r>
      <rPr>
        <sz val="12"/>
        <rFont val="Arial"/>
        <family val="2"/>
      </rPr>
      <t>Farming</t>
    </r>
  </si>
  <si>
    <r>
      <rPr>
        <sz val="12"/>
        <rFont val="Arial"/>
        <family val="2"/>
      </rPr>
      <t>Offices of Notaries</t>
    </r>
  </si>
  <si>
    <r>
      <rPr>
        <sz val="12"/>
        <rFont val="Arial"/>
        <family val="2"/>
      </rPr>
      <t xml:space="preserve">Corporate, Subsidiary, and Regional
</t>
    </r>
    <r>
      <rPr>
        <sz val="12"/>
        <rFont val="Arial"/>
        <family val="2"/>
      </rPr>
      <t>Managing Offices</t>
    </r>
  </si>
  <si>
    <t>PUBLIC RELEASE DRAFT</t>
  </si>
  <si>
    <t>July 2026</t>
  </si>
  <si>
    <t>This worksheet contains a list of the OESs and assumptions for the number of release days for each OES.</t>
  </si>
  <si>
    <t>JULY 20206</t>
  </si>
  <si>
    <t>Draft Water Releases for trans-1,2-Dichloroethylene</t>
  </si>
  <si>
    <t>CASRN 156-60-5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</si>
</sst>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00"/>
    <numFmt numFmtId="165" formatCode="_(* #,##0_);_(* \(#,##0\);_(* &quot;-&quot;??_);_(@_)"/>
    <numFmt numFmtId="166" formatCode="000000000000000000000000000000000000000000000"/>
    <numFmt numFmtId="167" formatCode="0.00000"/>
  </numFmts>
  <fonts count="48" x14ac:knownFonts="1">
    <font>
      <sz val="11"/>
      <color theme="1"/>
      <name val="Calibri"/>
      <family val="2"/>
      <scheme val="minor"/>
    </font>
    <font>
      <b/>
      <sz val="11"/>
      <color theme="1"/>
      <name val="Calibri"/>
      <family val="2"/>
      <scheme val="minor"/>
    </font>
    <font>
      <b/>
      <sz val="10"/>
      <name val="Arial"/>
      <family val="2"/>
    </font>
    <font>
      <sz val="10"/>
      <name val="Arial"/>
      <family val="2"/>
    </font>
    <font>
      <b/>
      <sz val="14"/>
      <name val="Arial"/>
      <family val="2"/>
    </font>
    <font>
      <b/>
      <i/>
      <sz val="10"/>
      <name val="Arial"/>
      <family val="2"/>
    </font>
    <font>
      <i/>
      <sz val="10"/>
      <name val="Arial"/>
      <family val="2"/>
    </font>
    <font>
      <sz val="8"/>
      <name val="Calibri"/>
      <family val="2"/>
      <scheme val="minor"/>
    </font>
    <font>
      <sz val="11"/>
      <color rgb="FFFF0000"/>
      <name val="Calibri"/>
      <family val="2"/>
      <scheme val="minor"/>
    </font>
    <font>
      <sz val="11"/>
      <color rgb="FF000000"/>
      <name val="Calibri"/>
      <family val="2"/>
      <scheme val="minor"/>
    </font>
    <font>
      <sz val="11"/>
      <name val="Calibri"/>
      <family val="2"/>
      <scheme val="minor"/>
    </font>
    <font>
      <sz val="11"/>
      <color rgb="FF000000"/>
      <name val="Calibri"/>
      <family val="2"/>
    </font>
    <font>
      <b/>
      <sz val="11"/>
      <color rgb="FF000000"/>
      <name val="Calibri"/>
      <family val="2"/>
    </font>
    <font>
      <sz val="1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theme="1"/>
      <name val="Calibri"/>
      <family val="2"/>
    </font>
    <font>
      <b/>
      <sz val="17"/>
      <color rgb="FFFFFFFF"/>
      <name val="Arial"/>
      <family val="2"/>
    </font>
    <font>
      <b/>
      <sz val="17"/>
      <name val="Arial"/>
      <family val="2"/>
    </font>
    <font>
      <b/>
      <u/>
      <sz val="11"/>
      <name val="Arial"/>
      <family val="2"/>
    </font>
    <font>
      <b/>
      <u/>
      <sz val="11"/>
      <color rgb="FFFFFFFF"/>
      <name val="Arial"/>
      <family val="2"/>
    </font>
    <font>
      <sz val="12"/>
      <color rgb="FF000000"/>
      <name val="Arial"/>
      <family val="2"/>
    </font>
    <font>
      <sz val="12"/>
      <name val="Arial"/>
      <family val="2"/>
    </font>
    <font>
      <b/>
      <sz val="11"/>
      <name val="Calibri"/>
      <family val="2"/>
      <scheme val="minor"/>
    </font>
    <font>
      <b/>
      <sz val="11"/>
      <color rgb="FF000000"/>
      <name val="Calibri"/>
      <family val="2"/>
      <scheme val="minor"/>
    </font>
    <font>
      <sz val="12"/>
      <color rgb="FF000000"/>
      <name val="Calibri"/>
      <family val="2"/>
      <scheme val="minor"/>
    </font>
    <font>
      <sz val="9"/>
      <name val="Calibri"/>
      <family val="2"/>
      <scheme val="minor"/>
    </font>
    <font>
      <b/>
      <sz val="11"/>
      <color rgb="FFFFFFFF"/>
      <name val="Calibri"/>
      <family val="2"/>
    </font>
    <font>
      <b/>
      <sz val="11"/>
      <name val="Calibri"/>
      <family val="2"/>
    </font>
    <font>
      <b/>
      <sz val="11"/>
      <color theme="0"/>
      <name val="Calibri"/>
      <family val="2"/>
    </font>
    <font>
      <sz val="11"/>
      <color rgb="FFFF0000"/>
      <name val="Times New Roman"/>
      <family val="1"/>
    </font>
    <font>
      <b/>
      <sz val="18"/>
      <color rgb="FF000000"/>
      <name val="Times New Roman"/>
      <family val="1"/>
    </font>
    <font>
      <b/>
      <sz val="14"/>
      <color theme="1"/>
      <name val="Times New Roman"/>
      <family val="1"/>
    </font>
    <font>
      <sz val="12"/>
      <color theme="1"/>
      <name val="Times New Roman"/>
      <family val="1"/>
    </font>
    <font>
      <b/>
      <sz val="12"/>
      <color theme="1"/>
      <name val="Times New Roman"/>
      <family val="1"/>
    </font>
  </fonts>
  <fills count="60">
    <fill>
      <patternFill patternType="none"/>
    </fill>
    <fill>
      <patternFill patternType="gray125"/>
    </fill>
    <fill>
      <patternFill patternType="solid">
        <fgColor indexed="47"/>
        <bgColor indexed="64"/>
      </patternFill>
    </fill>
    <fill>
      <patternFill patternType="solid">
        <fgColor theme="4"/>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528DD4"/>
      </patternFill>
    </fill>
    <fill>
      <patternFill patternType="solid">
        <fgColor rgb="FFEDF3F4"/>
      </patternFill>
    </fill>
    <fill>
      <patternFill patternType="solid">
        <fgColor rgb="FF92D050"/>
        <bgColor indexed="64"/>
      </patternFill>
    </fill>
    <fill>
      <patternFill patternType="solid">
        <fgColor theme="0" tint="-0.34998626667073579"/>
        <bgColor indexed="64"/>
      </patternFill>
    </fill>
    <fill>
      <patternFill patternType="solid">
        <fgColor rgb="FFDADADA"/>
        <bgColor indexed="64"/>
      </patternFill>
    </fill>
    <fill>
      <patternFill patternType="solid">
        <fgColor theme="6"/>
        <bgColor rgb="FF000000"/>
      </patternFill>
    </fill>
    <fill>
      <patternFill patternType="solid">
        <fgColor rgb="FF9933FF"/>
        <bgColor rgb="FF000000"/>
      </patternFill>
    </fill>
    <fill>
      <patternFill patternType="solid">
        <fgColor rgb="FFFFC000"/>
        <bgColor rgb="FF000000"/>
      </patternFill>
    </fill>
    <fill>
      <patternFill patternType="solid">
        <fgColor rgb="FFFFFF00"/>
        <bgColor theme="4"/>
      </patternFill>
    </fill>
    <fill>
      <patternFill patternType="solid">
        <fgColor theme="7"/>
        <bgColor indexed="64"/>
      </patternFill>
    </fill>
    <fill>
      <patternFill patternType="solid">
        <fgColor theme="7"/>
        <bgColor theme="4"/>
      </patternFill>
    </fill>
    <fill>
      <patternFill patternType="solid">
        <fgColor rgb="FF9933FF"/>
        <bgColor indexed="64"/>
      </patternFill>
    </fill>
    <fill>
      <patternFill patternType="solid">
        <fgColor rgb="FFFFFF00"/>
        <bgColor rgb="FF000000"/>
      </patternFill>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theme="0"/>
        <bgColor rgb="FF000000"/>
      </patternFill>
    </fill>
  </fills>
  <borders count="6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rgb="FF394E7D"/>
      </left>
      <right/>
      <top style="thin">
        <color rgb="FF394E7D"/>
      </top>
      <bottom style="thin">
        <color rgb="FF394E7D"/>
      </bottom>
      <diagonal/>
    </border>
    <border>
      <left/>
      <right/>
      <top style="thin">
        <color rgb="FF394E7D"/>
      </top>
      <bottom style="thin">
        <color rgb="FF394E7D"/>
      </bottom>
      <diagonal/>
    </border>
    <border>
      <left/>
      <right style="thin">
        <color rgb="FF394E7D"/>
      </right>
      <top style="thin">
        <color rgb="FF394E7D"/>
      </top>
      <bottom style="thin">
        <color rgb="FF394E7D"/>
      </bottom>
      <diagonal/>
    </border>
    <border>
      <left style="thin">
        <color rgb="FF394E7D"/>
      </left>
      <right style="thin">
        <color rgb="FF394E7D"/>
      </right>
      <top style="thin">
        <color rgb="FF394E7D"/>
      </top>
      <bottom style="thin">
        <color rgb="FF394E7D"/>
      </bottom>
      <diagonal/>
    </border>
    <border>
      <left style="thin">
        <color rgb="FFA8BED3"/>
      </left>
      <right style="thin">
        <color rgb="FFA8BED3"/>
      </right>
      <top style="thin">
        <color rgb="FF394E7D"/>
      </top>
      <bottom style="thin">
        <color rgb="FFA8BED3"/>
      </bottom>
      <diagonal/>
    </border>
    <border>
      <left style="thin">
        <color rgb="FFA8BED3"/>
      </left>
      <right style="thin">
        <color rgb="FF394E7D"/>
      </right>
      <top style="thin">
        <color rgb="FF394E7D"/>
      </top>
      <bottom style="thin">
        <color rgb="FFA8BED3"/>
      </bottom>
      <diagonal/>
    </border>
    <border>
      <left style="thin">
        <color rgb="FF394E7D"/>
      </left>
      <right style="thin">
        <color rgb="FFA8BED3"/>
      </right>
      <top style="thin">
        <color rgb="FF394E7D"/>
      </top>
      <bottom style="thin">
        <color rgb="FFA8BED3"/>
      </bottom>
      <diagonal/>
    </border>
    <border>
      <left style="thin">
        <color rgb="FFA8BED3"/>
      </left>
      <right style="thin">
        <color rgb="FFA8BED3"/>
      </right>
      <top style="thin">
        <color rgb="FFA8BED3"/>
      </top>
      <bottom style="thin">
        <color rgb="FFA8BED3"/>
      </bottom>
      <diagonal/>
    </border>
    <border>
      <left style="thin">
        <color rgb="FFA8BED3"/>
      </left>
      <right style="thin">
        <color rgb="FF394E7D"/>
      </right>
      <top style="thin">
        <color rgb="FFA8BED3"/>
      </top>
      <bottom style="thin">
        <color rgb="FFA8BED3"/>
      </bottom>
      <diagonal/>
    </border>
    <border>
      <left style="thin">
        <color rgb="FF394E7D"/>
      </left>
      <right style="thin">
        <color rgb="FFA8BED3"/>
      </right>
      <top style="thin">
        <color rgb="FFA8BED3"/>
      </top>
      <bottom style="thin">
        <color rgb="FFA8BED3"/>
      </bottom>
      <diagonal/>
    </border>
    <border>
      <left style="thin">
        <color rgb="FFA8BED3"/>
      </left>
      <right style="thin">
        <color rgb="FFA8BED3"/>
      </right>
      <top style="thin">
        <color rgb="FFA8BED3"/>
      </top>
      <bottom style="thin">
        <color rgb="FF394E7D"/>
      </bottom>
      <diagonal/>
    </border>
    <border>
      <left style="thin">
        <color rgb="FFA8BED3"/>
      </left>
      <right style="thin">
        <color rgb="FF394E7D"/>
      </right>
      <top style="thin">
        <color rgb="FFA8BED3"/>
      </top>
      <bottom style="thin">
        <color rgb="FF394E7D"/>
      </bottom>
      <diagonal/>
    </border>
    <border>
      <left style="thin">
        <color rgb="FF394E7D"/>
      </left>
      <right style="thin">
        <color rgb="FFA8BED3"/>
      </right>
      <top style="thin">
        <color rgb="FFA8BED3"/>
      </top>
      <bottom style="thin">
        <color rgb="FF394E7D"/>
      </bottom>
      <diagonal/>
    </border>
    <border>
      <left style="medium">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thin">
        <color rgb="FF4472C4"/>
      </top>
      <bottom/>
      <diagonal/>
    </border>
    <border>
      <left style="thin">
        <color rgb="FF4472C4"/>
      </left>
      <right/>
      <top style="thin">
        <color rgb="FF4472C4"/>
      </top>
      <bottom/>
      <diagonal/>
    </border>
    <border>
      <left/>
      <right/>
      <top/>
      <bottom style="thin">
        <color indexed="64"/>
      </bottom>
      <diagonal/>
    </border>
    <border>
      <left/>
      <right style="thin">
        <color indexed="64"/>
      </right>
      <top style="thin">
        <color indexed="64"/>
      </top>
      <bottom style="thin">
        <color indexed="64"/>
      </bottom>
      <diagonal/>
    </border>
  </borders>
  <cellStyleXfs count="91">
    <xf numFmtId="0" fontId="0" fillId="0" borderId="0"/>
    <xf numFmtId="0" fontId="15" fillId="0" borderId="0" applyNumberFormat="0" applyFill="0" applyBorder="0" applyAlignment="0" applyProtection="0"/>
    <xf numFmtId="0" fontId="16" fillId="0" borderId="24" applyNumberFormat="0" applyFill="0" applyAlignment="0" applyProtection="0"/>
    <xf numFmtId="0" fontId="17" fillId="0" borderId="25" applyNumberFormat="0" applyFill="0" applyAlignment="0" applyProtection="0"/>
    <xf numFmtId="0" fontId="18" fillId="0" borderId="26" applyNumberFormat="0" applyFill="0" applyAlignment="0" applyProtection="0"/>
    <xf numFmtId="0" fontId="18" fillId="0" borderId="0" applyNumberFormat="0" applyFill="0" applyBorder="0" applyAlignment="0" applyProtection="0"/>
    <xf numFmtId="0" fontId="19" fillId="5" borderId="0" applyNumberFormat="0" applyBorder="0" applyAlignment="0" applyProtection="0"/>
    <xf numFmtId="0" fontId="20" fillId="6" borderId="0" applyNumberFormat="0" applyBorder="0" applyAlignment="0" applyProtection="0"/>
    <xf numFmtId="0" fontId="21" fillId="7" borderId="0" applyNumberFormat="0" applyBorder="0" applyAlignment="0" applyProtection="0"/>
    <xf numFmtId="0" fontId="22" fillId="8" borderId="27" applyNumberFormat="0" applyAlignment="0" applyProtection="0"/>
    <xf numFmtId="0" fontId="23" fillId="9" borderId="28" applyNumberFormat="0" applyAlignment="0" applyProtection="0"/>
    <xf numFmtId="0" fontId="24" fillId="9" borderId="27" applyNumberFormat="0" applyAlignment="0" applyProtection="0"/>
    <xf numFmtId="0" fontId="25" fillId="0" borderId="29" applyNumberFormat="0" applyFill="0" applyAlignment="0" applyProtection="0"/>
    <xf numFmtId="0" fontId="26" fillId="10" borderId="30" applyNumberFormat="0" applyAlignment="0" applyProtection="0"/>
    <xf numFmtId="0" fontId="8" fillId="0" borderId="0" applyNumberFormat="0" applyFill="0" applyBorder="0" applyAlignment="0" applyProtection="0"/>
    <xf numFmtId="0" fontId="14" fillId="11" borderId="31" applyNumberFormat="0" applyFont="0" applyAlignment="0" applyProtection="0"/>
    <xf numFmtId="0" fontId="27" fillId="0" borderId="0" applyNumberFormat="0" applyFill="0" applyBorder="0" applyAlignment="0" applyProtection="0"/>
    <xf numFmtId="0" fontId="1" fillId="0" borderId="32" applyNumberFormat="0" applyFill="0" applyAlignment="0" applyProtection="0"/>
    <xf numFmtId="0" fontId="2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2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2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2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2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2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43"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357">
    <xf numFmtId="0" fontId="0" fillId="0" borderId="0" xfId="0"/>
    <xf numFmtId="165" fontId="29" fillId="0" borderId="3" xfId="42" applyNumberFormat="1" applyFont="1" applyFill="1" applyBorder="1" applyProtection="1"/>
    <xf numFmtId="165" fontId="29" fillId="0" borderId="18" xfId="42" applyNumberFormat="1" applyFont="1" applyFill="1" applyBorder="1" applyAlignment="1" applyProtection="1">
      <alignment horizontal="right"/>
    </xf>
    <xf numFmtId="165" fontId="39" fillId="0" borderId="3" xfId="42" applyNumberFormat="1" applyFont="1" applyFill="1" applyBorder="1" applyAlignment="1" applyProtection="1">
      <alignment horizontal="center"/>
    </xf>
    <xf numFmtId="0" fontId="26" fillId="10" borderId="10" xfId="13" applyBorder="1" applyAlignment="1" applyProtection="1">
      <alignment horizontal="center"/>
    </xf>
    <xf numFmtId="0" fontId="26" fillId="10" borderId="4" xfId="13" applyBorder="1" applyAlignment="1" applyProtection="1">
      <alignment horizontal="center"/>
    </xf>
    <xf numFmtId="0" fontId="26" fillId="10" borderId="10" xfId="13" applyBorder="1" applyAlignment="1" applyProtection="1">
      <alignment horizontal="center"/>
    </xf>
    <xf numFmtId="0" fontId="26" fillId="10" borderId="7" xfId="13" applyBorder="1" applyAlignment="1" applyProtection="1">
      <alignment horizontal="center"/>
    </xf>
    <xf numFmtId="0" fontId="26" fillId="10" borderId="9" xfId="13" applyBorder="1" applyAlignment="1" applyProtection="1">
      <alignment horizontal="center"/>
    </xf>
    <xf numFmtId="0" fontId="26" fillId="10" borderId="8" xfId="13" applyBorder="1" applyAlignment="1" applyProtection="1">
      <alignment horizontal="center"/>
    </xf>
    <xf numFmtId="0" fontId="43" fillId="0" borderId="0" xfId="0" applyFont="1" applyAlignment="1" applyProtection="1">
      <alignment horizontal="center"/>
    </xf>
    <xf numFmtId="0" fontId="0" fillId="0" borderId="0" xfId="0" applyProtection="1"/>
    <xf numFmtId="0" fontId="44" fillId="57" borderId="0" xfId="0" applyFont="1" applyFill="1" applyAlignment="1" applyProtection="1">
      <alignment horizontal="center" vertical="center" wrapText="1"/>
    </xf>
    <xf numFmtId="0" fontId="0" fillId="0" borderId="0" xfId="0" applyAlignment="1" applyProtection="1">
      <alignment horizontal="center"/>
    </xf>
    <xf numFmtId="0" fontId="45" fillId="0" borderId="0" xfId="0" applyFont="1" applyAlignment="1" applyProtection="1">
      <alignment horizontal="center" vertical="center"/>
    </xf>
    <xf numFmtId="0" fontId="46" fillId="0" borderId="0" xfId="0" applyFont="1" applyAlignment="1" applyProtection="1">
      <alignment horizontal="center"/>
    </xf>
    <xf numFmtId="49" fontId="47" fillId="0" borderId="0" xfId="0" applyNumberFormat="1" applyFont="1" applyAlignment="1" applyProtection="1">
      <alignment horizontal="left"/>
    </xf>
    <xf numFmtId="49" fontId="46" fillId="0" borderId="0" xfId="0" applyNumberFormat="1" applyFont="1" applyAlignment="1" applyProtection="1">
      <alignment horizontal="center" vertical="center"/>
    </xf>
    <xf numFmtId="0" fontId="36" fillId="0" borderId="20" xfId="0" applyFont="1" applyBorder="1" applyAlignment="1" applyProtection="1">
      <alignment horizontal="center"/>
    </xf>
    <xf numFmtId="0" fontId="36" fillId="0" borderId="21" xfId="0" applyFont="1" applyBorder="1" applyAlignment="1" applyProtection="1">
      <alignment horizontal="center"/>
    </xf>
    <xf numFmtId="0" fontId="10" fillId="0" borderId="13" xfId="0" applyFont="1" applyBorder="1" applyAlignment="1" applyProtection="1">
      <alignment vertical="center"/>
    </xf>
    <xf numFmtId="0" fontId="10" fillId="0" borderId="14" xfId="0" applyFont="1" applyBorder="1" applyAlignment="1" applyProtection="1">
      <alignment wrapText="1"/>
    </xf>
    <xf numFmtId="0" fontId="10" fillId="0" borderId="13" xfId="0" applyFont="1" applyBorder="1" applyAlignment="1" applyProtection="1">
      <alignment horizontal="left" vertical="center" wrapText="1"/>
    </xf>
    <xf numFmtId="0" fontId="13" fillId="0" borderId="14" xfId="0" applyFont="1" applyBorder="1" applyAlignment="1" applyProtection="1">
      <alignment wrapText="1"/>
    </xf>
    <xf numFmtId="0" fontId="10" fillId="0" borderId="13" xfId="0" applyFont="1" applyBorder="1" applyAlignment="1" applyProtection="1">
      <alignment horizontal="left" vertical="center"/>
    </xf>
    <xf numFmtId="0" fontId="10" fillId="0" borderId="14" xfId="0" applyFont="1" applyBorder="1" applyAlignment="1" applyProtection="1">
      <alignment vertical="center" wrapText="1"/>
    </xf>
    <xf numFmtId="0" fontId="10" fillId="0" borderId="13" xfId="0" applyFont="1" applyBorder="1" applyProtection="1"/>
    <xf numFmtId="0" fontId="10" fillId="0" borderId="17" xfId="0" applyFont="1" applyBorder="1" applyAlignment="1" applyProtection="1">
      <alignment horizontal="left" vertical="center" wrapText="1"/>
    </xf>
    <xf numFmtId="0" fontId="10" fillId="0" borderId="19" xfId="0" applyFont="1" applyBorder="1" applyAlignment="1" applyProtection="1">
      <alignment vertical="center" wrapText="1"/>
    </xf>
    <xf numFmtId="0" fontId="1" fillId="0" borderId="0" xfId="0" applyFont="1" applyProtection="1"/>
    <xf numFmtId="0" fontId="1" fillId="56" borderId="1" xfId="0" applyFont="1" applyFill="1" applyBorder="1" applyAlignment="1" applyProtection="1">
      <alignment horizontal="center" wrapText="1"/>
    </xf>
    <xf numFmtId="0" fontId="1" fillId="56" borderId="61" xfId="0" applyFont="1" applyFill="1" applyBorder="1" applyAlignment="1" applyProtection="1">
      <alignment horizontal="center" wrapText="1"/>
    </xf>
    <xf numFmtId="0" fontId="1" fillId="56" borderId="3" xfId="0" applyFont="1" applyFill="1" applyBorder="1" applyAlignment="1" applyProtection="1">
      <alignment horizontal="center" wrapText="1"/>
    </xf>
    <xf numFmtId="0" fontId="0" fillId="0" borderId="3" xfId="0" applyBorder="1" applyAlignment="1" applyProtection="1">
      <alignment wrapText="1"/>
    </xf>
    <xf numFmtId="0" fontId="0" fillId="0" borderId="3" xfId="0" applyBorder="1" applyProtection="1"/>
    <xf numFmtId="1" fontId="10" fillId="0" borderId="3" xfId="0" applyNumberFormat="1" applyFont="1" applyBorder="1" applyAlignment="1" applyProtection="1">
      <alignment horizontal="center" vertical="center"/>
    </xf>
    <xf numFmtId="0" fontId="11" fillId="0" borderId="3" xfId="0" applyFont="1" applyBorder="1" applyProtection="1"/>
    <xf numFmtId="0" fontId="11" fillId="0" borderId="11" xfId="0" applyFont="1" applyBorder="1" applyProtection="1"/>
    <xf numFmtId="0" fontId="11" fillId="0" borderId="11" xfId="0" applyFont="1" applyBorder="1" applyAlignment="1" applyProtection="1">
      <alignment wrapText="1"/>
    </xf>
    <xf numFmtId="0" fontId="0" fillId="0" borderId="0" xfId="0" applyAlignment="1" applyProtection="1">
      <alignment wrapText="1"/>
    </xf>
    <xf numFmtId="0" fontId="0" fillId="0" borderId="3" xfId="0" applyBorder="1" applyAlignment="1" applyProtection="1">
      <alignment horizontal="right" wrapText="1"/>
    </xf>
    <xf numFmtId="1" fontId="10" fillId="0" borderId="0" xfId="0" applyNumberFormat="1" applyFont="1" applyAlignment="1" applyProtection="1">
      <alignment horizontal="center" vertical="center"/>
    </xf>
    <xf numFmtId="0" fontId="1" fillId="0" borderId="0" xfId="0" applyFont="1" applyAlignment="1" applyProtection="1">
      <alignment wrapText="1"/>
    </xf>
    <xf numFmtId="0" fontId="1" fillId="56" borderId="61" xfId="0" applyFont="1" applyFill="1" applyBorder="1" applyAlignment="1" applyProtection="1">
      <alignment horizontal="center" wrapText="1"/>
    </xf>
    <xf numFmtId="0" fontId="1" fillId="56" borderId="15" xfId="0" applyFont="1" applyFill="1" applyBorder="1" applyAlignment="1" applyProtection="1">
      <alignment horizontal="center" wrapText="1"/>
    </xf>
    <xf numFmtId="0" fontId="0" fillId="57" borderId="3" xfId="0" applyFill="1" applyBorder="1" applyAlignment="1" applyProtection="1">
      <alignment wrapText="1"/>
    </xf>
    <xf numFmtId="2" fontId="10" fillId="0" borderId="3" xfId="0" applyNumberFormat="1" applyFont="1" applyBorder="1" applyAlignment="1" applyProtection="1">
      <alignment horizontal="center" vertical="center"/>
    </xf>
    <xf numFmtId="167" fontId="10" fillId="0" borderId="3" xfId="0" applyNumberFormat="1" applyFont="1" applyBorder="1" applyAlignment="1" applyProtection="1">
      <alignment horizontal="center" vertical="center"/>
    </xf>
    <xf numFmtId="0" fontId="29" fillId="0" borderId="3" xfId="0" applyFont="1" applyBorder="1" applyProtection="1"/>
    <xf numFmtId="0" fontId="29" fillId="0" borderId="3" xfId="0" applyFont="1" applyBorder="1" applyAlignment="1" applyProtection="1">
      <alignment horizontal="center"/>
    </xf>
    <xf numFmtId="0" fontId="0" fillId="0" borderId="3" xfId="0" applyBorder="1" applyAlignment="1" applyProtection="1">
      <alignment horizontal="center"/>
    </xf>
    <xf numFmtId="0" fontId="12" fillId="39" borderId="20" xfId="0" applyFont="1" applyFill="1" applyBorder="1" applyAlignment="1" applyProtection="1">
      <alignment horizontal="center"/>
    </xf>
    <xf numFmtId="0" fontId="12" fillId="39" borderId="23" xfId="0" applyFont="1" applyFill="1" applyBorder="1" applyAlignment="1" applyProtection="1">
      <alignment horizontal="center"/>
    </xf>
    <xf numFmtId="0" fontId="12" fillId="39" borderId="21" xfId="0" applyFont="1" applyFill="1" applyBorder="1" applyAlignment="1" applyProtection="1">
      <alignment horizontal="center"/>
    </xf>
    <xf numFmtId="0" fontId="12" fillId="36" borderId="13" xfId="0" applyFont="1" applyFill="1" applyBorder="1" applyAlignment="1" applyProtection="1">
      <alignment horizontal="center"/>
    </xf>
    <xf numFmtId="0" fontId="12" fillId="36" borderId="3" xfId="0" applyFont="1" applyFill="1" applyBorder="1" applyAlignment="1" applyProtection="1">
      <alignment horizontal="center"/>
    </xf>
    <xf numFmtId="0" fontId="12" fillId="36" borderId="14" xfId="0" applyFont="1" applyFill="1" applyBorder="1" applyAlignment="1" applyProtection="1">
      <alignment horizontal="center"/>
    </xf>
    <xf numFmtId="0" fontId="29" fillId="0" borderId="5" xfId="0" applyFont="1" applyBorder="1" applyProtection="1"/>
    <xf numFmtId="0" fontId="12" fillId="0" borderId="11" xfId="0" applyFont="1" applyBorder="1" applyAlignment="1" applyProtection="1">
      <alignment horizontal="center"/>
    </xf>
    <xf numFmtId="0" fontId="12" fillId="0" borderId="12" xfId="0" applyFont="1" applyBorder="1" applyAlignment="1" applyProtection="1">
      <alignment horizontal="center"/>
    </xf>
    <xf numFmtId="0" fontId="29" fillId="0" borderId="13" xfId="0" applyFont="1" applyBorder="1" applyProtection="1"/>
    <xf numFmtId="0" fontId="12" fillId="36" borderId="22" xfId="0" applyFont="1" applyFill="1" applyBorder="1" applyAlignment="1" applyProtection="1">
      <alignment horizontal="center"/>
    </xf>
    <xf numFmtId="0" fontId="12" fillId="36" borderId="2" xfId="0" applyFont="1" applyFill="1" applyBorder="1" applyAlignment="1" applyProtection="1">
      <alignment horizontal="center"/>
    </xf>
    <xf numFmtId="0" fontId="12" fillId="36" borderId="35" xfId="0" applyFont="1" applyFill="1" applyBorder="1" applyAlignment="1" applyProtection="1">
      <alignment horizontal="center"/>
    </xf>
    <xf numFmtId="0" fontId="0" fillId="0" borderId="17" xfId="0" applyBorder="1" applyProtection="1"/>
    <xf numFmtId="0" fontId="39" fillId="0" borderId="3" xfId="0" applyFont="1" applyBorder="1" applyAlignment="1" applyProtection="1">
      <alignment horizontal="left" wrapText="1"/>
    </xf>
    <xf numFmtId="0" fontId="0" fillId="0" borderId="3" xfId="0" applyBorder="1" applyAlignment="1" applyProtection="1">
      <alignment horizontal="left"/>
    </xf>
    <xf numFmtId="0" fontId="39" fillId="0" borderId="3" xfId="0" applyFont="1" applyBorder="1" applyAlignment="1" applyProtection="1">
      <alignment horizontal="left"/>
    </xf>
    <xf numFmtId="0" fontId="39" fillId="0" borderId="3" xfId="0" applyFont="1" applyBorder="1" applyAlignment="1" applyProtection="1">
      <alignment horizontal="center" wrapText="1"/>
    </xf>
    <xf numFmtId="0" fontId="39" fillId="0" borderId="3" xfId="0" applyFont="1" applyBorder="1" applyAlignment="1" applyProtection="1">
      <alignment horizontal="center"/>
    </xf>
    <xf numFmtId="0" fontId="39" fillId="0" borderId="3" xfId="0" applyFont="1" applyBorder="1" applyAlignment="1" applyProtection="1">
      <alignment horizontal="left"/>
    </xf>
    <xf numFmtId="0" fontId="0" fillId="0" borderId="0" xfId="0" applyAlignment="1" applyProtection="1">
      <alignment horizontal="center" wrapText="1"/>
    </xf>
    <xf numFmtId="1" fontId="0" fillId="0" borderId="0" xfId="0" applyNumberFormat="1" applyAlignment="1" applyProtection="1">
      <alignment horizontal="justify" wrapText="1"/>
    </xf>
    <xf numFmtId="0" fontId="0" fillId="55" borderId="0" xfId="0" applyFill="1" applyAlignment="1" applyProtection="1">
      <alignment horizontal="center"/>
    </xf>
    <xf numFmtId="0" fontId="1" fillId="37" borderId="0" xfId="0" applyFont="1" applyFill="1" applyAlignment="1" applyProtection="1">
      <alignment horizontal="center"/>
    </xf>
    <xf numFmtId="0" fontId="1" fillId="40" borderId="0" xfId="0" applyFont="1" applyFill="1" applyAlignment="1" applyProtection="1">
      <alignment horizontal="center"/>
    </xf>
    <xf numFmtId="0" fontId="1" fillId="3" borderId="5" xfId="0" applyFont="1" applyFill="1" applyBorder="1" applyAlignment="1" applyProtection="1">
      <alignment horizontal="center" wrapText="1"/>
    </xf>
    <xf numFmtId="0" fontId="1" fillId="38" borderId="5" xfId="0" applyFont="1" applyFill="1" applyBorder="1" applyAlignment="1" applyProtection="1">
      <alignment horizontal="center" wrapText="1"/>
    </xf>
    <xf numFmtId="0" fontId="1" fillId="38" borderId="0" xfId="0" applyFont="1" applyFill="1" applyAlignment="1" applyProtection="1">
      <alignment horizontal="center" wrapText="1"/>
    </xf>
    <xf numFmtId="0" fontId="1" fillId="37" borderId="5" xfId="0" applyFont="1" applyFill="1" applyBorder="1" applyAlignment="1" applyProtection="1">
      <alignment horizontal="center" wrapText="1"/>
    </xf>
    <xf numFmtId="0" fontId="1" fillId="37" borderId="0" xfId="0" applyFont="1" applyFill="1" applyAlignment="1" applyProtection="1">
      <alignment horizontal="center" wrapText="1"/>
    </xf>
    <xf numFmtId="0" fontId="1" fillId="40" borderId="5" xfId="0" applyFont="1" applyFill="1" applyBorder="1" applyAlignment="1" applyProtection="1">
      <alignment horizontal="center" wrapText="1"/>
    </xf>
    <xf numFmtId="0" fontId="1" fillId="40" borderId="0" xfId="0" applyFont="1" applyFill="1" applyAlignment="1" applyProtection="1">
      <alignment horizontal="center" wrapText="1"/>
    </xf>
    <xf numFmtId="0" fontId="1" fillId="43" borderId="3" xfId="0" applyFont="1" applyFill="1" applyBorder="1" applyAlignment="1" applyProtection="1">
      <alignment horizontal="center" wrapText="1"/>
    </xf>
    <xf numFmtId="0" fontId="1" fillId="4" borderId="3" xfId="0" applyFont="1" applyFill="1" applyBorder="1" applyAlignment="1" applyProtection="1">
      <alignment wrapText="1"/>
    </xf>
    <xf numFmtId="0" fontId="1" fillId="54" borderId="15" xfId="0" applyFont="1" applyFill="1" applyBorder="1" applyAlignment="1" applyProtection="1">
      <alignment wrapText="1"/>
    </xf>
    <xf numFmtId="0" fontId="1" fillId="44" borderId="34" xfId="0" applyFont="1" applyFill="1" applyBorder="1" applyAlignment="1" applyProtection="1">
      <alignment wrapText="1"/>
    </xf>
    <xf numFmtId="1" fontId="1" fillId="44" borderId="34" xfId="0" applyNumberFormat="1" applyFont="1" applyFill="1" applyBorder="1" applyAlignment="1" applyProtection="1">
      <alignment wrapText="1"/>
    </xf>
    <xf numFmtId="0" fontId="1" fillId="39" borderId="3" xfId="0" applyFont="1" applyFill="1" applyBorder="1" applyAlignment="1" applyProtection="1">
      <alignment wrapText="1"/>
    </xf>
    <xf numFmtId="1" fontId="1" fillId="39" borderId="3" xfId="0" applyNumberFormat="1" applyFont="1" applyFill="1" applyBorder="1" applyAlignment="1" applyProtection="1">
      <alignment horizontal="justify" wrapText="1"/>
    </xf>
    <xf numFmtId="0" fontId="1" fillId="39" borderId="3" xfId="0" applyFont="1" applyFill="1" applyBorder="1" applyAlignment="1" applyProtection="1">
      <alignment horizontal="center" wrapText="1"/>
    </xf>
    <xf numFmtId="0" fontId="1" fillId="39" borderId="1" xfId="0" applyFont="1" applyFill="1" applyBorder="1" applyAlignment="1" applyProtection="1">
      <alignment horizontal="center" wrapText="1"/>
    </xf>
    <xf numFmtId="0" fontId="1" fillId="55" borderId="60" xfId="0" applyFont="1" applyFill="1" applyBorder="1" applyAlignment="1" applyProtection="1">
      <alignment horizontal="center" wrapText="1"/>
    </xf>
    <xf numFmtId="0" fontId="1" fillId="3" borderId="20" xfId="0" applyFont="1" applyFill="1" applyBorder="1" applyAlignment="1" applyProtection="1">
      <alignment horizontal="center" wrapText="1"/>
    </xf>
    <xf numFmtId="0" fontId="1" fillId="3" borderId="23" xfId="0" applyFont="1" applyFill="1" applyBorder="1" applyAlignment="1" applyProtection="1">
      <alignment horizontal="center" wrapText="1"/>
    </xf>
    <xf numFmtId="0" fontId="1" fillId="3" borderId="21" xfId="0" applyFont="1" applyFill="1" applyBorder="1" applyAlignment="1" applyProtection="1">
      <alignment horizontal="center" wrapText="1"/>
    </xf>
    <xf numFmtId="0" fontId="1" fillId="38" borderId="20" xfId="0" applyFont="1" applyFill="1" applyBorder="1" applyAlignment="1" applyProtection="1">
      <alignment horizontal="center" wrapText="1"/>
    </xf>
    <xf numFmtId="0" fontId="1" fillId="38" borderId="23" xfId="0" applyFont="1" applyFill="1" applyBorder="1" applyAlignment="1" applyProtection="1">
      <alignment horizontal="center" wrapText="1"/>
    </xf>
    <xf numFmtId="0" fontId="1" fillId="38" borderId="21" xfId="0" applyFont="1" applyFill="1" applyBorder="1" applyAlignment="1" applyProtection="1">
      <alignment horizontal="center" wrapText="1"/>
    </xf>
    <xf numFmtId="0" fontId="1" fillId="37" borderId="20" xfId="0" applyFont="1" applyFill="1" applyBorder="1" applyAlignment="1" applyProtection="1">
      <alignment horizontal="center" wrapText="1"/>
    </xf>
    <xf numFmtId="0" fontId="1" fillId="37" borderId="23" xfId="0" applyFont="1" applyFill="1" applyBorder="1" applyAlignment="1" applyProtection="1">
      <alignment horizontal="center" wrapText="1"/>
    </xf>
    <xf numFmtId="0" fontId="1" fillId="37" borderId="21" xfId="0" applyFont="1" applyFill="1" applyBorder="1" applyAlignment="1" applyProtection="1">
      <alignment horizontal="center" wrapText="1"/>
    </xf>
    <xf numFmtId="0" fontId="1" fillId="40" borderId="20" xfId="0" applyFont="1" applyFill="1" applyBorder="1" applyAlignment="1" applyProtection="1">
      <alignment horizontal="center" wrapText="1"/>
    </xf>
    <xf numFmtId="0" fontId="1" fillId="40" borderId="23" xfId="0" applyFont="1" applyFill="1" applyBorder="1" applyAlignment="1" applyProtection="1">
      <alignment horizontal="center" wrapText="1"/>
    </xf>
    <xf numFmtId="0" fontId="1" fillId="40" borderId="21" xfId="0" applyFont="1" applyFill="1" applyBorder="1" applyAlignment="1" applyProtection="1">
      <alignment horizontal="center" wrapText="1"/>
    </xf>
    <xf numFmtId="1" fontId="0" fillId="0" borderId="3" xfId="0" applyNumberFormat="1" applyBorder="1" applyProtection="1"/>
    <xf numFmtId="1" fontId="0" fillId="0" borderId="3" xfId="0" applyNumberFormat="1" applyBorder="1" applyAlignment="1" applyProtection="1">
      <alignment horizontal="justify" wrapText="1"/>
    </xf>
    <xf numFmtId="1" fontId="0" fillId="0" borderId="3" xfId="0" applyNumberFormat="1" applyBorder="1" applyAlignment="1" applyProtection="1">
      <alignment horizontal="center"/>
    </xf>
    <xf numFmtId="0" fontId="0" fillId="55" borderId="2" xfId="0" applyFill="1" applyBorder="1" applyAlignment="1" applyProtection="1">
      <alignment horizontal="center"/>
    </xf>
    <xf numFmtId="0" fontId="0" fillId="0" borderId="13" xfId="0" applyBorder="1" applyAlignment="1" applyProtection="1">
      <alignment wrapText="1"/>
    </xf>
    <xf numFmtId="0" fontId="0" fillId="0" borderId="14" xfId="0" applyBorder="1" applyAlignment="1" applyProtection="1">
      <alignment wrapText="1"/>
    </xf>
    <xf numFmtId="0" fontId="0" fillId="57" borderId="3" xfId="0" applyFill="1" applyBorder="1" applyProtection="1"/>
    <xf numFmtId="1" fontId="0" fillId="57" borderId="3" xfId="0" applyNumberFormat="1" applyFill="1" applyBorder="1" applyProtection="1"/>
    <xf numFmtId="1" fontId="0" fillId="57" borderId="3" xfId="0" applyNumberFormat="1" applyFill="1" applyBorder="1" applyAlignment="1" applyProtection="1">
      <alignment horizontal="justify" wrapText="1"/>
    </xf>
    <xf numFmtId="1" fontId="0" fillId="57" borderId="3" xfId="0" applyNumberFormat="1" applyFill="1" applyBorder="1" applyAlignment="1" applyProtection="1">
      <alignment horizontal="center"/>
    </xf>
    <xf numFmtId="0" fontId="0" fillId="57" borderId="2" xfId="0" applyFill="1" applyBorder="1" applyAlignment="1" applyProtection="1">
      <alignment horizontal="center"/>
    </xf>
    <xf numFmtId="0" fontId="0" fillId="57" borderId="13" xfId="0" applyFill="1" applyBorder="1" applyAlignment="1" applyProtection="1">
      <alignment wrapText="1"/>
    </xf>
    <xf numFmtId="0" fontId="0" fillId="57" borderId="14" xfId="0" applyFill="1" applyBorder="1" applyAlignment="1" applyProtection="1">
      <alignment wrapText="1"/>
    </xf>
    <xf numFmtId="0" fontId="0" fillId="57" borderId="0" xfId="0" applyFill="1" applyProtection="1"/>
    <xf numFmtId="0" fontId="1" fillId="43" borderId="15" xfId="0" applyFont="1" applyFill="1" applyBorder="1" applyAlignment="1" applyProtection="1">
      <alignment horizontal="center" wrapText="1"/>
    </xf>
    <xf numFmtId="0" fontId="1" fillId="4" borderId="15" xfId="0" applyFont="1" applyFill="1" applyBorder="1" applyAlignment="1" applyProtection="1">
      <alignment wrapText="1"/>
    </xf>
    <xf numFmtId="0" fontId="1" fillId="52" borderId="34" xfId="0" applyFont="1" applyFill="1" applyBorder="1" applyProtection="1"/>
    <xf numFmtId="0" fontId="26" fillId="52" borderId="15" xfId="0" applyFont="1" applyFill="1" applyBorder="1" applyAlignment="1" applyProtection="1">
      <alignment wrapText="1"/>
    </xf>
    <xf numFmtId="0" fontId="1" fillId="54" borderId="16" xfId="0" applyFont="1" applyFill="1" applyBorder="1" applyAlignment="1" applyProtection="1">
      <alignment wrapText="1"/>
    </xf>
    <xf numFmtId="0" fontId="0" fillId="55" borderId="3" xfId="0" applyFill="1" applyBorder="1" applyProtection="1"/>
    <xf numFmtId="1" fontId="0" fillId="55" borderId="3" xfId="0" applyNumberFormat="1" applyFill="1" applyBorder="1" applyProtection="1"/>
    <xf numFmtId="0" fontId="41" fillId="46" borderId="3" xfId="0" applyFont="1" applyFill="1" applyBorder="1" applyAlignment="1" applyProtection="1">
      <alignment wrapText="1"/>
    </xf>
    <xf numFmtId="1" fontId="41" fillId="46" borderId="3" xfId="0" applyNumberFormat="1" applyFont="1" applyFill="1" applyBorder="1" applyAlignment="1" applyProtection="1">
      <alignment horizontal="left" wrapText="1"/>
    </xf>
    <xf numFmtId="0" fontId="40" fillId="47" borderId="3" xfId="0" applyFont="1" applyFill="1" applyBorder="1" applyAlignment="1" applyProtection="1">
      <alignment wrapText="1"/>
    </xf>
    <xf numFmtId="0" fontId="42" fillId="47" borderId="3" xfId="0" applyFont="1" applyFill="1" applyBorder="1" applyAlignment="1" applyProtection="1">
      <alignment horizontal="center" wrapText="1"/>
    </xf>
    <xf numFmtId="0" fontId="42" fillId="47" borderId="3" xfId="0" applyFont="1" applyFill="1" applyBorder="1" applyAlignment="1" applyProtection="1">
      <alignment wrapText="1"/>
    </xf>
    <xf numFmtId="0" fontId="26" fillId="52" borderId="3" xfId="0" applyFont="1" applyFill="1" applyBorder="1" applyAlignment="1" applyProtection="1">
      <alignment wrapText="1"/>
    </xf>
    <xf numFmtId="0" fontId="41" fillId="59" borderId="3" xfId="0" applyFont="1" applyFill="1" applyBorder="1" applyAlignment="1" applyProtection="1">
      <alignment wrapText="1"/>
    </xf>
    <xf numFmtId="0" fontId="26" fillId="52" borderId="3" xfId="0" applyFont="1" applyFill="1" applyBorder="1" applyAlignment="1" applyProtection="1">
      <alignment horizontal="center" wrapText="1"/>
    </xf>
    <xf numFmtId="0" fontId="41" fillId="0" borderId="3" xfId="0" applyFont="1" applyBorder="1" applyAlignment="1" applyProtection="1">
      <alignment wrapText="1"/>
    </xf>
    <xf numFmtId="1" fontId="41" fillId="46" borderId="3" xfId="0" applyNumberFormat="1" applyFont="1" applyFill="1" applyBorder="1" applyAlignment="1" applyProtection="1">
      <alignment wrapText="1"/>
    </xf>
    <xf numFmtId="0" fontId="1" fillId="39" borderId="3" xfId="0" applyFont="1" applyFill="1" applyBorder="1" applyAlignment="1" applyProtection="1">
      <alignment horizontal="left" wrapText="1"/>
    </xf>
    <xf numFmtId="0" fontId="11" fillId="0" borderId="3" xfId="0" applyFont="1" applyBorder="1" applyAlignment="1" applyProtection="1">
      <alignment wrapText="1"/>
    </xf>
    <xf numFmtId="0" fontId="0" fillId="0" borderId="3" xfId="0" applyBorder="1" applyAlignment="1" applyProtection="1">
      <alignment horizontal="center" wrapText="1"/>
    </xf>
    <xf numFmtId="1" fontId="0" fillId="0" borderId="3" xfId="0" applyNumberFormat="1" applyBorder="1" applyAlignment="1" applyProtection="1">
      <alignment horizontal="right"/>
    </xf>
    <xf numFmtId="0" fontId="29" fillId="0" borderId="3" xfId="0" applyFont="1" applyBorder="1" applyAlignment="1" applyProtection="1">
      <alignment wrapText="1"/>
    </xf>
    <xf numFmtId="1" fontId="0" fillId="0" borderId="3" xfId="0" quotePrefix="1" applyNumberFormat="1" applyBorder="1" applyAlignment="1" applyProtection="1">
      <alignment horizontal="right"/>
    </xf>
    <xf numFmtId="0" fontId="0" fillId="0" borderId="3" xfId="0" quotePrefix="1" applyBorder="1" applyProtection="1"/>
    <xf numFmtId="0" fontId="29" fillId="57" borderId="3" xfId="0" applyFont="1" applyFill="1" applyBorder="1" applyAlignment="1" applyProtection="1">
      <alignment wrapText="1"/>
    </xf>
    <xf numFmtId="0" fontId="0" fillId="58" borderId="3" xfId="0" applyFill="1" applyBorder="1" applyProtection="1"/>
    <xf numFmtId="1" fontId="0" fillId="58" borderId="3" xfId="0" applyNumberFormat="1" applyFill="1" applyBorder="1" applyProtection="1"/>
    <xf numFmtId="0" fontId="29" fillId="58" borderId="3" xfId="0" applyFont="1" applyFill="1" applyBorder="1" applyProtection="1"/>
    <xf numFmtId="0" fontId="11" fillId="58" borderId="3" xfId="0" applyFont="1" applyFill="1" applyBorder="1" applyProtection="1"/>
    <xf numFmtId="0" fontId="11" fillId="58" borderId="3" xfId="0" applyFont="1" applyFill="1" applyBorder="1" applyAlignment="1" applyProtection="1">
      <alignment wrapText="1"/>
    </xf>
    <xf numFmtId="1" fontId="0" fillId="58" borderId="3" xfId="0" applyNumberFormat="1" applyFill="1" applyBorder="1" applyAlignment="1" applyProtection="1">
      <alignment horizontal="right"/>
    </xf>
    <xf numFmtId="0" fontId="29" fillId="58" borderId="3" xfId="0" applyFont="1" applyFill="1" applyBorder="1" applyAlignment="1" applyProtection="1">
      <alignment wrapText="1"/>
    </xf>
    <xf numFmtId="0" fontId="1" fillId="44" borderId="57" xfId="0" applyFont="1" applyFill="1" applyBorder="1" applyAlignment="1" applyProtection="1">
      <alignment wrapText="1"/>
    </xf>
    <xf numFmtId="0" fontId="1" fillId="54" borderId="34" xfId="0" applyFont="1" applyFill="1" applyBorder="1" applyProtection="1"/>
    <xf numFmtId="0" fontId="1" fillId="39" borderId="0" xfId="0" applyFont="1" applyFill="1" applyAlignment="1" applyProtection="1">
      <alignment wrapText="1"/>
    </xf>
    <xf numFmtId="0" fontId="1" fillId="39" borderId="54" xfId="0" applyFont="1" applyFill="1" applyBorder="1" applyProtection="1"/>
    <xf numFmtId="0" fontId="1" fillId="44" borderId="20" xfId="0" applyFont="1" applyFill="1" applyBorder="1" applyAlignment="1" applyProtection="1">
      <alignment wrapText="1"/>
    </xf>
    <xf numFmtId="0" fontId="37" fillId="44" borderId="23" xfId="0" applyFont="1" applyFill="1" applyBorder="1" applyAlignment="1" applyProtection="1">
      <alignment wrapText="1"/>
    </xf>
    <xf numFmtId="0" fontId="1" fillId="44" borderId="23" xfId="0" applyFont="1" applyFill="1" applyBorder="1" applyAlignment="1" applyProtection="1">
      <alignment wrapText="1"/>
    </xf>
    <xf numFmtId="0" fontId="1" fillId="44" borderId="55" xfId="0" applyFont="1" applyFill="1" applyBorder="1" applyAlignment="1" applyProtection="1">
      <alignment wrapText="1"/>
    </xf>
    <xf numFmtId="0" fontId="1" fillId="44" borderId="33" xfId="0" applyFont="1" applyFill="1" applyBorder="1" applyAlignment="1" applyProtection="1">
      <alignment wrapText="1"/>
    </xf>
    <xf numFmtId="0" fontId="37" fillId="44" borderId="11" xfId="0" applyFont="1" applyFill="1" applyBorder="1" applyAlignment="1" applyProtection="1">
      <alignment wrapText="1"/>
    </xf>
    <xf numFmtId="1" fontId="37" fillId="44" borderId="11" xfId="0" applyNumberFormat="1" applyFont="1" applyFill="1" applyBorder="1" applyAlignment="1" applyProtection="1">
      <alignment wrapText="1"/>
    </xf>
    <xf numFmtId="0" fontId="1" fillId="44" borderId="12" xfId="0" applyFont="1" applyFill="1" applyBorder="1" applyAlignment="1" applyProtection="1">
      <alignment wrapText="1"/>
    </xf>
    <xf numFmtId="1" fontId="0" fillId="0" borderId="0" xfId="0" applyNumberFormat="1" applyProtection="1"/>
    <xf numFmtId="0" fontId="0" fillId="0" borderId="18" xfId="0" applyBorder="1" applyProtection="1"/>
    <xf numFmtId="0" fontId="0" fillId="0" borderId="35" xfId="0" applyBorder="1" applyProtection="1"/>
    <xf numFmtId="0" fontId="0" fillId="0" borderId="56" xfId="0" applyBorder="1" applyProtection="1"/>
    <xf numFmtId="0" fontId="36" fillId="4" borderId="0" xfId="0" applyFont="1" applyFill="1" applyAlignment="1" applyProtection="1">
      <alignment wrapText="1"/>
    </xf>
    <xf numFmtId="0" fontId="40" fillId="47" borderId="0" xfId="0" applyFont="1" applyFill="1" applyAlignment="1" applyProtection="1">
      <alignment wrapText="1"/>
    </xf>
    <xf numFmtId="1" fontId="36" fillId="4" borderId="0" xfId="0" applyNumberFormat="1" applyFont="1" applyFill="1" applyAlignment="1" applyProtection="1">
      <alignment wrapText="1"/>
    </xf>
    <xf numFmtId="0" fontId="36" fillId="51" borderId="1" xfId="0" applyFont="1" applyFill="1" applyBorder="1" applyAlignment="1" applyProtection="1">
      <alignment vertical="top" wrapText="1"/>
    </xf>
    <xf numFmtId="0" fontId="36" fillId="49" borderId="1" xfId="0" applyFont="1" applyFill="1" applyBorder="1" applyAlignment="1" applyProtection="1">
      <alignment vertical="top" wrapText="1"/>
    </xf>
    <xf numFmtId="0" fontId="36" fillId="49" borderId="3" xfId="0" applyFont="1" applyFill="1" applyBorder="1" applyAlignment="1" applyProtection="1">
      <alignment vertical="top" wrapText="1"/>
    </xf>
    <xf numFmtId="0" fontId="36" fillId="4" borderId="0" xfId="0" applyFont="1" applyFill="1" applyProtection="1"/>
    <xf numFmtId="0" fontId="36" fillId="50" borderId="0" xfId="0" applyFont="1" applyFill="1" applyProtection="1"/>
    <xf numFmtId="0" fontId="29" fillId="0" borderId="0" xfId="0" applyFont="1" applyProtection="1"/>
    <xf numFmtId="0" fontId="29" fillId="0" borderId="0" xfId="0" applyFont="1" applyAlignment="1" applyProtection="1">
      <alignment wrapText="1"/>
    </xf>
    <xf numFmtId="1" fontId="0" fillId="0" borderId="0" xfId="0" quotePrefix="1" applyNumberFormat="1" applyProtection="1"/>
    <xf numFmtId="0" fontId="41" fillId="46" borderId="0" xfId="0" applyFont="1" applyFill="1" applyProtection="1"/>
    <xf numFmtId="1" fontId="41" fillId="46" borderId="0" xfId="0" applyNumberFormat="1" applyFont="1" applyFill="1" applyAlignment="1" applyProtection="1">
      <alignment horizontal="left"/>
    </xf>
    <xf numFmtId="0" fontId="40" fillId="47" borderId="0" xfId="0" applyFont="1" applyFill="1" applyProtection="1"/>
    <xf numFmtId="0" fontId="42" fillId="47" borderId="58" xfId="0" applyFont="1" applyFill="1" applyBorder="1" applyAlignment="1" applyProtection="1">
      <alignment horizontal="center" wrapText="1"/>
    </xf>
    <xf numFmtId="0" fontId="42" fillId="47" borderId="58" xfId="0" applyFont="1" applyFill="1" applyBorder="1" applyAlignment="1" applyProtection="1">
      <alignment wrapText="1"/>
    </xf>
    <xf numFmtId="0" fontId="41" fillId="53" borderId="58" xfId="0" applyFont="1" applyFill="1" applyBorder="1" applyAlignment="1" applyProtection="1">
      <alignment wrapText="1"/>
    </xf>
    <xf numFmtId="0" fontId="41" fillId="53" borderId="59" xfId="0" applyFont="1" applyFill="1" applyBorder="1" applyAlignment="1" applyProtection="1">
      <alignment wrapText="1"/>
    </xf>
    <xf numFmtId="1" fontId="41" fillId="46" borderId="0" xfId="0" applyNumberFormat="1" applyFont="1" applyFill="1" applyProtection="1"/>
    <xf numFmtId="0" fontId="41" fillId="48" borderId="0" xfId="0" applyFont="1" applyFill="1" applyProtection="1"/>
    <xf numFmtId="0" fontId="29" fillId="0" borderId="0" xfId="0" applyFont="1" applyAlignment="1" applyProtection="1">
      <alignment horizontal="center"/>
    </xf>
    <xf numFmtId="1" fontId="0" fillId="0" borderId="0" xfId="0" applyNumberFormat="1" applyAlignment="1" applyProtection="1">
      <alignment horizontal="right"/>
    </xf>
    <xf numFmtId="0" fontId="0" fillId="54" borderId="0" xfId="0" applyFill="1" applyProtection="1"/>
    <xf numFmtId="1" fontId="0" fillId="0" borderId="0" xfId="0" quotePrefix="1" applyNumberFormat="1" applyAlignment="1" applyProtection="1">
      <alignment horizontal="right"/>
    </xf>
    <xf numFmtId="0" fontId="0" fillId="0" borderId="0" xfId="0" quotePrefix="1" applyProtection="1"/>
    <xf numFmtId="0" fontId="1" fillId="44" borderId="53" xfId="0" applyFont="1" applyFill="1" applyBorder="1" applyAlignment="1" applyProtection="1">
      <alignment wrapText="1"/>
    </xf>
    <xf numFmtId="0" fontId="1" fillId="44" borderId="52" xfId="0" applyFont="1" applyFill="1" applyBorder="1" applyAlignment="1" applyProtection="1">
      <alignment wrapText="1"/>
    </xf>
    <xf numFmtId="0" fontId="0" fillId="0" borderId="13" xfId="0" applyBorder="1" applyProtection="1"/>
    <xf numFmtId="0" fontId="37" fillId="39" borderId="20" xfId="0" applyFont="1" applyFill="1" applyBorder="1" applyProtection="1"/>
    <xf numFmtId="0" fontId="37" fillId="39" borderId="23" xfId="0" applyFont="1" applyFill="1" applyBorder="1" applyProtection="1"/>
    <xf numFmtId="0" fontId="37" fillId="0" borderId="23" xfId="0" applyFont="1" applyBorder="1" applyAlignment="1" applyProtection="1">
      <alignment vertical="center"/>
    </xf>
    <xf numFmtId="0" fontId="37" fillId="0" borderId="21" xfId="0" applyFont="1" applyBorder="1" applyAlignment="1" applyProtection="1">
      <alignment wrapText="1"/>
    </xf>
    <xf numFmtId="0" fontId="38" fillId="36" borderId="13" xfId="0" applyFont="1" applyFill="1" applyBorder="1" applyAlignment="1" applyProtection="1">
      <alignment wrapText="1"/>
    </xf>
    <xf numFmtId="0" fontId="38" fillId="36" borderId="3" xfId="0" applyFont="1" applyFill="1" applyBorder="1" applyAlignment="1" applyProtection="1">
      <alignment wrapText="1"/>
    </xf>
    <xf numFmtId="0" fontId="11" fillId="0" borderId="61" xfId="0" applyFont="1" applyBorder="1" applyAlignment="1" applyProtection="1">
      <alignment wrapText="1"/>
    </xf>
    <xf numFmtId="0" fontId="11" fillId="0" borderId="61" xfId="0" applyFont="1" applyBorder="1" applyProtection="1"/>
    <xf numFmtId="0" fontId="9" fillId="0" borderId="14" xfId="0" applyFont="1" applyBorder="1" applyAlignment="1" applyProtection="1">
      <alignment horizontal="left" wrapText="1"/>
    </xf>
    <xf numFmtId="0" fontId="38" fillId="36" borderId="3" xfId="0" applyFont="1" applyFill="1" applyBorder="1" applyAlignment="1" applyProtection="1">
      <alignment horizontal="left" vertical="center" wrapText="1"/>
    </xf>
    <xf numFmtId="0" fontId="11" fillId="0" borderId="33" xfId="0" applyFont="1" applyBorder="1" applyAlignment="1" applyProtection="1">
      <alignment wrapText="1"/>
    </xf>
    <xf numFmtId="0" fontId="11" fillId="0" borderId="33" xfId="0" applyFont="1" applyBorder="1" applyProtection="1"/>
    <xf numFmtId="0" fontId="0" fillId="0" borderId="14" xfId="0" applyBorder="1" applyAlignment="1" applyProtection="1">
      <alignment horizontal="left" wrapText="1"/>
    </xf>
    <xf numFmtId="0" fontId="38" fillId="36" borderId="3" xfId="0" applyFont="1" applyFill="1" applyBorder="1" applyAlignment="1" applyProtection="1">
      <alignment vertical="center" wrapText="1"/>
    </xf>
    <xf numFmtId="0" fontId="9" fillId="0" borderId="14" xfId="0" applyFont="1" applyBorder="1" applyAlignment="1" applyProtection="1">
      <alignment horizontal="left" wrapText="1"/>
    </xf>
    <xf numFmtId="0" fontId="12" fillId="45" borderId="49" xfId="0" applyFont="1" applyFill="1" applyBorder="1" applyAlignment="1" applyProtection="1">
      <alignment horizontal="center" vertical="center"/>
    </xf>
    <xf numFmtId="0" fontId="12" fillId="45" borderId="50" xfId="0" applyFont="1" applyFill="1" applyBorder="1" applyAlignment="1" applyProtection="1">
      <alignment horizontal="center" vertical="center"/>
    </xf>
    <xf numFmtId="0" fontId="12" fillId="45" borderId="50" xfId="0" applyFont="1" applyFill="1" applyBorder="1" applyAlignment="1" applyProtection="1">
      <alignment horizontal="center" vertical="center" wrapText="1"/>
    </xf>
    <xf numFmtId="0" fontId="11" fillId="0" borderId="51" xfId="0" applyFont="1" applyBorder="1" applyAlignment="1" applyProtection="1">
      <alignment vertical="center"/>
    </xf>
    <xf numFmtId="0" fontId="11" fillId="0" borderId="6" xfId="0" applyFont="1" applyBorder="1" applyAlignment="1" applyProtection="1">
      <alignment vertical="center"/>
    </xf>
    <xf numFmtId="0" fontId="11" fillId="0" borderId="6" xfId="0" applyFont="1" applyBorder="1" applyAlignment="1" applyProtection="1">
      <alignment vertical="center" wrapText="1"/>
    </xf>
    <xf numFmtId="0" fontId="11" fillId="0" borderId="51" xfId="0" applyFont="1" applyBorder="1" applyAlignment="1" applyProtection="1">
      <alignment vertical="center" wrapText="1"/>
    </xf>
    <xf numFmtId="0" fontId="29" fillId="0" borderId="6" xfId="0" applyFont="1" applyBorder="1" applyAlignment="1" applyProtection="1">
      <alignment vertical="center" wrapText="1"/>
    </xf>
    <xf numFmtId="0" fontId="4" fillId="2" borderId="3" xfId="0" applyFont="1" applyFill="1" applyBorder="1" applyAlignment="1" applyProtection="1">
      <alignment horizontal="center"/>
    </xf>
    <xf numFmtId="0" fontId="0" fillId="2" borderId="3" xfId="0" applyFill="1" applyBorder="1" applyAlignment="1" applyProtection="1">
      <alignment horizontal="center"/>
    </xf>
    <xf numFmtId="0" fontId="3" fillId="2" borderId="3" xfId="0" applyFont="1" applyFill="1" applyBorder="1" applyAlignment="1" applyProtection="1">
      <alignment vertical="top" wrapText="1"/>
    </xf>
    <xf numFmtId="0" fontId="0" fillId="2" borderId="3" xfId="0" applyFill="1" applyBorder="1" applyAlignment="1" applyProtection="1">
      <alignment vertical="top" wrapText="1"/>
    </xf>
    <xf numFmtId="0" fontId="2" fillId="2" borderId="3" xfId="0" applyFont="1" applyFill="1" applyBorder="1" applyAlignment="1" applyProtection="1">
      <alignment horizontal="center" vertical="top" wrapText="1"/>
    </xf>
    <xf numFmtId="166" fontId="2" fillId="2" borderId="3" xfId="0" applyNumberFormat="1" applyFont="1" applyFill="1" applyBorder="1" applyAlignment="1" applyProtection="1">
      <alignment horizontal="center" vertical="top" wrapText="1"/>
    </xf>
    <xf numFmtId="0" fontId="3" fillId="0" borderId="3"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Protection="1"/>
    <xf numFmtId="0" fontId="2" fillId="0" borderId="3" xfId="0" applyFont="1" applyBorder="1" applyAlignment="1" applyProtection="1">
      <alignment horizontal="left" vertical="top" wrapText="1"/>
    </xf>
    <xf numFmtId="0" fontId="2" fillId="0" borderId="0" xfId="0" applyFont="1" applyAlignment="1" applyProtection="1">
      <alignment horizontal="left" vertical="top" wrapText="1"/>
    </xf>
    <xf numFmtId="0" fontId="6" fillId="0" borderId="3" xfId="0" applyFont="1" applyBorder="1" applyAlignment="1" applyProtection="1">
      <alignment horizontal="left" vertical="top" wrapText="1"/>
    </xf>
    <xf numFmtId="0" fontId="3" fillId="0" borderId="3" xfId="43" applyBorder="1" applyAlignment="1" applyProtection="1">
      <alignment horizontal="left" vertical="top" wrapText="1"/>
    </xf>
    <xf numFmtId="0" fontId="3" fillId="0" borderId="0" xfId="43" applyAlignment="1" applyProtection="1">
      <alignment horizontal="left" vertical="top" wrapText="1"/>
    </xf>
    <xf numFmtId="0" fontId="3" fillId="0" borderId="3" xfId="44" applyBorder="1" applyAlignment="1" applyProtection="1">
      <alignment horizontal="left" vertical="top" wrapText="1"/>
    </xf>
    <xf numFmtId="0" fontId="3" fillId="0" borderId="0" xfId="44" applyAlignment="1" applyProtection="1">
      <alignment horizontal="left" vertical="top" wrapText="1"/>
    </xf>
    <xf numFmtId="0" fontId="3" fillId="0" borderId="3" xfId="45" applyBorder="1" applyAlignment="1" applyProtection="1">
      <alignment horizontal="left" vertical="top" wrapText="1"/>
    </xf>
    <xf numFmtId="0" fontId="3" fillId="0" borderId="3" xfId="46" applyBorder="1" applyAlignment="1" applyProtection="1">
      <alignment horizontal="left" vertical="top" wrapText="1"/>
    </xf>
    <xf numFmtId="0" fontId="3" fillId="0" borderId="3" xfId="47" applyBorder="1" applyAlignment="1" applyProtection="1">
      <alignment horizontal="left" vertical="top" wrapText="1"/>
    </xf>
    <xf numFmtId="0" fontId="3" fillId="0" borderId="0" xfId="47" applyAlignment="1" applyProtection="1">
      <alignment horizontal="left" vertical="top" wrapText="1"/>
    </xf>
    <xf numFmtId="0" fontId="3" fillId="0" borderId="3" xfId="48" applyBorder="1" applyAlignment="1" applyProtection="1">
      <alignment horizontal="left" vertical="top" wrapText="1"/>
    </xf>
    <xf numFmtId="0" fontId="3" fillId="0" borderId="0" xfId="48" applyAlignment="1" applyProtection="1">
      <alignment horizontal="left" vertical="top" wrapText="1"/>
    </xf>
    <xf numFmtId="0" fontId="3" fillId="0" borderId="3" xfId="49" applyBorder="1" applyAlignment="1" applyProtection="1">
      <alignment horizontal="left" vertical="top" wrapText="1"/>
    </xf>
    <xf numFmtId="0" fontId="3" fillId="0" borderId="3" xfId="50" applyBorder="1" applyAlignment="1" applyProtection="1">
      <alignment horizontal="left" vertical="top" wrapText="1"/>
    </xf>
    <xf numFmtId="0" fontId="3" fillId="0" borderId="3" xfId="51" applyBorder="1" applyAlignment="1" applyProtection="1">
      <alignment horizontal="left" vertical="top" wrapText="1"/>
    </xf>
    <xf numFmtId="0" fontId="3" fillId="0" borderId="3" xfId="52" applyBorder="1" applyAlignment="1" applyProtection="1">
      <alignment horizontal="left" vertical="top" wrapText="1"/>
    </xf>
    <xf numFmtId="0" fontId="2" fillId="0" borderId="3" xfId="52" applyFont="1" applyBorder="1" applyAlignment="1" applyProtection="1">
      <alignment horizontal="left" vertical="top" wrapText="1"/>
    </xf>
    <xf numFmtId="0" fontId="3" fillId="0" borderId="3" xfId="53" applyBorder="1" applyAlignment="1" applyProtection="1">
      <alignment horizontal="left" vertical="top" wrapText="1"/>
    </xf>
    <xf numFmtId="0" fontId="2" fillId="0" borderId="3" xfId="53" applyFont="1" applyBorder="1" applyAlignment="1" applyProtection="1">
      <alignment horizontal="left" vertical="top" wrapText="1"/>
    </xf>
    <xf numFmtId="0" fontId="2" fillId="0" borderId="0" xfId="53" applyFont="1" applyAlignment="1" applyProtection="1">
      <alignment horizontal="left" vertical="top" wrapText="1"/>
    </xf>
    <xf numFmtId="0" fontId="3" fillId="0" borderId="0" xfId="53" applyAlignment="1" applyProtection="1">
      <alignment horizontal="left" vertical="top" wrapText="1"/>
    </xf>
    <xf numFmtId="0" fontId="3" fillId="0" borderId="3" xfId="54" applyBorder="1" applyAlignment="1" applyProtection="1">
      <alignment horizontal="left" vertical="top" wrapText="1"/>
    </xf>
    <xf numFmtId="0" fontId="3" fillId="0" borderId="0" xfId="54" applyAlignment="1" applyProtection="1">
      <alignment horizontal="left" vertical="top" wrapText="1"/>
    </xf>
    <xf numFmtId="0" fontId="2" fillId="0" borderId="3" xfId="54" applyFont="1" applyBorder="1" applyAlignment="1" applyProtection="1">
      <alignment horizontal="left" vertical="top" wrapText="1"/>
    </xf>
    <xf numFmtId="0" fontId="2" fillId="0" borderId="0" xfId="54" applyFont="1" applyAlignment="1" applyProtection="1">
      <alignment horizontal="left" vertical="top" wrapText="1"/>
    </xf>
    <xf numFmtId="0" fontId="3" fillId="0" borderId="3" xfId="55" applyBorder="1" applyAlignment="1" applyProtection="1">
      <alignment horizontal="left" vertical="top" wrapText="1"/>
    </xf>
    <xf numFmtId="0" fontId="3" fillId="0" borderId="0" xfId="55" applyAlignment="1" applyProtection="1">
      <alignment horizontal="left" vertical="top" wrapText="1"/>
    </xf>
    <xf numFmtId="0" fontId="3" fillId="0" borderId="3" xfId="56" applyBorder="1" applyAlignment="1" applyProtection="1">
      <alignment horizontal="left" vertical="top" wrapText="1"/>
    </xf>
    <xf numFmtId="0" fontId="3" fillId="0" borderId="0" xfId="56" applyAlignment="1" applyProtection="1">
      <alignment horizontal="left" vertical="top" wrapText="1"/>
    </xf>
    <xf numFmtId="0" fontId="3" fillId="0" borderId="3" xfId="57" applyBorder="1" applyAlignment="1" applyProtection="1">
      <alignment horizontal="left" vertical="top" wrapText="1"/>
    </xf>
    <xf numFmtId="0" fontId="3" fillId="0" borderId="3" xfId="58" applyBorder="1" applyAlignment="1" applyProtection="1">
      <alignment horizontal="left" vertical="top" wrapText="1"/>
    </xf>
    <xf numFmtId="0" fontId="3" fillId="0" borderId="3" xfId="59" applyBorder="1" applyAlignment="1" applyProtection="1">
      <alignment horizontal="left" vertical="top" wrapText="1"/>
    </xf>
    <xf numFmtId="0" fontId="3" fillId="0" borderId="3" xfId="60" applyBorder="1" applyAlignment="1" applyProtection="1">
      <alignment horizontal="left" vertical="top" wrapText="1"/>
    </xf>
    <xf numFmtId="0" fontId="3" fillId="0" borderId="0" xfId="60" applyAlignment="1" applyProtection="1">
      <alignment horizontal="left" vertical="top" wrapText="1"/>
    </xf>
    <xf numFmtId="0" fontId="3" fillId="0" borderId="3" xfId="61" applyBorder="1" applyAlignment="1" applyProtection="1">
      <alignment horizontal="left" vertical="top" wrapText="1"/>
    </xf>
    <xf numFmtId="0" fontId="3" fillId="0" borderId="0" xfId="61" applyAlignment="1" applyProtection="1">
      <alignment horizontal="left" vertical="top" wrapText="1"/>
    </xf>
    <xf numFmtId="0" fontId="3" fillId="0" borderId="3" xfId="62" applyBorder="1" applyAlignment="1" applyProtection="1">
      <alignment horizontal="left" vertical="top" wrapText="1"/>
    </xf>
    <xf numFmtId="0" fontId="3" fillId="0" borderId="3" xfId="63" applyBorder="1" applyAlignment="1" applyProtection="1">
      <alignment horizontal="left" vertical="top" wrapText="1"/>
    </xf>
    <xf numFmtId="0" fontId="3" fillId="0" borderId="3" xfId="64" applyBorder="1" applyAlignment="1" applyProtection="1">
      <alignment horizontal="left" vertical="top" wrapText="1"/>
    </xf>
    <xf numFmtId="0" fontId="3" fillId="0" borderId="0" xfId="64" applyAlignment="1" applyProtection="1">
      <alignment horizontal="left" vertical="top" wrapText="1"/>
    </xf>
    <xf numFmtId="0" fontId="3" fillId="0" borderId="3" xfId="65" applyBorder="1" applyAlignment="1" applyProtection="1">
      <alignment horizontal="left" vertical="top" wrapText="1"/>
    </xf>
    <xf numFmtId="0" fontId="3" fillId="0" borderId="0" xfId="65" applyAlignment="1" applyProtection="1">
      <alignment horizontal="left" vertical="top" wrapText="1"/>
    </xf>
    <xf numFmtId="0" fontId="3" fillId="0" borderId="3" xfId="66" applyBorder="1" applyAlignment="1" applyProtection="1">
      <alignment horizontal="left" vertical="top" wrapText="1"/>
    </xf>
    <xf numFmtId="0" fontId="3" fillId="0" borderId="0" xfId="66" applyAlignment="1" applyProtection="1">
      <alignment horizontal="left" vertical="top" wrapText="1"/>
    </xf>
    <xf numFmtId="0" fontId="3" fillId="0" borderId="3" xfId="67" applyBorder="1" applyAlignment="1" applyProtection="1">
      <alignment horizontal="left" vertical="top" wrapText="1"/>
    </xf>
    <xf numFmtId="0" fontId="3" fillId="0" borderId="0" xfId="67" applyAlignment="1" applyProtection="1">
      <alignment horizontal="left" vertical="top" wrapText="1"/>
    </xf>
    <xf numFmtId="0" fontId="3" fillId="0" borderId="3" xfId="68" applyBorder="1" applyAlignment="1" applyProtection="1">
      <alignment horizontal="left" vertical="top" wrapText="1"/>
    </xf>
    <xf numFmtId="0" fontId="3" fillId="0" borderId="0" xfId="68" applyAlignment="1" applyProtection="1">
      <alignment horizontal="left" vertical="top" wrapText="1"/>
    </xf>
    <xf numFmtId="0" fontId="3" fillId="0" borderId="3" xfId="69" applyBorder="1" applyAlignment="1" applyProtection="1">
      <alignment horizontal="left" vertical="top" wrapText="1"/>
    </xf>
    <xf numFmtId="0" fontId="3" fillId="0" borderId="0" xfId="69" applyAlignment="1" applyProtection="1">
      <alignment horizontal="left" vertical="top" wrapText="1"/>
    </xf>
    <xf numFmtId="0" fontId="3" fillId="0" borderId="3" xfId="70" applyBorder="1" applyAlignment="1" applyProtection="1">
      <alignment horizontal="left" vertical="top" wrapText="1"/>
    </xf>
    <xf numFmtId="0" fontId="3" fillId="0" borderId="0" xfId="70" applyAlignment="1" applyProtection="1">
      <alignment horizontal="left" vertical="top" wrapText="1"/>
    </xf>
    <xf numFmtId="0" fontId="3" fillId="0" borderId="3" xfId="71" applyBorder="1" applyAlignment="1" applyProtection="1">
      <alignment horizontal="left" vertical="top" wrapText="1"/>
    </xf>
    <xf numFmtId="0" fontId="3" fillId="0" borderId="0" xfId="71" applyAlignment="1" applyProtection="1">
      <alignment horizontal="left" vertical="top" wrapText="1"/>
    </xf>
    <xf numFmtId="0" fontId="3" fillId="0" borderId="3" xfId="72" applyBorder="1" applyAlignment="1" applyProtection="1">
      <alignment horizontal="left" vertical="top" wrapText="1"/>
    </xf>
    <xf numFmtId="0" fontId="2" fillId="0" borderId="3" xfId="72" applyFont="1" applyBorder="1" applyAlignment="1" applyProtection="1">
      <alignment horizontal="left" vertical="top" wrapText="1"/>
    </xf>
    <xf numFmtId="0" fontId="3" fillId="0" borderId="3" xfId="73" applyBorder="1" applyAlignment="1" applyProtection="1">
      <alignment horizontal="left" vertical="top" wrapText="1"/>
    </xf>
    <xf numFmtId="0" fontId="2" fillId="0" borderId="3" xfId="73" applyFont="1" applyBorder="1" applyAlignment="1" applyProtection="1">
      <alignment horizontal="left" vertical="top" wrapText="1"/>
    </xf>
    <xf numFmtId="0" fontId="3" fillId="0" borderId="3" xfId="74" applyBorder="1" applyAlignment="1" applyProtection="1">
      <alignment horizontal="left" vertical="top" wrapText="1"/>
    </xf>
    <xf numFmtId="0" fontId="3" fillId="0" borderId="3" xfId="75" applyBorder="1" applyAlignment="1" applyProtection="1">
      <alignment horizontal="left" vertical="top" wrapText="1"/>
    </xf>
    <xf numFmtId="0" fontId="3" fillId="0" borderId="0" xfId="75" applyAlignment="1" applyProtection="1">
      <alignment horizontal="left" vertical="top" wrapText="1"/>
    </xf>
    <xf numFmtId="0" fontId="3" fillId="0" borderId="3" xfId="76" applyBorder="1" applyAlignment="1" applyProtection="1">
      <alignment horizontal="left" vertical="top" wrapText="1"/>
    </xf>
    <xf numFmtId="0" fontId="3" fillId="0" borderId="0" xfId="76" applyAlignment="1" applyProtection="1">
      <alignment horizontal="left" vertical="top" wrapText="1"/>
    </xf>
    <xf numFmtId="0" fontId="3" fillId="0" borderId="3" xfId="77" applyBorder="1" applyAlignment="1" applyProtection="1">
      <alignment horizontal="left" vertical="top" wrapText="1"/>
    </xf>
    <xf numFmtId="0" fontId="3" fillId="0" borderId="0" xfId="77" applyAlignment="1" applyProtection="1">
      <alignment horizontal="left" vertical="top" wrapText="1"/>
    </xf>
    <xf numFmtId="0" fontId="3" fillId="0" borderId="3" xfId="78" applyBorder="1" applyAlignment="1" applyProtection="1">
      <alignment horizontal="left" vertical="top" wrapText="1"/>
    </xf>
    <xf numFmtId="0" fontId="3" fillId="0" borderId="0" xfId="78" applyAlignment="1" applyProtection="1">
      <alignment horizontal="left" vertical="top" wrapText="1"/>
    </xf>
    <xf numFmtId="0" fontId="3" fillId="0" borderId="3" xfId="79" applyBorder="1" applyAlignment="1" applyProtection="1">
      <alignment horizontal="left" vertical="top" wrapText="1"/>
    </xf>
    <xf numFmtId="0" fontId="3" fillId="0" borderId="0" xfId="79" applyAlignment="1" applyProtection="1">
      <alignment horizontal="left" vertical="top" wrapText="1"/>
    </xf>
    <xf numFmtId="0" fontId="3" fillId="0" borderId="3" xfId="80" applyBorder="1" applyAlignment="1" applyProtection="1">
      <alignment horizontal="left" vertical="top" wrapText="1"/>
    </xf>
    <xf numFmtId="0" fontId="3" fillId="0" borderId="0" xfId="80" applyAlignment="1" applyProtection="1">
      <alignment horizontal="left" vertical="top" wrapText="1"/>
    </xf>
    <xf numFmtId="0" fontId="2" fillId="0" borderId="3" xfId="80" applyFont="1" applyBorder="1" applyAlignment="1" applyProtection="1">
      <alignment horizontal="left" vertical="top" wrapText="1"/>
    </xf>
    <xf numFmtId="0" fontId="2" fillId="0" borderId="0" xfId="80" applyFont="1" applyAlignment="1" applyProtection="1">
      <alignment horizontal="left" vertical="top" wrapText="1"/>
    </xf>
    <xf numFmtId="0" fontId="3" fillId="0" borderId="3" xfId="81" applyBorder="1" applyAlignment="1" applyProtection="1">
      <alignment horizontal="left" vertical="top" wrapText="1"/>
    </xf>
    <xf numFmtId="0" fontId="3" fillId="0" borderId="0" xfId="81" applyAlignment="1" applyProtection="1">
      <alignment horizontal="left" vertical="top" wrapText="1"/>
    </xf>
    <xf numFmtId="0" fontId="3" fillId="0" borderId="3" xfId="82" applyBorder="1" applyAlignment="1" applyProtection="1">
      <alignment horizontal="left" vertical="top" wrapText="1"/>
    </xf>
    <xf numFmtId="0" fontId="3" fillId="0" borderId="0" xfId="82" applyAlignment="1" applyProtection="1">
      <alignment horizontal="left" vertical="top" wrapText="1"/>
    </xf>
    <xf numFmtId="0" fontId="3" fillId="0" borderId="3" xfId="83" applyBorder="1" applyAlignment="1" applyProtection="1">
      <alignment horizontal="left" vertical="top" wrapText="1"/>
    </xf>
    <xf numFmtId="0" fontId="3" fillId="0" borderId="0" xfId="83" applyAlignment="1" applyProtection="1">
      <alignment horizontal="left" vertical="top" wrapText="1"/>
    </xf>
    <xf numFmtId="0" fontId="3" fillId="0" borderId="3" xfId="84" applyBorder="1" applyAlignment="1" applyProtection="1">
      <alignment horizontal="left" vertical="top" wrapText="1"/>
    </xf>
    <xf numFmtId="0" fontId="3" fillId="0" borderId="0" xfId="84" applyAlignment="1" applyProtection="1">
      <alignment horizontal="left" vertical="top" wrapText="1"/>
    </xf>
    <xf numFmtId="0" fontId="3" fillId="0" borderId="3" xfId="85" applyBorder="1" applyAlignment="1" applyProtection="1">
      <alignment horizontal="left" vertical="top" wrapText="1"/>
    </xf>
    <xf numFmtId="0" fontId="3" fillId="0" borderId="0" xfId="85" applyAlignment="1" applyProtection="1">
      <alignment horizontal="left" vertical="top" wrapText="1"/>
    </xf>
    <xf numFmtId="0" fontId="3" fillId="0" borderId="3" xfId="86" applyBorder="1" applyAlignment="1" applyProtection="1">
      <alignment horizontal="left" vertical="top" wrapText="1"/>
    </xf>
    <xf numFmtId="0" fontId="3" fillId="0" borderId="3" xfId="87" applyBorder="1" applyAlignment="1" applyProtection="1">
      <alignment horizontal="left" vertical="top" wrapText="1"/>
    </xf>
    <xf numFmtId="0" fontId="3" fillId="0" borderId="0" xfId="87" applyAlignment="1" applyProtection="1">
      <alignment horizontal="left" vertical="top" wrapText="1"/>
    </xf>
    <xf numFmtId="0" fontId="3" fillId="0" borderId="3" xfId="88" applyBorder="1" applyAlignment="1" applyProtection="1">
      <alignment horizontal="left" vertical="top" wrapText="1"/>
    </xf>
    <xf numFmtId="0" fontId="2" fillId="0" borderId="3" xfId="88" applyFont="1" applyBorder="1" applyAlignment="1" applyProtection="1">
      <alignment horizontal="left" vertical="top" wrapText="1"/>
    </xf>
    <xf numFmtId="0" fontId="3" fillId="0" borderId="3" xfId="89" applyBorder="1" applyAlignment="1" applyProtection="1">
      <alignment horizontal="left" vertical="top" wrapText="1"/>
    </xf>
    <xf numFmtId="0" fontId="3" fillId="0" borderId="3" xfId="0" applyFont="1" applyBorder="1" applyAlignment="1" applyProtection="1">
      <alignment horizontal="left" vertical="top"/>
    </xf>
    <xf numFmtId="0" fontId="3" fillId="0" borderId="3" xfId="90" applyBorder="1" applyAlignment="1" applyProtection="1">
      <alignment horizontal="left" vertical="top" wrapText="1"/>
    </xf>
    <xf numFmtId="0" fontId="3" fillId="0" borderId="0" xfId="90" applyAlignment="1" applyProtection="1">
      <alignment horizontal="left" vertical="top" wrapText="1"/>
    </xf>
    <xf numFmtId="0" fontId="30" fillId="41" borderId="36" xfId="0" applyFont="1" applyFill="1" applyBorder="1" applyAlignment="1" applyProtection="1">
      <alignment horizontal="center" vertical="top" wrapText="1"/>
    </xf>
    <xf numFmtId="0" fontId="31" fillId="41" borderId="37" xfId="0" applyFont="1" applyFill="1" applyBorder="1" applyAlignment="1" applyProtection="1">
      <alignment horizontal="center" vertical="top" wrapText="1"/>
    </xf>
    <xf numFmtId="0" fontId="31" fillId="41" borderId="38" xfId="0" applyFont="1" applyFill="1" applyBorder="1" applyAlignment="1" applyProtection="1">
      <alignment horizontal="center" vertical="top" wrapText="1"/>
    </xf>
    <xf numFmtId="0" fontId="0" fillId="0" borderId="0" xfId="0" applyAlignment="1" applyProtection="1">
      <alignment horizontal="left" vertical="top"/>
    </xf>
    <xf numFmtId="0" fontId="32" fillId="41" borderId="39" xfId="0" applyFont="1" applyFill="1" applyBorder="1" applyAlignment="1" applyProtection="1">
      <alignment horizontal="left" vertical="top" wrapText="1" indent="1"/>
    </xf>
    <xf numFmtId="0" fontId="32" fillId="41" borderId="39" xfId="0" applyFont="1" applyFill="1" applyBorder="1" applyAlignment="1" applyProtection="1">
      <alignment horizontal="left" vertical="top" wrapText="1" indent="10"/>
    </xf>
    <xf numFmtId="0" fontId="32" fillId="41" borderId="39" xfId="0" applyFont="1" applyFill="1" applyBorder="1" applyAlignment="1" applyProtection="1">
      <alignment horizontal="center" vertical="top" wrapText="1"/>
    </xf>
    <xf numFmtId="0" fontId="32" fillId="41" borderId="39" xfId="0" applyFont="1" applyFill="1" applyBorder="1" applyAlignment="1" applyProtection="1">
      <alignment horizontal="left" vertical="top" wrapText="1" indent="9"/>
    </xf>
    <xf numFmtId="164" fontId="34" fillId="42" borderId="40" xfId="0" applyNumberFormat="1" applyFont="1" applyFill="1" applyBorder="1" applyAlignment="1" applyProtection="1">
      <alignment horizontal="left" vertical="top" shrinkToFit="1"/>
    </xf>
    <xf numFmtId="0" fontId="35" fillId="42" borderId="41" xfId="0" applyFont="1" applyFill="1" applyBorder="1" applyAlignment="1" applyProtection="1">
      <alignment horizontal="left" vertical="top" wrapText="1"/>
    </xf>
    <xf numFmtId="1" fontId="34" fillId="42" borderId="42" xfId="0" applyNumberFormat="1" applyFont="1" applyFill="1" applyBorder="1" applyAlignment="1" applyProtection="1">
      <alignment horizontal="center" vertical="top" shrinkToFit="1"/>
    </xf>
    <xf numFmtId="0" fontId="35" fillId="42" borderId="40" xfId="0" applyFont="1" applyFill="1" applyBorder="1" applyAlignment="1" applyProtection="1">
      <alignment horizontal="left" vertical="top" wrapText="1"/>
    </xf>
    <xf numFmtId="164" fontId="34" fillId="0" borderId="43" xfId="0" applyNumberFormat="1" applyFont="1" applyBorder="1" applyAlignment="1" applyProtection="1">
      <alignment horizontal="left" vertical="top" shrinkToFit="1"/>
    </xf>
    <xf numFmtId="0" fontId="35" fillId="0" borderId="44" xfId="0" applyFont="1" applyBorder="1" applyAlignment="1" applyProtection="1">
      <alignment horizontal="left" vertical="top" wrapText="1"/>
    </xf>
    <xf numFmtId="1" fontId="34" fillId="0" borderId="45" xfId="0" applyNumberFormat="1" applyFont="1" applyBorder="1" applyAlignment="1" applyProtection="1">
      <alignment horizontal="center" vertical="top" shrinkToFit="1"/>
    </xf>
    <xf numFmtId="0" fontId="35" fillId="0" borderId="43" xfId="0" applyFont="1" applyBorder="1" applyAlignment="1" applyProtection="1">
      <alignment horizontal="left" vertical="top" wrapText="1"/>
    </xf>
    <xf numFmtId="164" fontId="34" fillId="42" borderId="43" xfId="0" applyNumberFormat="1" applyFont="1" applyFill="1" applyBorder="1" applyAlignment="1" applyProtection="1">
      <alignment horizontal="left" vertical="top" shrinkToFit="1"/>
    </xf>
    <xf numFmtId="0" fontId="35" fillId="42" borderId="44" xfId="0" applyFont="1" applyFill="1" applyBorder="1" applyAlignment="1" applyProtection="1">
      <alignment horizontal="left" vertical="top" wrapText="1"/>
    </xf>
    <xf numFmtId="1" fontId="34" fillId="42" borderId="45" xfId="0" applyNumberFormat="1" applyFont="1" applyFill="1" applyBorder="1" applyAlignment="1" applyProtection="1">
      <alignment horizontal="center" vertical="top" shrinkToFit="1"/>
    </xf>
    <xf numFmtId="0" fontId="35" fillId="42" borderId="43" xfId="0" applyFont="1" applyFill="1" applyBorder="1" applyAlignment="1" applyProtection="1">
      <alignment horizontal="left" vertical="top" wrapText="1"/>
    </xf>
    <xf numFmtId="0" fontId="0" fillId="42" borderId="43" xfId="0" applyFill="1" applyBorder="1" applyAlignment="1" applyProtection="1">
      <alignment horizontal="left" vertical="top" wrapText="1"/>
    </xf>
    <xf numFmtId="0" fontId="0" fillId="0" borderId="43" xfId="0" applyBorder="1" applyAlignment="1" applyProtection="1">
      <alignment horizontal="left" vertical="top" wrapText="1"/>
    </xf>
    <xf numFmtId="164" fontId="34" fillId="0" borderId="43" xfId="0" applyNumberFormat="1" applyFont="1" applyBorder="1" applyAlignment="1" applyProtection="1">
      <alignment horizontal="right" vertical="top" shrinkToFit="1"/>
    </xf>
    <xf numFmtId="164" fontId="34" fillId="42" borderId="43" xfId="0" applyNumberFormat="1" applyFont="1" applyFill="1" applyBorder="1" applyAlignment="1" applyProtection="1">
      <alignment horizontal="right" vertical="top" shrinkToFit="1"/>
    </xf>
    <xf numFmtId="1" fontId="34" fillId="42" borderId="43" xfId="0" applyNumberFormat="1" applyFont="1" applyFill="1" applyBorder="1" applyAlignment="1" applyProtection="1">
      <alignment horizontal="right" vertical="top" shrinkToFit="1"/>
    </xf>
    <xf numFmtId="1" fontId="34" fillId="0" borderId="43" xfId="0" applyNumberFormat="1" applyFont="1" applyBorder="1" applyAlignment="1" applyProtection="1">
      <alignment horizontal="right" vertical="top" shrinkToFit="1"/>
    </xf>
    <xf numFmtId="0" fontId="0" fillId="42" borderId="44" xfId="0" applyFill="1" applyBorder="1" applyAlignment="1" applyProtection="1">
      <alignment horizontal="left" vertical="top" wrapText="1"/>
    </xf>
    <xf numFmtId="0" fontId="0" fillId="0" borderId="44" xfId="0" applyBorder="1" applyAlignment="1" applyProtection="1">
      <alignment horizontal="left" vertical="top" wrapText="1"/>
    </xf>
    <xf numFmtId="1" fontId="34" fillId="0" borderId="45" xfId="0" applyNumberFormat="1" applyFont="1" applyBorder="1" applyAlignment="1" applyProtection="1">
      <alignment horizontal="right" vertical="top" shrinkToFit="1"/>
    </xf>
    <xf numFmtId="1" fontId="34" fillId="42" borderId="45" xfId="0" applyNumberFormat="1" applyFont="1" applyFill="1" applyBorder="1" applyAlignment="1" applyProtection="1">
      <alignment horizontal="right" vertical="top" shrinkToFit="1"/>
    </xf>
    <xf numFmtId="0" fontId="0" fillId="42" borderId="44" xfId="0" applyFill="1" applyBorder="1" applyAlignment="1" applyProtection="1">
      <alignment horizontal="left" wrapText="1"/>
    </xf>
    <xf numFmtId="0" fontId="0" fillId="42" borderId="44" xfId="0" applyFill="1" applyBorder="1" applyAlignment="1" applyProtection="1">
      <alignment horizontal="left" vertical="center" wrapText="1"/>
    </xf>
    <xf numFmtId="0" fontId="0" fillId="0" borderId="44" xfId="0" applyBorder="1" applyAlignment="1" applyProtection="1">
      <alignment horizontal="left" wrapText="1"/>
    </xf>
    <xf numFmtId="0" fontId="35" fillId="42" borderId="46" xfId="0" applyFont="1" applyFill="1" applyBorder="1" applyAlignment="1" applyProtection="1">
      <alignment horizontal="left" vertical="top" wrapText="1"/>
    </xf>
    <xf numFmtId="0" fontId="0" fillId="42" borderId="47" xfId="0" applyFill="1" applyBorder="1" applyAlignment="1" applyProtection="1">
      <alignment horizontal="left" vertical="center" wrapText="1"/>
    </xf>
    <xf numFmtId="1" fontId="34" fillId="42" borderId="48" xfId="0" applyNumberFormat="1" applyFont="1" applyFill="1" applyBorder="1" applyAlignment="1" applyProtection="1">
      <alignment horizontal="left" vertical="top" shrinkToFit="1"/>
    </xf>
    <xf numFmtId="0" fontId="0" fillId="42" borderId="46" xfId="0" applyFill="1" applyBorder="1" applyAlignment="1" applyProtection="1">
      <alignment horizontal="left" vertical="top" wrapText="1"/>
    </xf>
  </cellXfs>
  <cellStyles count="9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51" xr:uid="{C37BEE22-09F0-4C60-9636-534A53D3E6E3}"/>
    <cellStyle name="Normal 11" xfId="52" xr:uid="{421A9881-BE64-4DCC-A7BB-CFBB6EA4B5C7}"/>
    <cellStyle name="Normal 12" xfId="53" xr:uid="{BABB97A7-A070-4359-AA28-001E25F280DA}"/>
    <cellStyle name="Normal 13" xfId="54" xr:uid="{98661AE4-C778-4E42-B5A9-E3A73F6A1DC9}"/>
    <cellStyle name="Normal 16" xfId="55" xr:uid="{4FA5C94B-1893-4938-8892-04F859C8C08A}"/>
    <cellStyle name="Normal 17" xfId="56" xr:uid="{649ACB0C-671C-40E8-B091-4B748DFE036F}"/>
    <cellStyle name="Normal 2" xfId="43" xr:uid="{36AFE388-5B93-46B7-BE0E-1561ED0B6A1A}"/>
    <cellStyle name="Normal 20" xfId="57" xr:uid="{FF0A9EC6-CF6F-47B7-8D32-040AF5B55CA0}"/>
    <cellStyle name="Normal 21" xfId="58" xr:uid="{1E19643E-796F-4F7B-B460-DB73E02EA35C}"/>
    <cellStyle name="Normal 22" xfId="59" xr:uid="{BFB71921-14A9-4A4F-85F9-38D8B819626A}"/>
    <cellStyle name="Normal 23" xfId="60" xr:uid="{6E063291-0A1F-4CDA-BF8B-77EF88091D89}"/>
    <cellStyle name="Normal 24" xfId="61" xr:uid="{B888A4B3-D2C6-4D02-9F9D-52AA1B718F1C}"/>
    <cellStyle name="Normal 25" xfId="62" xr:uid="{0F8646F2-D4FA-4C1C-A392-CEDE6ABDBFC6}"/>
    <cellStyle name="Normal 26" xfId="63" xr:uid="{4E914E1C-384C-4ED8-9354-A27C627B02BC}"/>
    <cellStyle name="Normal 28" xfId="64" xr:uid="{81FA7B34-6B8F-4665-B15E-7FE7545E826F}"/>
    <cellStyle name="Normal 29" xfId="65" xr:uid="{2B70E9B5-656D-4BE5-9E64-F71F82783714}"/>
    <cellStyle name="Normal 3" xfId="44" xr:uid="{ABFE8AC3-0742-4121-B576-0B39443A44B6}"/>
    <cellStyle name="Normal 30" xfId="66" xr:uid="{FC3C9C1E-FB1E-4453-B0B7-5878BF842EB7}"/>
    <cellStyle name="Normal 32" xfId="67" xr:uid="{620DAB77-1045-4384-BF3E-1D53AF8F6DC4}"/>
    <cellStyle name="Normal 33" xfId="68" xr:uid="{E9ED51DC-696E-4EB4-8682-E78952CB1A96}"/>
    <cellStyle name="Normal 34" xfId="69" xr:uid="{BE3C2E0C-F30C-4045-BD07-90FA34552B84}"/>
    <cellStyle name="Normal 35" xfId="70" xr:uid="{3DBDEDA3-E15A-493F-8045-15EC21FC8009}"/>
    <cellStyle name="Normal 36" xfId="71" xr:uid="{C429115D-4B8A-4187-BB29-CE229233CDC0}"/>
    <cellStyle name="Normal 38" xfId="72" xr:uid="{86B9BCA6-FCC9-4245-817B-7E070D3C3F21}"/>
    <cellStyle name="Normal 39" xfId="74" xr:uid="{F355776E-5276-4A71-85F9-39555A6A085A}"/>
    <cellStyle name="Normal 4" xfId="45" xr:uid="{2D588B8D-1978-4973-99A9-6ED129CD1FFD}"/>
    <cellStyle name="Normal 40" xfId="75" xr:uid="{DE6F1111-B0EB-45AB-943D-E49DF1F2572F}"/>
    <cellStyle name="Normal 41" xfId="76" xr:uid="{E0706171-FB5D-464E-B347-0800EBFB3D61}"/>
    <cellStyle name="Normal 42" xfId="77" xr:uid="{5C5F4E8D-376A-4C4C-87B2-A0230B1EFE38}"/>
    <cellStyle name="Normal 43" xfId="79" xr:uid="{2EE91163-BA02-460D-B327-7D74F34EF767}"/>
    <cellStyle name="Normal 44" xfId="78" xr:uid="{BB8ABA94-B0E9-4DF8-A88E-09DECAD6C443}"/>
    <cellStyle name="Normal 47" xfId="80" xr:uid="{ABFBEA6A-0B92-440D-A04B-98BE851FA8BC}"/>
    <cellStyle name="Normal 48" xfId="81" xr:uid="{1E1D07D9-B94C-459D-9C70-6C62FA002BFD}"/>
    <cellStyle name="Normal 49" xfId="82" xr:uid="{C67CF47B-3952-467C-ACDD-E7C14C586971}"/>
    <cellStyle name="Normal 5" xfId="46" xr:uid="{999D0236-0AFA-459C-8AD6-AD452B022EE3}"/>
    <cellStyle name="Normal 50" xfId="83" xr:uid="{5CDFC3E4-2342-4A05-A979-5835A81B3303}"/>
    <cellStyle name="Normal 51" xfId="84" xr:uid="{A40F6C87-C376-4320-8E87-028878BBBF66}"/>
    <cellStyle name="Normal 52" xfId="85" xr:uid="{B08C15B1-F643-4D11-A207-85911A7A2B0E}"/>
    <cellStyle name="Normal 55" xfId="89" xr:uid="{8D143F7B-8F88-4F05-9B05-FEF32DB0806E}"/>
    <cellStyle name="Normal 56" xfId="90" xr:uid="{8AF8B987-291B-44DD-9997-8EA931426C41}"/>
    <cellStyle name="Normal 57" xfId="73" xr:uid="{95B8C7D6-1E05-44EC-BFE6-D40E5D5E4CFB}"/>
    <cellStyle name="Normal 6" xfId="47" xr:uid="{09736E0E-3C51-4788-AA31-377AFA89F694}"/>
    <cellStyle name="Normal 62" xfId="87" xr:uid="{5C3F771C-71F8-4383-B8A3-6BA49C114310}"/>
    <cellStyle name="Normal 65" xfId="86" xr:uid="{F0F841BC-E963-4430-A0C5-1E0587B98B26}"/>
    <cellStyle name="Normal 66" xfId="88" xr:uid="{71E08A0D-A2BF-4133-8FA4-5685A6A52BA1}"/>
    <cellStyle name="Normal 7" xfId="48" xr:uid="{C8876CFE-D622-4D91-AACB-307AA40BD6CE}"/>
    <cellStyle name="Normal 8" xfId="49" xr:uid="{82232073-BD71-45FE-8899-C4D48CF0E7B6}"/>
    <cellStyle name="Normal 9" xfId="50" xr:uid="{8EA257D7-3947-45E9-A493-18A7E56A49CF}"/>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2">
    <dxf>
      <fill>
        <patternFill>
          <bgColor theme="0"/>
        </patternFill>
      </fill>
    </dxf>
    <dxf>
      <numFmt numFmtId="168" formatCode="0.0E+00"/>
    </dxf>
    <dxf>
      <numFmt numFmtId="4" formatCode="#,##0.00"/>
    </dxf>
    <dxf>
      <numFmt numFmtId="169" formatCode="#,##0.0"/>
    </dxf>
    <dxf>
      <numFmt numFmtId="3" formatCode="#,##0"/>
    </dxf>
    <dxf>
      <numFmt numFmtId="168" formatCode="0.0E+00"/>
    </dxf>
    <dxf>
      <fill>
        <patternFill>
          <bgColor theme="0"/>
        </patternFill>
      </fill>
    </dxf>
    <dxf>
      <numFmt numFmtId="168" formatCode="0.0E+00"/>
    </dxf>
    <dxf>
      <numFmt numFmtId="4" formatCode="#,##0.00"/>
    </dxf>
    <dxf>
      <numFmt numFmtId="169" formatCode="#,##0.0"/>
    </dxf>
    <dxf>
      <numFmt numFmtId="3" formatCode="#,##0"/>
    </dxf>
    <dxf>
      <numFmt numFmtId="168" formatCode="0.0E+00"/>
    </dxf>
  </dxfs>
  <tableStyles count="0" defaultTableStyle="TableStyleMedium2" defaultPivotStyle="PivotStyleLight16"/>
  <colors>
    <mruColors>
      <color rgb="FF5B9BD5"/>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3079750</xdr:colOff>
          <xdr:row>9</xdr:row>
          <xdr:rowOff>127000</xdr:rowOff>
        </xdr:from>
        <xdr:to>
          <xdr:col>0</xdr:col>
          <xdr:colOff>4870450</xdr:colOff>
          <xdr:row>19</xdr:row>
          <xdr:rowOff>69850</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C6F5A-9D1F-4777-B7A4-29F8D82AFDC2}">
  <sheetPr codeName="Sheet1"/>
  <dimension ref="A1:E23"/>
  <sheetViews>
    <sheetView showGridLines="0" tabSelected="1" zoomScaleNormal="100" workbookViewId="0"/>
  </sheetViews>
  <sheetFormatPr defaultRowHeight="14.5" x14ac:dyDescent="0.35"/>
  <cols>
    <col min="1" max="1" width="112.7265625" style="11" customWidth="1"/>
    <col min="2" max="16384" width="8.7265625" style="11"/>
  </cols>
  <sheetData>
    <row r="1" spans="1:5" x14ac:dyDescent="0.35">
      <c r="A1" s="10" t="s">
        <v>5177</v>
      </c>
    </row>
    <row r="2" spans="1:5" x14ac:dyDescent="0.35">
      <c r="A2" s="10" t="s">
        <v>5180</v>
      </c>
    </row>
    <row r="5" spans="1:5" ht="50.5" customHeight="1" x14ac:dyDescent="0.35">
      <c r="A5" s="12" t="s">
        <v>5181</v>
      </c>
      <c r="B5" s="12"/>
      <c r="C5" s="12"/>
      <c r="D5" s="12"/>
      <c r="E5" s="12"/>
    </row>
    <row r="6" spans="1:5" x14ac:dyDescent="0.35">
      <c r="A6" s="13"/>
    </row>
    <row r="7" spans="1:5" ht="17.5" x14ac:dyDescent="0.35">
      <c r="A7" s="14" t="s">
        <v>5182</v>
      </c>
    </row>
    <row r="8" spans="1:5" ht="15.5" x14ac:dyDescent="0.35">
      <c r="A8" s="15"/>
    </row>
    <row r="9" spans="1:5" x14ac:dyDescent="0.35">
      <c r="A9" s="13"/>
    </row>
    <row r="10" spans="1:5" x14ac:dyDescent="0.35">
      <c r="A10" s="13"/>
    </row>
    <row r="11" spans="1:5" x14ac:dyDescent="0.35">
      <c r="A11" s="13"/>
    </row>
    <row r="12" spans="1:5" x14ac:dyDescent="0.35">
      <c r="A12" s="13"/>
    </row>
    <row r="13" spans="1:5" x14ac:dyDescent="0.35">
      <c r="A13" s="13"/>
    </row>
    <row r="14" spans="1:5" x14ac:dyDescent="0.35">
      <c r="A14" s="13"/>
    </row>
    <row r="17" spans="1:1" ht="15.5" x14ac:dyDescent="0.35">
      <c r="A17" s="16"/>
    </row>
    <row r="22" spans="1:1" ht="15.5" x14ac:dyDescent="0.35">
      <c r="A22" s="17"/>
    </row>
    <row r="23" spans="1:1" ht="15.5" x14ac:dyDescent="0.35">
      <c r="A23" s="17" t="s">
        <v>5178</v>
      </c>
    </row>
  </sheetData>
  <sheetProtection sheet="1" objects="1" scenarios="1" formatCells="0" formatColumns="0" formatRows="0" sort="0" autoFilter="0"/>
  <pageMargins left="0.7" right="0.7" top="0.75" bottom="0.75" header="0.3" footer="0.3"/>
  <pageSetup orientation="portrait" r:id="rId1"/>
  <drawing r:id="rId2"/>
  <legacyDrawing r:id="rId3"/>
  <oleObjects>
    <mc:AlternateContent xmlns:mc="http://schemas.openxmlformats.org/markup-compatibility/2006">
      <mc:Choice Requires="x14">
        <oleObject progId="PBrush" shapeId="28673" r:id="rId4">
          <objectPr defaultSize="0" autoPict="0" r:id="rId5">
            <anchor moveWithCells="1" sizeWithCells="1">
              <from>
                <xdr:col>0</xdr:col>
                <xdr:colOff>3079750</xdr:colOff>
                <xdr:row>9</xdr:row>
                <xdr:rowOff>127000</xdr:rowOff>
              </from>
              <to>
                <xdr:col>0</xdr:col>
                <xdr:colOff>4870450</xdr:colOff>
                <xdr:row>19</xdr:row>
                <xdr:rowOff>69850</xdr:rowOff>
              </to>
            </anchor>
          </objectPr>
        </oleObject>
      </mc:Choice>
      <mc:Fallback>
        <oleObject progId="PBrush" shapeId="286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FBDDF-04D5-478F-92FA-5209FFD5A596}">
  <sheetPr codeName="Sheet10">
    <tabColor theme="9"/>
  </sheetPr>
  <dimension ref="A1:AB986"/>
  <sheetViews>
    <sheetView workbookViewId="0">
      <pane ySplit="1" topLeftCell="A2" activePane="bottomLeft" state="frozen"/>
      <selection pane="bottomLeft"/>
    </sheetView>
  </sheetViews>
  <sheetFormatPr defaultRowHeight="14.5" x14ac:dyDescent="0.35"/>
  <cols>
    <col min="1" max="1" width="8.7265625" style="11"/>
    <col min="2" max="2" width="13.81640625" style="11" customWidth="1"/>
    <col min="3" max="3" width="19.453125" style="11" bestFit="1" customWidth="1"/>
    <col min="4" max="4" width="66.453125" style="11" customWidth="1"/>
    <col min="5" max="6" width="8.7265625" style="11"/>
    <col min="7" max="7" width="14.54296875" style="11" customWidth="1"/>
    <col min="8" max="9" width="8.7265625" style="11"/>
    <col min="10" max="10" width="9.1796875" style="175"/>
    <col min="11" max="11" width="11.1796875" style="163" customWidth="1"/>
    <col min="12" max="12" width="39.7265625" style="176" customWidth="1"/>
    <col min="13" max="13" width="7.6328125" style="176" customWidth="1"/>
    <col min="14" max="14" width="10.54296875" style="11" customWidth="1"/>
    <col min="15" max="15" width="12.453125" style="11" customWidth="1"/>
    <col min="16" max="16" width="13.1796875" style="11" bestFit="1" customWidth="1"/>
    <col min="17" max="17" width="15.7265625" style="11" customWidth="1"/>
    <col min="18" max="18" width="8.7265625" style="11"/>
    <col min="19" max="19" width="13.26953125" style="11" customWidth="1"/>
    <col min="20" max="20" width="13.1796875" style="163" customWidth="1"/>
    <col min="21" max="22" width="40.26953125" style="39" customWidth="1"/>
    <col min="23" max="23" width="23.7265625" style="39" customWidth="1"/>
    <col min="24" max="24" width="44.54296875" style="39" customWidth="1"/>
    <col min="25" max="25" width="36.81640625" style="11" bestFit="1" customWidth="1"/>
    <col min="26" max="26" width="26.453125" style="11" bestFit="1" customWidth="1"/>
    <col min="27" max="27" width="77.453125" style="11" bestFit="1" customWidth="1"/>
    <col min="28" max="28" width="31" style="11" bestFit="1" customWidth="1"/>
    <col min="29" max="16384" width="8.7265625" style="11"/>
  </cols>
  <sheetData>
    <row r="1" spans="1:28" ht="58.5" customHeight="1" x14ac:dyDescent="0.35">
      <c r="A1" s="167" t="s">
        <v>1808</v>
      </c>
      <c r="B1" s="167" t="s">
        <v>1798</v>
      </c>
      <c r="C1" s="167" t="s">
        <v>1806</v>
      </c>
      <c r="D1" s="167" t="s">
        <v>1799</v>
      </c>
      <c r="E1" s="167" t="s">
        <v>1800</v>
      </c>
      <c r="F1" s="167" t="s">
        <v>1801</v>
      </c>
      <c r="G1" s="167" t="s">
        <v>1921</v>
      </c>
      <c r="H1" s="167" t="s">
        <v>1802</v>
      </c>
      <c r="I1" s="167" t="s">
        <v>1803</v>
      </c>
      <c r="J1" s="168" t="s">
        <v>1922</v>
      </c>
      <c r="K1" s="169" t="s">
        <v>1809</v>
      </c>
      <c r="L1" s="168" t="s">
        <v>1810</v>
      </c>
      <c r="M1" s="168" t="s">
        <v>1923</v>
      </c>
      <c r="N1" s="167" t="s">
        <v>1804</v>
      </c>
      <c r="O1" s="167" t="s">
        <v>1805</v>
      </c>
      <c r="P1" s="167" t="s">
        <v>1807</v>
      </c>
      <c r="Q1" s="167" t="s">
        <v>1924</v>
      </c>
      <c r="R1" s="167" t="s">
        <v>1925</v>
      </c>
      <c r="S1" s="167" t="s">
        <v>1926</v>
      </c>
      <c r="T1" s="169" t="s">
        <v>1927</v>
      </c>
      <c r="U1" s="170" t="s">
        <v>1928</v>
      </c>
      <c r="V1" s="171" t="s">
        <v>1929</v>
      </c>
      <c r="W1" s="171" t="s">
        <v>1811</v>
      </c>
      <c r="X1" s="172" t="s">
        <v>1812</v>
      </c>
      <c r="Y1" s="173" t="s">
        <v>1813</v>
      </c>
      <c r="Z1" s="173" t="s">
        <v>1814</v>
      </c>
      <c r="AA1" s="173" t="s">
        <v>1815</v>
      </c>
      <c r="AB1" s="174" t="s">
        <v>1816</v>
      </c>
    </row>
    <row r="2" spans="1:28" ht="29" x14ac:dyDescent="0.35">
      <c r="A2" s="11" t="s">
        <v>1790</v>
      </c>
      <c r="B2" s="11">
        <v>2019</v>
      </c>
      <c r="C2" s="11" t="s">
        <v>1900</v>
      </c>
      <c r="D2" s="11" t="s">
        <v>1898</v>
      </c>
      <c r="E2" s="11" t="s">
        <v>1899</v>
      </c>
      <c r="F2" s="11" t="s">
        <v>209</v>
      </c>
      <c r="G2" s="11" t="s">
        <v>1930</v>
      </c>
      <c r="H2" s="11" t="s">
        <v>91</v>
      </c>
      <c r="I2" s="11">
        <v>70734</v>
      </c>
      <c r="J2" s="175">
        <v>6</v>
      </c>
      <c r="K2" s="11">
        <v>325211</v>
      </c>
      <c r="L2" s="176" t="s">
        <v>1787</v>
      </c>
      <c r="M2" s="176" t="s">
        <v>1931</v>
      </c>
      <c r="N2" s="11">
        <v>30.208604000000001</v>
      </c>
      <c r="O2" s="11">
        <v>-91.011127999999999</v>
      </c>
      <c r="P2" s="163">
        <v>110000746328</v>
      </c>
      <c r="Q2" s="163">
        <v>1319217950652</v>
      </c>
      <c r="R2" s="11" t="s">
        <v>1932</v>
      </c>
      <c r="S2" s="11" t="s">
        <v>1933</v>
      </c>
      <c r="T2" s="163">
        <v>3</v>
      </c>
      <c r="U2" s="176" t="s">
        <v>1934</v>
      </c>
      <c r="V2" s="176"/>
      <c r="W2" s="176"/>
      <c r="X2" s="176"/>
      <c r="Y2" s="11">
        <v>0</v>
      </c>
      <c r="Z2" s="11">
        <v>0</v>
      </c>
      <c r="AA2" s="11">
        <v>0</v>
      </c>
      <c r="AB2" s="11">
        <f t="shared" ref="AB2:AB65" si="0">SUM(Y2+Z2+AA2)</f>
        <v>0</v>
      </c>
    </row>
    <row r="3" spans="1:28" ht="29" x14ac:dyDescent="0.35">
      <c r="A3" s="11" t="s">
        <v>1790</v>
      </c>
      <c r="B3" s="11">
        <v>2019</v>
      </c>
      <c r="C3" s="11" t="s">
        <v>1857</v>
      </c>
      <c r="D3" s="11" t="s">
        <v>1854</v>
      </c>
      <c r="E3" s="11" t="s">
        <v>1855</v>
      </c>
      <c r="F3" s="11" t="s">
        <v>1856</v>
      </c>
      <c r="G3" s="11" t="s">
        <v>1935</v>
      </c>
      <c r="H3" s="11" t="s">
        <v>458</v>
      </c>
      <c r="I3" s="11">
        <v>43920</v>
      </c>
      <c r="J3" s="175">
        <v>5</v>
      </c>
      <c r="K3" s="11">
        <v>562213</v>
      </c>
      <c r="L3" s="176" t="s">
        <v>1858</v>
      </c>
      <c r="M3" s="176" t="s">
        <v>1931</v>
      </c>
      <c r="N3" s="11">
        <v>40.631622</v>
      </c>
      <c r="O3" s="11">
        <v>-80.546319999999994</v>
      </c>
      <c r="P3" s="163">
        <v>110027242320</v>
      </c>
      <c r="Q3" s="163">
        <v>1319217973876</v>
      </c>
      <c r="R3" s="11" t="s">
        <v>1932</v>
      </c>
      <c r="S3" s="11" t="s">
        <v>1933</v>
      </c>
      <c r="T3" s="177">
        <v>4</v>
      </c>
      <c r="U3" s="176" t="s">
        <v>1936</v>
      </c>
      <c r="V3" s="176"/>
      <c r="W3" s="176"/>
      <c r="X3" s="176"/>
      <c r="Y3" s="11">
        <v>0</v>
      </c>
      <c r="Z3" s="11">
        <v>0</v>
      </c>
      <c r="AA3" s="11">
        <v>0</v>
      </c>
      <c r="AB3" s="11">
        <f t="shared" si="0"/>
        <v>0</v>
      </c>
    </row>
    <row r="4" spans="1:28" ht="29" x14ac:dyDescent="0.35">
      <c r="A4" s="11" t="s">
        <v>1790</v>
      </c>
      <c r="B4" s="11">
        <v>2019</v>
      </c>
      <c r="C4" s="11" t="s">
        <v>1834</v>
      </c>
      <c r="D4" s="11" t="s">
        <v>1832</v>
      </c>
      <c r="E4" s="11" t="s">
        <v>1833</v>
      </c>
      <c r="F4" s="11" t="s">
        <v>1423</v>
      </c>
      <c r="G4" s="11" t="s">
        <v>1937</v>
      </c>
      <c r="H4" s="11" t="s">
        <v>102</v>
      </c>
      <c r="I4" s="11">
        <v>94621</v>
      </c>
      <c r="J4" s="175">
        <v>9</v>
      </c>
      <c r="K4" s="11">
        <v>325611</v>
      </c>
      <c r="L4" s="176" t="s">
        <v>1835</v>
      </c>
      <c r="M4" s="176" t="s">
        <v>1931</v>
      </c>
      <c r="N4" s="11">
        <v>37.756169999999997</v>
      </c>
      <c r="O4" s="11">
        <v>-122.20350999999999</v>
      </c>
      <c r="P4" s="163">
        <v>110010488150</v>
      </c>
      <c r="Q4" s="163">
        <v>1319218000836</v>
      </c>
      <c r="R4" s="11" t="s">
        <v>1932</v>
      </c>
      <c r="S4" s="11" t="s">
        <v>1933</v>
      </c>
      <c r="T4" s="177">
        <v>3</v>
      </c>
      <c r="U4" s="176" t="s">
        <v>1938</v>
      </c>
      <c r="V4" s="176"/>
      <c r="W4" s="176"/>
      <c r="X4" s="176"/>
      <c r="Y4" s="11">
        <v>0</v>
      </c>
      <c r="Z4" s="11">
        <v>0</v>
      </c>
      <c r="AA4" s="11">
        <v>0</v>
      </c>
      <c r="AB4" s="11">
        <f t="shared" si="0"/>
        <v>0</v>
      </c>
    </row>
    <row r="5" spans="1:28" ht="29" x14ac:dyDescent="0.35">
      <c r="A5" s="11" t="s">
        <v>1790</v>
      </c>
      <c r="B5" s="11">
        <v>2019</v>
      </c>
      <c r="C5" s="11" t="s">
        <v>1894</v>
      </c>
      <c r="D5" s="11" t="s">
        <v>1892</v>
      </c>
      <c r="E5" s="11" t="s">
        <v>1893</v>
      </c>
      <c r="F5" s="11" t="s">
        <v>90</v>
      </c>
      <c r="G5" s="11" t="s">
        <v>1939</v>
      </c>
      <c r="H5" s="11" t="s">
        <v>91</v>
      </c>
      <c r="I5" s="11">
        <v>70669</v>
      </c>
      <c r="J5" s="175">
        <v>6</v>
      </c>
      <c r="K5" s="11">
        <v>325110</v>
      </c>
      <c r="L5" s="176" t="s">
        <v>1895</v>
      </c>
      <c r="M5" s="176" t="s">
        <v>1931</v>
      </c>
      <c r="N5" s="11">
        <v>30.252222</v>
      </c>
      <c r="O5" s="11">
        <v>-93.284443999999993</v>
      </c>
      <c r="P5" s="163">
        <v>110002054482</v>
      </c>
      <c r="Q5" s="163">
        <v>1319218044168</v>
      </c>
      <c r="R5" s="11" t="s">
        <v>1932</v>
      </c>
      <c r="S5" s="11" t="s">
        <v>1933</v>
      </c>
      <c r="T5" s="177">
        <v>3</v>
      </c>
      <c r="U5" s="176" t="s">
        <v>1940</v>
      </c>
      <c r="V5" s="176"/>
      <c r="W5" s="176"/>
      <c r="X5" s="176"/>
      <c r="Y5" s="11">
        <v>0</v>
      </c>
      <c r="Z5" s="11">
        <v>0</v>
      </c>
      <c r="AA5" s="11">
        <v>0</v>
      </c>
      <c r="AB5" s="11">
        <f t="shared" si="0"/>
        <v>0</v>
      </c>
    </row>
    <row r="6" spans="1:28" ht="29" x14ac:dyDescent="0.35">
      <c r="A6" s="11" t="s">
        <v>1790</v>
      </c>
      <c r="B6" s="11">
        <v>2019</v>
      </c>
      <c r="C6" s="11" t="s">
        <v>1852</v>
      </c>
      <c r="D6" s="11" t="s">
        <v>1849</v>
      </c>
      <c r="E6" s="11" t="s">
        <v>1850</v>
      </c>
      <c r="F6" s="11" t="s">
        <v>1851</v>
      </c>
      <c r="G6" s="11" t="s">
        <v>1941</v>
      </c>
      <c r="H6" s="11" t="s">
        <v>194</v>
      </c>
      <c r="I6" s="11">
        <v>29448</v>
      </c>
      <c r="J6" s="175">
        <v>4</v>
      </c>
      <c r="K6" s="11">
        <v>327310</v>
      </c>
      <c r="L6" s="176" t="s">
        <v>1853</v>
      </c>
      <c r="M6" s="176" t="s">
        <v>1931</v>
      </c>
      <c r="N6" s="11">
        <v>33.242778000000001</v>
      </c>
      <c r="O6" s="11">
        <v>-80.442222000000001</v>
      </c>
      <c r="P6" s="163">
        <v>110000560544</v>
      </c>
      <c r="Q6" s="163">
        <v>1319218048371</v>
      </c>
      <c r="R6" s="11" t="s">
        <v>1932</v>
      </c>
      <c r="S6" s="11" t="s">
        <v>1933</v>
      </c>
      <c r="T6" s="177">
        <v>2</v>
      </c>
      <c r="U6" s="176" t="s">
        <v>1942</v>
      </c>
      <c r="V6" s="176"/>
      <c r="W6" s="176"/>
      <c r="X6" s="176"/>
      <c r="Y6" s="11">
        <v>0</v>
      </c>
      <c r="Z6" s="11">
        <v>0</v>
      </c>
      <c r="AA6" s="11">
        <v>0</v>
      </c>
      <c r="AB6" s="11">
        <f t="shared" si="0"/>
        <v>0</v>
      </c>
    </row>
    <row r="7" spans="1:28" ht="29" x14ac:dyDescent="0.35">
      <c r="A7" s="11" t="s">
        <v>1790</v>
      </c>
      <c r="B7" s="11">
        <v>2019</v>
      </c>
      <c r="C7" s="11" t="s">
        <v>1883</v>
      </c>
      <c r="D7" s="11" t="s">
        <v>1880</v>
      </c>
      <c r="E7" s="11" t="s">
        <v>1881</v>
      </c>
      <c r="F7" s="11" t="s">
        <v>1882</v>
      </c>
      <c r="G7" s="11" t="s">
        <v>1943</v>
      </c>
      <c r="H7" s="11" t="s">
        <v>458</v>
      </c>
      <c r="I7" s="11">
        <v>44044</v>
      </c>
      <c r="J7" s="175">
        <v>5</v>
      </c>
      <c r="K7" s="11">
        <v>562211</v>
      </c>
      <c r="L7" s="176" t="s">
        <v>1839</v>
      </c>
      <c r="M7" s="176" t="s">
        <v>1931</v>
      </c>
      <c r="N7" s="11">
        <v>41.324167000000003</v>
      </c>
      <c r="O7" s="11">
        <v>-82.034722000000002</v>
      </c>
      <c r="P7" s="163">
        <v>110000385592</v>
      </c>
      <c r="Q7" s="163">
        <v>1319218229209</v>
      </c>
      <c r="R7" s="11" t="s">
        <v>1932</v>
      </c>
      <c r="S7" s="11" t="s">
        <v>1933</v>
      </c>
      <c r="T7" s="177">
        <v>3</v>
      </c>
      <c r="U7" s="176" t="s">
        <v>1944</v>
      </c>
      <c r="V7" s="176"/>
      <c r="W7" s="176"/>
      <c r="X7" s="176"/>
      <c r="Y7" s="11">
        <v>0</v>
      </c>
      <c r="Z7" s="11">
        <v>0</v>
      </c>
      <c r="AA7" s="11">
        <v>0</v>
      </c>
      <c r="AB7" s="11">
        <f t="shared" si="0"/>
        <v>0</v>
      </c>
    </row>
    <row r="8" spans="1:28" ht="29" x14ac:dyDescent="0.35">
      <c r="A8" s="11" t="s">
        <v>1790</v>
      </c>
      <c r="B8" s="11">
        <v>2019</v>
      </c>
      <c r="C8" s="11" t="s">
        <v>1897</v>
      </c>
      <c r="D8" s="11" t="s">
        <v>1892</v>
      </c>
      <c r="E8" s="11" t="s">
        <v>1896</v>
      </c>
      <c r="F8" s="11" t="s">
        <v>1886</v>
      </c>
      <c r="G8" s="11" t="s">
        <v>1945</v>
      </c>
      <c r="H8" s="11" t="s">
        <v>91</v>
      </c>
      <c r="I8" s="11">
        <v>70764</v>
      </c>
      <c r="J8" s="175">
        <v>6</v>
      </c>
      <c r="K8" s="11">
        <v>325211</v>
      </c>
      <c r="L8" s="176" t="s">
        <v>1787</v>
      </c>
      <c r="M8" s="176" t="s">
        <v>1931</v>
      </c>
      <c r="N8" s="11">
        <v>30.262255</v>
      </c>
      <c r="O8" s="11">
        <v>-91.185837000000006</v>
      </c>
      <c r="P8" s="163">
        <v>110000613747</v>
      </c>
      <c r="Q8" s="163">
        <v>1319218291134</v>
      </c>
      <c r="R8" s="11" t="s">
        <v>1932</v>
      </c>
      <c r="S8" s="11" t="s">
        <v>1933</v>
      </c>
      <c r="T8" s="177">
        <v>5</v>
      </c>
      <c r="U8" s="176" t="s">
        <v>1940</v>
      </c>
      <c r="V8" s="176"/>
      <c r="W8" s="176"/>
      <c r="X8" s="176"/>
      <c r="Y8" s="11">
        <v>0</v>
      </c>
      <c r="Z8" s="11">
        <v>0</v>
      </c>
      <c r="AA8" s="11">
        <v>0</v>
      </c>
      <c r="AB8" s="11">
        <f t="shared" si="0"/>
        <v>0</v>
      </c>
    </row>
    <row r="9" spans="1:28" ht="58" x14ac:dyDescent="0.35">
      <c r="A9" s="11" t="s">
        <v>1790</v>
      </c>
      <c r="B9" s="11">
        <v>2019</v>
      </c>
      <c r="C9" s="11" t="s">
        <v>1879</v>
      </c>
      <c r="D9" s="11" t="s">
        <v>1877</v>
      </c>
      <c r="E9" s="11" t="s">
        <v>1878</v>
      </c>
      <c r="F9" s="11" t="s">
        <v>421</v>
      </c>
      <c r="G9" s="11" t="s">
        <v>747</v>
      </c>
      <c r="H9" s="11" t="s">
        <v>95</v>
      </c>
      <c r="I9" s="11">
        <v>77571</v>
      </c>
      <c r="J9" s="175">
        <v>6</v>
      </c>
      <c r="K9" s="11">
        <v>325199</v>
      </c>
      <c r="L9" s="176" t="s">
        <v>873</v>
      </c>
      <c r="M9" s="176" t="s">
        <v>1931</v>
      </c>
      <c r="N9" s="11">
        <v>29.723700000000001</v>
      </c>
      <c r="O9" s="11">
        <v>-95.074079999999995</v>
      </c>
      <c r="P9" s="163">
        <v>110017769734</v>
      </c>
      <c r="Q9" s="163">
        <v>1319218296059</v>
      </c>
      <c r="R9" s="11" t="s">
        <v>1932</v>
      </c>
      <c r="S9" s="11" t="s">
        <v>1933</v>
      </c>
      <c r="T9" s="177">
        <v>4</v>
      </c>
      <c r="U9" s="176" t="s">
        <v>1946</v>
      </c>
      <c r="V9" s="176"/>
      <c r="W9" s="176"/>
      <c r="X9" s="176"/>
      <c r="Y9" s="11">
        <v>0</v>
      </c>
      <c r="Z9" s="11">
        <v>0</v>
      </c>
      <c r="AA9" s="11">
        <v>0</v>
      </c>
      <c r="AB9" s="11">
        <f t="shared" si="0"/>
        <v>0</v>
      </c>
    </row>
    <row r="10" spans="1:28" ht="72.5" x14ac:dyDescent="0.35">
      <c r="A10" s="11" t="s">
        <v>1790</v>
      </c>
      <c r="B10" s="11">
        <v>2019</v>
      </c>
      <c r="C10" s="11" t="s">
        <v>99</v>
      </c>
      <c r="D10" s="11" t="s">
        <v>97</v>
      </c>
      <c r="E10" s="11" t="s">
        <v>1789</v>
      </c>
      <c r="F10" s="11" t="s">
        <v>98</v>
      </c>
      <c r="G10" s="11" t="s">
        <v>1695</v>
      </c>
      <c r="H10" s="11" t="s">
        <v>95</v>
      </c>
      <c r="I10" s="11">
        <v>77541</v>
      </c>
      <c r="J10" s="175">
        <v>6</v>
      </c>
      <c r="K10" s="11">
        <v>325199</v>
      </c>
      <c r="L10" s="176" t="s">
        <v>873</v>
      </c>
      <c r="M10" s="176" t="s">
        <v>1931</v>
      </c>
      <c r="N10" s="11">
        <v>28.969389</v>
      </c>
      <c r="O10" s="11">
        <v>-95.379527999999993</v>
      </c>
      <c r="P10" s="163">
        <v>110066943605</v>
      </c>
      <c r="Q10" s="163">
        <v>1319218302750</v>
      </c>
      <c r="R10" s="11" t="s">
        <v>1932</v>
      </c>
      <c r="S10" s="11" t="s">
        <v>1933</v>
      </c>
      <c r="T10" s="163">
        <v>5</v>
      </c>
      <c r="U10" s="176" t="s">
        <v>1947</v>
      </c>
      <c r="V10" s="176"/>
      <c r="W10" s="176"/>
      <c r="X10" s="176"/>
      <c r="Y10" s="11">
        <v>0</v>
      </c>
      <c r="Z10" s="11">
        <v>0</v>
      </c>
      <c r="AA10" s="11">
        <v>81</v>
      </c>
      <c r="AB10" s="11">
        <f t="shared" si="0"/>
        <v>81</v>
      </c>
    </row>
    <row r="11" spans="1:28" ht="43.5" x14ac:dyDescent="0.35">
      <c r="A11" s="11" t="s">
        <v>1790</v>
      </c>
      <c r="B11" s="11">
        <v>2019</v>
      </c>
      <c r="C11" s="11" t="s">
        <v>1903</v>
      </c>
      <c r="D11" s="11" t="s">
        <v>1901</v>
      </c>
      <c r="E11" s="11" t="s">
        <v>1902</v>
      </c>
      <c r="F11" s="11" t="s">
        <v>169</v>
      </c>
      <c r="G11" s="11" t="s">
        <v>1077</v>
      </c>
      <c r="H11" s="11" t="s">
        <v>108</v>
      </c>
      <c r="I11" s="11">
        <v>42029</v>
      </c>
      <c r="J11" s="175">
        <v>4</v>
      </c>
      <c r="K11" s="11">
        <v>325199</v>
      </c>
      <c r="L11" s="176" t="s">
        <v>873</v>
      </c>
      <c r="M11" s="176" t="s">
        <v>1931</v>
      </c>
      <c r="N11" s="11">
        <v>37.051110999999999</v>
      </c>
      <c r="O11" s="11">
        <v>-88.334166999999994</v>
      </c>
      <c r="P11" s="163">
        <v>110027373072</v>
      </c>
      <c r="Q11" s="163">
        <v>1319218329302</v>
      </c>
      <c r="R11" s="11" t="s">
        <v>1932</v>
      </c>
      <c r="S11" s="11" t="s">
        <v>1933</v>
      </c>
      <c r="T11" s="177">
        <v>4</v>
      </c>
      <c r="U11" s="176" t="s">
        <v>1948</v>
      </c>
      <c r="V11" s="176"/>
      <c r="W11" s="176"/>
      <c r="X11" s="176"/>
      <c r="Y11" s="11">
        <v>0</v>
      </c>
      <c r="Z11" s="11">
        <v>0</v>
      </c>
      <c r="AA11" s="11">
        <v>0</v>
      </c>
      <c r="AB11" s="11">
        <f t="shared" si="0"/>
        <v>0</v>
      </c>
    </row>
    <row r="12" spans="1:28" ht="29" x14ac:dyDescent="0.35">
      <c r="A12" s="11" t="s">
        <v>1790</v>
      </c>
      <c r="B12" s="11">
        <v>2019</v>
      </c>
      <c r="C12" s="11" t="s">
        <v>1876</v>
      </c>
      <c r="D12" s="11" t="s">
        <v>1873</v>
      </c>
      <c r="E12" s="11" t="s">
        <v>1874</v>
      </c>
      <c r="F12" s="11" t="s">
        <v>1875</v>
      </c>
      <c r="G12" s="11" t="s">
        <v>747</v>
      </c>
      <c r="H12" s="11" t="s">
        <v>95</v>
      </c>
      <c r="I12" s="11">
        <v>77536</v>
      </c>
      <c r="J12" s="175">
        <v>6</v>
      </c>
      <c r="K12" s="11">
        <v>325199</v>
      </c>
      <c r="L12" s="176" t="s">
        <v>873</v>
      </c>
      <c r="M12" s="176" t="s">
        <v>1931</v>
      </c>
      <c r="N12" s="11">
        <v>29.728559000000001</v>
      </c>
      <c r="O12" s="11">
        <v>-95.110764000000003</v>
      </c>
      <c r="P12" s="163">
        <v>110015742204</v>
      </c>
      <c r="Q12" s="163">
        <v>1319218350775</v>
      </c>
      <c r="R12" s="11" t="s">
        <v>1932</v>
      </c>
      <c r="S12" s="11" t="s">
        <v>1933</v>
      </c>
      <c r="T12" s="177">
        <v>3</v>
      </c>
      <c r="U12" s="176" t="s">
        <v>1934</v>
      </c>
      <c r="V12" s="176"/>
      <c r="W12" s="176"/>
      <c r="X12" s="176"/>
      <c r="Y12" s="11">
        <v>0</v>
      </c>
      <c r="Z12" s="11">
        <v>0</v>
      </c>
      <c r="AA12" s="11">
        <v>0</v>
      </c>
      <c r="AB12" s="11">
        <f t="shared" si="0"/>
        <v>0</v>
      </c>
    </row>
    <row r="13" spans="1:28" ht="29" x14ac:dyDescent="0.35">
      <c r="A13" s="11" t="s">
        <v>1790</v>
      </c>
      <c r="B13" s="11">
        <v>2019</v>
      </c>
      <c r="C13" s="11" t="s">
        <v>1887</v>
      </c>
      <c r="D13" s="11" t="s">
        <v>1884</v>
      </c>
      <c r="E13" s="11" t="s">
        <v>1885</v>
      </c>
      <c r="F13" s="11" t="s">
        <v>1886</v>
      </c>
      <c r="G13" s="11" t="s">
        <v>1945</v>
      </c>
      <c r="H13" s="11" t="s">
        <v>91</v>
      </c>
      <c r="I13" s="11">
        <v>70764</v>
      </c>
      <c r="J13" s="175">
        <v>6</v>
      </c>
      <c r="K13" s="11">
        <v>325211</v>
      </c>
      <c r="L13" s="176" t="s">
        <v>1787</v>
      </c>
      <c r="M13" s="176" t="s">
        <v>1931</v>
      </c>
      <c r="N13" s="11">
        <v>30.259399999999999</v>
      </c>
      <c r="O13" s="11">
        <v>-91.173699999999997</v>
      </c>
      <c r="P13" s="163">
        <v>110000572675</v>
      </c>
      <c r="Q13" s="163">
        <v>1319218385286</v>
      </c>
      <c r="R13" s="11" t="s">
        <v>1932</v>
      </c>
      <c r="S13" s="11" t="s">
        <v>1933</v>
      </c>
      <c r="T13" s="177">
        <v>2</v>
      </c>
      <c r="U13" s="176" t="s">
        <v>1940</v>
      </c>
      <c r="V13" s="176"/>
      <c r="W13" s="176"/>
      <c r="X13" s="176"/>
      <c r="Y13" s="11">
        <v>0</v>
      </c>
      <c r="Z13" s="11">
        <v>0</v>
      </c>
      <c r="AA13" s="11">
        <v>0</v>
      </c>
      <c r="AB13" s="11">
        <f t="shared" si="0"/>
        <v>0</v>
      </c>
    </row>
    <row r="14" spans="1:28" ht="29" x14ac:dyDescent="0.35">
      <c r="A14" s="11" t="s">
        <v>1790</v>
      </c>
      <c r="B14" s="11">
        <v>2019</v>
      </c>
      <c r="C14" s="11" t="s">
        <v>1838</v>
      </c>
      <c r="D14" s="11" t="s">
        <v>1836</v>
      </c>
      <c r="E14" s="11" t="s">
        <v>1837</v>
      </c>
      <c r="F14" s="11" t="s">
        <v>421</v>
      </c>
      <c r="G14" s="11" t="s">
        <v>747</v>
      </c>
      <c r="H14" s="11" t="s">
        <v>95</v>
      </c>
      <c r="I14" s="11">
        <v>77571</v>
      </c>
      <c r="J14" s="175">
        <v>6</v>
      </c>
      <c r="K14" s="11">
        <v>562211</v>
      </c>
      <c r="L14" s="176" t="s">
        <v>1839</v>
      </c>
      <c r="M14" s="176" t="s">
        <v>1931</v>
      </c>
      <c r="N14" s="11">
        <v>29.73028</v>
      </c>
      <c r="O14" s="11">
        <v>-95.08981</v>
      </c>
      <c r="P14" s="163">
        <v>110000463365</v>
      </c>
      <c r="Q14" s="163">
        <v>1319218392645</v>
      </c>
      <c r="R14" s="11" t="s">
        <v>1932</v>
      </c>
      <c r="S14" s="11" t="s">
        <v>1933</v>
      </c>
      <c r="T14" s="177">
        <v>3</v>
      </c>
      <c r="U14" s="176" t="s">
        <v>1936</v>
      </c>
      <c r="V14" s="176"/>
      <c r="W14" s="176"/>
      <c r="X14" s="176"/>
      <c r="Y14" s="11">
        <v>0</v>
      </c>
      <c r="Z14" s="11">
        <v>0</v>
      </c>
      <c r="AA14" s="11">
        <v>0</v>
      </c>
      <c r="AB14" s="11">
        <f t="shared" si="0"/>
        <v>0</v>
      </c>
    </row>
    <row r="15" spans="1:28" ht="29" x14ac:dyDescent="0.35">
      <c r="A15" s="11" t="s">
        <v>1790</v>
      </c>
      <c r="B15" s="11">
        <v>2019</v>
      </c>
      <c r="C15" s="11" t="s">
        <v>1842</v>
      </c>
      <c r="D15" s="11" t="s">
        <v>1840</v>
      </c>
      <c r="E15" s="11" t="s">
        <v>1841</v>
      </c>
      <c r="F15" s="11" t="s">
        <v>982</v>
      </c>
      <c r="G15" s="11" t="s">
        <v>1113</v>
      </c>
      <c r="H15" s="11" t="s">
        <v>202</v>
      </c>
      <c r="I15" s="11">
        <v>71730</v>
      </c>
      <c r="J15" s="175">
        <v>6</v>
      </c>
      <c r="K15" s="11">
        <v>562211</v>
      </c>
      <c r="L15" s="176" t="s">
        <v>1839</v>
      </c>
      <c r="M15" s="176" t="s">
        <v>1931</v>
      </c>
      <c r="N15" s="11">
        <v>33.2044</v>
      </c>
      <c r="O15" s="11">
        <v>-92.630799999999994</v>
      </c>
      <c r="P15" s="163">
        <v>110000521221</v>
      </c>
      <c r="Q15" s="163">
        <v>1319218425318</v>
      </c>
      <c r="R15" s="11" t="s">
        <v>1932</v>
      </c>
      <c r="S15" s="11" t="s">
        <v>1933</v>
      </c>
      <c r="T15" s="177">
        <v>3</v>
      </c>
      <c r="U15" s="176" t="s">
        <v>1936</v>
      </c>
      <c r="V15" s="176"/>
      <c r="W15" s="176"/>
      <c r="X15" s="176"/>
      <c r="Y15" s="11">
        <v>0</v>
      </c>
      <c r="Z15" s="11">
        <v>0</v>
      </c>
      <c r="AA15" s="11">
        <v>0</v>
      </c>
      <c r="AB15" s="11">
        <f t="shared" si="0"/>
        <v>0</v>
      </c>
    </row>
    <row r="16" spans="1:28" ht="43.5" x14ac:dyDescent="0.35">
      <c r="A16" s="11" t="s">
        <v>1790</v>
      </c>
      <c r="B16" s="11">
        <v>2019</v>
      </c>
      <c r="C16" s="11" t="s">
        <v>1872</v>
      </c>
      <c r="D16" s="11" t="s">
        <v>1870</v>
      </c>
      <c r="E16" s="11" t="s">
        <v>1871</v>
      </c>
      <c r="F16" s="11" t="s">
        <v>598</v>
      </c>
      <c r="G16" s="11" t="s">
        <v>1949</v>
      </c>
      <c r="H16" s="11" t="s">
        <v>95</v>
      </c>
      <c r="I16" s="11">
        <v>78359</v>
      </c>
      <c r="J16" s="175">
        <v>6</v>
      </c>
      <c r="K16" s="11">
        <v>325199</v>
      </c>
      <c r="L16" s="176" t="s">
        <v>873</v>
      </c>
      <c r="M16" s="176" t="s">
        <v>1931</v>
      </c>
      <c r="N16" s="11">
        <v>27.883610999999998</v>
      </c>
      <c r="O16" s="11">
        <v>-97.241382999999999</v>
      </c>
      <c r="P16" s="163">
        <v>110000599807</v>
      </c>
      <c r="Q16" s="163">
        <v>1319218514634</v>
      </c>
      <c r="R16" s="11" t="s">
        <v>1932</v>
      </c>
      <c r="S16" s="11" t="s">
        <v>1933</v>
      </c>
      <c r="T16" s="177">
        <v>4</v>
      </c>
      <c r="U16" s="176" t="s">
        <v>1950</v>
      </c>
      <c r="V16" s="176"/>
      <c r="W16" s="176"/>
      <c r="X16" s="176"/>
      <c r="Y16" s="11">
        <v>0</v>
      </c>
      <c r="Z16" s="11">
        <v>0</v>
      </c>
      <c r="AA16" s="11">
        <v>0</v>
      </c>
      <c r="AB16" s="11">
        <f t="shared" si="0"/>
        <v>0</v>
      </c>
    </row>
    <row r="17" spans="1:28" ht="29" x14ac:dyDescent="0.35">
      <c r="A17" s="11" t="s">
        <v>1790</v>
      </c>
      <c r="B17" s="11">
        <v>2019</v>
      </c>
      <c r="C17" s="11" t="s">
        <v>103</v>
      </c>
      <c r="D17" s="11" t="s">
        <v>100</v>
      </c>
      <c r="E17" s="11" t="s">
        <v>1793</v>
      </c>
      <c r="F17" s="11" t="s">
        <v>101</v>
      </c>
      <c r="G17" s="11" t="s">
        <v>1951</v>
      </c>
      <c r="H17" s="11" t="s">
        <v>102</v>
      </c>
      <c r="I17" s="11">
        <v>92011</v>
      </c>
      <c r="J17" s="175">
        <v>9</v>
      </c>
      <c r="K17" s="11">
        <v>325998</v>
      </c>
      <c r="L17" s="176" t="s">
        <v>1794</v>
      </c>
      <c r="M17" s="176" t="s">
        <v>1931</v>
      </c>
      <c r="N17" s="11">
        <v>33.119149999999998</v>
      </c>
      <c r="O17" s="11">
        <v>-117.28344</v>
      </c>
      <c r="P17" s="163">
        <v>110000478509</v>
      </c>
      <c r="Q17" s="163">
        <v>1319219424797</v>
      </c>
      <c r="R17" s="11" t="s">
        <v>1932</v>
      </c>
      <c r="S17" s="11" t="s">
        <v>1933</v>
      </c>
      <c r="T17" s="177">
        <v>4</v>
      </c>
      <c r="U17" s="176" t="s">
        <v>1952</v>
      </c>
      <c r="V17" s="176"/>
      <c r="W17" s="176"/>
      <c r="X17" s="176"/>
      <c r="Y17" s="11">
        <v>0</v>
      </c>
      <c r="Z17" s="11">
        <v>0</v>
      </c>
      <c r="AA17" s="11">
        <v>0</v>
      </c>
      <c r="AB17" s="11">
        <f t="shared" si="0"/>
        <v>0</v>
      </c>
    </row>
    <row r="18" spans="1:28" ht="43.5" x14ac:dyDescent="0.35">
      <c r="A18" s="11" t="s">
        <v>1790</v>
      </c>
      <c r="B18" s="11">
        <v>2019</v>
      </c>
      <c r="C18" s="11" t="s">
        <v>1830</v>
      </c>
      <c r="D18" s="11" t="s">
        <v>1827</v>
      </c>
      <c r="E18" s="11" t="s">
        <v>1828</v>
      </c>
      <c r="F18" s="11" t="s">
        <v>1829</v>
      </c>
      <c r="G18" s="11" t="s">
        <v>1953</v>
      </c>
      <c r="H18" s="11" t="s">
        <v>560</v>
      </c>
      <c r="I18" s="11">
        <v>68949</v>
      </c>
      <c r="J18" s="175">
        <v>7</v>
      </c>
      <c r="K18" s="11">
        <v>339112</v>
      </c>
      <c r="L18" s="176" t="s">
        <v>1831</v>
      </c>
      <c r="M18" s="176" t="s">
        <v>1931</v>
      </c>
      <c r="N18" s="11">
        <v>40.432802000000002</v>
      </c>
      <c r="O18" s="11">
        <v>-99.397300000000001</v>
      </c>
      <c r="P18" s="163">
        <v>110000597033</v>
      </c>
      <c r="Q18" s="163">
        <v>1319219605641</v>
      </c>
      <c r="R18" s="11" t="s">
        <v>1932</v>
      </c>
      <c r="S18" s="11" t="s">
        <v>1933</v>
      </c>
      <c r="T18" s="177">
        <v>3</v>
      </c>
      <c r="U18" s="176" t="s">
        <v>1954</v>
      </c>
      <c r="V18" s="176"/>
      <c r="W18" s="176"/>
      <c r="X18" s="176"/>
      <c r="Y18" s="11">
        <v>0</v>
      </c>
      <c r="Z18" s="11">
        <v>0</v>
      </c>
      <c r="AA18" s="11">
        <v>0</v>
      </c>
      <c r="AB18" s="11">
        <f t="shared" si="0"/>
        <v>0</v>
      </c>
    </row>
    <row r="19" spans="1:28" ht="29" x14ac:dyDescent="0.35">
      <c r="A19" s="11" t="s">
        <v>1790</v>
      </c>
      <c r="B19" s="11">
        <v>2019</v>
      </c>
      <c r="C19" s="11" t="s">
        <v>1844</v>
      </c>
      <c r="D19" s="11" t="s">
        <v>1843</v>
      </c>
      <c r="E19" s="11" t="s">
        <v>1789</v>
      </c>
      <c r="F19" s="11" t="s">
        <v>98</v>
      </c>
      <c r="G19" s="11" t="s">
        <v>1695</v>
      </c>
      <c r="H19" s="11" t="s">
        <v>95</v>
      </c>
      <c r="I19" s="11">
        <v>775413257</v>
      </c>
      <c r="J19" s="175">
        <v>6</v>
      </c>
      <c r="K19" s="11">
        <v>325199</v>
      </c>
      <c r="L19" s="176" t="s">
        <v>873</v>
      </c>
      <c r="M19" s="176" t="s">
        <v>1931</v>
      </c>
      <c r="N19" s="11">
        <v>28.980146999999999</v>
      </c>
      <c r="O19" s="11">
        <v>-95.342271999999994</v>
      </c>
      <c r="P19" s="163">
        <v>110008170237</v>
      </c>
      <c r="Q19" s="163">
        <v>1319220592606</v>
      </c>
      <c r="R19" s="11" t="s">
        <v>1932</v>
      </c>
      <c r="S19" s="11" t="s">
        <v>1933</v>
      </c>
      <c r="T19" s="163">
        <v>5</v>
      </c>
      <c r="U19" s="176" t="s">
        <v>1955</v>
      </c>
      <c r="V19" s="176"/>
      <c r="W19" s="176"/>
      <c r="X19" s="176"/>
      <c r="Y19" s="11">
        <v>0</v>
      </c>
      <c r="Z19" s="11">
        <v>0</v>
      </c>
      <c r="AA19" s="11">
        <v>0</v>
      </c>
      <c r="AB19" s="11">
        <f t="shared" si="0"/>
        <v>0</v>
      </c>
    </row>
    <row r="20" spans="1:28" ht="29" x14ac:dyDescent="0.35">
      <c r="A20" s="11" t="s">
        <v>1790</v>
      </c>
      <c r="B20" s="11">
        <v>2019</v>
      </c>
      <c r="C20" s="11" t="s">
        <v>1820</v>
      </c>
      <c r="D20" s="11" t="s">
        <v>1817</v>
      </c>
      <c r="E20" s="11" t="s">
        <v>1818</v>
      </c>
      <c r="F20" s="11" t="s">
        <v>1819</v>
      </c>
      <c r="G20" s="11" t="s">
        <v>1956</v>
      </c>
      <c r="H20" s="11" t="s">
        <v>111</v>
      </c>
      <c r="I20" s="11">
        <v>61242</v>
      </c>
      <c r="J20" s="175">
        <v>5</v>
      </c>
      <c r="K20" s="11">
        <v>325998</v>
      </c>
      <c r="L20" s="176" t="s">
        <v>1794</v>
      </c>
      <c r="M20" s="176" t="s">
        <v>1931</v>
      </c>
      <c r="N20" s="11">
        <v>41.755000000000003</v>
      </c>
      <c r="O20" s="11">
        <v>-90.284166999999997</v>
      </c>
      <c r="P20" s="163">
        <v>110013886875</v>
      </c>
      <c r="Q20" s="163">
        <v>1319220621546</v>
      </c>
      <c r="R20" s="11" t="s">
        <v>1932</v>
      </c>
      <c r="S20" s="11" t="s">
        <v>1933</v>
      </c>
      <c r="T20" s="177">
        <v>5</v>
      </c>
      <c r="U20" s="176" t="s">
        <v>1957</v>
      </c>
      <c r="V20" s="176"/>
      <c r="W20" s="176"/>
      <c r="X20" s="176"/>
      <c r="Y20" s="11">
        <v>0</v>
      </c>
      <c r="Z20" s="11">
        <v>0</v>
      </c>
      <c r="AA20" s="11">
        <v>0</v>
      </c>
      <c r="AB20" s="11">
        <f t="shared" si="0"/>
        <v>0</v>
      </c>
    </row>
    <row r="21" spans="1:28" ht="29" x14ac:dyDescent="0.35">
      <c r="A21" s="11" t="s">
        <v>1790</v>
      </c>
      <c r="B21" s="11">
        <v>2019</v>
      </c>
      <c r="C21" s="11" t="s">
        <v>1864</v>
      </c>
      <c r="D21" s="11" t="s">
        <v>1859</v>
      </c>
      <c r="E21" s="11" t="s">
        <v>1860</v>
      </c>
      <c r="F21" s="11" t="s">
        <v>1861</v>
      </c>
      <c r="G21" s="11" t="s">
        <v>1958</v>
      </c>
      <c r="H21" s="11" t="s">
        <v>1862</v>
      </c>
      <c r="I21" s="11" t="s">
        <v>1863</v>
      </c>
      <c r="J21" s="175">
        <v>1</v>
      </c>
      <c r="K21" s="11">
        <v>424690</v>
      </c>
      <c r="L21" s="176" t="s">
        <v>1865</v>
      </c>
      <c r="M21" s="176" t="s">
        <v>1931</v>
      </c>
      <c r="N21" s="11">
        <v>41.670540000000003</v>
      </c>
      <c r="O21" s="11">
        <v>-72.755600000000001</v>
      </c>
      <c r="P21" s="163">
        <v>110033160022</v>
      </c>
      <c r="Q21" s="163">
        <v>1319220647945</v>
      </c>
      <c r="R21" s="11" t="s">
        <v>1932</v>
      </c>
      <c r="S21" s="11" t="s">
        <v>1933</v>
      </c>
      <c r="T21" s="177">
        <v>4</v>
      </c>
      <c r="U21" s="176" t="s">
        <v>1952</v>
      </c>
      <c r="V21" s="176"/>
      <c r="W21" s="176"/>
      <c r="X21" s="176"/>
      <c r="Y21" s="11">
        <v>0</v>
      </c>
      <c r="Z21" s="11">
        <v>0</v>
      </c>
      <c r="AA21" s="11">
        <v>0</v>
      </c>
      <c r="AB21" s="11">
        <f t="shared" si="0"/>
        <v>0</v>
      </c>
    </row>
    <row r="22" spans="1:28" ht="43.5" x14ac:dyDescent="0.35">
      <c r="A22" s="11" t="s">
        <v>1790</v>
      </c>
      <c r="B22" s="11">
        <v>2019</v>
      </c>
      <c r="C22" s="11" t="s">
        <v>92</v>
      </c>
      <c r="D22" s="11" t="s">
        <v>89</v>
      </c>
      <c r="E22" s="11" t="s">
        <v>1795</v>
      </c>
      <c r="F22" s="11" t="s">
        <v>90</v>
      </c>
      <c r="G22" s="11" t="s">
        <v>1939</v>
      </c>
      <c r="H22" s="11" t="s">
        <v>91</v>
      </c>
      <c r="I22" s="11">
        <v>70669</v>
      </c>
      <c r="J22" s="175">
        <v>6</v>
      </c>
      <c r="K22" s="11">
        <v>221112</v>
      </c>
      <c r="L22" s="176" t="s">
        <v>1796</v>
      </c>
      <c r="M22" s="176" t="s">
        <v>1931</v>
      </c>
      <c r="N22" s="11">
        <v>30.223500000000001</v>
      </c>
      <c r="O22" s="11">
        <v>-93.286900000000003</v>
      </c>
      <c r="P22" s="163">
        <v>110000494894</v>
      </c>
      <c r="Q22" s="163">
        <v>1319221472196</v>
      </c>
      <c r="R22" s="11" t="s">
        <v>1932</v>
      </c>
      <c r="S22" s="11" t="s">
        <v>1933</v>
      </c>
      <c r="T22" s="177">
        <v>5</v>
      </c>
      <c r="U22" s="176" t="s">
        <v>1959</v>
      </c>
      <c r="V22" s="176"/>
      <c r="W22" s="176"/>
      <c r="X22" s="176"/>
      <c r="Y22" s="11">
        <v>13</v>
      </c>
      <c r="Z22" s="11">
        <v>0</v>
      </c>
      <c r="AA22" s="11">
        <v>0</v>
      </c>
      <c r="AB22" s="11">
        <f t="shared" si="0"/>
        <v>13</v>
      </c>
    </row>
    <row r="23" spans="1:28" ht="29" x14ac:dyDescent="0.35">
      <c r="A23" s="11" t="s">
        <v>1790</v>
      </c>
      <c r="B23" s="11">
        <v>2019</v>
      </c>
      <c r="C23" s="11" t="s">
        <v>1825</v>
      </c>
      <c r="D23" s="11" t="s">
        <v>1821</v>
      </c>
      <c r="E23" s="11" t="s">
        <v>1822</v>
      </c>
      <c r="F23" s="11" t="s">
        <v>1823</v>
      </c>
      <c r="G23" s="11" t="s">
        <v>1960</v>
      </c>
      <c r="H23" s="11" t="s">
        <v>1824</v>
      </c>
      <c r="I23" s="11">
        <v>27030</v>
      </c>
      <c r="J23" s="175">
        <v>4</v>
      </c>
      <c r="K23" s="11">
        <v>326150</v>
      </c>
      <c r="L23" s="176" t="s">
        <v>1826</v>
      </c>
      <c r="M23" s="176" t="s">
        <v>1931</v>
      </c>
      <c r="N23" s="11">
        <v>36.472777999999998</v>
      </c>
      <c r="O23" s="11">
        <v>-80.608610999999996</v>
      </c>
      <c r="P23" s="163">
        <v>110000345172</v>
      </c>
      <c r="Q23" s="163">
        <v>1319222389734</v>
      </c>
      <c r="R23" s="11" t="s">
        <v>1932</v>
      </c>
      <c r="S23" s="11" t="s">
        <v>1933</v>
      </c>
      <c r="T23" s="177">
        <v>4</v>
      </c>
      <c r="U23" s="176" t="s">
        <v>1961</v>
      </c>
      <c r="V23" s="176"/>
      <c r="W23" s="176"/>
      <c r="X23" s="176"/>
      <c r="Y23" s="11">
        <v>0</v>
      </c>
      <c r="Z23" s="11">
        <v>0</v>
      </c>
      <c r="AA23" s="11">
        <v>0</v>
      </c>
      <c r="AB23" s="11">
        <f t="shared" si="0"/>
        <v>0</v>
      </c>
    </row>
    <row r="24" spans="1:28" ht="29" x14ac:dyDescent="0.35">
      <c r="A24" s="11" t="s">
        <v>1790</v>
      </c>
      <c r="B24" s="11">
        <v>2020</v>
      </c>
      <c r="C24" s="11" t="s">
        <v>1900</v>
      </c>
      <c r="D24" s="11" t="s">
        <v>1898</v>
      </c>
      <c r="E24" s="11" t="s">
        <v>1899</v>
      </c>
      <c r="F24" s="11" t="s">
        <v>209</v>
      </c>
      <c r="G24" s="11" t="s">
        <v>1930</v>
      </c>
      <c r="H24" s="11" t="s">
        <v>91</v>
      </c>
      <c r="I24" s="11">
        <v>70734</v>
      </c>
      <c r="J24" s="175">
        <v>6</v>
      </c>
      <c r="K24" s="11">
        <v>325211</v>
      </c>
      <c r="L24" s="176" t="s">
        <v>1787</v>
      </c>
      <c r="M24" s="176" t="s">
        <v>1931</v>
      </c>
      <c r="N24" s="11">
        <v>30.208604000000001</v>
      </c>
      <c r="O24" s="11">
        <v>-91.011127999999999</v>
      </c>
      <c r="P24" s="163">
        <v>110000746328</v>
      </c>
      <c r="Q24" s="163">
        <v>1320218745976</v>
      </c>
      <c r="R24" s="11" t="s">
        <v>1932</v>
      </c>
      <c r="S24" s="11" t="s">
        <v>1933</v>
      </c>
      <c r="T24" s="177">
        <v>3</v>
      </c>
      <c r="U24" s="176" t="s">
        <v>1934</v>
      </c>
      <c r="V24" s="176"/>
      <c r="W24" s="176"/>
      <c r="X24" s="176"/>
      <c r="Y24" s="11">
        <v>0</v>
      </c>
      <c r="Z24" s="11">
        <v>0</v>
      </c>
      <c r="AA24" s="11">
        <v>0</v>
      </c>
      <c r="AB24" s="11">
        <f t="shared" si="0"/>
        <v>0</v>
      </c>
    </row>
    <row r="25" spans="1:28" ht="29" x14ac:dyDescent="0.35">
      <c r="A25" s="11" t="s">
        <v>1790</v>
      </c>
      <c r="B25" s="11">
        <v>2020</v>
      </c>
      <c r="C25" s="11" t="s">
        <v>1897</v>
      </c>
      <c r="D25" s="11" t="s">
        <v>1892</v>
      </c>
      <c r="E25" s="11" t="s">
        <v>1896</v>
      </c>
      <c r="F25" s="11" t="s">
        <v>1886</v>
      </c>
      <c r="G25" s="11" t="s">
        <v>1945</v>
      </c>
      <c r="H25" s="11" t="s">
        <v>91</v>
      </c>
      <c r="I25" s="11">
        <v>70764</v>
      </c>
      <c r="J25" s="175">
        <v>6</v>
      </c>
      <c r="K25" s="11">
        <v>325211</v>
      </c>
      <c r="L25" s="176" t="s">
        <v>1787</v>
      </c>
      <c r="M25" s="176" t="s">
        <v>1931</v>
      </c>
      <c r="N25" s="11">
        <v>30.262255</v>
      </c>
      <c r="O25" s="11">
        <v>-91.185837000000006</v>
      </c>
      <c r="P25" s="163">
        <v>110000613747</v>
      </c>
      <c r="Q25" s="163">
        <v>1320218896951</v>
      </c>
      <c r="R25" s="11" t="s">
        <v>1932</v>
      </c>
      <c r="S25" s="11" t="s">
        <v>1933</v>
      </c>
      <c r="T25" s="177">
        <v>5</v>
      </c>
      <c r="U25" s="176" t="s">
        <v>1940</v>
      </c>
      <c r="V25" s="176"/>
      <c r="W25" s="176"/>
      <c r="X25" s="176"/>
      <c r="Y25" s="11">
        <v>0</v>
      </c>
      <c r="Z25" s="11">
        <v>0</v>
      </c>
      <c r="AA25" s="11">
        <v>0</v>
      </c>
      <c r="AB25" s="11">
        <f t="shared" si="0"/>
        <v>0</v>
      </c>
    </row>
    <row r="26" spans="1:28" ht="43.5" x14ac:dyDescent="0.35">
      <c r="A26" s="11" t="s">
        <v>1790</v>
      </c>
      <c r="B26" s="11">
        <v>2020</v>
      </c>
      <c r="C26" s="11" t="s">
        <v>1903</v>
      </c>
      <c r="D26" s="11" t="s">
        <v>1901</v>
      </c>
      <c r="E26" s="11" t="s">
        <v>1902</v>
      </c>
      <c r="F26" s="11" t="s">
        <v>169</v>
      </c>
      <c r="G26" s="11" t="s">
        <v>1077</v>
      </c>
      <c r="H26" s="11" t="s">
        <v>108</v>
      </c>
      <c r="I26" s="11">
        <v>42029</v>
      </c>
      <c r="J26" s="175">
        <v>4</v>
      </c>
      <c r="K26" s="11">
        <v>325199</v>
      </c>
      <c r="L26" s="176" t="s">
        <v>873</v>
      </c>
      <c r="M26" s="176" t="s">
        <v>1931</v>
      </c>
      <c r="N26" s="11">
        <v>37.051110999999999</v>
      </c>
      <c r="O26" s="11">
        <v>-88.334166999999994</v>
      </c>
      <c r="P26" s="163">
        <v>110027373072</v>
      </c>
      <c r="Q26" s="163">
        <v>1320218945804</v>
      </c>
      <c r="R26" s="11" t="s">
        <v>1932</v>
      </c>
      <c r="S26" s="11" t="s">
        <v>1933</v>
      </c>
      <c r="T26" s="177">
        <v>4</v>
      </c>
      <c r="U26" s="176" t="s">
        <v>1948</v>
      </c>
      <c r="V26" s="176"/>
      <c r="W26" s="176"/>
      <c r="X26" s="176"/>
      <c r="Y26" s="11">
        <v>0</v>
      </c>
      <c r="Z26" s="11">
        <v>0</v>
      </c>
      <c r="AA26" s="11">
        <v>0</v>
      </c>
      <c r="AB26" s="11">
        <f t="shared" si="0"/>
        <v>0</v>
      </c>
    </row>
    <row r="27" spans="1:28" ht="29" x14ac:dyDescent="0.35">
      <c r="A27" s="11" t="s">
        <v>1790</v>
      </c>
      <c r="B27" s="11">
        <v>2020</v>
      </c>
      <c r="C27" s="11" t="s">
        <v>1857</v>
      </c>
      <c r="D27" s="11" t="s">
        <v>1854</v>
      </c>
      <c r="E27" s="11" t="s">
        <v>1855</v>
      </c>
      <c r="F27" s="11" t="s">
        <v>1856</v>
      </c>
      <c r="G27" s="11" t="s">
        <v>1935</v>
      </c>
      <c r="H27" s="11" t="s">
        <v>458</v>
      </c>
      <c r="I27" s="11">
        <v>43920</v>
      </c>
      <c r="J27" s="175">
        <v>5</v>
      </c>
      <c r="K27" s="11">
        <v>562213</v>
      </c>
      <c r="L27" s="176" t="s">
        <v>1858</v>
      </c>
      <c r="M27" s="176" t="s">
        <v>1931</v>
      </c>
      <c r="N27" s="11">
        <v>40.631622</v>
      </c>
      <c r="O27" s="11">
        <v>-80.546319999999994</v>
      </c>
      <c r="P27" s="163">
        <v>110027242320</v>
      </c>
      <c r="Q27" s="163">
        <v>1320218993691</v>
      </c>
      <c r="R27" s="11" t="s">
        <v>1932</v>
      </c>
      <c r="S27" s="11" t="s">
        <v>1933</v>
      </c>
      <c r="T27" s="163">
        <v>4</v>
      </c>
      <c r="U27" s="176" t="s">
        <v>1936</v>
      </c>
      <c r="V27" s="176"/>
      <c r="W27" s="176"/>
      <c r="X27" s="176"/>
      <c r="Y27" s="11">
        <v>0</v>
      </c>
      <c r="Z27" s="11">
        <v>0</v>
      </c>
      <c r="AA27" s="11">
        <v>0</v>
      </c>
      <c r="AB27" s="11">
        <f t="shared" si="0"/>
        <v>0</v>
      </c>
    </row>
    <row r="28" spans="1:28" ht="58" x14ac:dyDescent="0.35">
      <c r="A28" s="11" t="s">
        <v>1790</v>
      </c>
      <c r="B28" s="11">
        <v>2020</v>
      </c>
      <c r="C28" s="11" t="s">
        <v>1879</v>
      </c>
      <c r="D28" s="11" t="s">
        <v>1877</v>
      </c>
      <c r="E28" s="11" t="s">
        <v>1878</v>
      </c>
      <c r="F28" s="11" t="s">
        <v>421</v>
      </c>
      <c r="G28" s="11" t="s">
        <v>747</v>
      </c>
      <c r="H28" s="11" t="s">
        <v>95</v>
      </c>
      <c r="I28" s="11">
        <v>77571</v>
      </c>
      <c r="J28" s="175">
        <v>6</v>
      </c>
      <c r="K28" s="11">
        <v>325199</v>
      </c>
      <c r="L28" s="176" t="s">
        <v>873</v>
      </c>
      <c r="M28" s="176" t="s">
        <v>1931</v>
      </c>
      <c r="N28" s="11">
        <v>29.723700000000001</v>
      </c>
      <c r="O28" s="11">
        <v>-95.074079999999995</v>
      </c>
      <c r="P28" s="163">
        <v>110017769734</v>
      </c>
      <c r="Q28" s="163">
        <v>1320219041946</v>
      </c>
      <c r="R28" s="11" t="s">
        <v>1932</v>
      </c>
      <c r="S28" s="11" t="s">
        <v>1933</v>
      </c>
      <c r="T28" s="177">
        <v>4</v>
      </c>
      <c r="U28" s="176" t="s">
        <v>1946</v>
      </c>
      <c r="V28" s="176"/>
      <c r="W28" s="176"/>
      <c r="X28" s="176"/>
      <c r="Y28" s="11">
        <v>0</v>
      </c>
      <c r="Z28" s="11">
        <v>0</v>
      </c>
      <c r="AA28" s="11">
        <v>0</v>
      </c>
      <c r="AB28" s="11">
        <f t="shared" si="0"/>
        <v>0</v>
      </c>
    </row>
    <row r="29" spans="1:28" ht="29" x14ac:dyDescent="0.35">
      <c r="A29" s="11" t="s">
        <v>1790</v>
      </c>
      <c r="B29" s="11">
        <v>2020</v>
      </c>
      <c r="C29" s="11" t="s">
        <v>1876</v>
      </c>
      <c r="D29" s="11" t="s">
        <v>1873</v>
      </c>
      <c r="E29" s="11" t="s">
        <v>1874</v>
      </c>
      <c r="F29" s="11" t="s">
        <v>1875</v>
      </c>
      <c r="G29" s="11" t="s">
        <v>747</v>
      </c>
      <c r="H29" s="11" t="s">
        <v>95</v>
      </c>
      <c r="I29" s="11">
        <v>77536</v>
      </c>
      <c r="J29" s="175">
        <v>6</v>
      </c>
      <c r="K29" s="11">
        <v>325199</v>
      </c>
      <c r="L29" s="176" t="s">
        <v>873</v>
      </c>
      <c r="M29" s="176" t="s">
        <v>1931</v>
      </c>
      <c r="N29" s="11">
        <v>29.728559000000001</v>
      </c>
      <c r="O29" s="11">
        <v>-95.110764000000003</v>
      </c>
      <c r="P29" s="163">
        <v>110015742204</v>
      </c>
      <c r="Q29" s="163">
        <v>1320219076736</v>
      </c>
      <c r="R29" s="11" t="s">
        <v>1932</v>
      </c>
      <c r="S29" s="11" t="s">
        <v>1933</v>
      </c>
      <c r="T29" s="177">
        <v>3</v>
      </c>
      <c r="U29" s="176" t="s">
        <v>1934</v>
      </c>
      <c r="V29" s="176"/>
      <c r="W29" s="176"/>
      <c r="X29" s="176"/>
      <c r="Y29" s="11">
        <v>0</v>
      </c>
      <c r="Z29" s="11">
        <v>0</v>
      </c>
      <c r="AA29" s="11">
        <v>0</v>
      </c>
      <c r="AB29" s="11">
        <f t="shared" si="0"/>
        <v>0</v>
      </c>
    </row>
    <row r="30" spans="1:28" ht="29" x14ac:dyDescent="0.35">
      <c r="A30" s="11" t="s">
        <v>1790</v>
      </c>
      <c r="B30" s="11">
        <v>2020</v>
      </c>
      <c r="C30" s="11" t="s">
        <v>1894</v>
      </c>
      <c r="D30" s="11" t="s">
        <v>1892</v>
      </c>
      <c r="E30" s="11" t="s">
        <v>1893</v>
      </c>
      <c r="F30" s="11" t="s">
        <v>90</v>
      </c>
      <c r="G30" s="11" t="s">
        <v>1939</v>
      </c>
      <c r="H30" s="11" t="s">
        <v>91</v>
      </c>
      <c r="I30" s="11">
        <v>70669</v>
      </c>
      <c r="J30" s="175">
        <v>6</v>
      </c>
      <c r="K30" s="11">
        <v>325110</v>
      </c>
      <c r="L30" s="176" t="s">
        <v>1895</v>
      </c>
      <c r="M30" s="176" t="s">
        <v>1931</v>
      </c>
      <c r="N30" s="11">
        <v>30.252222</v>
      </c>
      <c r="O30" s="11">
        <v>-93.284443999999993</v>
      </c>
      <c r="P30" s="163">
        <v>110002054482</v>
      </c>
      <c r="Q30" s="163">
        <v>1320219138144</v>
      </c>
      <c r="R30" s="11" t="s">
        <v>1932</v>
      </c>
      <c r="S30" s="11" t="s">
        <v>1933</v>
      </c>
      <c r="T30" s="177">
        <v>3</v>
      </c>
      <c r="U30" s="176" t="s">
        <v>1940</v>
      </c>
      <c r="V30" s="176"/>
      <c r="W30" s="176"/>
      <c r="X30" s="176"/>
      <c r="Y30" s="11">
        <v>0</v>
      </c>
      <c r="Z30" s="11">
        <v>0</v>
      </c>
      <c r="AA30" s="11">
        <v>0</v>
      </c>
      <c r="AB30" s="11">
        <f t="shared" si="0"/>
        <v>0</v>
      </c>
    </row>
    <row r="31" spans="1:28" ht="29" x14ac:dyDescent="0.35">
      <c r="A31" s="11" t="s">
        <v>1790</v>
      </c>
      <c r="B31" s="11">
        <v>2020</v>
      </c>
      <c r="C31" s="11" t="s">
        <v>1834</v>
      </c>
      <c r="D31" s="11" t="s">
        <v>1832</v>
      </c>
      <c r="E31" s="11" t="s">
        <v>1833</v>
      </c>
      <c r="F31" s="11" t="s">
        <v>1423</v>
      </c>
      <c r="G31" s="11" t="s">
        <v>1937</v>
      </c>
      <c r="H31" s="11" t="s">
        <v>102</v>
      </c>
      <c r="I31" s="11">
        <v>94621</v>
      </c>
      <c r="J31" s="175">
        <v>9</v>
      </c>
      <c r="K31" s="11">
        <v>325611</v>
      </c>
      <c r="L31" s="176" t="s">
        <v>1835</v>
      </c>
      <c r="M31" s="176" t="s">
        <v>1931</v>
      </c>
      <c r="N31" s="11">
        <v>37.756169999999997</v>
      </c>
      <c r="O31" s="11">
        <v>-122.20350999999999</v>
      </c>
      <c r="P31" s="163">
        <v>110010488150</v>
      </c>
      <c r="Q31" s="163">
        <v>1320219184660</v>
      </c>
      <c r="R31" s="11" t="s">
        <v>1932</v>
      </c>
      <c r="S31" s="11" t="s">
        <v>1933</v>
      </c>
      <c r="T31" s="177">
        <v>3</v>
      </c>
      <c r="U31" s="176" t="s">
        <v>1938</v>
      </c>
      <c r="V31" s="176"/>
      <c r="W31" s="176"/>
      <c r="X31" s="176"/>
      <c r="Y31" s="11">
        <v>0</v>
      </c>
      <c r="Z31" s="11">
        <v>0</v>
      </c>
      <c r="AA31" s="11">
        <v>0</v>
      </c>
      <c r="AB31" s="11">
        <f t="shared" si="0"/>
        <v>0</v>
      </c>
    </row>
    <row r="32" spans="1:28" ht="29" x14ac:dyDescent="0.35">
      <c r="A32" s="11" t="s">
        <v>1790</v>
      </c>
      <c r="B32" s="11">
        <v>2020</v>
      </c>
      <c r="C32" s="11" t="s">
        <v>1872</v>
      </c>
      <c r="D32" s="11" t="s">
        <v>1870</v>
      </c>
      <c r="E32" s="11" t="s">
        <v>1871</v>
      </c>
      <c r="F32" s="11" t="s">
        <v>598</v>
      </c>
      <c r="G32" s="11" t="s">
        <v>1949</v>
      </c>
      <c r="H32" s="11" t="s">
        <v>95</v>
      </c>
      <c r="I32" s="11">
        <v>78359</v>
      </c>
      <c r="J32" s="175">
        <v>6</v>
      </c>
      <c r="K32" s="11">
        <v>325199</v>
      </c>
      <c r="L32" s="176" t="s">
        <v>873</v>
      </c>
      <c r="M32" s="176" t="s">
        <v>1931</v>
      </c>
      <c r="N32" s="11">
        <v>27.883610999999998</v>
      </c>
      <c r="O32" s="11">
        <v>-97.241382999999999</v>
      </c>
      <c r="P32" s="163">
        <v>110000599807</v>
      </c>
      <c r="Q32" s="163">
        <v>1320219310327</v>
      </c>
      <c r="R32" s="11" t="s">
        <v>1932</v>
      </c>
      <c r="S32" s="11" t="s">
        <v>1933</v>
      </c>
      <c r="T32" s="177">
        <v>4</v>
      </c>
      <c r="U32" s="176" t="s">
        <v>1940</v>
      </c>
      <c r="V32" s="176"/>
      <c r="W32" s="176"/>
      <c r="X32" s="176"/>
      <c r="Y32" s="11">
        <v>0</v>
      </c>
      <c r="Z32" s="11">
        <v>0</v>
      </c>
      <c r="AA32" s="11">
        <v>0</v>
      </c>
      <c r="AB32" s="11">
        <f t="shared" si="0"/>
        <v>0</v>
      </c>
    </row>
    <row r="33" spans="1:28" ht="29" x14ac:dyDescent="0.35">
      <c r="A33" s="11" t="s">
        <v>1790</v>
      </c>
      <c r="B33" s="11">
        <v>2020</v>
      </c>
      <c r="C33" s="11" t="s">
        <v>1887</v>
      </c>
      <c r="D33" s="11" t="s">
        <v>1884</v>
      </c>
      <c r="E33" s="11" t="s">
        <v>1885</v>
      </c>
      <c r="F33" s="11" t="s">
        <v>1886</v>
      </c>
      <c r="G33" s="11" t="s">
        <v>1945</v>
      </c>
      <c r="H33" s="11" t="s">
        <v>91</v>
      </c>
      <c r="I33" s="11">
        <v>70764</v>
      </c>
      <c r="J33" s="175">
        <v>6</v>
      </c>
      <c r="K33" s="11">
        <v>325211</v>
      </c>
      <c r="L33" s="176" t="s">
        <v>1787</v>
      </c>
      <c r="M33" s="176" t="s">
        <v>1931</v>
      </c>
      <c r="N33" s="11">
        <v>30.259399999999999</v>
      </c>
      <c r="O33" s="11">
        <v>-91.173699999999997</v>
      </c>
      <c r="P33" s="163">
        <v>110000572675</v>
      </c>
      <c r="Q33" s="163">
        <v>1320219318211</v>
      </c>
      <c r="R33" s="11" t="s">
        <v>1932</v>
      </c>
      <c r="S33" s="11" t="s">
        <v>1933</v>
      </c>
      <c r="T33" s="177">
        <v>2</v>
      </c>
      <c r="U33" s="176" t="s">
        <v>1940</v>
      </c>
      <c r="V33" s="176"/>
      <c r="W33" s="176"/>
      <c r="X33" s="176"/>
      <c r="Y33" s="11">
        <v>0</v>
      </c>
      <c r="Z33" s="11">
        <v>0</v>
      </c>
      <c r="AA33" s="11">
        <v>0</v>
      </c>
      <c r="AB33" s="11">
        <f t="shared" si="0"/>
        <v>0</v>
      </c>
    </row>
    <row r="34" spans="1:28" ht="29" x14ac:dyDescent="0.35">
      <c r="A34" s="11" t="s">
        <v>1790</v>
      </c>
      <c r="B34" s="11">
        <v>2020</v>
      </c>
      <c r="C34" s="11" t="s">
        <v>1852</v>
      </c>
      <c r="D34" s="11" t="s">
        <v>1849</v>
      </c>
      <c r="E34" s="11" t="s">
        <v>1850</v>
      </c>
      <c r="F34" s="11" t="s">
        <v>1851</v>
      </c>
      <c r="G34" s="11" t="s">
        <v>1941</v>
      </c>
      <c r="H34" s="11" t="s">
        <v>194</v>
      </c>
      <c r="I34" s="11">
        <v>29448</v>
      </c>
      <c r="J34" s="175">
        <v>4</v>
      </c>
      <c r="K34" s="11">
        <v>327310</v>
      </c>
      <c r="L34" s="176" t="s">
        <v>1853</v>
      </c>
      <c r="M34" s="176" t="s">
        <v>1931</v>
      </c>
      <c r="N34" s="11">
        <v>33.242778000000001</v>
      </c>
      <c r="O34" s="11">
        <v>-80.442222000000001</v>
      </c>
      <c r="P34" s="163">
        <v>110000560544</v>
      </c>
      <c r="Q34" s="163">
        <v>1320219324732</v>
      </c>
      <c r="R34" s="11" t="s">
        <v>1932</v>
      </c>
      <c r="S34" s="11" t="s">
        <v>1933</v>
      </c>
      <c r="T34" s="177">
        <v>2</v>
      </c>
      <c r="U34" s="176" t="s">
        <v>1942</v>
      </c>
      <c r="V34" s="176"/>
      <c r="W34" s="176"/>
      <c r="X34" s="176"/>
      <c r="Y34" s="11">
        <v>0</v>
      </c>
      <c r="Z34" s="11">
        <v>0</v>
      </c>
      <c r="AA34" s="11">
        <v>0</v>
      </c>
      <c r="AB34" s="11">
        <f t="shared" si="0"/>
        <v>0</v>
      </c>
    </row>
    <row r="35" spans="1:28" ht="29" x14ac:dyDescent="0.35">
      <c r="A35" s="11" t="s">
        <v>1790</v>
      </c>
      <c r="B35" s="11">
        <v>2020</v>
      </c>
      <c r="C35" s="11" t="s">
        <v>1842</v>
      </c>
      <c r="D35" s="11" t="s">
        <v>1840</v>
      </c>
      <c r="E35" s="11" t="s">
        <v>1841</v>
      </c>
      <c r="F35" s="11" t="s">
        <v>982</v>
      </c>
      <c r="G35" s="11" t="s">
        <v>1113</v>
      </c>
      <c r="H35" s="11" t="s">
        <v>202</v>
      </c>
      <c r="I35" s="11">
        <v>71730</v>
      </c>
      <c r="J35" s="175">
        <v>6</v>
      </c>
      <c r="K35" s="11">
        <v>562211</v>
      </c>
      <c r="L35" s="176" t="s">
        <v>1839</v>
      </c>
      <c r="M35" s="176" t="s">
        <v>1931</v>
      </c>
      <c r="N35" s="11">
        <v>33.2044</v>
      </c>
      <c r="O35" s="11">
        <v>-92.630799999999994</v>
      </c>
      <c r="P35" s="163">
        <v>110000521221</v>
      </c>
      <c r="Q35" s="163">
        <v>1320219350586</v>
      </c>
      <c r="R35" s="11" t="s">
        <v>1932</v>
      </c>
      <c r="S35" s="11" t="s">
        <v>1933</v>
      </c>
      <c r="T35" s="177">
        <v>3</v>
      </c>
      <c r="U35" s="176" t="s">
        <v>1936</v>
      </c>
      <c r="V35" s="176"/>
      <c r="W35" s="176"/>
      <c r="X35" s="176"/>
      <c r="Y35" s="11">
        <v>0</v>
      </c>
      <c r="Z35" s="11">
        <v>0</v>
      </c>
      <c r="AA35" s="11">
        <v>0</v>
      </c>
      <c r="AB35" s="11">
        <f t="shared" si="0"/>
        <v>0</v>
      </c>
    </row>
    <row r="36" spans="1:28" ht="29" x14ac:dyDescent="0.35">
      <c r="A36" s="11" t="s">
        <v>1790</v>
      </c>
      <c r="B36" s="11">
        <v>2020</v>
      </c>
      <c r="C36" s="11" t="s">
        <v>1838</v>
      </c>
      <c r="D36" s="11" t="s">
        <v>1836</v>
      </c>
      <c r="E36" s="11" t="s">
        <v>1837</v>
      </c>
      <c r="F36" s="11" t="s">
        <v>421</v>
      </c>
      <c r="G36" s="11" t="s">
        <v>747</v>
      </c>
      <c r="H36" s="11" t="s">
        <v>95</v>
      </c>
      <c r="I36" s="11">
        <v>77571</v>
      </c>
      <c r="J36" s="175">
        <v>6</v>
      </c>
      <c r="K36" s="11">
        <v>562211</v>
      </c>
      <c r="L36" s="176" t="s">
        <v>1839</v>
      </c>
      <c r="M36" s="176" t="s">
        <v>1931</v>
      </c>
      <c r="N36" s="11">
        <v>29.73028</v>
      </c>
      <c r="O36" s="11">
        <v>-95.08981</v>
      </c>
      <c r="P36" s="163">
        <v>110000463365</v>
      </c>
      <c r="Q36" s="163">
        <v>1320219365246</v>
      </c>
      <c r="R36" s="11" t="s">
        <v>1932</v>
      </c>
      <c r="S36" s="11" t="s">
        <v>1933</v>
      </c>
      <c r="T36" s="177">
        <v>3</v>
      </c>
      <c r="U36" s="176" t="s">
        <v>1936</v>
      </c>
      <c r="V36" s="176"/>
      <c r="W36" s="176"/>
      <c r="X36" s="176"/>
      <c r="Y36" s="11">
        <v>0</v>
      </c>
      <c r="Z36" s="11">
        <v>0</v>
      </c>
      <c r="AA36" s="11">
        <v>0</v>
      </c>
      <c r="AB36" s="11">
        <f t="shared" si="0"/>
        <v>0</v>
      </c>
    </row>
    <row r="37" spans="1:28" ht="87" x14ac:dyDescent="0.35">
      <c r="A37" s="11" t="s">
        <v>1790</v>
      </c>
      <c r="B37" s="11">
        <v>2020</v>
      </c>
      <c r="C37" s="11" t="s">
        <v>99</v>
      </c>
      <c r="D37" s="11" t="s">
        <v>97</v>
      </c>
      <c r="E37" s="11" t="s">
        <v>1789</v>
      </c>
      <c r="F37" s="11" t="s">
        <v>98</v>
      </c>
      <c r="G37" s="11" t="s">
        <v>1695</v>
      </c>
      <c r="H37" s="11" t="s">
        <v>95</v>
      </c>
      <c r="I37" s="11">
        <v>77541</v>
      </c>
      <c r="J37" s="175">
        <v>6</v>
      </c>
      <c r="K37" s="11">
        <v>325199</v>
      </c>
      <c r="L37" s="176" t="s">
        <v>873</v>
      </c>
      <c r="M37" s="176" t="s">
        <v>1931</v>
      </c>
      <c r="N37" s="11">
        <v>28.969389</v>
      </c>
      <c r="O37" s="11">
        <v>-95.379527999999993</v>
      </c>
      <c r="P37" s="163">
        <v>110066943605</v>
      </c>
      <c r="Q37" s="163">
        <v>1320219425473</v>
      </c>
      <c r="R37" s="11" t="s">
        <v>1932</v>
      </c>
      <c r="S37" s="11" t="s">
        <v>1933</v>
      </c>
      <c r="T37" s="177">
        <v>5</v>
      </c>
      <c r="U37" s="176" t="s">
        <v>1962</v>
      </c>
      <c r="V37" s="176"/>
      <c r="W37" s="176"/>
      <c r="X37" s="176"/>
      <c r="Y37" s="11">
        <v>0</v>
      </c>
      <c r="Z37" s="11">
        <v>0</v>
      </c>
      <c r="AA37" s="11">
        <v>79</v>
      </c>
      <c r="AB37" s="11">
        <f t="shared" si="0"/>
        <v>79</v>
      </c>
    </row>
    <row r="38" spans="1:28" ht="29" x14ac:dyDescent="0.35">
      <c r="A38" s="11" t="s">
        <v>1790</v>
      </c>
      <c r="B38" s="11">
        <v>2020</v>
      </c>
      <c r="C38" s="11" t="s">
        <v>103</v>
      </c>
      <c r="D38" s="11" t="s">
        <v>100</v>
      </c>
      <c r="E38" s="11" t="s">
        <v>1793</v>
      </c>
      <c r="F38" s="11" t="s">
        <v>101</v>
      </c>
      <c r="G38" s="11" t="s">
        <v>1951</v>
      </c>
      <c r="H38" s="11" t="s">
        <v>102</v>
      </c>
      <c r="I38" s="11">
        <v>92011</v>
      </c>
      <c r="J38" s="175">
        <v>9</v>
      </c>
      <c r="K38" s="11">
        <v>325998</v>
      </c>
      <c r="L38" s="176" t="s">
        <v>1794</v>
      </c>
      <c r="M38" s="176" t="s">
        <v>1931</v>
      </c>
      <c r="N38" s="11">
        <v>33.119149999999998</v>
      </c>
      <c r="O38" s="11">
        <v>-117.28344</v>
      </c>
      <c r="P38" s="163">
        <v>110000478509</v>
      </c>
      <c r="Q38" s="163">
        <v>1320219428012</v>
      </c>
      <c r="R38" s="11" t="s">
        <v>1932</v>
      </c>
      <c r="S38" s="11" t="s">
        <v>1933</v>
      </c>
      <c r="T38" s="177">
        <v>4</v>
      </c>
      <c r="U38" s="176" t="s">
        <v>1952</v>
      </c>
      <c r="V38" s="176"/>
      <c r="W38" s="176"/>
      <c r="X38" s="176"/>
      <c r="Y38" s="11">
        <v>0</v>
      </c>
      <c r="Z38" s="11">
        <v>1</v>
      </c>
      <c r="AA38" s="11">
        <v>0</v>
      </c>
      <c r="AB38" s="11">
        <f t="shared" si="0"/>
        <v>1</v>
      </c>
    </row>
    <row r="39" spans="1:28" ht="43.5" x14ac:dyDescent="0.35">
      <c r="A39" s="11" t="s">
        <v>1790</v>
      </c>
      <c r="B39" s="11">
        <v>2020</v>
      </c>
      <c r="C39" s="11" t="s">
        <v>1830</v>
      </c>
      <c r="D39" s="11" t="s">
        <v>1827</v>
      </c>
      <c r="E39" s="11" t="s">
        <v>1828</v>
      </c>
      <c r="F39" s="11" t="s">
        <v>1829</v>
      </c>
      <c r="G39" s="11" t="s">
        <v>1953</v>
      </c>
      <c r="H39" s="11" t="s">
        <v>560</v>
      </c>
      <c r="I39" s="11">
        <v>68949</v>
      </c>
      <c r="J39" s="175">
        <v>7</v>
      </c>
      <c r="K39" s="11">
        <v>339112</v>
      </c>
      <c r="L39" s="176" t="s">
        <v>1831</v>
      </c>
      <c r="M39" s="176" t="s">
        <v>1931</v>
      </c>
      <c r="N39" s="11">
        <v>40.432802000000002</v>
      </c>
      <c r="O39" s="11">
        <v>-99.397300000000001</v>
      </c>
      <c r="P39" s="163">
        <v>110000597033</v>
      </c>
      <c r="Q39" s="163">
        <v>1320219605247</v>
      </c>
      <c r="R39" s="11" t="s">
        <v>1932</v>
      </c>
      <c r="S39" s="11" t="s">
        <v>1933</v>
      </c>
      <c r="T39" s="177">
        <v>3</v>
      </c>
      <c r="U39" s="176" t="s">
        <v>1954</v>
      </c>
      <c r="V39" s="176"/>
      <c r="W39" s="176"/>
      <c r="X39" s="176"/>
      <c r="Y39" s="11">
        <v>0</v>
      </c>
      <c r="Z39" s="11">
        <v>0</v>
      </c>
      <c r="AA39" s="11">
        <v>0</v>
      </c>
      <c r="AB39" s="11">
        <f t="shared" si="0"/>
        <v>0</v>
      </c>
    </row>
    <row r="40" spans="1:28" ht="29" x14ac:dyDescent="0.35">
      <c r="A40" s="11" t="s">
        <v>1790</v>
      </c>
      <c r="B40" s="11">
        <v>2020</v>
      </c>
      <c r="C40" s="11" t="s">
        <v>1844</v>
      </c>
      <c r="D40" s="11" t="s">
        <v>1843</v>
      </c>
      <c r="E40" s="11" t="s">
        <v>1789</v>
      </c>
      <c r="F40" s="11" t="s">
        <v>98</v>
      </c>
      <c r="G40" s="11" t="s">
        <v>1695</v>
      </c>
      <c r="H40" s="11" t="s">
        <v>95</v>
      </c>
      <c r="I40" s="11">
        <v>775413257</v>
      </c>
      <c r="J40" s="175">
        <v>6</v>
      </c>
      <c r="K40" s="11">
        <v>325199</v>
      </c>
      <c r="L40" s="176" t="s">
        <v>873</v>
      </c>
      <c r="M40" s="176" t="s">
        <v>1931</v>
      </c>
      <c r="N40" s="11">
        <v>28.980146999999999</v>
      </c>
      <c r="O40" s="11">
        <v>-95.342271999999994</v>
      </c>
      <c r="P40" s="163">
        <v>110008170237</v>
      </c>
      <c r="Q40" s="163">
        <v>1320220592947</v>
      </c>
      <c r="R40" s="11" t="s">
        <v>1932</v>
      </c>
      <c r="S40" s="11" t="s">
        <v>1933</v>
      </c>
      <c r="T40" s="177">
        <v>1</v>
      </c>
      <c r="U40" s="176" t="s">
        <v>1955</v>
      </c>
      <c r="V40" s="176"/>
      <c r="W40" s="176"/>
      <c r="X40" s="176"/>
      <c r="Y40" s="11">
        <v>0</v>
      </c>
      <c r="Z40" s="11">
        <v>0</v>
      </c>
      <c r="AA40" s="11">
        <v>0</v>
      </c>
      <c r="AB40" s="11">
        <f t="shared" si="0"/>
        <v>0</v>
      </c>
    </row>
    <row r="41" spans="1:28" ht="29" x14ac:dyDescent="0.35">
      <c r="A41" s="11" t="s">
        <v>1790</v>
      </c>
      <c r="B41" s="11">
        <v>2020</v>
      </c>
      <c r="C41" s="11" t="s">
        <v>1820</v>
      </c>
      <c r="D41" s="11" t="s">
        <v>1817</v>
      </c>
      <c r="E41" s="11" t="s">
        <v>1818</v>
      </c>
      <c r="F41" s="11" t="s">
        <v>1819</v>
      </c>
      <c r="G41" s="11" t="s">
        <v>1956</v>
      </c>
      <c r="H41" s="11" t="s">
        <v>111</v>
      </c>
      <c r="I41" s="11">
        <v>61242</v>
      </c>
      <c r="J41" s="175">
        <v>5</v>
      </c>
      <c r="K41" s="11">
        <v>325998</v>
      </c>
      <c r="L41" s="176" t="s">
        <v>1794</v>
      </c>
      <c r="M41" s="176" t="s">
        <v>1931</v>
      </c>
      <c r="N41" s="11">
        <v>41.755000000000003</v>
      </c>
      <c r="O41" s="11">
        <v>-90.284166999999997</v>
      </c>
      <c r="P41" s="163">
        <v>110013886875</v>
      </c>
      <c r="Q41" s="163">
        <v>1320220621270</v>
      </c>
      <c r="R41" s="11" t="s">
        <v>1932</v>
      </c>
      <c r="S41" s="11" t="s">
        <v>1933</v>
      </c>
      <c r="T41" s="163">
        <v>5</v>
      </c>
      <c r="U41" s="176" t="s">
        <v>1957</v>
      </c>
      <c r="V41" s="176"/>
      <c r="W41" s="176"/>
      <c r="X41" s="176"/>
      <c r="Y41" s="11">
        <v>0</v>
      </c>
      <c r="Z41" s="11">
        <v>0</v>
      </c>
      <c r="AA41" s="11">
        <v>0</v>
      </c>
      <c r="AB41" s="11">
        <f t="shared" si="0"/>
        <v>0</v>
      </c>
    </row>
    <row r="42" spans="1:28" ht="29" x14ac:dyDescent="0.35">
      <c r="A42" s="11" t="s">
        <v>1790</v>
      </c>
      <c r="B42" s="11">
        <v>2020</v>
      </c>
      <c r="C42" s="11" t="s">
        <v>1864</v>
      </c>
      <c r="D42" s="11" t="s">
        <v>1859</v>
      </c>
      <c r="E42" s="11" t="s">
        <v>1860</v>
      </c>
      <c r="F42" s="11" t="s">
        <v>1861</v>
      </c>
      <c r="G42" s="11" t="s">
        <v>1958</v>
      </c>
      <c r="H42" s="11" t="s">
        <v>1862</v>
      </c>
      <c r="I42" s="11" t="s">
        <v>1863</v>
      </c>
      <c r="J42" s="175">
        <v>1</v>
      </c>
      <c r="K42" s="11">
        <v>424690</v>
      </c>
      <c r="L42" s="176" t="s">
        <v>1865</v>
      </c>
      <c r="M42" s="176" t="s">
        <v>1931</v>
      </c>
      <c r="N42" s="11">
        <v>41.670540000000003</v>
      </c>
      <c r="O42" s="11">
        <v>-72.755600000000001</v>
      </c>
      <c r="P42" s="163">
        <v>110033160022</v>
      </c>
      <c r="Q42" s="163">
        <v>1320220647883</v>
      </c>
      <c r="R42" s="11" t="s">
        <v>1932</v>
      </c>
      <c r="S42" s="11" t="s">
        <v>1933</v>
      </c>
      <c r="T42" s="177">
        <v>4</v>
      </c>
      <c r="U42" s="176" t="s">
        <v>1952</v>
      </c>
      <c r="V42" s="176"/>
      <c r="W42" s="176"/>
      <c r="X42" s="176"/>
      <c r="Y42" s="11">
        <v>0</v>
      </c>
      <c r="Z42" s="11">
        <v>0</v>
      </c>
      <c r="AA42" s="11">
        <v>0</v>
      </c>
      <c r="AB42" s="11">
        <f t="shared" si="0"/>
        <v>0</v>
      </c>
    </row>
    <row r="43" spans="1:28" ht="43.5" x14ac:dyDescent="0.35">
      <c r="A43" s="11" t="s">
        <v>1790</v>
      </c>
      <c r="B43" s="11">
        <v>2020</v>
      </c>
      <c r="C43" s="11" t="s">
        <v>92</v>
      </c>
      <c r="D43" s="11" t="s">
        <v>89</v>
      </c>
      <c r="E43" s="11" t="s">
        <v>1795</v>
      </c>
      <c r="F43" s="11" t="s">
        <v>90</v>
      </c>
      <c r="G43" s="11" t="s">
        <v>1939</v>
      </c>
      <c r="H43" s="11" t="s">
        <v>91</v>
      </c>
      <c r="I43" s="11">
        <v>70669</v>
      </c>
      <c r="J43" s="175">
        <v>6</v>
      </c>
      <c r="K43" s="11">
        <v>325180</v>
      </c>
      <c r="L43" s="176" t="s">
        <v>1797</v>
      </c>
      <c r="M43" s="176" t="s">
        <v>1931</v>
      </c>
      <c r="N43" s="11">
        <v>30.223500000000001</v>
      </c>
      <c r="O43" s="11">
        <v>-93.286900000000003</v>
      </c>
      <c r="P43" s="163">
        <v>110000494894</v>
      </c>
      <c r="Q43" s="163">
        <v>1320221471333</v>
      </c>
      <c r="R43" s="11" t="s">
        <v>1932</v>
      </c>
      <c r="S43" s="11" t="s">
        <v>1933</v>
      </c>
      <c r="T43" s="177">
        <v>7</v>
      </c>
      <c r="U43" s="176" t="s">
        <v>1959</v>
      </c>
      <c r="V43" s="176"/>
      <c r="W43" s="176"/>
      <c r="X43" s="176"/>
      <c r="Y43" s="11">
        <v>33</v>
      </c>
      <c r="Z43" s="11">
        <v>0</v>
      </c>
      <c r="AA43" s="11">
        <v>0</v>
      </c>
      <c r="AB43" s="11">
        <f t="shared" si="0"/>
        <v>33</v>
      </c>
    </row>
    <row r="44" spans="1:28" ht="29" x14ac:dyDescent="0.35">
      <c r="A44" s="11" t="s">
        <v>1790</v>
      </c>
      <c r="B44" s="11">
        <v>2020</v>
      </c>
      <c r="C44" s="11" t="s">
        <v>1825</v>
      </c>
      <c r="D44" s="11" t="s">
        <v>1821</v>
      </c>
      <c r="E44" s="11" t="s">
        <v>1822</v>
      </c>
      <c r="F44" s="11" t="s">
        <v>1823</v>
      </c>
      <c r="G44" s="11" t="s">
        <v>1960</v>
      </c>
      <c r="H44" s="11" t="s">
        <v>1824</v>
      </c>
      <c r="I44" s="11">
        <v>27030</v>
      </c>
      <c r="J44" s="175">
        <v>4</v>
      </c>
      <c r="K44" s="11">
        <v>326150</v>
      </c>
      <c r="L44" s="176" t="s">
        <v>1826</v>
      </c>
      <c r="M44" s="176" t="s">
        <v>1931</v>
      </c>
      <c r="N44" s="11">
        <v>36.472777999999998</v>
      </c>
      <c r="O44" s="11">
        <v>-80.608610999999996</v>
      </c>
      <c r="P44" s="163">
        <v>110000345172</v>
      </c>
      <c r="Q44" s="163">
        <v>1320222389633</v>
      </c>
      <c r="R44" s="11" t="s">
        <v>1932</v>
      </c>
      <c r="S44" s="11" t="s">
        <v>1933</v>
      </c>
      <c r="T44" s="177">
        <v>4</v>
      </c>
      <c r="U44" s="176" t="s">
        <v>1961</v>
      </c>
      <c r="V44" s="176"/>
      <c r="W44" s="176"/>
      <c r="X44" s="176"/>
      <c r="Y44" s="11">
        <v>0</v>
      </c>
      <c r="Z44" s="11">
        <v>0</v>
      </c>
      <c r="AA44" s="11">
        <v>0</v>
      </c>
      <c r="AB44" s="11">
        <f t="shared" si="0"/>
        <v>0</v>
      </c>
    </row>
    <row r="45" spans="1:28" ht="29" x14ac:dyDescent="0.35">
      <c r="A45" s="11" t="s">
        <v>1790</v>
      </c>
      <c r="B45" s="11">
        <v>2021</v>
      </c>
      <c r="C45" s="11" t="s">
        <v>1876</v>
      </c>
      <c r="D45" s="11" t="s">
        <v>1873</v>
      </c>
      <c r="E45" s="11" t="s">
        <v>1874</v>
      </c>
      <c r="F45" s="11" t="s">
        <v>1875</v>
      </c>
      <c r="G45" s="11" t="s">
        <v>747</v>
      </c>
      <c r="H45" s="11" t="s">
        <v>95</v>
      </c>
      <c r="I45" s="11">
        <v>77536</v>
      </c>
      <c r="J45" s="175">
        <v>6</v>
      </c>
      <c r="K45" s="11">
        <v>325199</v>
      </c>
      <c r="L45" s="176" t="s">
        <v>873</v>
      </c>
      <c r="M45" s="176" t="s">
        <v>1931</v>
      </c>
      <c r="N45" s="11">
        <v>29.728559000000001</v>
      </c>
      <c r="O45" s="11">
        <v>-95.110764000000003</v>
      </c>
      <c r="P45" s="163">
        <v>110015742204</v>
      </c>
      <c r="Q45" s="163">
        <v>1321219720760</v>
      </c>
      <c r="R45" s="11" t="s">
        <v>1932</v>
      </c>
      <c r="S45" s="11" t="s">
        <v>1933</v>
      </c>
      <c r="T45" s="177">
        <v>3</v>
      </c>
      <c r="U45" s="176" t="s">
        <v>1934</v>
      </c>
      <c r="V45" s="176"/>
      <c r="W45" s="176"/>
      <c r="X45" s="176"/>
      <c r="Y45" s="11">
        <v>0</v>
      </c>
      <c r="Z45" s="11">
        <v>0</v>
      </c>
      <c r="AA45" s="11">
        <v>0</v>
      </c>
      <c r="AB45" s="11">
        <f t="shared" si="0"/>
        <v>0</v>
      </c>
    </row>
    <row r="46" spans="1:28" ht="29" x14ac:dyDescent="0.35">
      <c r="A46" s="11" t="s">
        <v>1790</v>
      </c>
      <c r="B46" s="11">
        <v>2021</v>
      </c>
      <c r="C46" s="11" t="s">
        <v>1900</v>
      </c>
      <c r="D46" s="11" t="s">
        <v>1898</v>
      </c>
      <c r="E46" s="11" t="s">
        <v>1899</v>
      </c>
      <c r="F46" s="11" t="s">
        <v>209</v>
      </c>
      <c r="G46" s="11" t="s">
        <v>1930</v>
      </c>
      <c r="H46" s="11" t="s">
        <v>91</v>
      </c>
      <c r="I46" s="11">
        <v>70734</v>
      </c>
      <c r="J46" s="175">
        <v>6</v>
      </c>
      <c r="K46" s="11">
        <v>325211</v>
      </c>
      <c r="L46" s="176" t="s">
        <v>1787</v>
      </c>
      <c r="M46" s="176" t="s">
        <v>1931</v>
      </c>
      <c r="N46" s="11">
        <v>30.208604000000001</v>
      </c>
      <c r="O46" s="11">
        <v>-91.011127999999999</v>
      </c>
      <c r="P46" s="163">
        <v>110000746328</v>
      </c>
      <c r="Q46" s="163">
        <v>1321219724186</v>
      </c>
      <c r="R46" s="11" t="s">
        <v>1932</v>
      </c>
      <c r="S46" s="11" t="s">
        <v>1933</v>
      </c>
      <c r="T46" s="177">
        <v>3</v>
      </c>
      <c r="U46" s="176" t="s">
        <v>1934</v>
      </c>
      <c r="V46" s="176"/>
      <c r="W46" s="176"/>
      <c r="X46" s="176"/>
      <c r="Y46" s="11">
        <v>0</v>
      </c>
      <c r="Z46" s="11">
        <v>0</v>
      </c>
      <c r="AA46" s="11">
        <v>0</v>
      </c>
      <c r="AB46" s="11">
        <f t="shared" si="0"/>
        <v>0</v>
      </c>
    </row>
    <row r="47" spans="1:28" ht="29" x14ac:dyDescent="0.35">
      <c r="A47" s="11" t="s">
        <v>1790</v>
      </c>
      <c r="B47" s="11">
        <v>2021</v>
      </c>
      <c r="C47" s="11" t="s">
        <v>1834</v>
      </c>
      <c r="D47" s="11" t="s">
        <v>1832</v>
      </c>
      <c r="E47" s="11" t="s">
        <v>1833</v>
      </c>
      <c r="F47" s="11" t="s">
        <v>1423</v>
      </c>
      <c r="G47" s="11" t="s">
        <v>1937</v>
      </c>
      <c r="H47" s="11" t="s">
        <v>102</v>
      </c>
      <c r="I47" s="11">
        <v>94621</v>
      </c>
      <c r="J47" s="175">
        <v>9</v>
      </c>
      <c r="K47" s="11">
        <v>325611</v>
      </c>
      <c r="L47" s="176" t="s">
        <v>1835</v>
      </c>
      <c r="M47" s="176" t="s">
        <v>1931</v>
      </c>
      <c r="N47" s="11">
        <v>37.756169999999997</v>
      </c>
      <c r="O47" s="11">
        <v>-122.20350999999999</v>
      </c>
      <c r="P47" s="163">
        <v>110010488150</v>
      </c>
      <c r="Q47" s="163">
        <v>1321219786860</v>
      </c>
      <c r="R47" s="11" t="s">
        <v>1932</v>
      </c>
      <c r="S47" s="11" t="s">
        <v>1933</v>
      </c>
      <c r="T47" s="177">
        <v>3</v>
      </c>
      <c r="U47" s="176" t="s">
        <v>1938</v>
      </c>
      <c r="V47" s="176"/>
      <c r="W47" s="176"/>
      <c r="X47" s="176"/>
      <c r="Y47" s="11">
        <v>0</v>
      </c>
      <c r="Z47" s="11">
        <v>0</v>
      </c>
      <c r="AA47" s="11">
        <v>0</v>
      </c>
      <c r="AB47" s="11">
        <f t="shared" si="0"/>
        <v>0</v>
      </c>
    </row>
    <row r="48" spans="1:28" ht="43.5" x14ac:dyDescent="0.35">
      <c r="A48" s="11" t="s">
        <v>1790</v>
      </c>
      <c r="B48" s="11">
        <v>2021</v>
      </c>
      <c r="C48" s="11" t="s">
        <v>1830</v>
      </c>
      <c r="D48" s="11" t="s">
        <v>1827</v>
      </c>
      <c r="E48" s="11" t="s">
        <v>1828</v>
      </c>
      <c r="F48" s="11" t="s">
        <v>1829</v>
      </c>
      <c r="G48" s="11" t="s">
        <v>1953</v>
      </c>
      <c r="H48" s="11" t="s">
        <v>560</v>
      </c>
      <c r="I48" s="11">
        <v>68949</v>
      </c>
      <c r="J48" s="175">
        <v>7</v>
      </c>
      <c r="K48" s="11">
        <v>339112</v>
      </c>
      <c r="L48" s="176" t="s">
        <v>1831</v>
      </c>
      <c r="M48" s="176" t="s">
        <v>1931</v>
      </c>
      <c r="N48" s="11">
        <v>40.432802000000002</v>
      </c>
      <c r="O48" s="11">
        <v>-99.397300000000001</v>
      </c>
      <c r="P48" s="163">
        <v>110000597033</v>
      </c>
      <c r="Q48" s="163">
        <v>1321219889084</v>
      </c>
      <c r="R48" s="11" t="s">
        <v>1932</v>
      </c>
      <c r="S48" s="11" t="s">
        <v>1933</v>
      </c>
      <c r="T48" s="177">
        <v>4</v>
      </c>
      <c r="U48" s="176" t="s">
        <v>1954</v>
      </c>
      <c r="V48" s="176"/>
      <c r="W48" s="176"/>
      <c r="X48" s="176"/>
      <c r="Y48" s="11">
        <v>0</v>
      </c>
      <c r="Z48" s="11">
        <v>0</v>
      </c>
      <c r="AA48" s="11">
        <v>0</v>
      </c>
      <c r="AB48" s="11">
        <f t="shared" si="0"/>
        <v>0</v>
      </c>
    </row>
    <row r="49" spans="1:28" ht="58" x14ac:dyDescent="0.35">
      <c r="A49" s="11" t="s">
        <v>1790</v>
      </c>
      <c r="B49" s="11">
        <v>2021</v>
      </c>
      <c r="C49" s="11" t="s">
        <v>1879</v>
      </c>
      <c r="D49" s="11" t="s">
        <v>1877</v>
      </c>
      <c r="E49" s="11" t="s">
        <v>1878</v>
      </c>
      <c r="F49" s="11" t="s">
        <v>421</v>
      </c>
      <c r="G49" s="11" t="s">
        <v>747</v>
      </c>
      <c r="H49" s="11" t="s">
        <v>95</v>
      </c>
      <c r="I49" s="11">
        <v>77571</v>
      </c>
      <c r="J49" s="175">
        <v>6</v>
      </c>
      <c r="K49" s="11">
        <v>325199</v>
      </c>
      <c r="L49" s="176" t="s">
        <v>873</v>
      </c>
      <c r="M49" s="176" t="s">
        <v>1931</v>
      </c>
      <c r="N49" s="11">
        <v>29.723700000000001</v>
      </c>
      <c r="O49" s="11">
        <v>-95.074079999999995</v>
      </c>
      <c r="P49" s="163">
        <v>110017769734</v>
      </c>
      <c r="Q49" s="163">
        <v>1321219990948</v>
      </c>
      <c r="R49" s="11" t="s">
        <v>1932</v>
      </c>
      <c r="S49" s="11" t="s">
        <v>1933</v>
      </c>
      <c r="T49" s="177">
        <v>4</v>
      </c>
      <c r="U49" s="176" t="s">
        <v>1946</v>
      </c>
      <c r="V49" s="176"/>
      <c r="W49" s="176"/>
      <c r="X49" s="176"/>
      <c r="Y49" s="11">
        <v>0</v>
      </c>
      <c r="Z49" s="11">
        <v>0</v>
      </c>
      <c r="AA49" s="11">
        <v>0</v>
      </c>
      <c r="AB49" s="11">
        <f t="shared" si="0"/>
        <v>0</v>
      </c>
    </row>
    <row r="50" spans="1:28" ht="29" x14ac:dyDescent="0.35">
      <c r="A50" s="11" t="s">
        <v>1790</v>
      </c>
      <c r="B50" s="11">
        <v>2021</v>
      </c>
      <c r="C50" s="11" t="s">
        <v>1894</v>
      </c>
      <c r="D50" s="11" t="s">
        <v>1892</v>
      </c>
      <c r="E50" s="11" t="s">
        <v>1893</v>
      </c>
      <c r="F50" s="11" t="s">
        <v>90</v>
      </c>
      <c r="G50" s="11" t="s">
        <v>1939</v>
      </c>
      <c r="H50" s="11" t="s">
        <v>91</v>
      </c>
      <c r="I50" s="11">
        <v>70669</v>
      </c>
      <c r="J50" s="175">
        <v>6</v>
      </c>
      <c r="K50" s="11">
        <v>325110</v>
      </c>
      <c r="L50" s="176" t="s">
        <v>1895</v>
      </c>
      <c r="M50" s="176" t="s">
        <v>1931</v>
      </c>
      <c r="N50" s="11">
        <v>30.252222</v>
      </c>
      <c r="O50" s="11">
        <v>-93.284443999999993</v>
      </c>
      <c r="P50" s="163">
        <v>110002054482</v>
      </c>
      <c r="Q50" s="163">
        <v>1321220004257</v>
      </c>
      <c r="R50" s="11" t="s">
        <v>1932</v>
      </c>
      <c r="S50" s="11" t="s">
        <v>1933</v>
      </c>
      <c r="T50" s="177">
        <v>3</v>
      </c>
      <c r="U50" s="176" t="s">
        <v>1940</v>
      </c>
      <c r="V50" s="176"/>
      <c r="W50" s="176"/>
      <c r="X50" s="176"/>
      <c r="Y50" s="11">
        <v>0</v>
      </c>
      <c r="Z50" s="11">
        <v>0</v>
      </c>
      <c r="AA50" s="11">
        <v>0</v>
      </c>
      <c r="AB50" s="11">
        <f t="shared" si="0"/>
        <v>0</v>
      </c>
    </row>
    <row r="51" spans="1:28" ht="101.5" x14ac:dyDescent="0.35">
      <c r="A51" s="11" t="s">
        <v>1790</v>
      </c>
      <c r="B51" s="11">
        <v>2021</v>
      </c>
      <c r="C51" s="11" t="s">
        <v>99</v>
      </c>
      <c r="D51" s="11" t="s">
        <v>97</v>
      </c>
      <c r="E51" s="11" t="s">
        <v>1789</v>
      </c>
      <c r="F51" s="11" t="s">
        <v>98</v>
      </c>
      <c r="G51" s="11" t="s">
        <v>1695</v>
      </c>
      <c r="H51" s="11" t="s">
        <v>95</v>
      </c>
      <c r="I51" s="11">
        <v>77541</v>
      </c>
      <c r="J51" s="175">
        <v>6</v>
      </c>
      <c r="K51" s="11">
        <v>325199</v>
      </c>
      <c r="L51" s="176" t="s">
        <v>873</v>
      </c>
      <c r="M51" s="176" t="s">
        <v>1931</v>
      </c>
      <c r="N51" s="11">
        <v>28.969389</v>
      </c>
      <c r="O51" s="11">
        <v>-95.379527999999993</v>
      </c>
      <c r="P51" s="163">
        <v>110066943605</v>
      </c>
      <c r="Q51" s="163">
        <v>1321220254130</v>
      </c>
      <c r="R51" s="11" t="s">
        <v>1932</v>
      </c>
      <c r="S51" s="11" t="s">
        <v>1933</v>
      </c>
      <c r="T51" s="177">
        <v>5</v>
      </c>
      <c r="U51" s="176" t="s">
        <v>1963</v>
      </c>
      <c r="V51" s="176"/>
      <c r="W51" s="176"/>
      <c r="X51" s="176"/>
      <c r="Y51" s="11">
        <v>0</v>
      </c>
      <c r="Z51" s="11">
        <v>0</v>
      </c>
      <c r="AA51" s="11">
        <v>80</v>
      </c>
      <c r="AB51" s="11">
        <f t="shared" si="0"/>
        <v>80</v>
      </c>
    </row>
    <row r="52" spans="1:28" ht="29" x14ac:dyDescent="0.35">
      <c r="A52" s="11" t="s">
        <v>1790</v>
      </c>
      <c r="B52" s="11">
        <v>2021</v>
      </c>
      <c r="C52" s="11" t="s">
        <v>103</v>
      </c>
      <c r="D52" s="11" t="s">
        <v>100</v>
      </c>
      <c r="E52" s="11" t="s">
        <v>1793</v>
      </c>
      <c r="F52" s="11" t="s">
        <v>101</v>
      </c>
      <c r="G52" s="11" t="s">
        <v>1951</v>
      </c>
      <c r="H52" s="11" t="s">
        <v>102</v>
      </c>
      <c r="I52" s="11">
        <v>92011</v>
      </c>
      <c r="J52" s="175">
        <v>9</v>
      </c>
      <c r="K52" s="11">
        <v>325998</v>
      </c>
      <c r="L52" s="176" t="s">
        <v>1794</v>
      </c>
      <c r="M52" s="176" t="s">
        <v>1931</v>
      </c>
      <c r="N52" s="11">
        <v>33.119149999999998</v>
      </c>
      <c r="O52" s="11">
        <v>-117.28344</v>
      </c>
      <c r="P52" s="163">
        <v>110000478509</v>
      </c>
      <c r="Q52" s="163">
        <v>1321220326817</v>
      </c>
      <c r="R52" s="11" t="s">
        <v>1932</v>
      </c>
      <c r="S52" s="11" t="s">
        <v>1933</v>
      </c>
      <c r="T52" s="177">
        <v>4</v>
      </c>
      <c r="U52" s="176" t="s">
        <v>1952</v>
      </c>
      <c r="V52" s="176"/>
      <c r="W52" s="176"/>
      <c r="X52" s="176"/>
      <c r="Y52" s="11">
        <v>0</v>
      </c>
      <c r="Z52" s="11">
        <v>1</v>
      </c>
      <c r="AA52" s="11">
        <v>0</v>
      </c>
      <c r="AB52" s="11">
        <f t="shared" si="0"/>
        <v>1</v>
      </c>
    </row>
    <row r="53" spans="1:28" ht="29" x14ac:dyDescent="0.35">
      <c r="A53" s="11" t="s">
        <v>1790</v>
      </c>
      <c r="B53" s="11">
        <v>2021</v>
      </c>
      <c r="C53" s="11" t="s">
        <v>1887</v>
      </c>
      <c r="D53" s="11" t="s">
        <v>1884</v>
      </c>
      <c r="E53" s="11" t="s">
        <v>1885</v>
      </c>
      <c r="F53" s="11" t="s">
        <v>1886</v>
      </c>
      <c r="G53" s="11" t="s">
        <v>1945</v>
      </c>
      <c r="H53" s="11" t="s">
        <v>91</v>
      </c>
      <c r="I53" s="11">
        <v>70764</v>
      </c>
      <c r="J53" s="175">
        <v>6</v>
      </c>
      <c r="K53" s="11">
        <v>325211</v>
      </c>
      <c r="L53" s="176" t="s">
        <v>1787</v>
      </c>
      <c r="M53" s="176" t="s">
        <v>1931</v>
      </c>
      <c r="N53" s="11">
        <v>30.259399999999999</v>
      </c>
      <c r="O53" s="11">
        <v>-91.173699999999997</v>
      </c>
      <c r="P53" s="163">
        <v>110000572675</v>
      </c>
      <c r="Q53" s="163">
        <v>1321220406045</v>
      </c>
      <c r="R53" s="11" t="s">
        <v>1932</v>
      </c>
      <c r="S53" s="11" t="s">
        <v>1933</v>
      </c>
      <c r="T53" s="177">
        <v>2</v>
      </c>
      <c r="U53" s="176" t="s">
        <v>1940</v>
      </c>
      <c r="V53" s="176"/>
      <c r="W53" s="176"/>
      <c r="X53" s="176"/>
      <c r="Y53" s="11">
        <v>0</v>
      </c>
      <c r="Z53" s="11">
        <v>0</v>
      </c>
      <c r="AA53" s="11">
        <v>0</v>
      </c>
      <c r="AB53" s="11">
        <f t="shared" si="0"/>
        <v>0</v>
      </c>
    </row>
    <row r="54" spans="1:28" ht="43.5" x14ac:dyDescent="0.35">
      <c r="A54" s="11" t="s">
        <v>1790</v>
      </c>
      <c r="B54" s="11">
        <v>2021</v>
      </c>
      <c r="C54" s="11" t="s">
        <v>1903</v>
      </c>
      <c r="D54" s="11" t="s">
        <v>1901</v>
      </c>
      <c r="E54" s="11" t="s">
        <v>1902</v>
      </c>
      <c r="F54" s="11" t="s">
        <v>169</v>
      </c>
      <c r="G54" s="11" t="s">
        <v>1077</v>
      </c>
      <c r="H54" s="11" t="s">
        <v>108</v>
      </c>
      <c r="I54" s="11">
        <v>42029</v>
      </c>
      <c r="J54" s="175">
        <v>4</v>
      </c>
      <c r="K54" s="11">
        <v>325199</v>
      </c>
      <c r="L54" s="176" t="s">
        <v>873</v>
      </c>
      <c r="M54" s="176" t="s">
        <v>1931</v>
      </c>
      <c r="N54" s="11">
        <v>37.051110999999999</v>
      </c>
      <c r="O54" s="11">
        <v>-88.334166999999994</v>
      </c>
      <c r="P54" s="163">
        <v>110027373072</v>
      </c>
      <c r="Q54" s="163">
        <v>1321220409597</v>
      </c>
      <c r="R54" s="11" t="s">
        <v>1932</v>
      </c>
      <c r="S54" s="11" t="s">
        <v>1933</v>
      </c>
      <c r="T54" s="177">
        <v>4</v>
      </c>
      <c r="U54" s="176" t="s">
        <v>1948</v>
      </c>
      <c r="V54" s="176"/>
      <c r="W54" s="176"/>
      <c r="X54" s="176"/>
      <c r="Y54" s="11">
        <v>0</v>
      </c>
      <c r="Z54" s="11">
        <v>0</v>
      </c>
      <c r="AA54" s="11">
        <v>0</v>
      </c>
      <c r="AB54" s="11">
        <f t="shared" si="0"/>
        <v>0</v>
      </c>
    </row>
    <row r="55" spans="1:28" ht="29" x14ac:dyDescent="0.35">
      <c r="A55" s="11" t="s">
        <v>1790</v>
      </c>
      <c r="B55" s="11">
        <v>2021</v>
      </c>
      <c r="C55" s="11" t="s">
        <v>1852</v>
      </c>
      <c r="D55" s="11" t="s">
        <v>1849</v>
      </c>
      <c r="E55" s="11" t="s">
        <v>1850</v>
      </c>
      <c r="F55" s="11" t="s">
        <v>1851</v>
      </c>
      <c r="G55" s="11" t="s">
        <v>1941</v>
      </c>
      <c r="H55" s="11" t="s">
        <v>194</v>
      </c>
      <c r="I55" s="11">
        <v>29448</v>
      </c>
      <c r="J55" s="175">
        <v>4</v>
      </c>
      <c r="K55" s="11">
        <v>327310</v>
      </c>
      <c r="L55" s="176" t="s">
        <v>1853</v>
      </c>
      <c r="M55" s="176" t="s">
        <v>1931</v>
      </c>
      <c r="N55" s="11">
        <v>33.242778000000001</v>
      </c>
      <c r="O55" s="11">
        <v>-80.442222000000001</v>
      </c>
      <c r="P55" s="163">
        <v>110000560544</v>
      </c>
      <c r="Q55" s="163">
        <v>1321220429450</v>
      </c>
      <c r="R55" s="11" t="s">
        <v>1932</v>
      </c>
      <c r="S55" s="11" t="s">
        <v>1933</v>
      </c>
      <c r="T55" s="177">
        <v>2</v>
      </c>
      <c r="U55" s="176" t="s">
        <v>1942</v>
      </c>
      <c r="V55" s="176"/>
      <c r="W55" s="176"/>
      <c r="X55" s="176"/>
      <c r="Y55" s="11">
        <v>0</v>
      </c>
      <c r="Z55" s="11">
        <v>0</v>
      </c>
      <c r="AA55" s="11">
        <v>0</v>
      </c>
      <c r="AB55" s="11">
        <f t="shared" si="0"/>
        <v>0</v>
      </c>
    </row>
    <row r="56" spans="1:28" ht="29" x14ac:dyDescent="0.35">
      <c r="A56" s="11" t="s">
        <v>1790</v>
      </c>
      <c r="B56" s="11">
        <v>2021</v>
      </c>
      <c r="C56" s="11" t="s">
        <v>1872</v>
      </c>
      <c r="D56" s="11" t="s">
        <v>1870</v>
      </c>
      <c r="E56" s="11" t="s">
        <v>1871</v>
      </c>
      <c r="F56" s="11" t="s">
        <v>598</v>
      </c>
      <c r="G56" s="11" t="s">
        <v>1949</v>
      </c>
      <c r="H56" s="11" t="s">
        <v>95</v>
      </c>
      <c r="I56" s="11">
        <v>78359</v>
      </c>
      <c r="J56" s="175">
        <v>6</v>
      </c>
      <c r="K56" s="11">
        <v>325199</v>
      </c>
      <c r="L56" s="176" t="s">
        <v>873</v>
      </c>
      <c r="M56" s="176" t="s">
        <v>1931</v>
      </c>
      <c r="N56" s="11">
        <v>27.883610999999998</v>
      </c>
      <c r="O56" s="11">
        <v>-97.241382999999999</v>
      </c>
      <c r="P56" s="163">
        <v>110000599807</v>
      </c>
      <c r="Q56" s="163">
        <v>1321220431466</v>
      </c>
      <c r="R56" s="11" t="s">
        <v>1932</v>
      </c>
      <c r="S56" s="11" t="s">
        <v>1933</v>
      </c>
      <c r="T56" s="177">
        <v>4</v>
      </c>
      <c r="U56" s="176" t="s">
        <v>1940</v>
      </c>
      <c r="V56" s="176"/>
      <c r="W56" s="176"/>
      <c r="X56" s="176"/>
      <c r="Y56" s="11">
        <v>0</v>
      </c>
      <c r="Z56" s="11">
        <v>0</v>
      </c>
      <c r="AA56" s="11">
        <v>0</v>
      </c>
      <c r="AB56" s="11">
        <f t="shared" si="0"/>
        <v>0</v>
      </c>
    </row>
    <row r="57" spans="1:28" ht="29" x14ac:dyDescent="0.35">
      <c r="A57" s="11" t="s">
        <v>1790</v>
      </c>
      <c r="B57" s="11">
        <v>2021</v>
      </c>
      <c r="C57" s="11" t="s">
        <v>1897</v>
      </c>
      <c r="D57" s="11" t="s">
        <v>1892</v>
      </c>
      <c r="E57" s="11" t="s">
        <v>1896</v>
      </c>
      <c r="F57" s="11" t="s">
        <v>1886</v>
      </c>
      <c r="G57" s="11" t="s">
        <v>1945</v>
      </c>
      <c r="H57" s="11" t="s">
        <v>91</v>
      </c>
      <c r="I57" s="11">
        <v>70764</v>
      </c>
      <c r="J57" s="175">
        <v>6</v>
      </c>
      <c r="K57" s="11">
        <v>325211</v>
      </c>
      <c r="L57" s="176" t="s">
        <v>1787</v>
      </c>
      <c r="M57" s="176" t="s">
        <v>1931</v>
      </c>
      <c r="N57" s="11">
        <v>30.262255</v>
      </c>
      <c r="O57" s="11">
        <v>-91.185837000000006</v>
      </c>
      <c r="P57" s="163">
        <v>110000613747</v>
      </c>
      <c r="Q57" s="163">
        <v>1321220526697</v>
      </c>
      <c r="R57" s="11" t="s">
        <v>1932</v>
      </c>
      <c r="S57" s="11" t="s">
        <v>1933</v>
      </c>
      <c r="T57" s="177">
        <v>5</v>
      </c>
      <c r="U57" s="176" t="s">
        <v>1940</v>
      </c>
      <c r="V57" s="176"/>
      <c r="W57" s="176"/>
      <c r="X57" s="176"/>
      <c r="Y57" s="11">
        <v>0</v>
      </c>
      <c r="Z57" s="11">
        <v>0</v>
      </c>
      <c r="AA57" s="11">
        <v>0</v>
      </c>
      <c r="AB57" s="11">
        <f t="shared" si="0"/>
        <v>0</v>
      </c>
    </row>
    <row r="58" spans="1:28" ht="29" x14ac:dyDescent="0.35">
      <c r="A58" s="11" t="s">
        <v>1790</v>
      </c>
      <c r="B58" s="11">
        <v>2021</v>
      </c>
      <c r="C58" s="11" t="s">
        <v>1844</v>
      </c>
      <c r="D58" s="11" t="s">
        <v>1843</v>
      </c>
      <c r="E58" s="11" t="s">
        <v>1789</v>
      </c>
      <c r="F58" s="11" t="s">
        <v>98</v>
      </c>
      <c r="G58" s="11" t="s">
        <v>1695</v>
      </c>
      <c r="H58" s="11" t="s">
        <v>95</v>
      </c>
      <c r="I58" s="11">
        <v>775413257</v>
      </c>
      <c r="J58" s="175">
        <v>6</v>
      </c>
      <c r="K58" s="11">
        <v>325199</v>
      </c>
      <c r="L58" s="176" t="s">
        <v>873</v>
      </c>
      <c r="M58" s="176" t="s">
        <v>1931</v>
      </c>
      <c r="N58" s="11">
        <v>28.980146999999999</v>
      </c>
      <c r="O58" s="11">
        <v>-95.342271999999994</v>
      </c>
      <c r="P58" s="163">
        <v>110008170237</v>
      </c>
      <c r="Q58" s="163">
        <v>1321220569521</v>
      </c>
      <c r="R58" s="11" t="s">
        <v>1932</v>
      </c>
      <c r="S58" s="11" t="s">
        <v>1933</v>
      </c>
      <c r="T58" s="177">
        <v>1</v>
      </c>
      <c r="U58" s="176" t="s">
        <v>1955</v>
      </c>
      <c r="V58" s="176"/>
      <c r="W58" s="176"/>
      <c r="X58" s="176"/>
      <c r="Y58" s="11">
        <v>0</v>
      </c>
      <c r="Z58" s="11">
        <v>0</v>
      </c>
      <c r="AA58" s="11">
        <v>0</v>
      </c>
      <c r="AB58" s="11">
        <f t="shared" si="0"/>
        <v>0</v>
      </c>
    </row>
    <row r="59" spans="1:28" ht="29" x14ac:dyDescent="0.35">
      <c r="A59" s="11" t="s">
        <v>1790</v>
      </c>
      <c r="B59" s="11">
        <v>2021</v>
      </c>
      <c r="C59" s="11" t="s">
        <v>1857</v>
      </c>
      <c r="D59" s="11" t="s">
        <v>1854</v>
      </c>
      <c r="E59" s="11" t="s">
        <v>1855</v>
      </c>
      <c r="F59" s="11" t="s">
        <v>1856</v>
      </c>
      <c r="G59" s="11" t="s">
        <v>1935</v>
      </c>
      <c r="H59" s="11" t="s">
        <v>458</v>
      </c>
      <c r="I59" s="11">
        <v>43920</v>
      </c>
      <c r="J59" s="175">
        <v>5</v>
      </c>
      <c r="K59" s="11">
        <v>562213</v>
      </c>
      <c r="L59" s="176" t="s">
        <v>1858</v>
      </c>
      <c r="M59" s="176" t="s">
        <v>1931</v>
      </c>
      <c r="N59" s="11">
        <v>40.631622</v>
      </c>
      <c r="O59" s="11">
        <v>-80.546319999999994</v>
      </c>
      <c r="P59" s="163">
        <v>110027242320</v>
      </c>
      <c r="Q59" s="163">
        <v>1321220571398</v>
      </c>
      <c r="R59" s="11" t="s">
        <v>1932</v>
      </c>
      <c r="S59" s="11" t="s">
        <v>1933</v>
      </c>
      <c r="T59" s="177">
        <v>4</v>
      </c>
      <c r="U59" s="176" t="s">
        <v>1936</v>
      </c>
      <c r="V59" s="176"/>
      <c r="W59" s="176"/>
      <c r="X59" s="176"/>
      <c r="Y59" s="11">
        <v>0</v>
      </c>
      <c r="Z59" s="11">
        <v>0</v>
      </c>
      <c r="AA59" s="11">
        <v>0</v>
      </c>
      <c r="AB59" s="11">
        <f t="shared" si="0"/>
        <v>0</v>
      </c>
    </row>
    <row r="60" spans="1:28" ht="29" x14ac:dyDescent="0.35">
      <c r="A60" s="11" t="s">
        <v>1790</v>
      </c>
      <c r="B60" s="11">
        <v>2021</v>
      </c>
      <c r="C60" s="11" t="s">
        <v>1891</v>
      </c>
      <c r="D60" s="11" t="s">
        <v>1888</v>
      </c>
      <c r="E60" s="11" t="s">
        <v>1889</v>
      </c>
      <c r="F60" s="11" t="s">
        <v>1890</v>
      </c>
      <c r="G60" s="11" t="s">
        <v>1964</v>
      </c>
      <c r="H60" s="11" t="s">
        <v>111</v>
      </c>
      <c r="I60" s="11">
        <v>62201</v>
      </c>
      <c r="J60" s="175">
        <v>5</v>
      </c>
      <c r="K60" s="11">
        <v>562211</v>
      </c>
      <c r="L60" s="176" t="s">
        <v>1839</v>
      </c>
      <c r="M60" s="176" t="s">
        <v>1931</v>
      </c>
      <c r="N60" s="11">
        <v>38.598032000000003</v>
      </c>
      <c r="O60" s="11">
        <v>-90.180633</v>
      </c>
      <c r="P60" s="163">
        <v>110000438893</v>
      </c>
      <c r="Q60" s="163">
        <v>1321220572010</v>
      </c>
      <c r="R60" s="11" t="s">
        <v>1932</v>
      </c>
      <c r="S60" s="11" t="s">
        <v>1933</v>
      </c>
      <c r="T60" s="177">
        <v>3</v>
      </c>
      <c r="U60" s="176" t="s">
        <v>1936</v>
      </c>
      <c r="V60" s="176"/>
      <c r="W60" s="176"/>
      <c r="X60" s="176"/>
      <c r="Y60" s="11">
        <v>0</v>
      </c>
      <c r="Z60" s="11">
        <v>0</v>
      </c>
      <c r="AA60" s="11">
        <v>0</v>
      </c>
      <c r="AB60" s="11">
        <f t="shared" si="0"/>
        <v>0</v>
      </c>
    </row>
    <row r="61" spans="1:28" ht="43.5" x14ac:dyDescent="0.35">
      <c r="A61" s="11" t="s">
        <v>1790</v>
      </c>
      <c r="B61" s="11">
        <v>2021</v>
      </c>
      <c r="C61" s="11" t="s">
        <v>1842</v>
      </c>
      <c r="D61" s="11" t="s">
        <v>1840</v>
      </c>
      <c r="E61" s="11" t="s">
        <v>1841</v>
      </c>
      <c r="F61" s="11" t="s">
        <v>982</v>
      </c>
      <c r="G61" s="11" t="s">
        <v>1113</v>
      </c>
      <c r="H61" s="11" t="s">
        <v>202</v>
      </c>
      <c r="I61" s="11">
        <v>71730</v>
      </c>
      <c r="J61" s="175">
        <v>6</v>
      </c>
      <c r="K61" s="11">
        <v>562211</v>
      </c>
      <c r="L61" s="176" t="s">
        <v>1839</v>
      </c>
      <c r="M61" s="176" t="s">
        <v>1931</v>
      </c>
      <c r="N61" s="11">
        <v>33.2044</v>
      </c>
      <c r="O61" s="11">
        <v>-92.630799999999994</v>
      </c>
      <c r="P61" s="163">
        <v>110000521221</v>
      </c>
      <c r="Q61" s="163">
        <v>1321220574077</v>
      </c>
      <c r="R61" s="11" t="s">
        <v>1932</v>
      </c>
      <c r="S61" s="11" t="s">
        <v>1933</v>
      </c>
      <c r="T61" s="177">
        <v>3</v>
      </c>
      <c r="U61" s="176" t="s">
        <v>1965</v>
      </c>
      <c r="V61" s="176"/>
      <c r="W61" s="176"/>
      <c r="X61" s="176"/>
      <c r="Y61" s="11">
        <v>0</v>
      </c>
      <c r="Z61" s="11">
        <v>0</v>
      </c>
      <c r="AA61" s="11">
        <v>0</v>
      </c>
      <c r="AB61" s="11">
        <f t="shared" si="0"/>
        <v>0</v>
      </c>
    </row>
    <row r="62" spans="1:28" ht="29" x14ac:dyDescent="0.35">
      <c r="A62" s="11" t="s">
        <v>1790</v>
      </c>
      <c r="B62" s="11">
        <v>2021</v>
      </c>
      <c r="C62" s="11" t="s">
        <v>1820</v>
      </c>
      <c r="D62" s="11" t="s">
        <v>1817</v>
      </c>
      <c r="E62" s="11" t="s">
        <v>1818</v>
      </c>
      <c r="F62" s="11" t="s">
        <v>1819</v>
      </c>
      <c r="G62" s="11" t="s">
        <v>1956</v>
      </c>
      <c r="H62" s="11" t="s">
        <v>111</v>
      </c>
      <c r="I62" s="11">
        <v>61242</v>
      </c>
      <c r="J62" s="175">
        <v>5</v>
      </c>
      <c r="K62" s="11">
        <v>325998</v>
      </c>
      <c r="L62" s="176" t="s">
        <v>1794</v>
      </c>
      <c r="M62" s="176" t="s">
        <v>1931</v>
      </c>
      <c r="N62" s="11">
        <v>41.755000000000003</v>
      </c>
      <c r="O62" s="11">
        <v>-90.284166999999997</v>
      </c>
      <c r="P62" s="163">
        <v>110013886875</v>
      </c>
      <c r="Q62" s="163">
        <v>1321220621736</v>
      </c>
      <c r="R62" s="11" t="s">
        <v>1932</v>
      </c>
      <c r="S62" s="11" t="s">
        <v>1933</v>
      </c>
      <c r="T62" s="177">
        <v>5</v>
      </c>
      <c r="U62" s="176" t="s">
        <v>1957</v>
      </c>
      <c r="V62" s="176"/>
      <c r="W62" s="176"/>
      <c r="X62" s="176"/>
      <c r="Y62" s="11">
        <v>0</v>
      </c>
      <c r="Z62" s="11">
        <v>0</v>
      </c>
      <c r="AA62" s="11">
        <v>0</v>
      </c>
      <c r="AB62" s="11">
        <f t="shared" si="0"/>
        <v>0</v>
      </c>
    </row>
    <row r="63" spans="1:28" ht="29" x14ac:dyDescent="0.35">
      <c r="A63" s="11" t="s">
        <v>1790</v>
      </c>
      <c r="B63" s="11">
        <v>2021</v>
      </c>
      <c r="C63" s="11" t="s">
        <v>1864</v>
      </c>
      <c r="D63" s="11" t="s">
        <v>1859</v>
      </c>
      <c r="E63" s="11" t="s">
        <v>1860</v>
      </c>
      <c r="F63" s="11" t="s">
        <v>1861</v>
      </c>
      <c r="G63" s="11" t="s">
        <v>1958</v>
      </c>
      <c r="H63" s="11" t="s">
        <v>1862</v>
      </c>
      <c r="I63" s="11" t="s">
        <v>1863</v>
      </c>
      <c r="J63" s="175">
        <v>1</v>
      </c>
      <c r="K63" s="11">
        <v>424690</v>
      </c>
      <c r="L63" s="176" t="s">
        <v>1865</v>
      </c>
      <c r="M63" s="176" t="s">
        <v>1931</v>
      </c>
      <c r="N63" s="11">
        <v>41.670540000000003</v>
      </c>
      <c r="O63" s="11">
        <v>-72.755600000000001</v>
      </c>
      <c r="P63" s="163">
        <v>110033160022</v>
      </c>
      <c r="Q63" s="163">
        <v>1321220647984</v>
      </c>
      <c r="R63" s="11" t="s">
        <v>1932</v>
      </c>
      <c r="S63" s="11" t="s">
        <v>1933</v>
      </c>
      <c r="T63" s="177">
        <v>4</v>
      </c>
      <c r="U63" s="176" t="s">
        <v>1938</v>
      </c>
      <c r="V63" s="176"/>
      <c r="W63" s="176"/>
      <c r="X63" s="176"/>
      <c r="Y63" s="11">
        <v>0</v>
      </c>
      <c r="Z63" s="11">
        <v>0</v>
      </c>
      <c r="AA63" s="11">
        <v>0</v>
      </c>
      <c r="AB63" s="11">
        <f t="shared" si="0"/>
        <v>0</v>
      </c>
    </row>
    <row r="64" spans="1:28" ht="43.5" x14ac:dyDescent="0.35">
      <c r="A64" s="11" t="s">
        <v>1790</v>
      </c>
      <c r="B64" s="11">
        <v>2021</v>
      </c>
      <c r="C64" s="11" t="s">
        <v>92</v>
      </c>
      <c r="D64" s="11" t="s">
        <v>89</v>
      </c>
      <c r="E64" s="11" t="s">
        <v>1795</v>
      </c>
      <c r="F64" s="11" t="s">
        <v>90</v>
      </c>
      <c r="G64" s="11" t="s">
        <v>1939</v>
      </c>
      <c r="H64" s="11" t="s">
        <v>91</v>
      </c>
      <c r="I64" s="11">
        <v>70669</v>
      </c>
      <c r="J64" s="175">
        <v>6</v>
      </c>
      <c r="K64" s="11">
        <v>221112</v>
      </c>
      <c r="L64" s="176" t="s">
        <v>1796</v>
      </c>
      <c r="M64" s="176" t="s">
        <v>1931</v>
      </c>
      <c r="N64" s="11">
        <v>30.223500000000001</v>
      </c>
      <c r="O64" s="11">
        <v>-93.286900000000003</v>
      </c>
      <c r="P64" s="163">
        <v>110000494894</v>
      </c>
      <c r="Q64" s="163">
        <v>1321221471826</v>
      </c>
      <c r="R64" s="11" t="s">
        <v>1932</v>
      </c>
      <c r="S64" s="11" t="s">
        <v>1933</v>
      </c>
      <c r="T64" s="177">
        <v>7</v>
      </c>
      <c r="U64" s="176" t="s">
        <v>1959</v>
      </c>
      <c r="V64" s="176"/>
      <c r="W64" s="176"/>
      <c r="X64" s="176"/>
      <c r="Y64" s="11">
        <v>30</v>
      </c>
      <c r="Z64" s="11">
        <v>0</v>
      </c>
      <c r="AA64" s="11">
        <v>0</v>
      </c>
      <c r="AB64" s="11">
        <f t="shared" si="0"/>
        <v>30</v>
      </c>
    </row>
    <row r="65" spans="1:28" ht="29" x14ac:dyDescent="0.35">
      <c r="A65" s="11" t="s">
        <v>1790</v>
      </c>
      <c r="B65" s="11">
        <v>2021</v>
      </c>
      <c r="C65" s="11" t="s">
        <v>1869</v>
      </c>
      <c r="D65" s="11" t="s">
        <v>1866</v>
      </c>
      <c r="E65" s="11" t="s">
        <v>1867</v>
      </c>
      <c r="F65" s="11" t="s">
        <v>1868</v>
      </c>
      <c r="G65" s="11" t="s">
        <v>1966</v>
      </c>
      <c r="H65" s="11" t="s">
        <v>95</v>
      </c>
      <c r="I65" s="11">
        <v>77489</v>
      </c>
      <c r="J65" s="175">
        <v>6</v>
      </c>
      <c r="K65" s="11">
        <v>326150</v>
      </c>
      <c r="L65" s="176" t="s">
        <v>1826</v>
      </c>
      <c r="M65" s="176" t="s">
        <v>1931</v>
      </c>
      <c r="N65" s="11">
        <v>29.612449999999999</v>
      </c>
      <c r="O65" s="11">
        <v>-95.516098999999997</v>
      </c>
      <c r="P65" s="163">
        <v>110070942904</v>
      </c>
      <c r="Q65" s="163">
        <v>1321222389393</v>
      </c>
      <c r="R65" s="11" t="s">
        <v>1932</v>
      </c>
      <c r="S65" s="11" t="s">
        <v>1933</v>
      </c>
      <c r="T65" s="177">
        <v>4</v>
      </c>
      <c r="U65" s="176" t="s">
        <v>1961</v>
      </c>
      <c r="V65" s="176"/>
      <c r="W65" s="176"/>
      <c r="X65" s="176"/>
      <c r="Y65" s="11">
        <v>0</v>
      </c>
      <c r="Z65" s="11">
        <v>0</v>
      </c>
      <c r="AA65" s="11">
        <v>0</v>
      </c>
      <c r="AB65" s="11">
        <f t="shared" si="0"/>
        <v>0</v>
      </c>
    </row>
    <row r="66" spans="1:28" ht="29" x14ac:dyDescent="0.35">
      <c r="A66" s="11" t="s">
        <v>1790</v>
      </c>
      <c r="B66" s="11">
        <v>2021</v>
      </c>
      <c r="C66" s="11" t="s">
        <v>1825</v>
      </c>
      <c r="D66" s="11" t="s">
        <v>1821</v>
      </c>
      <c r="E66" s="11" t="s">
        <v>1822</v>
      </c>
      <c r="F66" s="11" t="s">
        <v>1823</v>
      </c>
      <c r="G66" s="11" t="s">
        <v>1960</v>
      </c>
      <c r="H66" s="11" t="s">
        <v>1824</v>
      </c>
      <c r="I66" s="11">
        <v>27030</v>
      </c>
      <c r="J66" s="175">
        <v>4</v>
      </c>
      <c r="K66" s="11">
        <v>326150</v>
      </c>
      <c r="L66" s="176" t="s">
        <v>1826</v>
      </c>
      <c r="M66" s="176" t="s">
        <v>1931</v>
      </c>
      <c r="N66" s="11">
        <v>36.472777999999998</v>
      </c>
      <c r="O66" s="11">
        <v>-80.608610999999996</v>
      </c>
      <c r="P66" s="163">
        <v>110000345172</v>
      </c>
      <c r="Q66" s="163">
        <v>1321222389684</v>
      </c>
      <c r="R66" s="11" t="s">
        <v>1932</v>
      </c>
      <c r="S66" s="11" t="s">
        <v>1933</v>
      </c>
      <c r="T66" s="177">
        <v>4</v>
      </c>
      <c r="U66" s="176" t="s">
        <v>1961</v>
      </c>
      <c r="V66" s="176"/>
      <c r="W66" s="176"/>
      <c r="X66" s="176"/>
      <c r="Y66" s="11">
        <v>0</v>
      </c>
      <c r="Z66" s="11">
        <v>0</v>
      </c>
      <c r="AA66" s="11">
        <v>0</v>
      </c>
      <c r="AB66" s="11">
        <f t="shared" ref="AB66:AB105" si="1">SUM(Y66+Z66+AA66)</f>
        <v>0</v>
      </c>
    </row>
    <row r="67" spans="1:28" ht="29" x14ac:dyDescent="0.35">
      <c r="A67" s="11" t="s">
        <v>1790</v>
      </c>
      <c r="B67" s="11">
        <v>2022</v>
      </c>
      <c r="C67" s="11" t="s">
        <v>1864</v>
      </c>
      <c r="D67" s="11" t="s">
        <v>1859</v>
      </c>
      <c r="E67" s="11" t="s">
        <v>1860</v>
      </c>
      <c r="F67" s="11" t="s">
        <v>1861</v>
      </c>
      <c r="G67" s="11" t="s">
        <v>1958</v>
      </c>
      <c r="H67" s="11" t="s">
        <v>1862</v>
      </c>
      <c r="I67" s="11" t="s">
        <v>1863</v>
      </c>
      <c r="J67" s="175">
        <v>1</v>
      </c>
      <c r="K67" s="11">
        <v>424690</v>
      </c>
      <c r="L67" s="176" t="s">
        <v>1865</v>
      </c>
      <c r="M67" s="176" t="s">
        <v>1931</v>
      </c>
      <c r="N67" s="11">
        <v>41.670540000000003</v>
      </c>
      <c r="O67" s="11">
        <v>-72.755600000000001</v>
      </c>
      <c r="P67" s="163">
        <v>110033160022</v>
      </c>
      <c r="Q67" s="163">
        <v>1322220716169</v>
      </c>
      <c r="R67" s="11" t="s">
        <v>1932</v>
      </c>
      <c r="S67" s="11" t="s">
        <v>1933</v>
      </c>
      <c r="T67" s="177">
        <v>4</v>
      </c>
      <c r="U67" s="176" t="s">
        <v>1938</v>
      </c>
      <c r="V67" s="176"/>
      <c r="W67" s="176"/>
      <c r="X67" s="176"/>
      <c r="Y67" s="11">
        <v>0</v>
      </c>
      <c r="Z67" s="11">
        <v>0</v>
      </c>
      <c r="AA67" s="11">
        <v>0</v>
      </c>
      <c r="AB67" s="11">
        <f t="shared" si="1"/>
        <v>0</v>
      </c>
    </row>
    <row r="68" spans="1:28" ht="29" x14ac:dyDescent="0.35">
      <c r="A68" s="11" t="s">
        <v>1790</v>
      </c>
      <c r="B68" s="11">
        <v>2022</v>
      </c>
      <c r="C68" s="11" t="s">
        <v>1900</v>
      </c>
      <c r="D68" s="11" t="s">
        <v>1898</v>
      </c>
      <c r="E68" s="11" t="s">
        <v>1899</v>
      </c>
      <c r="F68" s="11" t="s">
        <v>209</v>
      </c>
      <c r="G68" s="11" t="s">
        <v>1930</v>
      </c>
      <c r="H68" s="11" t="s">
        <v>91</v>
      </c>
      <c r="I68" s="11">
        <v>70734</v>
      </c>
      <c r="J68" s="175">
        <v>6</v>
      </c>
      <c r="K68" s="11">
        <v>325211</v>
      </c>
      <c r="L68" s="176" t="s">
        <v>1787</v>
      </c>
      <c r="M68" s="176" t="s">
        <v>1931</v>
      </c>
      <c r="N68" s="11">
        <v>30.208604000000001</v>
      </c>
      <c r="O68" s="11">
        <v>-91.011127999999999</v>
      </c>
      <c r="P68" s="163">
        <v>110000746328</v>
      </c>
      <c r="Q68" s="163">
        <v>1322220811347</v>
      </c>
      <c r="R68" s="11" t="s">
        <v>1932</v>
      </c>
      <c r="S68" s="11" t="s">
        <v>1933</v>
      </c>
      <c r="T68" s="177">
        <v>3</v>
      </c>
      <c r="U68" s="176" t="s">
        <v>1934</v>
      </c>
      <c r="V68" s="176"/>
      <c r="W68" s="176"/>
      <c r="X68" s="176"/>
      <c r="Y68" s="11">
        <v>0</v>
      </c>
      <c r="Z68" s="11">
        <v>0</v>
      </c>
      <c r="AA68" s="11">
        <v>0</v>
      </c>
      <c r="AB68" s="11">
        <f t="shared" si="1"/>
        <v>0</v>
      </c>
    </row>
    <row r="69" spans="1:28" ht="43.5" x14ac:dyDescent="0.35">
      <c r="A69" s="11" t="s">
        <v>1790</v>
      </c>
      <c r="B69" s="11">
        <v>2022</v>
      </c>
      <c r="C69" s="11" t="s">
        <v>92</v>
      </c>
      <c r="D69" s="11" t="s">
        <v>89</v>
      </c>
      <c r="E69" s="11" t="s">
        <v>1795</v>
      </c>
      <c r="F69" s="11" t="s">
        <v>90</v>
      </c>
      <c r="G69" s="11" t="s">
        <v>1939</v>
      </c>
      <c r="H69" s="11" t="s">
        <v>91</v>
      </c>
      <c r="I69" s="11">
        <v>70669</v>
      </c>
      <c r="J69" s="175">
        <v>6</v>
      </c>
      <c r="K69" s="11">
        <v>325180</v>
      </c>
      <c r="L69" s="176" t="s">
        <v>1797</v>
      </c>
      <c r="M69" s="176" t="s">
        <v>1931</v>
      </c>
      <c r="N69" s="11">
        <v>30.223500000000001</v>
      </c>
      <c r="O69" s="11">
        <v>-93.286900000000003</v>
      </c>
      <c r="P69" s="163">
        <v>110000494894</v>
      </c>
      <c r="Q69" s="163">
        <v>1322220872547</v>
      </c>
      <c r="R69" s="11" t="s">
        <v>1932</v>
      </c>
      <c r="S69" s="11" t="s">
        <v>1933</v>
      </c>
      <c r="T69" s="177">
        <v>7</v>
      </c>
      <c r="U69" s="176" t="s">
        <v>1959</v>
      </c>
      <c r="V69" s="176"/>
      <c r="W69" s="176"/>
      <c r="X69" s="176"/>
      <c r="Y69" s="11">
        <v>24</v>
      </c>
      <c r="Z69" s="11">
        <v>0</v>
      </c>
      <c r="AA69" s="11">
        <v>0</v>
      </c>
      <c r="AB69" s="11">
        <f t="shared" si="1"/>
        <v>24</v>
      </c>
    </row>
    <row r="70" spans="1:28" ht="29" x14ac:dyDescent="0.35">
      <c r="A70" s="11" t="s">
        <v>1790</v>
      </c>
      <c r="B70" s="11">
        <v>2022</v>
      </c>
      <c r="C70" s="11" t="s">
        <v>1894</v>
      </c>
      <c r="D70" s="11" t="s">
        <v>1892</v>
      </c>
      <c r="E70" s="11" t="s">
        <v>1893</v>
      </c>
      <c r="F70" s="11" t="s">
        <v>90</v>
      </c>
      <c r="G70" s="11" t="s">
        <v>1939</v>
      </c>
      <c r="H70" s="11" t="s">
        <v>91</v>
      </c>
      <c r="I70" s="11">
        <v>70669</v>
      </c>
      <c r="J70" s="175">
        <v>6</v>
      </c>
      <c r="K70" s="11">
        <v>325110</v>
      </c>
      <c r="L70" s="176" t="s">
        <v>1895</v>
      </c>
      <c r="M70" s="176" t="s">
        <v>1931</v>
      </c>
      <c r="N70" s="11">
        <v>30.252222</v>
      </c>
      <c r="O70" s="11">
        <v>-93.284443999999993</v>
      </c>
      <c r="P70" s="163">
        <v>110002054482</v>
      </c>
      <c r="Q70" s="163">
        <v>1322220899797</v>
      </c>
      <c r="R70" s="11" t="s">
        <v>1932</v>
      </c>
      <c r="S70" s="11" t="s">
        <v>1933</v>
      </c>
      <c r="T70" s="177">
        <v>3</v>
      </c>
      <c r="U70" s="176" t="s">
        <v>1940</v>
      </c>
      <c r="V70" s="176"/>
      <c r="W70" s="176"/>
      <c r="X70" s="176"/>
      <c r="Y70" s="11">
        <v>0</v>
      </c>
      <c r="Z70" s="11">
        <v>0</v>
      </c>
      <c r="AA70" s="11">
        <v>0</v>
      </c>
      <c r="AB70" s="11">
        <f t="shared" si="1"/>
        <v>0</v>
      </c>
    </row>
    <row r="71" spans="1:28" ht="72.5" x14ac:dyDescent="0.35">
      <c r="A71" s="11" t="s">
        <v>1790</v>
      </c>
      <c r="B71" s="11">
        <v>2022</v>
      </c>
      <c r="C71" s="11" t="s">
        <v>1842</v>
      </c>
      <c r="D71" s="11" t="s">
        <v>1840</v>
      </c>
      <c r="E71" s="11" t="s">
        <v>1841</v>
      </c>
      <c r="F71" s="11" t="s">
        <v>982</v>
      </c>
      <c r="G71" s="11" t="s">
        <v>1113</v>
      </c>
      <c r="H71" s="11" t="s">
        <v>202</v>
      </c>
      <c r="I71" s="11">
        <v>71730</v>
      </c>
      <c r="J71" s="175">
        <v>6</v>
      </c>
      <c r="K71" s="11">
        <v>562211</v>
      </c>
      <c r="L71" s="176" t="s">
        <v>1839</v>
      </c>
      <c r="M71" s="176" t="s">
        <v>1931</v>
      </c>
      <c r="N71" s="11">
        <v>33.2044</v>
      </c>
      <c r="O71" s="11">
        <v>-92.630799999999994</v>
      </c>
      <c r="P71" s="163">
        <v>110000521221</v>
      </c>
      <c r="Q71" s="163">
        <v>1322220924385</v>
      </c>
      <c r="R71" s="11" t="s">
        <v>1932</v>
      </c>
      <c r="S71" s="11" t="s">
        <v>1933</v>
      </c>
      <c r="T71" s="177">
        <v>3</v>
      </c>
      <c r="U71" s="176" t="s">
        <v>1967</v>
      </c>
      <c r="V71" s="176"/>
      <c r="W71" s="176"/>
      <c r="X71" s="176"/>
      <c r="Y71" s="11">
        <v>0</v>
      </c>
      <c r="Z71" s="11">
        <v>0</v>
      </c>
      <c r="AA71" s="11">
        <v>0</v>
      </c>
      <c r="AB71" s="11">
        <f t="shared" si="1"/>
        <v>0</v>
      </c>
    </row>
    <row r="72" spans="1:28" ht="58" x14ac:dyDescent="0.35">
      <c r="A72" s="11" t="s">
        <v>1790</v>
      </c>
      <c r="B72" s="11">
        <v>2022</v>
      </c>
      <c r="C72" s="11" t="s">
        <v>1879</v>
      </c>
      <c r="D72" s="11" t="s">
        <v>1877</v>
      </c>
      <c r="E72" s="11" t="s">
        <v>1878</v>
      </c>
      <c r="F72" s="11" t="s">
        <v>421</v>
      </c>
      <c r="G72" s="11" t="s">
        <v>747</v>
      </c>
      <c r="H72" s="11" t="s">
        <v>95</v>
      </c>
      <c r="I72" s="11">
        <v>77571</v>
      </c>
      <c r="J72" s="175">
        <v>6</v>
      </c>
      <c r="K72" s="11">
        <v>325199</v>
      </c>
      <c r="L72" s="176" t="s">
        <v>873</v>
      </c>
      <c r="M72" s="176" t="s">
        <v>1931</v>
      </c>
      <c r="N72" s="11">
        <v>29.723700000000001</v>
      </c>
      <c r="O72" s="11">
        <v>-95.074079999999995</v>
      </c>
      <c r="P72" s="163">
        <v>110017769734</v>
      </c>
      <c r="Q72" s="163">
        <v>1322221024627</v>
      </c>
      <c r="R72" s="11" t="s">
        <v>1932</v>
      </c>
      <c r="S72" s="11" t="s">
        <v>1933</v>
      </c>
      <c r="T72" s="177">
        <v>4</v>
      </c>
      <c r="U72" s="176" t="s">
        <v>1946</v>
      </c>
      <c r="V72" s="176"/>
      <c r="W72" s="176"/>
      <c r="X72" s="176"/>
      <c r="Y72" s="11">
        <v>0</v>
      </c>
      <c r="Z72" s="11">
        <v>0</v>
      </c>
      <c r="AA72" s="11">
        <v>0</v>
      </c>
      <c r="AB72" s="11">
        <f t="shared" si="1"/>
        <v>0</v>
      </c>
    </row>
    <row r="73" spans="1:28" ht="29" x14ac:dyDescent="0.35">
      <c r="A73" s="11" t="s">
        <v>1790</v>
      </c>
      <c r="B73" s="11">
        <v>2022</v>
      </c>
      <c r="C73" s="11" t="s">
        <v>1876</v>
      </c>
      <c r="D73" s="11" t="s">
        <v>1873</v>
      </c>
      <c r="E73" s="11" t="s">
        <v>1874</v>
      </c>
      <c r="F73" s="11" t="s">
        <v>1875</v>
      </c>
      <c r="G73" s="11" t="s">
        <v>747</v>
      </c>
      <c r="H73" s="11" t="s">
        <v>95</v>
      </c>
      <c r="I73" s="11">
        <v>77536</v>
      </c>
      <c r="J73" s="175">
        <v>6</v>
      </c>
      <c r="K73" s="11">
        <v>325199</v>
      </c>
      <c r="L73" s="176" t="s">
        <v>873</v>
      </c>
      <c r="M73" s="176" t="s">
        <v>1931</v>
      </c>
      <c r="N73" s="11">
        <v>29.728559000000001</v>
      </c>
      <c r="O73" s="11">
        <v>-95.110764000000003</v>
      </c>
      <c r="P73" s="163">
        <v>110015742204</v>
      </c>
      <c r="Q73" s="163">
        <v>1322221049721</v>
      </c>
      <c r="R73" s="11" t="s">
        <v>1932</v>
      </c>
      <c r="S73" s="11" t="s">
        <v>1933</v>
      </c>
      <c r="T73" s="177">
        <v>3</v>
      </c>
      <c r="U73" s="176" t="s">
        <v>1934</v>
      </c>
      <c r="V73" s="176"/>
      <c r="W73" s="176"/>
      <c r="X73" s="176"/>
      <c r="Y73" s="11">
        <v>0</v>
      </c>
      <c r="Z73" s="11">
        <v>0</v>
      </c>
      <c r="AA73" s="11">
        <v>0</v>
      </c>
      <c r="AB73" s="11">
        <f t="shared" si="1"/>
        <v>0</v>
      </c>
    </row>
    <row r="74" spans="1:28" ht="29" x14ac:dyDescent="0.35">
      <c r="A74" s="11" t="s">
        <v>1790</v>
      </c>
      <c r="B74" s="11">
        <v>2022</v>
      </c>
      <c r="C74" s="11" t="s">
        <v>1897</v>
      </c>
      <c r="D74" s="11" t="s">
        <v>1892</v>
      </c>
      <c r="E74" s="11" t="s">
        <v>1896</v>
      </c>
      <c r="F74" s="11" t="s">
        <v>1886</v>
      </c>
      <c r="G74" s="11" t="s">
        <v>1945</v>
      </c>
      <c r="H74" s="11" t="s">
        <v>91</v>
      </c>
      <c r="I74" s="11">
        <v>70764</v>
      </c>
      <c r="J74" s="175">
        <v>6</v>
      </c>
      <c r="K74" s="11">
        <v>325211</v>
      </c>
      <c r="L74" s="176" t="s">
        <v>1787</v>
      </c>
      <c r="M74" s="176" t="s">
        <v>1931</v>
      </c>
      <c r="N74" s="11">
        <v>30.262255</v>
      </c>
      <c r="O74" s="11">
        <v>-91.185837000000006</v>
      </c>
      <c r="P74" s="163">
        <v>110000613747</v>
      </c>
      <c r="Q74" s="163">
        <v>1322221120619</v>
      </c>
      <c r="R74" s="11" t="s">
        <v>1932</v>
      </c>
      <c r="S74" s="11" t="s">
        <v>1933</v>
      </c>
      <c r="T74" s="177">
        <v>5</v>
      </c>
      <c r="U74" s="176" t="s">
        <v>1940</v>
      </c>
      <c r="V74" s="176"/>
      <c r="W74" s="176"/>
      <c r="X74" s="176"/>
      <c r="Y74" s="11">
        <v>0</v>
      </c>
      <c r="Z74" s="11">
        <v>0</v>
      </c>
      <c r="AA74" s="11">
        <v>0</v>
      </c>
      <c r="AB74" s="11">
        <f t="shared" si="1"/>
        <v>0</v>
      </c>
    </row>
    <row r="75" spans="1:28" ht="29" x14ac:dyDescent="0.35">
      <c r="A75" s="11" t="s">
        <v>1790</v>
      </c>
      <c r="B75" s="11">
        <v>2022</v>
      </c>
      <c r="C75" s="11" t="s">
        <v>1872</v>
      </c>
      <c r="D75" s="11" t="s">
        <v>1870</v>
      </c>
      <c r="E75" s="11" t="s">
        <v>1871</v>
      </c>
      <c r="F75" s="11" t="s">
        <v>598</v>
      </c>
      <c r="G75" s="11" t="s">
        <v>1949</v>
      </c>
      <c r="H75" s="11" t="s">
        <v>95</v>
      </c>
      <c r="I75" s="11">
        <v>78359</v>
      </c>
      <c r="J75" s="175">
        <v>6</v>
      </c>
      <c r="K75" s="11">
        <v>325199</v>
      </c>
      <c r="L75" s="176" t="s">
        <v>873</v>
      </c>
      <c r="M75" s="176" t="s">
        <v>1931</v>
      </c>
      <c r="N75" s="11">
        <v>27.883610999999998</v>
      </c>
      <c r="O75" s="11">
        <v>-97.241382999999999</v>
      </c>
      <c r="P75" s="163">
        <v>110000599807</v>
      </c>
      <c r="Q75" s="163">
        <v>1322221170487</v>
      </c>
      <c r="R75" s="11" t="s">
        <v>1932</v>
      </c>
      <c r="S75" s="11" t="s">
        <v>1933</v>
      </c>
      <c r="T75" s="177">
        <v>4</v>
      </c>
      <c r="U75" s="176" t="s">
        <v>1968</v>
      </c>
      <c r="V75" s="176"/>
      <c r="W75" s="176"/>
      <c r="X75" s="176"/>
      <c r="Y75" s="11">
        <v>0</v>
      </c>
      <c r="Z75" s="11">
        <v>0</v>
      </c>
      <c r="AA75" s="11">
        <v>0</v>
      </c>
      <c r="AB75" s="11">
        <f t="shared" si="1"/>
        <v>0</v>
      </c>
    </row>
    <row r="76" spans="1:28" ht="29" x14ac:dyDescent="0.35">
      <c r="A76" s="11" t="s">
        <v>1790</v>
      </c>
      <c r="B76" s="11">
        <v>2022</v>
      </c>
      <c r="C76" s="11" t="s">
        <v>103</v>
      </c>
      <c r="D76" s="11" t="s">
        <v>100</v>
      </c>
      <c r="E76" s="11" t="s">
        <v>1793</v>
      </c>
      <c r="F76" s="11" t="s">
        <v>101</v>
      </c>
      <c r="G76" s="11" t="s">
        <v>1951</v>
      </c>
      <c r="H76" s="11" t="s">
        <v>102</v>
      </c>
      <c r="I76" s="11">
        <v>92011</v>
      </c>
      <c r="J76" s="175">
        <v>9</v>
      </c>
      <c r="K76" s="11">
        <v>325998</v>
      </c>
      <c r="L76" s="176" t="s">
        <v>1794</v>
      </c>
      <c r="M76" s="176" t="s">
        <v>1931</v>
      </c>
      <c r="N76" s="11">
        <v>33.119149999999998</v>
      </c>
      <c r="O76" s="11">
        <v>-117.28344</v>
      </c>
      <c r="P76" s="163">
        <v>110000478509</v>
      </c>
      <c r="Q76" s="163">
        <v>1322221173228</v>
      </c>
      <c r="R76" s="11" t="s">
        <v>1932</v>
      </c>
      <c r="S76" s="11" t="s">
        <v>1933</v>
      </c>
      <c r="T76" s="177">
        <v>4</v>
      </c>
      <c r="U76" s="176" t="s">
        <v>1952</v>
      </c>
      <c r="V76" s="176"/>
      <c r="W76" s="176"/>
      <c r="X76" s="176"/>
      <c r="Y76" s="11">
        <v>0</v>
      </c>
      <c r="Z76" s="11">
        <v>0</v>
      </c>
      <c r="AA76" s="11">
        <v>0</v>
      </c>
      <c r="AB76" s="11">
        <f t="shared" si="1"/>
        <v>0</v>
      </c>
    </row>
    <row r="77" spans="1:28" ht="43.5" x14ac:dyDescent="0.35">
      <c r="A77" s="11" t="s">
        <v>1790</v>
      </c>
      <c r="B77" s="11">
        <v>2022</v>
      </c>
      <c r="C77" s="11" t="s">
        <v>1903</v>
      </c>
      <c r="D77" s="11" t="s">
        <v>1901</v>
      </c>
      <c r="E77" s="11" t="s">
        <v>1902</v>
      </c>
      <c r="F77" s="11" t="s">
        <v>169</v>
      </c>
      <c r="G77" s="11" t="s">
        <v>1077</v>
      </c>
      <c r="H77" s="11" t="s">
        <v>108</v>
      </c>
      <c r="I77" s="11">
        <v>42029</v>
      </c>
      <c r="J77" s="175">
        <v>4</v>
      </c>
      <c r="K77" s="11">
        <v>325199</v>
      </c>
      <c r="L77" s="176" t="s">
        <v>873</v>
      </c>
      <c r="M77" s="176" t="s">
        <v>1931</v>
      </c>
      <c r="N77" s="11">
        <v>37.051110999999999</v>
      </c>
      <c r="O77" s="11">
        <v>-88.334166999999994</v>
      </c>
      <c r="P77" s="163">
        <v>110027373072</v>
      </c>
      <c r="Q77" s="163">
        <v>1322221192216</v>
      </c>
      <c r="R77" s="11" t="s">
        <v>1932</v>
      </c>
      <c r="S77" s="11" t="s">
        <v>1933</v>
      </c>
      <c r="T77" s="177">
        <v>4</v>
      </c>
      <c r="U77" s="176" t="s">
        <v>1948</v>
      </c>
      <c r="V77" s="176"/>
      <c r="W77" s="176"/>
      <c r="X77" s="176"/>
      <c r="Y77" s="11">
        <v>0</v>
      </c>
      <c r="Z77" s="11">
        <v>0</v>
      </c>
      <c r="AA77" s="11">
        <v>0</v>
      </c>
      <c r="AB77" s="11">
        <f t="shared" si="1"/>
        <v>0</v>
      </c>
    </row>
    <row r="78" spans="1:28" ht="29" x14ac:dyDescent="0.35">
      <c r="A78" s="11" t="s">
        <v>1790</v>
      </c>
      <c r="B78" s="11">
        <v>2022</v>
      </c>
      <c r="C78" s="11" t="s">
        <v>1844</v>
      </c>
      <c r="D78" s="11" t="s">
        <v>1843</v>
      </c>
      <c r="E78" s="11" t="s">
        <v>1789</v>
      </c>
      <c r="F78" s="11" t="s">
        <v>98</v>
      </c>
      <c r="G78" s="11" t="s">
        <v>1695</v>
      </c>
      <c r="H78" s="11" t="s">
        <v>95</v>
      </c>
      <c r="I78" s="11">
        <v>775413257</v>
      </c>
      <c r="J78" s="175">
        <v>6</v>
      </c>
      <c r="K78" s="11">
        <v>325199</v>
      </c>
      <c r="L78" s="176" t="s">
        <v>873</v>
      </c>
      <c r="M78" s="176" t="s">
        <v>1931</v>
      </c>
      <c r="N78" s="11">
        <v>28.980146999999999</v>
      </c>
      <c r="O78" s="11">
        <v>-95.342271999999994</v>
      </c>
      <c r="P78" s="163">
        <v>110008170237</v>
      </c>
      <c r="Q78" s="163">
        <v>1322221239698</v>
      </c>
      <c r="R78" s="11" t="s">
        <v>1932</v>
      </c>
      <c r="S78" s="11" t="s">
        <v>1933</v>
      </c>
      <c r="T78" s="177">
        <v>4</v>
      </c>
      <c r="U78" s="176" t="s">
        <v>1955</v>
      </c>
      <c r="V78" s="176"/>
      <c r="W78" s="176"/>
      <c r="X78" s="176"/>
      <c r="Y78" s="11">
        <v>0</v>
      </c>
      <c r="Z78" s="11">
        <v>0</v>
      </c>
      <c r="AA78" s="11">
        <v>0</v>
      </c>
      <c r="AB78" s="11">
        <f t="shared" si="1"/>
        <v>0</v>
      </c>
    </row>
    <row r="79" spans="1:28" ht="72.5" x14ac:dyDescent="0.35">
      <c r="A79" s="11" t="s">
        <v>1790</v>
      </c>
      <c r="B79" s="11">
        <v>2022</v>
      </c>
      <c r="C79" s="11" t="s">
        <v>99</v>
      </c>
      <c r="D79" s="11" t="s">
        <v>97</v>
      </c>
      <c r="E79" s="11" t="s">
        <v>1789</v>
      </c>
      <c r="F79" s="11" t="s">
        <v>98</v>
      </c>
      <c r="G79" s="11" t="s">
        <v>1695</v>
      </c>
      <c r="H79" s="11" t="s">
        <v>95</v>
      </c>
      <c r="I79" s="11">
        <v>77541</v>
      </c>
      <c r="J79" s="175">
        <v>6</v>
      </c>
      <c r="K79" s="11">
        <v>325199</v>
      </c>
      <c r="L79" s="176" t="s">
        <v>873</v>
      </c>
      <c r="M79" s="176" t="s">
        <v>1931</v>
      </c>
      <c r="N79" s="11">
        <v>28.969389</v>
      </c>
      <c r="O79" s="11">
        <v>-95.379527999999993</v>
      </c>
      <c r="P79" s="163">
        <v>110066943605</v>
      </c>
      <c r="Q79" s="163">
        <v>1322221323342</v>
      </c>
      <c r="R79" s="11" t="s">
        <v>1932</v>
      </c>
      <c r="S79" s="11" t="s">
        <v>1933</v>
      </c>
      <c r="T79" s="177">
        <v>5</v>
      </c>
      <c r="U79" s="176" t="s">
        <v>1969</v>
      </c>
      <c r="V79" s="176"/>
      <c r="W79" s="176"/>
      <c r="X79" s="176"/>
      <c r="Y79" s="11">
        <v>0</v>
      </c>
      <c r="Z79" s="11">
        <v>0</v>
      </c>
      <c r="AA79" s="11">
        <v>67</v>
      </c>
      <c r="AB79" s="11">
        <f t="shared" si="1"/>
        <v>67</v>
      </c>
    </row>
    <row r="80" spans="1:28" ht="43.5" x14ac:dyDescent="0.35">
      <c r="A80" s="11" t="s">
        <v>1790</v>
      </c>
      <c r="B80" s="11">
        <v>2022</v>
      </c>
      <c r="C80" s="11" t="s">
        <v>1847</v>
      </c>
      <c r="D80" s="11" t="s">
        <v>1845</v>
      </c>
      <c r="E80" s="11" t="s">
        <v>1846</v>
      </c>
      <c r="F80" s="11" t="s">
        <v>1829</v>
      </c>
      <c r="G80" s="11" t="s">
        <v>1953</v>
      </c>
      <c r="H80" s="11" t="s">
        <v>560</v>
      </c>
      <c r="I80" s="11">
        <v>68949</v>
      </c>
      <c r="J80" s="175">
        <v>7</v>
      </c>
      <c r="K80" s="11">
        <v>339112</v>
      </c>
      <c r="L80" s="176" t="s">
        <v>1831</v>
      </c>
      <c r="M80" s="176" t="s">
        <v>1931</v>
      </c>
      <c r="N80" s="11">
        <v>40.432048999999999</v>
      </c>
      <c r="O80" s="11">
        <v>-99.396766</v>
      </c>
      <c r="P80" s="163" t="s">
        <v>1848</v>
      </c>
      <c r="Q80" s="163">
        <v>1322221324193</v>
      </c>
      <c r="R80" s="11" t="s">
        <v>1932</v>
      </c>
      <c r="S80" s="11" t="s">
        <v>1933</v>
      </c>
      <c r="T80" s="177">
        <v>4</v>
      </c>
      <c r="U80" s="176" t="s">
        <v>1970</v>
      </c>
      <c r="V80" s="176"/>
      <c r="W80" s="176"/>
      <c r="X80" s="176"/>
      <c r="Y80" s="11">
        <v>0</v>
      </c>
      <c r="Z80" s="11">
        <v>0</v>
      </c>
      <c r="AA80" s="11">
        <v>0</v>
      </c>
      <c r="AB80" s="11">
        <f t="shared" si="1"/>
        <v>0</v>
      </c>
    </row>
    <row r="81" spans="1:28" ht="29" x14ac:dyDescent="0.35">
      <c r="A81" s="11" t="s">
        <v>1790</v>
      </c>
      <c r="B81" s="11">
        <v>2022</v>
      </c>
      <c r="C81" s="11" t="s">
        <v>1820</v>
      </c>
      <c r="D81" s="11" t="s">
        <v>1817</v>
      </c>
      <c r="E81" s="11" t="s">
        <v>1818</v>
      </c>
      <c r="F81" s="11" t="s">
        <v>1819</v>
      </c>
      <c r="G81" s="11" t="s">
        <v>1956</v>
      </c>
      <c r="H81" s="11" t="s">
        <v>111</v>
      </c>
      <c r="I81" s="11">
        <v>61242</v>
      </c>
      <c r="J81" s="175">
        <v>5</v>
      </c>
      <c r="K81" s="11">
        <v>325998</v>
      </c>
      <c r="L81" s="176" t="s">
        <v>1794</v>
      </c>
      <c r="M81" s="176" t="s">
        <v>1931</v>
      </c>
      <c r="N81" s="11">
        <v>41.755000000000003</v>
      </c>
      <c r="O81" s="11">
        <v>-90.284166999999997</v>
      </c>
      <c r="P81" s="163">
        <v>110013886875</v>
      </c>
      <c r="Q81" s="163">
        <v>1322221384098</v>
      </c>
      <c r="R81" s="11" t="s">
        <v>1932</v>
      </c>
      <c r="S81" s="11" t="s">
        <v>1933</v>
      </c>
      <c r="T81" s="177">
        <v>5</v>
      </c>
      <c r="U81" s="176" t="s">
        <v>1957</v>
      </c>
      <c r="V81" s="176"/>
      <c r="W81" s="176"/>
      <c r="X81" s="176"/>
      <c r="Y81" s="11">
        <v>0</v>
      </c>
      <c r="Z81" s="11">
        <v>0</v>
      </c>
      <c r="AA81" s="11">
        <v>0</v>
      </c>
      <c r="AB81" s="11">
        <f t="shared" si="1"/>
        <v>0</v>
      </c>
    </row>
    <row r="82" spans="1:28" ht="29" x14ac:dyDescent="0.35">
      <c r="A82" s="11" t="s">
        <v>1790</v>
      </c>
      <c r="B82" s="11">
        <v>2022</v>
      </c>
      <c r="C82" s="11" t="s">
        <v>1887</v>
      </c>
      <c r="D82" s="11" t="s">
        <v>1884</v>
      </c>
      <c r="E82" s="11" t="s">
        <v>1885</v>
      </c>
      <c r="F82" s="11" t="s">
        <v>1886</v>
      </c>
      <c r="G82" s="11" t="s">
        <v>1945</v>
      </c>
      <c r="H82" s="11" t="s">
        <v>91</v>
      </c>
      <c r="I82" s="11">
        <v>70764</v>
      </c>
      <c r="J82" s="175">
        <v>6</v>
      </c>
      <c r="K82" s="11">
        <v>325211</v>
      </c>
      <c r="L82" s="176" t="s">
        <v>1787</v>
      </c>
      <c r="M82" s="176" t="s">
        <v>1931</v>
      </c>
      <c r="N82" s="11">
        <v>30.259399999999999</v>
      </c>
      <c r="O82" s="11">
        <v>-91.173699999999997</v>
      </c>
      <c r="P82" s="163">
        <v>110000572675</v>
      </c>
      <c r="Q82" s="163">
        <v>1322221427800</v>
      </c>
      <c r="R82" s="11" t="s">
        <v>1932</v>
      </c>
      <c r="S82" s="11" t="s">
        <v>1933</v>
      </c>
      <c r="T82" s="177">
        <v>2</v>
      </c>
      <c r="U82" s="176" t="s">
        <v>1940</v>
      </c>
      <c r="V82" s="176"/>
      <c r="W82" s="176"/>
      <c r="X82" s="176"/>
      <c r="Y82" s="11">
        <v>0</v>
      </c>
      <c r="Z82" s="11">
        <v>0</v>
      </c>
      <c r="AA82" s="11">
        <v>0</v>
      </c>
      <c r="AB82" s="11">
        <f t="shared" si="1"/>
        <v>0</v>
      </c>
    </row>
    <row r="83" spans="1:28" ht="29" x14ac:dyDescent="0.35">
      <c r="A83" s="11" t="s">
        <v>1790</v>
      </c>
      <c r="B83" s="11">
        <v>2022</v>
      </c>
      <c r="C83" s="11" t="s">
        <v>1857</v>
      </c>
      <c r="D83" s="11" t="s">
        <v>1854</v>
      </c>
      <c r="E83" s="11" t="s">
        <v>1855</v>
      </c>
      <c r="F83" s="11" t="s">
        <v>1856</v>
      </c>
      <c r="G83" s="11" t="s">
        <v>1935</v>
      </c>
      <c r="H83" s="11" t="s">
        <v>458</v>
      </c>
      <c r="I83" s="11">
        <v>43920</v>
      </c>
      <c r="J83" s="175">
        <v>5</v>
      </c>
      <c r="K83" s="11">
        <v>562213</v>
      </c>
      <c r="L83" s="176" t="s">
        <v>1858</v>
      </c>
      <c r="M83" s="176" t="s">
        <v>1931</v>
      </c>
      <c r="N83" s="11">
        <v>40.631622</v>
      </c>
      <c r="O83" s="11">
        <v>-80.546319999999994</v>
      </c>
      <c r="P83" s="163">
        <v>110027242320</v>
      </c>
      <c r="Q83" s="163">
        <v>1322221438258</v>
      </c>
      <c r="R83" s="11" t="s">
        <v>1932</v>
      </c>
      <c r="S83" s="11" t="s">
        <v>1933</v>
      </c>
      <c r="T83" s="177">
        <v>4</v>
      </c>
      <c r="U83" s="176" t="s">
        <v>1936</v>
      </c>
      <c r="V83" s="176"/>
      <c r="W83" s="176"/>
      <c r="X83" s="176"/>
      <c r="Y83" s="11">
        <v>0</v>
      </c>
      <c r="Z83" s="11">
        <v>0</v>
      </c>
      <c r="AA83" s="11">
        <v>0</v>
      </c>
      <c r="AB83" s="11">
        <f t="shared" si="1"/>
        <v>0</v>
      </c>
    </row>
    <row r="84" spans="1:28" ht="29" x14ac:dyDescent="0.35">
      <c r="A84" s="11" t="s">
        <v>1790</v>
      </c>
      <c r="B84" s="11">
        <v>2022</v>
      </c>
      <c r="C84" s="11" t="s">
        <v>1869</v>
      </c>
      <c r="D84" s="11" t="s">
        <v>1866</v>
      </c>
      <c r="E84" s="11" t="s">
        <v>1867</v>
      </c>
      <c r="F84" s="11" t="s">
        <v>1868</v>
      </c>
      <c r="G84" s="11" t="s">
        <v>1966</v>
      </c>
      <c r="H84" s="11" t="s">
        <v>95</v>
      </c>
      <c r="I84" s="11">
        <v>77489</v>
      </c>
      <c r="J84" s="175">
        <v>6</v>
      </c>
      <c r="K84" s="11">
        <v>326150</v>
      </c>
      <c r="L84" s="176" t="s">
        <v>1826</v>
      </c>
      <c r="M84" s="176" t="s">
        <v>1931</v>
      </c>
      <c r="N84" s="11">
        <v>29.612449999999999</v>
      </c>
      <c r="O84" s="11">
        <v>-95.516098999999997</v>
      </c>
      <c r="P84" s="163">
        <v>110070942904</v>
      </c>
      <c r="Q84" s="163">
        <v>1322222389443</v>
      </c>
      <c r="R84" s="11" t="s">
        <v>1932</v>
      </c>
      <c r="S84" s="11" t="s">
        <v>1933</v>
      </c>
      <c r="T84" s="177">
        <v>4</v>
      </c>
      <c r="U84" s="176" t="s">
        <v>1961</v>
      </c>
      <c r="V84" s="176"/>
      <c r="W84" s="176"/>
      <c r="X84" s="176"/>
      <c r="Y84" s="11">
        <v>0</v>
      </c>
      <c r="Z84" s="11">
        <v>0</v>
      </c>
      <c r="AA84" s="11">
        <v>0</v>
      </c>
      <c r="AB84" s="11">
        <f t="shared" si="1"/>
        <v>0</v>
      </c>
    </row>
    <row r="85" spans="1:28" ht="29" x14ac:dyDescent="0.35">
      <c r="A85" s="11" t="s">
        <v>1790</v>
      </c>
      <c r="B85" s="11">
        <v>2022</v>
      </c>
      <c r="C85" s="11" t="s">
        <v>1825</v>
      </c>
      <c r="D85" s="11" t="s">
        <v>1821</v>
      </c>
      <c r="E85" s="11" t="s">
        <v>1822</v>
      </c>
      <c r="F85" s="11" t="s">
        <v>1823</v>
      </c>
      <c r="G85" s="11" t="s">
        <v>1960</v>
      </c>
      <c r="H85" s="11" t="s">
        <v>1824</v>
      </c>
      <c r="I85" s="11">
        <v>27030</v>
      </c>
      <c r="J85" s="175">
        <v>4</v>
      </c>
      <c r="K85" s="11">
        <v>326150</v>
      </c>
      <c r="L85" s="176" t="s">
        <v>1826</v>
      </c>
      <c r="M85" s="176" t="s">
        <v>1931</v>
      </c>
      <c r="N85" s="11">
        <v>36.472777999999998</v>
      </c>
      <c r="O85" s="11">
        <v>-80.608610999999996</v>
      </c>
      <c r="P85" s="163">
        <v>110000345172</v>
      </c>
      <c r="Q85" s="163">
        <v>1322222389532</v>
      </c>
      <c r="R85" s="11" t="s">
        <v>1932</v>
      </c>
      <c r="S85" s="11" t="s">
        <v>1933</v>
      </c>
      <c r="T85" s="177">
        <v>4</v>
      </c>
      <c r="U85" s="176" t="s">
        <v>1961</v>
      </c>
      <c r="V85" s="176"/>
      <c r="W85" s="176"/>
      <c r="X85" s="176"/>
      <c r="Y85" s="11">
        <v>0</v>
      </c>
      <c r="Z85" s="11">
        <v>0</v>
      </c>
      <c r="AA85" s="11">
        <v>0</v>
      </c>
      <c r="AB85" s="11">
        <f t="shared" si="1"/>
        <v>0</v>
      </c>
    </row>
    <row r="86" spans="1:28" x14ac:dyDescent="0.35">
      <c r="A86" s="11" t="s">
        <v>1786</v>
      </c>
      <c r="B86" s="11">
        <v>2023</v>
      </c>
      <c r="C86" s="11" t="s">
        <v>96</v>
      </c>
      <c r="D86" s="11" t="s">
        <v>93</v>
      </c>
      <c r="E86" s="11" t="s">
        <v>1785</v>
      </c>
      <c r="F86" s="11" t="s">
        <v>94</v>
      </c>
      <c r="G86" s="11" t="s">
        <v>747</v>
      </c>
      <c r="H86" s="11" t="s">
        <v>95</v>
      </c>
      <c r="I86" s="11">
        <v>77054</v>
      </c>
      <c r="J86" s="175">
        <v>6</v>
      </c>
      <c r="K86" s="11">
        <v>325211</v>
      </c>
      <c r="L86" s="176" t="s">
        <v>1787</v>
      </c>
      <c r="M86" s="176" t="s">
        <v>1931</v>
      </c>
      <c r="N86" s="11">
        <v>29.671271000000001</v>
      </c>
      <c r="O86" s="11">
        <v>-95.404606999999999</v>
      </c>
      <c r="P86" s="163">
        <v>110000861755</v>
      </c>
      <c r="Q86" s="163">
        <v>1323221672797</v>
      </c>
      <c r="R86" s="11" t="s">
        <v>1932</v>
      </c>
      <c r="S86" s="11" t="s">
        <v>1933</v>
      </c>
      <c r="T86" s="177" t="s">
        <v>1848</v>
      </c>
      <c r="U86" s="176" t="s">
        <v>1971</v>
      </c>
      <c r="V86" s="176"/>
      <c r="W86" s="176"/>
      <c r="X86" s="176"/>
      <c r="Y86" s="11">
        <v>500</v>
      </c>
      <c r="Z86" s="11">
        <v>500</v>
      </c>
      <c r="AA86" s="11">
        <v>500</v>
      </c>
      <c r="AB86" s="11">
        <v>500</v>
      </c>
    </row>
    <row r="87" spans="1:28" ht="29" x14ac:dyDescent="0.35">
      <c r="A87" s="11" t="s">
        <v>1790</v>
      </c>
      <c r="B87" s="11">
        <v>2023</v>
      </c>
      <c r="C87" s="11" t="s">
        <v>1857</v>
      </c>
      <c r="D87" s="11" t="s">
        <v>1854</v>
      </c>
      <c r="E87" s="11" t="s">
        <v>1855</v>
      </c>
      <c r="F87" s="11" t="s">
        <v>1856</v>
      </c>
      <c r="G87" s="11" t="s">
        <v>1935</v>
      </c>
      <c r="H87" s="11" t="s">
        <v>458</v>
      </c>
      <c r="I87" s="11">
        <v>43920</v>
      </c>
      <c r="J87" s="175">
        <v>5</v>
      </c>
      <c r="K87" s="11">
        <v>562213</v>
      </c>
      <c r="L87" s="176" t="s">
        <v>1858</v>
      </c>
      <c r="M87" s="176" t="s">
        <v>1931</v>
      </c>
      <c r="N87" s="11">
        <v>40.631622</v>
      </c>
      <c r="O87" s="11">
        <v>-80.546319999999994</v>
      </c>
      <c r="P87" s="163">
        <v>110027242320</v>
      </c>
      <c r="Q87" s="163">
        <v>1323221750476</v>
      </c>
      <c r="R87" s="11" t="s">
        <v>1932</v>
      </c>
      <c r="S87" s="11" t="s">
        <v>1933</v>
      </c>
      <c r="T87" s="177">
        <v>4</v>
      </c>
      <c r="U87" s="176" t="s">
        <v>1936</v>
      </c>
      <c r="V87" s="176"/>
      <c r="W87" s="176"/>
      <c r="X87" s="176"/>
      <c r="Y87" s="11">
        <v>0</v>
      </c>
      <c r="Z87" s="11">
        <v>0</v>
      </c>
      <c r="AA87" s="11">
        <v>0</v>
      </c>
      <c r="AB87" s="11">
        <f t="shared" si="1"/>
        <v>0</v>
      </c>
    </row>
    <row r="88" spans="1:28" ht="29" x14ac:dyDescent="0.35">
      <c r="A88" s="11" t="s">
        <v>1790</v>
      </c>
      <c r="B88" s="11">
        <v>2023</v>
      </c>
      <c r="C88" s="11" t="s">
        <v>1900</v>
      </c>
      <c r="D88" s="11" t="s">
        <v>1898</v>
      </c>
      <c r="E88" s="11" t="s">
        <v>1899</v>
      </c>
      <c r="F88" s="11" t="s">
        <v>209</v>
      </c>
      <c r="G88" s="11" t="s">
        <v>1930</v>
      </c>
      <c r="H88" s="11" t="s">
        <v>91</v>
      </c>
      <c r="I88" s="11">
        <v>70734</v>
      </c>
      <c r="J88" s="175">
        <v>6</v>
      </c>
      <c r="K88" s="11">
        <v>325211</v>
      </c>
      <c r="L88" s="176" t="s">
        <v>1787</v>
      </c>
      <c r="M88" s="176" t="s">
        <v>1931</v>
      </c>
      <c r="N88" s="11">
        <v>30.208604000000001</v>
      </c>
      <c r="O88" s="11">
        <v>-91.011127999999999</v>
      </c>
      <c r="P88" s="163">
        <v>110000746328</v>
      </c>
      <c r="Q88" s="163">
        <v>1323221820564</v>
      </c>
      <c r="R88" s="11" t="s">
        <v>1932</v>
      </c>
      <c r="S88" s="11" t="s">
        <v>1933</v>
      </c>
      <c r="T88" s="177">
        <v>3</v>
      </c>
      <c r="U88" s="176" t="s">
        <v>1934</v>
      </c>
      <c r="V88" s="176"/>
      <c r="W88" s="176"/>
      <c r="X88" s="176"/>
      <c r="Y88" s="11">
        <v>0</v>
      </c>
      <c r="Z88" s="11">
        <v>0</v>
      </c>
      <c r="AA88" s="11">
        <v>0</v>
      </c>
      <c r="AB88" s="11">
        <f t="shared" si="1"/>
        <v>0</v>
      </c>
    </row>
    <row r="89" spans="1:28" ht="43.5" x14ac:dyDescent="0.35">
      <c r="A89" s="11" t="s">
        <v>1790</v>
      </c>
      <c r="B89" s="11">
        <v>2023</v>
      </c>
      <c r="C89" s="11" t="s">
        <v>1847</v>
      </c>
      <c r="D89" s="11" t="s">
        <v>1845</v>
      </c>
      <c r="E89" s="11" t="s">
        <v>1846</v>
      </c>
      <c r="F89" s="11" t="s">
        <v>1829</v>
      </c>
      <c r="G89" s="11" t="s">
        <v>1953</v>
      </c>
      <c r="H89" s="11" t="s">
        <v>560</v>
      </c>
      <c r="I89" s="11">
        <v>68949</v>
      </c>
      <c r="J89" s="175">
        <v>7</v>
      </c>
      <c r="K89" s="11">
        <v>339112</v>
      </c>
      <c r="L89" s="176" t="s">
        <v>1831</v>
      </c>
      <c r="M89" s="176" t="s">
        <v>1931</v>
      </c>
      <c r="N89" s="11">
        <v>40.432048999999999</v>
      </c>
      <c r="O89" s="11">
        <v>-99.396766</v>
      </c>
      <c r="P89" s="163" t="s">
        <v>1848</v>
      </c>
      <c r="Q89" s="163">
        <v>1323221924259</v>
      </c>
      <c r="R89" s="11" t="s">
        <v>1932</v>
      </c>
      <c r="S89" s="11" t="s">
        <v>1933</v>
      </c>
      <c r="T89" s="177">
        <v>4</v>
      </c>
      <c r="U89" s="176" t="s">
        <v>1970</v>
      </c>
      <c r="V89" s="176"/>
      <c r="W89" s="176"/>
      <c r="X89" s="176"/>
      <c r="Y89" s="11">
        <v>0</v>
      </c>
      <c r="Z89" s="11">
        <v>0</v>
      </c>
      <c r="AA89" s="11">
        <v>0</v>
      </c>
      <c r="AB89" s="11">
        <f t="shared" si="1"/>
        <v>0</v>
      </c>
    </row>
    <row r="90" spans="1:28" ht="29" x14ac:dyDescent="0.35">
      <c r="A90" s="11" t="s">
        <v>1790</v>
      </c>
      <c r="B90" s="11">
        <v>2023</v>
      </c>
      <c r="C90" s="11" t="s">
        <v>103</v>
      </c>
      <c r="D90" s="11" t="s">
        <v>100</v>
      </c>
      <c r="E90" s="11" t="s">
        <v>1793</v>
      </c>
      <c r="F90" s="11" t="s">
        <v>101</v>
      </c>
      <c r="G90" s="11" t="s">
        <v>1951</v>
      </c>
      <c r="H90" s="11" t="s">
        <v>102</v>
      </c>
      <c r="I90" s="11">
        <v>92011</v>
      </c>
      <c r="J90" s="175">
        <v>9</v>
      </c>
      <c r="K90" s="11">
        <v>325998</v>
      </c>
      <c r="L90" s="176" t="s">
        <v>1794</v>
      </c>
      <c r="M90" s="176" t="s">
        <v>1931</v>
      </c>
      <c r="N90" s="11">
        <v>33.119149999999998</v>
      </c>
      <c r="O90" s="11">
        <v>-117.28344</v>
      </c>
      <c r="P90" s="163">
        <v>110000478509</v>
      </c>
      <c r="Q90" s="163">
        <v>1323221931633</v>
      </c>
      <c r="R90" s="11" t="s">
        <v>1932</v>
      </c>
      <c r="S90" s="11" t="s">
        <v>1933</v>
      </c>
      <c r="T90" s="177">
        <v>4</v>
      </c>
      <c r="U90" s="176" t="s">
        <v>1952</v>
      </c>
      <c r="V90" s="176"/>
      <c r="W90" s="176"/>
      <c r="X90" s="176"/>
      <c r="Y90" s="11">
        <v>0</v>
      </c>
      <c r="Z90" s="11">
        <v>0</v>
      </c>
      <c r="AA90" s="11">
        <v>0</v>
      </c>
      <c r="AB90" s="11">
        <f t="shared" si="1"/>
        <v>0</v>
      </c>
    </row>
    <row r="91" spans="1:28" ht="72.5" x14ac:dyDescent="0.35">
      <c r="A91" s="11" t="s">
        <v>1790</v>
      </c>
      <c r="B91" s="11">
        <v>2023</v>
      </c>
      <c r="C91" s="11" t="s">
        <v>99</v>
      </c>
      <c r="D91" s="11" t="s">
        <v>97</v>
      </c>
      <c r="E91" s="11" t="s">
        <v>1789</v>
      </c>
      <c r="F91" s="11" t="s">
        <v>98</v>
      </c>
      <c r="G91" s="11" t="s">
        <v>1695</v>
      </c>
      <c r="H91" s="11" t="s">
        <v>95</v>
      </c>
      <c r="I91" s="11">
        <v>77541</v>
      </c>
      <c r="J91" s="175">
        <v>6</v>
      </c>
      <c r="K91" s="11">
        <v>325199</v>
      </c>
      <c r="L91" s="176" t="s">
        <v>873</v>
      </c>
      <c r="M91" s="176" t="s">
        <v>1931</v>
      </c>
      <c r="N91" s="11">
        <v>28.969389</v>
      </c>
      <c r="O91" s="11">
        <v>-95.379527999999993</v>
      </c>
      <c r="P91" s="163">
        <v>110066943605</v>
      </c>
      <c r="Q91" s="163">
        <v>1323221997517</v>
      </c>
      <c r="R91" s="11" t="s">
        <v>1932</v>
      </c>
      <c r="S91" s="11" t="s">
        <v>1933</v>
      </c>
      <c r="T91" s="177">
        <v>5</v>
      </c>
      <c r="U91" s="176" t="s">
        <v>1969</v>
      </c>
      <c r="V91" s="176"/>
      <c r="W91" s="176"/>
      <c r="X91" s="176"/>
      <c r="Y91" s="11">
        <v>0</v>
      </c>
      <c r="Z91" s="11">
        <v>0</v>
      </c>
      <c r="AA91" s="11">
        <v>46</v>
      </c>
      <c r="AB91" s="11">
        <f t="shared" si="1"/>
        <v>46</v>
      </c>
    </row>
    <row r="92" spans="1:28" ht="29" x14ac:dyDescent="0.35">
      <c r="A92" s="11" t="s">
        <v>1790</v>
      </c>
      <c r="B92" s="11">
        <v>2023</v>
      </c>
      <c r="C92" s="11" t="s">
        <v>1876</v>
      </c>
      <c r="D92" s="11" t="s">
        <v>1873</v>
      </c>
      <c r="E92" s="11" t="s">
        <v>1874</v>
      </c>
      <c r="F92" s="11" t="s">
        <v>1875</v>
      </c>
      <c r="G92" s="11" t="s">
        <v>747</v>
      </c>
      <c r="H92" s="11" t="s">
        <v>95</v>
      </c>
      <c r="I92" s="11">
        <v>77536</v>
      </c>
      <c r="J92" s="175">
        <v>6</v>
      </c>
      <c r="K92" s="11">
        <v>325199</v>
      </c>
      <c r="L92" s="176" t="s">
        <v>873</v>
      </c>
      <c r="M92" s="176" t="s">
        <v>1931</v>
      </c>
      <c r="N92" s="11">
        <v>29.728559000000001</v>
      </c>
      <c r="O92" s="11">
        <v>-95.110764000000003</v>
      </c>
      <c r="P92" s="163">
        <v>110015742204</v>
      </c>
      <c r="Q92" s="163">
        <v>1323222039707</v>
      </c>
      <c r="R92" s="11" t="s">
        <v>1932</v>
      </c>
      <c r="S92" s="11" t="s">
        <v>1933</v>
      </c>
      <c r="T92" s="177">
        <v>3</v>
      </c>
      <c r="U92" s="176" t="s">
        <v>1934</v>
      </c>
      <c r="V92" s="176"/>
      <c r="W92" s="176"/>
      <c r="X92" s="176"/>
      <c r="Y92" s="11">
        <v>0</v>
      </c>
      <c r="Z92" s="11">
        <v>0</v>
      </c>
      <c r="AA92" s="11">
        <v>0</v>
      </c>
      <c r="AB92" s="11">
        <f t="shared" si="1"/>
        <v>0</v>
      </c>
    </row>
    <row r="93" spans="1:28" ht="43.5" x14ac:dyDescent="0.35">
      <c r="A93" s="11" t="s">
        <v>1790</v>
      </c>
      <c r="B93" s="11">
        <v>2023</v>
      </c>
      <c r="C93" s="11" t="s">
        <v>92</v>
      </c>
      <c r="D93" s="11" t="s">
        <v>89</v>
      </c>
      <c r="E93" s="11" t="s">
        <v>1795</v>
      </c>
      <c r="F93" s="11" t="s">
        <v>90</v>
      </c>
      <c r="G93" s="11" t="s">
        <v>1939</v>
      </c>
      <c r="H93" s="11" t="s">
        <v>91</v>
      </c>
      <c r="I93" s="11">
        <v>70669</v>
      </c>
      <c r="J93" s="175">
        <v>6</v>
      </c>
      <c r="K93" s="11">
        <v>325180</v>
      </c>
      <c r="L93" s="176" t="s">
        <v>1797</v>
      </c>
      <c r="M93" s="176" t="s">
        <v>1931</v>
      </c>
      <c r="N93" s="11">
        <v>30.223500000000001</v>
      </c>
      <c r="O93" s="11">
        <v>-93.286900000000003</v>
      </c>
      <c r="P93" s="163">
        <v>110000494894</v>
      </c>
      <c r="Q93" s="163">
        <v>1323222047553</v>
      </c>
      <c r="R93" s="11" t="s">
        <v>1932</v>
      </c>
      <c r="S93" s="11" t="s">
        <v>1933</v>
      </c>
      <c r="T93" s="177">
        <v>7</v>
      </c>
      <c r="U93" s="176" t="s">
        <v>1959</v>
      </c>
      <c r="V93" s="176"/>
      <c r="W93" s="176"/>
      <c r="X93" s="176"/>
      <c r="Y93" s="11">
        <v>0</v>
      </c>
      <c r="Z93" s="11">
        <v>0</v>
      </c>
      <c r="AA93" s="11">
        <v>0</v>
      </c>
      <c r="AB93" s="11">
        <f t="shared" si="1"/>
        <v>0</v>
      </c>
    </row>
    <row r="94" spans="1:28" ht="58" x14ac:dyDescent="0.35">
      <c r="A94" s="11" t="s">
        <v>1790</v>
      </c>
      <c r="B94" s="11">
        <v>2023</v>
      </c>
      <c r="C94" s="11" t="s">
        <v>1879</v>
      </c>
      <c r="D94" s="11" t="s">
        <v>1877</v>
      </c>
      <c r="E94" s="11" t="s">
        <v>1878</v>
      </c>
      <c r="F94" s="11" t="s">
        <v>421</v>
      </c>
      <c r="G94" s="11" t="s">
        <v>747</v>
      </c>
      <c r="H94" s="11" t="s">
        <v>95</v>
      </c>
      <c r="I94" s="11">
        <v>77571</v>
      </c>
      <c r="J94" s="175">
        <v>6</v>
      </c>
      <c r="K94" s="11">
        <v>325199</v>
      </c>
      <c r="L94" s="176" t="s">
        <v>873</v>
      </c>
      <c r="M94" s="176" t="s">
        <v>1931</v>
      </c>
      <c r="N94" s="11">
        <v>29.723700000000001</v>
      </c>
      <c r="O94" s="11">
        <v>-95.074079999999995</v>
      </c>
      <c r="P94" s="163">
        <v>110017769734</v>
      </c>
      <c r="Q94" s="163">
        <v>1323222056398</v>
      </c>
      <c r="R94" s="11" t="s">
        <v>1932</v>
      </c>
      <c r="S94" s="11" t="s">
        <v>1933</v>
      </c>
      <c r="T94" s="177">
        <v>4</v>
      </c>
      <c r="U94" s="176" t="s">
        <v>1946</v>
      </c>
      <c r="V94" s="176"/>
      <c r="W94" s="176"/>
      <c r="X94" s="176"/>
      <c r="Y94" s="11">
        <v>0</v>
      </c>
      <c r="Z94" s="11">
        <v>0</v>
      </c>
      <c r="AA94" s="11">
        <v>0</v>
      </c>
      <c r="AB94" s="11">
        <f t="shared" si="1"/>
        <v>0</v>
      </c>
    </row>
    <row r="95" spans="1:28" ht="29" x14ac:dyDescent="0.35">
      <c r="A95" s="11" t="s">
        <v>1790</v>
      </c>
      <c r="B95" s="11">
        <v>2023</v>
      </c>
      <c r="C95" s="11" t="s">
        <v>1897</v>
      </c>
      <c r="D95" s="11" t="s">
        <v>1892</v>
      </c>
      <c r="E95" s="11" t="s">
        <v>1896</v>
      </c>
      <c r="F95" s="11" t="s">
        <v>1886</v>
      </c>
      <c r="G95" s="11" t="s">
        <v>1945</v>
      </c>
      <c r="H95" s="11" t="s">
        <v>91</v>
      </c>
      <c r="I95" s="11">
        <v>70764</v>
      </c>
      <c r="J95" s="175">
        <v>6</v>
      </c>
      <c r="K95" s="11">
        <v>325211</v>
      </c>
      <c r="L95" s="176" t="s">
        <v>1787</v>
      </c>
      <c r="M95" s="176" t="s">
        <v>1931</v>
      </c>
      <c r="N95" s="11">
        <v>30.262255</v>
      </c>
      <c r="O95" s="11">
        <v>-91.185837000000006</v>
      </c>
      <c r="P95" s="163">
        <v>110000613747</v>
      </c>
      <c r="Q95" s="163">
        <v>1323222060345</v>
      </c>
      <c r="R95" s="11" t="s">
        <v>1932</v>
      </c>
      <c r="S95" s="11" t="s">
        <v>1933</v>
      </c>
      <c r="T95" s="177">
        <v>5</v>
      </c>
      <c r="U95" s="176" t="s">
        <v>1940</v>
      </c>
      <c r="V95" s="176"/>
      <c r="W95" s="176"/>
      <c r="X95" s="176"/>
      <c r="Y95" s="11">
        <v>0</v>
      </c>
      <c r="Z95" s="11">
        <v>0</v>
      </c>
      <c r="AA95" s="11">
        <v>0</v>
      </c>
      <c r="AB95" s="11">
        <f t="shared" si="1"/>
        <v>0</v>
      </c>
    </row>
    <row r="96" spans="1:28" ht="43.5" x14ac:dyDescent="0.35">
      <c r="A96" s="11" t="s">
        <v>1790</v>
      </c>
      <c r="B96" s="11">
        <v>2023</v>
      </c>
      <c r="C96" s="11" t="s">
        <v>1903</v>
      </c>
      <c r="D96" s="11" t="s">
        <v>1901</v>
      </c>
      <c r="E96" s="11" t="s">
        <v>1902</v>
      </c>
      <c r="F96" s="11" t="s">
        <v>169</v>
      </c>
      <c r="G96" s="11" t="s">
        <v>1077</v>
      </c>
      <c r="H96" s="11" t="s">
        <v>108</v>
      </c>
      <c r="I96" s="11">
        <v>42029</v>
      </c>
      <c r="J96" s="175">
        <v>4</v>
      </c>
      <c r="K96" s="11">
        <v>325199</v>
      </c>
      <c r="L96" s="176" t="s">
        <v>873</v>
      </c>
      <c r="M96" s="176" t="s">
        <v>1931</v>
      </c>
      <c r="N96" s="11">
        <v>37.051110999999999</v>
      </c>
      <c r="O96" s="11">
        <v>-88.334166999999994</v>
      </c>
      <c r="P96" s="163">
        <v>110027373072</v>
      </c>
      <c r="Q96" s="163">
        <v>1323222094676</v>
      </c>
      <c r="R96" s="11" t="s">
        <v>1932</v>
      </c>
      <c r="S96" s="11" t="s">
        <v>1933</v>
      </c>
      <c r="T96" s="177">
        <v>4</v>
      </c>
      <c r="U96" s="176" t="s">
        <v>1948</v>
      </c>
      <c r="V96" s="176"/>
      <c r="W96" s="176"/>
      <c r="X96" s="176"/>
      <c r="Y96" s="11">
        <v>0</v>
      </c>
      <c r="Z96" s="11">
        <v>0</v>
      </c>
      <c r="AA96" s="11">
        <v>0</v>
      </c>
      <c r="AB96" s="11">
        <f t="shared" si="1"/>
        <v>0</v>
      </c>
    </row>
    <row r="97" spans="1:28" ht="29" x14ac:dyDescent="0.35">
      <c r="A97" s="11" t="s">
        <v>1790</v>
      </c>
      <c r="B97" s="11">
        <v>2023</v>
      </c>
      <c r="C97" s="11" t="s">
        <v>1872</v>
      </c>
      <c r="D97" s="11" t="s">
        <v>1870</v>
      </c>
      <c r="E97" s="11" t="s">
        <v>1871</v>
      </c>
      <c r="F97" s="11" t="s">
        <v>598</v>
      </c>
      <c r="G97" s="11" t="s">
        <v>1949</v>
      </c>
      <c r="H97" s="11" t="s">
        <v>95</v>
      </c>
      <c r="I97" s="11">
        <v>78359</v>
      </c>
      <c r="J97" s="175">
        <v>6</v>
      </c>
      <c r="K97" s="11">
        <v>325199</v>
      </c>
      <c r="L97" s="176" t="s">
        <v>873</v>
      </c>
      <c r="M97" s="176" t="s">
        <v>1931</v>
      </c>
      <c r="N97" s="11">
        <v>27.883610999999998</v>
      </c>
      <c r="O97" s="11">
        <v>-97.241382999999999</v>
      </c>
      <c r="P97" s="163">
        <v>110000599807</v>
      </c>
      <c r="Q97" s="163">
        <v>1323222095655</v>
      </c>
      <c r="R97" s="11" t="s">
        <v>1932</v>
      </c>
      <c r="S97" s="11" t="s">
        <v>1933</v>
      </c>
      <c r="T97" s="177">
        <v>4</v>
      </c>
      <c r="U97" s="176" t="s">
        <v>1968</v>
      </c>
      <c r="V97" s="176"/>
      <c r="W97" s="176"/>
      <c r="X97" s="176"/>
      <c r="Y97" s="11">
        <v>0</v>
      </c>
      <c r="Z97" s="11">
        <v>0</v>
      </c>
      <c r="AA97" s="11">
        <v>0</v>
      </c>
      <c r="AB97" s="11">
        <f t="shared" si="1"/>
        <v>0</v>
      </c>
    </row>
    <row r="98" spans="1:28" ht="43.5" x14ac:dyDescent="0.35">
      <c r="A98" s="11" t="s">
        <v>1790</v>
      </c>
      <c r="B98" s="11">
        <v>2023</v>
      </c>
      <c r="C98" s="11" t="s">
        <v>1842</v>
      </c>
      <c r="D98" s="11" t="s">
        <v>1840</v>
      </c>
      <c r="E98" s="11" t="s">
        <v>1841</v>
      </c>
      <c r="F98" s="11" t="s">
        <v>982</v>
      </c>
      <c r="G98" s="11" t="s">
        <v>1113</v>
      </c>
      <c r="H98" s="11" t="s">
        <v>202</v>
      </c>
      <c r="I98" s="11">
        <v>71730</v>
      </c>
      <c r="J98" s="175">
        <v>6</v>
      </c>
      <c r="K98" s="11">
        <v>562211</v>
      </c>
      <c r="L98" s="176" t="s">
        <v>1839</v>
      </c>
      <c r="M98" s="176" t="s">
        <v>1931</v>
      </c>
      <c r="N98" s="11">
        <v>33.2044</v>
      </c>
      <c r="O98" s="11">
        <v>-92.630799999999994</v>
      </c>
      <c r="P98" s="163">
        <v>110000521221</v>
      </c>
      <c r="Q98" s="163">
        <v>1323222102915</v>
      </c>
      <c r="R98" s="11" t="s">
        <v>1932</v>
      </c>
      <c r="S98" s="11" t="s">
        <v>1933</v>
      </c>
      <c r="T98" s="177">
        <v>4</v>
      </c>
      <c r="U98" s="176" t="s">
        <v>1972</v>
      </c>
      <c r="V98" s="176"/>
      <c r="W98" s="176"/>
      <c r="X98" s="176"/>
      <c r="Y98" s="11">
        <v>0</v>
      </c>
      <c r="Z98" s="11">
        <v>0</v>
      </c>
      <c r="AA98" s="11">
        <v>0</v>
      </c>
      <c r="AB98" s="11">
        <f t="shared" si="1"/>
        <v>0</v>
      </c>
    </row>
    <row r="99" spans="1:28" ht="29" x14ac:dyDescent="0.35">
      <c r="A99" s="11" t="s">
        <v>1790</v>
      </c>
      <c r="B99" s="11">
        <v>2023</v>
      </c>
      <c r="C99" s="11" t="s">
        <v>1894</v>
      </c>
      <c r="D99" s="11" t="s">
        <v>1892</v>
      </c>
      <c r="E99" s="11" t="s">
        <v>1893</v>
      </c>
      <c r="F99" s="11" t="s">
        <v>90</v>
      </c>
      <c r="G99" s="11" t="s">
        <v>1939</v>
      </c>
      <c r="H99" s="11" t="s">
        <v>91</v>
      </c>
      <c r="I99" s="11">
        <v>70669</v>
      </c>
      <c r="J99" s="175">
        <v>6</v>
      </c>
      <c r="K99" s="11">
        <v>325110</v>
      </c>
      <c r="L99" s="176" t="s">
        <v>1895</v>
      </c>
      <c r="M99" s="176" t="s">
        <v>1931</v>
      </c>
      <c r="N99" s="11">
        <v>30.252222</v>
      </c>
      <c r="O99" s="11">
        <v>-93.284443999999993</v>
      </c>
      <c r="P99" s="163">
        <v>110002054482</v>
      </c>
      <c r="Q99" s="163">
        <v>1323222130229</v>
      </c>
      <c r="R99" s="11" t="s">
        <v>1932</v>
      </c>
      <c r="S99" s="11" t="s">
        <v>1933</v>
      </c>
      <c r="T99" s="177">
        <v>3</v>
      </c>
      <c r="U99" s="176" t="s">
        <v>1940</v>
      </c>
      <c r="V99" s="176"/>
      <c r="W99" s="176"/>
      <c r="X99" s="176"/>
      <c r="Y99" s="11">
        <v>0</v>
      </c>
      <c r="Z99" s="11">
        <v>0</v>
      </c>
      <c r="AA99" s="11">
        <v>0</v>
      </c>
      <c r="AB99" s="11">
        <f t="shared" si="1"/>
        <v>0</v>
      </c>
    </row>
    <row r="100" spans="1:28" ht="29" x14ac:dyDescent="0.35">
      <c r="A100" s="11" t="s">
        <v>1790</v>
      </c>
      <c r="B100" s="11">
        <v>2023</v>
      </c>
      <c r="C100" s="11" t="s">
        <v>1844</v>
      </c>
      <c r="D100" s="11" t="s">
        <v>1843</v>
      </c>
      <c r="E100" s="11" t="s">
        <v>1789</v>
      </c>
      <c r="F100" s="11" t="s">
        <v>98</v>
      </c>
      <c r="G100" s="11" t="s">
        <v>1695</v>
      </c>
      <c r="H100" s="11" t="s">
        <v>95</v>
      </c>
      <c r="I100" s="11">
        <v>775413257</v>
      </c>
      <c r="J100" s="175">
        <v>6</v>
      </c>
      <c r="K100" s="11">
        <v>325199</v>
      </c>
      <c r="L100" s="176" t="s">
        <v>873</v>
      </c>
      <c r="M100" s="176" t="s">
        <v>1931</v>
      </c>
      <c r="N100" s="11">
        <v>28.980146999999999</v>
      </c>
      <c r="O100" s="11">
        <v>-95.342271999999994</v>
      </c>
      <c r="P100" s="163">
        <v>110008170237</v>
      </c>
      <c r="Q100" s="163">
        <v>1323222253318</v>
      </c>
      <c r="R100" s="11" t="s">
        <v>1932</v>
      </c>
      <c r="S100" s="11" t="s">
        <v>1933</v>
      </c>
      <c r="T100" s="177">
        <v>4</v>
      </c>
      <c r="U100" s="176" t="s">
        <v>1955</v>
      </c>
      <c r="V100" s="176"/>
      <c r="W100" s="176"/>
      <c r="X100" s="176"/>
      <c r="Y100" s="11">
        <v>0</v>
      </c>
      <c r="Z100" s="11">
        <v>0</v>
      </c>
      <c r="AA100" s="11">
        <v>0</v>
      </c>
      <c r="AB100" s="11">
        <f t="shared" si="1"/>
        <v>0</v>
      </c>
    </row>
    <row r="101" spans="1:28" ht="29" x14ac:dyDescent="0.35">
      <c r="A101" s="11" t="s">
        <v>1790</v>
      </c>
      <c r="B101" s="11">
        <v>2023</v>
      </c>
      <c r="C101" s="11" t="s">
        <v>1887</v>
      </c>
      <c r="D101" s="11" t="s">
        <v>1884</v>
      </c>
      <c r="E101" s="11" t="s">
        <v>1885</v>
      </c>
      <c r="F101" s="11" t="s">
        <v>1886</v>
      </c>
      <c r="G101" s="11" t="s">
        <v>1945</v>
      </c>
      <c r="H101" s="11" t="s">
        <v>91</v>
      </c>
      <c r="I101" s="11">
        <v>70764</v>
      </c>
      <c r="J101" s="175">
        <v>6</v>
      </c>
      <c r="K101" s="11">
        <v>325211</v>
      </c>
      <c r="L101" s="176" t="s">
        <v>1787</v>
      </c>
      <c r="M101" s="176" t="s">
        <v>1931</v>
      </c>
      <c r="N101" s="11">
        <v>30.259399999999999</v>
      </c>
      <c r="O101" s="11">
        <v>-91.173699999999997</v>
      </c>
      <c r="P101" s="163">
        <v>110000572675</v>
      </c>
      <c r="Q101" s="163">
        <v>1323222269351</v>
      </c>
      <c r="R101" s="11" t="s">
        <v>1932</v>
      </c>
      <c r="S101" s="11" t="s">
        <v>1933</v>
      </c>
      <c r="T101" s="177">
        <v>5</v>
      </c>
      <c r="U101" s="176" t="s">
        <v>1940</v>
      </c>
      <c r="V101" s="176"/>
      <c r="W101" s="176"/>
      <c r="X101" s="176"/>
      <c r="Y101" s="11">
        <v>0</v>
      </c>
      <c r="Z101" s="11">
        <v>0</v>
      </c>
      <c r="AA101" s="11">
        <v>0</v>
      </c>
      <c r="AB101" s="11">
        <f t="shared" si="1"/>
        <v>0</v>
      </c>
    </row>
    <row r="102" spans="1:28" ht="29" x14ac:dyDescent="0.35">
      <c r="A102" s="11" t="s">
        <v>1790</v>
      </c>
      <c r="B102" s="11">
        <v>2023</v>
      </c>
      <c r="C102" s="11" t="s">
        <v>1820</v>
      </c>
      <c r="D102" s="11" t="s">
        <v>1817</v>
      </c>
      <c r="E102" s="11" t="s">
        <v>1818</v>
      </c>
      <c r="F102" s="11" t="s">
        <v>1819</v>
      </c>
      <c r="G102" s="11" t="s">
        <v>1956</v>
      </c>
      <c r="H102" s="11" t="s">
        <v>111</v>
      </c>
      <c r="I102" s="11">
        <v>61242</v>
      </c>
      <c r="J102" s="175">
        <v>5</v>
      </c>
      <c r="K102" s="11">
        <v>325998</v>
      </c>
      <c r="L102" s="176" t="s">
        <v>1794</v>
      </c>
      <c r="M102" s="176" t="s">
        <v>1931</v>
      </c>
      <c r="N102" s="11">
        <v>41.755000000000003</v>
      </c>
      <c r="O102" s="11">
        <v>-90.284166999999997</v>
      </c>
      <c r="P102" s="163">
        <v>110013886875</v>
      </c>
      <c r="Q102" s="163">
        <v>1323222318848</v>
      </c>
      <c r="R102" s="11" t="s">
        <v>1932</v>
      </c>
      <c r="S102" s="11" t="s">
        <v>1933</v>
      </c>
      <c r="T102" s="177">
        <v>5</v>
      </c>
      <c r="U102" s="176" t="s">
        <v>1957</v>
      </c>
      <c r="V102" s="176"/>
      <c r="W102" s="176"/>
      <c r="X102" s="176"/>
      <c r="Y102" s="11">
        <v>0</v>
      </c>
      <c r="Z102" s="11">
        <v>0</v>
      </c>
      <c r="AA102" s="11">
        <v>0</v>
      </c>
      <c r="AB102" s="11">
        <f t="shared" si="1"/>
        <v>0</v>
      </c>
    </row>
    <row r="103" spans="1:28" ht="29" x14ac:dyDescent="0.35">
      <c r="A103" s="11" t="s">
        <v>1790</v>
      </c>
      <c r="B103" s="11">
        <v>2023</v>
      </c>
      <c r="C103" s="11" t="s">
        <v>1864</v>
      </c>
      <c r="D103" s="11" t="s">
        <v>1859</v>
      </c>
      <c r="E103" s="11" t="s">
        <v>1860</v>
      </c>
      <c r="F103" s="11" t="s">
        <v>1861</v>
      </c>
      <c r="G103" s="11" t="s">
        <v>1958</v>
      </c>
      <c r="H103" s="11" t="s">
        <v>1862</v>
      </c>
      <c r="I103" s="11" t="s">
        <v>1863</v>
      </c>
      <c r="J103" s="175">
        <v>1</v>
      </c>
      <c r="K103" s="11">
        <v>424690</v>
      </c>
      <c r="L103" s="176" t="s">
        <v>1865</v>
      </c>
      <c r="M103" s="176" t="s">
        <v>1931</v>
      </c>
      <c r="N103" s="11">
        <v>41.670540000000003</v>
      </c>
      <c r="O103" s="11">
        <v>-72.755600000000001</v>
      </c>
      <c r="P103" s="163">
        <v>110033160022</v>
      </c>
      <c r="Q103" s="163">
        <v>1323222367601</v>
      </c>
      <c r="R103" s="11" t="s">
        <v>1932</v>
      </c>
      <c r="S103" s="11" t="s">
        <v>1933</v>
      </c>
      <c r="T103" s="177">
        <v>4</v>
      </c>
      <c r="U103" s="176" t="s">
        <v>1938</v>
      </c>
      <c r="V103" s="176"/>
      <c r="W103" s="176"/>
      <c r="X103" s="176"/>
      <c r="Y103" s="11">
        <v>0</v>
      </c>
      <c r="Z103" s="11">
        <v>0</v>
      </c>
      <c r="AA103" s="11">
        <v>0</v>
      </c>
      <c r="AB103" s="11">
        <f t="shared" si="1"/>
        <v>0</v>
      </c>
    </row>
    <row r="104" spans="1:28" ht="29" x14ac:dyDescent="0.35">
      <c r="A104" s="11" t="s">
        <v>1790</v>
      </c>
      <c r="B104" s="11">
        <v>2023</v>
      </c>
      <c r="C104" s="11" t="s">
        <v>1825</v>
      </c>
      <c r="D104" s="11" t="s">
        <v>1821</v>
      </c>
      <c r="E104" s="11" t="s">
        <v>1822</v>
      </c>
      <c r="F104" s="11" t="s">
        <v>1823</v>
      </c>
      <c r="G104" s="11" t="s">
        <v>1960</v>
      </c>
      <c r="H104" s="11" t="s">
        <v>1824</v>
      </c>
      <c r="I104" s="11">
        <v>27030</v>
      </c>
      <c r="J104" s="175">
        <v>4</v>
      </c>
      <c r="K104" s="11">
        <v>326150</v>
      </c>
      <c r="L104" s="176" t="s">
        <v>1826</v>
      </c>
      <c r="M104" s="176" t="s">
        <v>1931</v>
      </c>
      <c r="N104" s="11">
        <v>36.472777999999998</v>
      </c>
      <c r="O104" s="11">
        <v>-80.608610999999996</v>
      </c>
      <c r="P104" s="163">
        <v>110000345172</v>
      </c>
      <c r="Q104" s="163">
        <v>1323222389429</v>
      </c>
      <c r="R104" s="11" t="s">
        <v>1932</v>
      </c>
      <c r="S104" s="11" t="s">
        <v>1933</v>
      </c>
      <c r="T104" s="177">
        <v>4</v>
      </c>
      <c r="U104" s="176" t="s">
        <v>1961</v>
      </c>
      <c r="V104" s="176"/>
      <c r="W104" s="176"/>
      <c r="X104" s="176"/>
      <c r="Y104" s="11">
        <v>0</v>
      </c>
      <c r="Z104" s="11">
        <v>0</v>
      </c>
      <c r="AA104" s="11">
        <v>0</v>
      </c>
      <c r="AB104" s="11">
        <f t="shared" si="1"/>
        <v>0</v>
      </c>
    </row>
    <row r="105" spans="1:28" ht="29" x14ac:dyDescent="0.35">
      <c r="A105" s="11" t="s">
        <v>1790</v>
      </c>
      <c r="B105" s="11">
        <v>2023</v>
      </c>
      <c r="C105" s="11" t="s">
        <v>1869</v>
      </c>
      <c r="D105" s="11" t="s">
        <v>1866</v>
      </c>
      <c r="E105" s="11" t="s">
        <v>1867</v>
      </c>
      <c r="F105" s="11" t="s">
        <v>1868</v>
      </c>
      <c r="G105" s="11" t="s">
        <v>1966</v>
      </c>
      <c r="H105" s="11" t="s">
        <v>95</v>
      </c>
      <c r="I105" s="11">
        <v>77489</v>
      </c>
      <c r="J105" s="175">
        <v>6</v>
      </c>
      <c r="K105" s="11">
        <v>326150</v>
      </c>
      <c r="L105" s="176" t="s">
        <v>1826</v>
      </c>
      <c r="M105" s="176" t="s">
        <v>1931</v>
      </c>
      <c r="N105" s="11">
        <v>29.612449999999999</v>
      </c>
      <c r="O105" s="11">
        <v>-95.516098999999997</v>
      </c>
      <c r="P105" s="163">
        <v>110070942904</v>
      </c>
      <c r="Q105" s="163">
        <v>1323222389482</v>
      </c>
      <c r="R105" s="11" t="s">
        <v>1932</v>
      </c>
      <c r="S105" s="11" t="s">
        <v>1933</v>
      </c>
      <c r="T105" s="177">
        <v>4</v>
      </c>
      <c r="U105" s="176" t="s">
        <v>1961</v>
      </c>
      <c r="V105" s="176"/>
      <c r="W105" s="176"/>
      <c r="X105" s="176"/>
      <c r="Y105" s="11">
        <v>0</v>
      </c>
      <c r="Z105" s="11">
        <v>0</v>
      </c>
      <c r="AA105" s="11">
        <v>0</v>
      </c>
      <c r="AB105" s="11">
        <f t="shared" si="1"/>
        <v>0</v>
      </c>
    </row>
    <row r="127" spans="23:23" x14ac:dyDescent="0.35">
      <c r="W127" s="176" t="s">
        <v>1904</v>
      </c>
    </row>
    <row r="128" spans="23:23" x14ac:dyDescent="0.35">
      <c r="W128" s="176" t="s">
        <v>1904</v>
      </c>
    </row>
    <row r="129" spans="23:23" x14ac:dyDescent="0.35">
      <c r="W129" s="176" t="s">
        <v>1904</v>
      </c>
    </row>
    <row r="130" spans="23:23" x14ac:dyDescent="0.35">
      <c r="W130" s="176" t="s">
        <v>1904</v>
      </c>
    </row>
    <row r="131" spans="23:23" x14ac:dyDescent="0.35">
      <c r="W131" s="176"/>
    </row>
    <row r="132" spans="23:23" x14ac:dyDescent="0.35">
      <c r="W132" s="176"/>
    </row>
    <row r="133" spans="23:23" x14ac:dyDescent="0.35">
      <c r="W133" s="176" t="s">
        <v>1904</v>
      </c>
    </row>
    <row r="134" spans="23:23" x14ac:dyDescent="0.35">
      <c r="W134" s="176"/>
    </row>
    <row r="135" spans="23:23" x14ac:dyDescent="0.35">
      <c r="W135" s="176" t="s">
        <v>1904</v>
      </c>
    </row>
    <row r="136" spans="23:23" x14ac:dyDescent="0.35">
      <c r="W136" s="176" t="s">
        <v>1904</v>
      </c>
    </row>
    <row r="664" spans="24:24" x14ac:dyDescent="0.35">
      <c r="X664" s="39" t="s">
        <v>1904</v>
      </c>
    </row>
    <row r="670" spans="24:24" x14ac:dyDescent="0.35">
      <c r="X670" s="39" t="s">
        <v>1904</v>
      </c>
    </row>
    <row r="672" spans="24:24" x14ac:dyDescent="0.35">
      <c r="X672" s="39" t="s">
        <v>1904</v>
      </c>
    </row>
    <row r="675" spans="22:24" x14ac:dyDescent="0.35">
      <c r="V675" s="39" t="s">
        <v>1904</v>
      </c>
    </row>
    <row r="678" spans="22:24" x14ac:dyDescent="0.35">
      <c r="V678" s="39" t="s">
        <v>1904</v>
      </c>
      <c r="X678" s="39" t="s">
        <v>1904</v>
      </c>
    </row>
    <row r="986" spans="23:23" x14ac:dyDescent="0.35">
      <c r="W986" s="39" t="s">
        <v>1904</v>
      </c>
    </row>
  </sheetData>
  <sheetProtection sheet="1" objects="1" scenarios="1" formatCells="0" formatColumns="0" formatRows="0" sort="0" autoFilter="0"/>
  <autoFilter ref="A1:AB661" xr:uid="{025FBDDF-04D5-478F-92FA-5209FFD5A596}"/>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32817-F5AD-48AE-A027-A54EB639EF52}">
  <sheetPr codeName="Sheet11">
    <tabColor theme="9"/>
  </sheetPr>
  <dimension ref="A1:Y1120"/>
  <sheetViews>
    <sheetView zoomScale="90" zoomScaleNormal="90" workbookViewId="0">
      <pane ySplit="1" topLeftCell="A2" activePane="bottomLeft" state="frozen"/>
      <selection pane="bottomLeft"/>
    </sheetView>
  </sheetViews>
  <sheetFormatPr defaultRowHeight="14.5" x14ac:dyDescent="0.35"/>
  <cols>
    <col min="1" max="1" width="8.7265625" style="11"/>
    <col min="2" max="2" width="12.1796875" style="11" customWidth="1"/>
    <col min="3" max="3" width="12" style="11" customWidth="1"/>
    <col min="4" max="4" width="14.453125" style="163" customWidth="1"/>
    <col min="5" max="5" width="43.26953125" style="11" customWidth="1"/>
    <col min="6" max="6" width="23.26953125" style="11" bestFit="1" customWidth="1"/>
    <col min="7" max="7" width="10.453125" style="11" customWidth="1"/>
    <col min="8" max="8" width="6" style="11" customWidth="1"/>
    <col min="9" max="9" width="9.81640625" style="11" customWidth="1"/>
    <col min="10" max="10" width="17.1796875" style="11" bestFit="1" customWidth="1"/>
    <col min="11" max="11" width="18.7265625" style="11" bestFit="1" customWidth="1"/>
    <col min="12" max="12" width="10.81640625" style="11" bestFit="1" customWidth="1"/>
    <col min="13" max="13" width="16.7265625" style="175" bestFit="1" customWidth="1"/>
    <col min="14" max="14" width="36.453125" style="175" bestFit="1" customWidth="1"/>
    <col min="15" max="15" width="13.453125" style="11" bestFit="1" customWidth="1"/>
    <col min="16" max="16" width="72.54296875" style="175" bestFit="1" customWidth="1"/>
    <col min="17" max="17" width="27.26953125" style="176" customWidth="1"/>
    <col min="18" max="18" width="38.453125" style="176" customWidth="1"/>
    <col min="19" max="19" width="110.1796875" style="176" customWidth="1"/>
    <col min="20" max="20" width="19" style="176" customWidth="1"/>
    <col min="21" max="21" width="15.1796875" style="163" customWidth="1"/>
    <col min="22" max="22" width="43.81640625" style="11" customWidth="1"/>
    <col min="23" max="23" width="20.1796875" style="175" customWidth="1"/>
    <col min="24" max="24" width="11.7265625" style="11" bestFit="1" customWidth="1"/>
    <col min="25" max="25" width="23.1796875" style="11" bestFit="1" customWidth="1"/>
    <col min="26" max="16384" width="8.7265625" style="11"/>
  </cols>
  <sheetData>
    <row r="1" spans="1:25" ht="29" x14ac:dyDescent="0.35">
      <c r="A1" s="178" t="s">
        <v>711</v>
      </c>
      <c r="B1" s="178" t="s">
        <v>68</v>
      </c>
      <c r="C1" s="178" t="s">
        <v>727</v>
      </c>
      <c r="D1" s="179" t="s">
        <v>718</v>
      </c>
      <c r="E1" s="178" t="s">
        <v>70</v>
      </c>
      <c r="F1" s="178" t="s">
        <v>712</v>
      </c>
      <c r="G1" s="178" t="s">
        <v>713</v>
      </c>
      <c r="H1" s="178" t="s">
        <v>714</v>
      </c>
      <c r="I1" s="178" t="s">
        <v>1973</v>
      </c>
      <c r="J1" s="178" t="s">
        <v>715</v>
      </c>
      <c r="K1" s="178" t="s">
        <v>716</v>
      </c>
      <c r="L1" s="178" t="s">
        <v>1974</v>
      </c>
      <c r="M1" s="178" t="s">
        <v>719</v>
      </c>
      <c r="N1" s="180" t="s">
        <v>720</v>
      </c>
      <c r="O1" s="181" t="s">
        <v>721</v>
      </c>
      <c r="P1" s="182" t="s">
        <v>722</v>
      </c>
      <c r="Q1" s="183" t="s">
        <v>1975</v>
      </c>
      <c r="R1" s="184" t="s">
        <v>26</v>
      </c>
      <c r="S1" s="183" t="s">
        <v>1976</v>
      </c>
      <c r="T1" s="183" t="s">
        <v>1977</v>
      </c>
      <c r="U1" s="185" t="s">
        <v>77</v>
      </c>
      <c r="V1" s="178" t="s">
        <v>728</v>
      </c>
      <c r="W1" s="178" t="s">
        <v>1978</v>
      </c>
      <c r="X1" s="186" t="s">
        <v>59</v>
      </c>
      <c r="Y1" s="186" t="s">
        <v>1979</v>
      </c>
    </row>
    <row r="2" spans="1:25" x14ac:dyDescent="0.35">
      <c r="A2" s="11">
        <v>2019</v>
      </c>
      <c r="B2" s="11" t="s">
        <v>1980</v>
      </c>
      <c r="C2" s="11" t="s">
        <v>1284</v>
      </c>
      <c r="D2" s="163">
        <v>110000494894</v>
      </c>
      <c r="E2" s="11" t="s">
        <v>89</v>
      </c>
      <c r="F2" s="11" t="s">
        <v>90</v>
      </c>
      <c r="G2" s="11" t="s">
        <v>771</v>
      </c>
      <c r="H2" s="11" t="s">
        <v>91</v>
      </c>
      <c r="I2" s="11" t="s">
        <v>1981</v>
      </c>
      <c r="J2" s="11">
        <v>30.223500000000001</v>
      </c>
      <c r="K2" s="11">
        <v>-93.286900000000003</v>
      </c>
      <c r="L2" s="11">
        <v>2869</v>
      </c>
      <c r="M2" s="11">
        <v>2869</v>
      </c>
      <c r="N2" s="175" t="str">
        <f>VLOOKUP(M2, '2017 SIC to NAICS'!A:D, 2)</f>
        <v>Industrial Organic Chemicals, Nec</v>
      </c>
      <c r="P2" s="187" t="str">
        <f>VLOOKUP(M2, '2017 SIC to NAICS'!A:D, 4)</f>
        <v>All Other Miscellaneous Chemical Product and Preparation Manufacturing</v>
      </c>
      <c r="Q2" s="176" t="str">
        <f>IFERROR(VLOOKUP(O2, 'NAICS OES crosswalk'!A:C, 3, FALSE), VLOOKUP(M2, 'NAICS OES crosswalk'!A:C, 3, FALSE))</f>
        <v>Manufacturing</v>
      </c>
      <c r="U2" s="188">
        <v>80802060301</v>
      </c>
      <c r="V2" s="11" t="s">
        <v>1286</v>
      </c>
      <c r="W2" s="11"/>
      <c r="X2" s="11">
        <v>252.753272775</v>
      </c>
      <c r="Y2" s="11" t="b">
        <f xml:space="preserve"> X2 &lt;= _xlfn.PERCENTILE.INC($X$2:$X$219, 0.1)</f>
        <v>0</v>
      </c>
    </row>
    <row r="3" spans="1:25" ht="29" x14ac:dyDescent="0.35">
      <c r="A3" s="11">
        <v>2019</v>
      </c>
      <c r="B3" s="11" t="s">
        <v>1980</v>
      </c>
      <c r="C3" s="11" t="s">
        <v>1215</v>
      </c>
      <c r="D3" s="163">
        <v>110000732379</v>
      </c>
      <c r="E3" s="11" t="s">
        <v>106</v>
      </c>
      <c r="F3" s="11" t="s">
        <v>107</v>
      </c>
      <c r="G3" s="11" t="s">
        <v>782</v>
      </c>
      <c r="H3" s="11" t="s">
        <v>108</v>
      </c>
      <c r="I3" s="11" t="s">
        <v>1981</v>
      </c>
      <c r="J3" s="11">
        <v>38.08614</v>
      </c>
      <c r="K3" s="11">
        <v>-85.898780000000002</v>
      </c>
      <c r="L3" s="11">
        <v>4952</v>
      </c>
      <c r="M3" s="11">
        <v>4952</v>
      </c>
      <c r="N3" s="175" t="str">
        <f>VLOOKUP(M3, '2017 SIC to NAICS'!A:D, 2)</f>
        <v>Sewerage Systems</v>
      </c>
      <c r="O3" s="11">
        <v>221320</v>
      </c>
      <c r="P3" s="187" t="str">
        <f>VLOOKUP(M3, '2017 SIC to NAICS'!A:D, 4)</f>
        <v>Sewage Treatment Facilities</v>
      </c>
      <c r="Q3" s="176" t="str">
        <f>IFERROR(VLOOKUP(O3, 'NAICS OES crosswalk'!A:C, 3, FALSE), VLOOKUP(M3, 'NAICS OES crosswalk'!A:C, 3, FALSE))</f>
        <v>Waste handling, disposal, and treatment</v>
      </c>
      <c r="U3" s="188">
        <v>51401010904</v>
      </c>
      <c r="V3" s="11" t="s">
        <v>1216</v>
      </c>
      <c r="W3" s="11"/>
      <c r="X3" s="11">
        <v>212.68922756250001</v>
      </c>
      <c r="Y3" s="11" t="b">
        <f t="shared" ref="Y3:Y66" si="0" xml:space="preserve"> X3 &lt;= _xlfn.PERCENTILE.INC($X$2:$X$219, 0.1)</f>
        <v>0</v>
      </c>
    </row>
    <row r="4" spans="1:25" x14ac:dyDescent="0.35">
      <c r="A4" s="11">
        <v>2019</v>
      </c>
      <c r="B4" s="11" t="s">
        <v>1980</v>
      </c>
      <c r="C4" s="11" t="s">
        <v>1043</v>
      </c>
      <c r="D4" s="163">
        <v>110041049950</v>
      </c>
      <c r="E4" s="11" t="s">
        <v>112</v>
      </c>
      <c r="F4" s="11" t="s">
        <v>113</v>
      </c>
      <c r="G4" s="11" t="s">
        <v>1044</v>
      </c>
      <c r="H4" s="11" t="s">
        <v>111</v>
      </c>
      <c r="I4" s="11" t="s">
        <v>1982</v>
      </c>
      <c r="J4" s="11">
        <v>42.437981999999998</v>
      </c>
      <c r="K4" s="11">
        <v>-88.253360999999998</v>
      </c>
      <c r="L4" s="11">
        <v>3873</v>
      </c>
      <c r="M4" s="11">
        <v>3873</v>
      </c>
      <c r="N4" s="175" t="str">
        <f>VLOOKUP(M4, '2017 SIC to NAICS'!A:D, 2)</f>
        <v>Watches, Clocks, Watchcases, and Parts</v>
      </c>
      <c r="P4" s="187" t="str">
        <f>VLOOKUP(M4, '2017 SIC to NAICS'!A:D, 4)</f>
        <v>Other Measuring and Controlling Device
Manufacturing</v>
      </c>
      <c r="Q4" s="176" t="e">
        <f>IFERROR(VLOOKUP(O4, 'NAICS OES crosswalk'!A:C, 3, FALSE), VLOOKUP(M4, 'NAICS OES crosswalk'!A:C, 3, FALSE))</f>
        <v>#N/A</v>
      </c>
      <c r="U4" s="188">
        <v>71200060907</v>
      </c>
      <c r="V4" s="11" t="s">
        <v>1047</v>
      </c>
      <c r="W4" s="11"/>
      <c r="X4" s="11">
        <v>84.481200000000001</v>
      </c>
      <c r="Y4" s="11" t="b">
        <f t="shared" si="0"/>
        <v>0</v>
      </c>
    </row>
    <row r="5" spans="1:25" ht="29" x14ac:dyDescent="0.35">
      <c r="A5" s="11">
        <v>2019</v>
      </c>
      <c r="B5" s="11" t="s">
        <v>1980</v>
      </c>
      <c r="C5" s="11" t="s">
        <v>1119</v>
      </c>
      <c r="D5" s="163">
        <v>110000571373</v>
      </c>
      <c r="E5" s="11" t="s">
        <v>116</v>
      </c>
      <c r="F5" s="11" t="s">
        <v>117</v>
      </c>
      <c r="G5" s="11" t="s">
        <v>1120</v>
      </c>
      <c r="H5" s="11" t="s">
        <v>108</v>
      </c>
      <c r="I5" s="11" t="s">
        <v>1981</v>
      </c>
      <c r="J5" s="11">
        <v>37.642310000000002</v>
      </c>
      <c r="K5" s="11">
        <v>-85.903570000000002</v>
      </c>
      <c r="L5" s="11">
        <v>4952</v>
      </c>
      <c r="M5" s="11">
        <v>4952</v>
      </c>
      <c r="N5" s="175" t="str">
        <f>VLOOKUP(M5, '2017 SIC to NAICS'!A:D, 2)</f>
        <v>Sewerage Systems</v>
      </c>
      <c r="O5" s="11">
        <v>221320</v>
      </c>
      <c r="P5" s="187" t="str">
        <f>VLOOKUP(M5, '2017 SIC to NAICS'!A:D, 4)</f>
        <v>Sewage Treatment Facilities</v>
      </c>
      <c r="Q5" s="176" t="str">
        <f>IFERROR(VLOOKUP(O5, 'NAICS OES crosswalk'!A:C, 3, FALSE), VLOOKUP(M5, 'NAICS OES crosswalk'!A:C, 3, FALSE))</f>
        <v>Waste handling, disposal, and treatment</v>
      </c>
      <c r="U5" s="188">
        <v>51100011004</v>
      </c>
      <c r="V5" s="11" t="s">
        <v>1121</v>
      </c>
      <c r="W5" s="11"/>
      <c r="X5" s="11">
        <v>33.847362500000003</v>
      </c>
      <c r="Y5" s="11" t="b">
        <f t="shared" si="0"/>
        <v>0</v>
      </c>
    </row>
    <row r="6" spans="1:25" ht="29" x14ac:dyDescent="0.35">
      <c r="A6" s="11">
        <v>2019</v>
      </c>
      <c r="B6" s="11" t="s">
        <v>1980</v>
      </c>
      <c r="C6" s="11" t="s">
        <v>1236</v>
      </c>
      <c r="D6" s="163">
        <v>110043485421</v>
      </c>
      <c r="E6" s="11" t="s">
        <v>123</v>
      </c>
      <c r="F6" s="11" t="s">
        <v>107</v>
      </c>
      <c r="G6" s="11" t="s">
        <v>782</v>
      </c>
      <c r="H6" s="11" t="s">
        <v>108</v>
      </c>
      <c r="I6" s="11" t="s">
        <v>1981</v>
      </c>
      <c r="J6" s="11">
        <v>38.122354000000001</v>
      </c>
      <c r="K6" s="11">
        <v>-85.587648000000002</v>
      </c>
      <c r="L6" s="11">
        <v>4952</v>
      </c>
      <c r="M6" s="11">
        <v>4952</v>
      </c>
      <c r="N6" s="175" t="str">
        <f>VLOOKUP(M6, '2017 SIC to NAICS'!A:D, 2)</f>
        <v>Sewerage Systems</v>
      </c>
      <c r="O6" s="11">
        <v>221320</v>
      </c>
      <c r="P6" s="187" t="str">
        <f>VLOOKUP(M6, '2017 SIC to NAICS'!A:D, 4)</f>
        <v>Sewage Treatment Facilities</v>
      </c>
      <c r="Q6" s="176" t="str">
        <f>IFERROR(VLOOKUP(O6, 'NAICS OES crosswalk'!A:C, 3, FALSE), VLOOKUP(M6, 'NAICS OES crosswalk'!A:C, 3, FALSE))</f>
        <v>Waste handling, disposal, and treatment</v>
      </c>
      <c r="U6" s="188">
        <v>51401021002</v>
      </c>
      <c r="V6" s="11" t="s">
        <v>1237</v>
      </c>
      <c r="W6" s="11"/>
      <c r="X6" s="11">
        <v>27.7651986875</v>
      </c>
      <c r="Y6" s="11" t="b">
        <f t="shared" si="0"/>
        <v>0</v>
      </c>
    </row>
    <row r="7" spans="1:25" ht="29" x14ac:dyDescent="0.35">
      <c r="A7" s="11">
        <v>2019</v>
      </c>
      <c r="B7" s="11" t="s">
        <v>1980</v>
      </c>
      <c r="C7" s="11" t="s">
        <v>1459</v>
      </c>
      <c r="D7" s="163">
        <v>110000737123</v>
      </c>
      <c r="E7" s="11" t="s">
        <v>127</v>
      </c>
      <c r="F7" s="11" t="s">
        <v>128</v>
      </c>
      <c r="G7" s="11" t="s">
        <v>1132</v>
      </c>
      <c r="H7" s="11" t="s">
        <v>129</v>
      </c>
      <c r="I7" s="11" t="s">
        <v>1981</v>
      </c>
      <c r="J7" s="11">
        <v>38.544123999999996</v>
      </c>
      <c r="K7" s="11">
        <v>-90.962633999999994</v>
      </c>
      <c r="L7" s="11">
        <v>4952</v>
      </c>
      <c r="M7" s="11">
        <v>4952</v>
      </c>
      <c r="N7" s="175" t="str">
        <f>VLOOKUP(M7, '2017 SIC to NAICS'!A:D, 2)</f>
        <v>Sewerage Systems</v>
      </c>
      <c r="P7" s="187" t="str">
        <f>VLOOKUP(M7, '2017 SIC to NAICS'!A:D, 4)</f>
        <v>Sewage Treatment Facilities</v>
      </c>
      <c r="Q7" s="176" t="str">
        <f>IFERROR(VLOOKUP(O7, 'NAICS OES crosswalk'!A:C, 3, FALSE), VLOOKUP(M7, 'NAICS OES crosswalk'!A:C, 3, FALSE))</f>
        <v>Waste handling, disposal, and treatment</v>
      </c>
      <c r="U7" s="188">
        <v>103002000601</v>
      </c>
      <c r="V7" s="11" t="s">
        <v>1460</v>
      </c>
      <c r="W7" s="11"/>
      <c r="X7" s="11">
        <v>25.57316325</v>
      </c>
      <c r="Y7" s="11" t="b">
        <f t="shared" si="0"/>
        <v>0</v>
      </c>
    </row>
    <row r="8" spans="1:25" ht="15" customHeight="1" x14ac:dyDescent="0.35">
      <c r="A8" s="11">
        <v>2019</v>
      </c>
      <c r="B8" s="11" t="s">
        <v>1980</v>
      </c>
      <c r="C8" s="11" t="s">
        <v>1123</v>
      </c>
      <c r="D8" s="163">
        <v>110000732244</v>
      </c>
      <c r="E8" s="11" t="s">
        <v>132</v>
      </c>
      <c r="F8" s="11" t="s">
        <v>133</v>
      </c>
      <c r="G8" s="11" t="s">
        <v>1124</v>
      </c>
      <c r="H8" s="11" t="s">
        <v>108</v>
      </c>
      <c r="I8" s="11" t="s">
        <v>1981</v>
      </c>
      <c r="J8" s="11">
        <v>38.474601999999997</v>
      </c>
      <c r="K8" s="11">
        <v>-82.623778999999999</v>
      </c>
      <c r="L8" s="11">
        <v>4952</v>
      </c>
      <c r="M8" s="11">
        <v>4952</v>
      </c>
      <c r="N8" s="175" t="str">
        <f>VLOOKUP(M8, '2017 SIC to NAICS'!A:D, 2)</f>
        <v>Sewerage Systems</v>
      </c>
      <c r="O8" s="11">
        <v>221320</v>
      </c>
      <c r="P8" s="187" t="str">
        <f>VLOOKUP(M8, '2017 SIC to NAICS'!A:D, 4)</f>
        <v>Sewage Treatment Facilities</v>
      </c>
      <c r="Q8" s="176" t="str">
        <f>IFERROR(VLOOKUP(O8, 'NAICS OES crosswalk'!A:C, 3, FALSE), VLOOKUP(M8, 'NAICS OES crosswalk'!A:C, 3, FALSE))</f>
        <v>Waste handling, disposal, and treatment</v>
      </c>
      <c r="U8" s="188">
        <v>50901030101</v>
      </c>
      <c r="V8" s="11" t="s">
        <v>1125</v>
      </c>
      <c r="W8" s="11"/>
      <c r="X8" s="11">
        <v>24.038535</v>
      </c>
      <c r="Y8" s="11" t="b">
        <f t="shared" si="0"/>
        <v>0</v>
      </c>
    </row>
    <row r="9" spans="1:25" ht="15" customHeight="1" x14ac:dyDescent="0.35">
      <c r="A9" s="11">
        <v>2019</v>
      </c>
      <c r="B9" s="11" t="s">
        <v>1980</v>
      </c>
      <c r="C9" s="11" t="s">
        <v>1080</v>
      </c>
      <c r="D9" s="163">
        <v>110039998214</v>
      </c>
      <c r="E9" s="11" t="s">
        <v>114</v>
      </c>
      <c r="F9" s="11" t="s">
        <v>115</v>
      </c>
      <c r="G9" s="11" t="s">
        <v>1072</v>
      </c>
      <c r="H9" s="11" t="s">
        <v>108</v>
      </c>
      <c r="I9" s="11" t="s">
        <v>1981</v>
      </c>
      <c r="J9" s="11">
        <v>37.790278000000001</v>
      </c>
      <c r="K9" s="11">
        <v>-87.140277999999995</v>
      </c>
      <c r="L9" s="11">
        <v>4952</v>
      </c>
      <c r="M9" s="11">
        <v>4952</v>
      </c>
      <c r="N9" s="175" t="str">
        <f>VLOOKUP(M9, '2017 SIC to NAICS'!A:D, 2)</f>
        <v>Sewerage Systems</v>
      </c>
      <c r="O9" s="11">
        <v>221320</v>
      </c>
      <c r="P9" s="187" t="str">
        <f>VLOOKUP(M9, '2017 SIC to NAICS'!A:D, 4)</f>
        <v>Sewage Treatment Facilities</v>
      </c>
      <c r="Q9" s="176" t="str">
        <f>IFERROR(VLOOKUP(O9, 'NAICS OES crosswalk'!A:C, 3, FALSE), VLOOKUP(M9, 'NAICS OES crosswalk'!A:C, 3, FALSE))</f>
        <v>Waste handling, disposal, and treatment</v>
      </c>
      <c r="U9" s="188">
        <v>51402011202</v>
      </c>
      <c r="V9" s="11" t="s">
        <v>1073</v>
      </c>
      <c r="W9" s="11"/>
      <c r="X9" s="11">
        <v>18.809462875000001</v>
      </c>
      <c r="Y9" s="11" t="b">
        <f t="shared" si="0"/>
        <v>0</v>
      </c>
    </row>
    <row r="10" spans="1:25" ht="15" customHeight="1" x14ac:dyDescent="0.35">
      <c r="A10" s="11">
        <v>2019</v>
      </c>
      <c r="B10" s="11" t="s">
        <v>1980</v>
      </c>
      <c r="C10" s="11" t="s">
        <v>1212</v>
      </c>
      <c r="D10" s="163">
        <v>110043734983</v>
      </c>
      <c r="E10" s="11" t="s">
        <v>120</v>
      </c>
      <c r="F10" s="11" t="s">
        <v>115</v>
      </c>
      <c r="G10" s="11" t="s">
        <v>1072</v>
      </c>
      <c r="H10" s="11" t="s">
        <v>108</v>
      </c>
      <c r="I10" s="11" t="s">
        <v>1981</v>
      </c>
      <c r="J10" s="11">
        <v>37.770769999999999</v>
      </c>
      <c r="K10" s="11">
        <v>-87.065669999999997</v>
      </c>
      <c r="L10" s="11">
        <v>4952</v>
      </c>
      <c r="M10" s="11">
        <v>4952</v>
      </c>
      <c r="N10" s="175" t="str">
        <f>VLOOKUP(M10, '2017 SIC to NAICS'!A:D, 2)</f>
        <v>Sewerage Systems</v>
      </c>
      <c r="O10" s="11">
        <v>221320</v>
      </c>
      <c r="P10" s="187" t="str">
        <f>VLOOKUP(M10, '2017 SIC to NAICS'!A:D, 4)</f>
        <v>Sewage Treatment Facilities</v>
      </c>
      <c r="Q10" s="176" t="str">
        <f>IFERROR(VLOOKUP(O10, 'NAICS OES crosswalk'!A:C, 3, FALSE), VLOOKUP(M10, 'NAICS OES crosswalk'!A:C, 3, FALSE))</f>
        <v>Waste handling, disposal, and treatment</v>
      </c>
      <c r="U10" s="188">
        <v>51402011201</v>
      </c>
      <c r="V10" s="11" t="s">
        <v>1213</v>
      </c>
      <c r="W10" s="11"/>
      <c r="X10" s="11">
        <v>18.236129999999999</v>
      </c>
      <c r="Y10" s="11" t="b">
        <f t="shared" si="0"/>
        <v>0</v>
      </c>
    </row>
    <row r="11" spans="1:25" ht="15" customHeight="1" x14ac:dyDescent="0.35">
      <c r="A11" s="11">
        <v>2019</v>
      </c>
      <c r="B11" s="11" t="s">
        <v>1980</v>
      </c>
      <c r="C11" s="11" t="s">
        <v>1239</v>
      </c>
      <c r="D11" s="163">
        <v>110043486457</v>
      </c>
      <c r="E11" s="11" t="s">
        <v>138</v>
      </c>
      <c r="F11" s="11" t="s">
        <v>107</v>
      </c>
      <c r="G11" s="11" t="s">
        <v>782</v>
      </c>
      <c r="H11" s="11" t="s">
        <v>108</v>
      </c>
      <c r="I11" s="11" t="s">
        <v>1981</v>
      </c>
      <c r="J11" s="11">
        <v>38.236699999999999</v>
      </c>
      <c r="K11" s="11">
        <v>-85.466710000000006</v>
      </c>
      <c r="L11" s="11">
        <v>4952</v>
      </c>
      <c r="M11" s="11">
        <v>4952</v>
      </c>
      <c r="N11" s="175" t="str">
        <f>VLOOKUP(M11, '2017 SIC to NAICS'!A:D, 2)</f>
        <v>Sewerage Systems</v>
      </c>
      <c r="O11" s="11">
        <v>221320</v>
      </c>
      <c r="P11" s="187" t="str">
        <f>VLOOKUP(M11, '2017 SIC to NAICS'!A:D, 4)</f>
        <v>Sewage Treatment Facilities</v>
      </c>
      <c r="Q11" s="176" t="str">
        <f>IFERROR(VLOOKUP(O11, 'NAICS OES crosswalk'!A:C, 3, FALSE), VLOOKUP(M11, 'NAICS OES crosswalk'!A:C, 3, FALSE))</f>
        <v>Waste handling, disposal, and treatment</v>
      </c>
      <c r="U11" s="188">
        <v>51401020804</v>
      </c>
      <c r="V11" s="11" t="s">
        <v>1240</v>
      </c>
      <c r="W11" s="11"/>
      <c r="X11" s="11">
        <v>15.645770625000001</v>
      </c>
      <c r="Y11" s="11" t="b">
        <f t="shared" si="0"/>
        <v>0</v>
      </c>
    </row>
    <row r="12" spans="1:25" ht="15" customHeight="1" x14ac:dyDescent="0.35">
      <c r="A12" s="11">
        <v>2019</v>
      </c>
      <c r="B12" s="11" t="s">
        <v>1980</v>
      </c>
      <c r="C12" s="11" t="s">
        <v>1128</v>
      </c>
      <c r="D12" s="163">
        <v>110000732271</v>
      </c>
      <c r="E12" s="11" t="s">
        <v>139</v>
      </c>
      <c r="F12" s="11" t="s">
        <v>107</v>
      </c>
      <c r="G12" s="11" t="s">
        <v>782</v>
      </c>
      <c r="H12" s="11" t="s">
        <v>108</v>
      </c>
      <c r="I12" s="11" t="s">
        <v>1981</v>
      </c>
      <c r="J12" s="11">
        <v>38.322221999999996</v>
      </c>
      <c r="K12" s="11">
        <v>-85.555000000000007</v>
      </c>
      <c r="L12" s="11">
        <v>4952</v>
      </c>
      <c r="M12" s="11">
        <v>4952</v>
      </c>
      <c r="N12" s="175" t="str">
        <f>VLOOKUP(M12, '2017 SIC to NAICS'!A:D, 2)</f>
        <v>Sewerage Systems</v>
      </c>
      <c r="O12" s="11">
        <v>221320</v>
      </c>
      <c r="P12" s="187" t="str">
        <f>VLOOKUP(M12, '2017 SIC to NAICS'!A:D, 4)</f>
        <v>Sewage Treatment Facilities</v>
      </c>
      <c r="Q12" s="176" t="str">
        <f>IFERROR(VLOOKUP(O12, 'NAICS OES crosswalk'!A:C, 3, FALSE), VLOOKUP(M12, 'NAICS OES crosswalk'!A:C, 3, FALSE))</f>
        <v>Waste handling, disposal, and treatment</v>
      </c>
      <c r="U12" s="188">
        <v>51401010504</v>
      </c>
      <c r="V12" s="11" t="s">
        <v>1129</v>
      </c>
      <c r="W12" s="11"/>
      <c r="X12" s="11">
        <v>14.512920125000001</v>
      </c>
      <c r="Y12" s="11" t="b">
        <f t="shared" si="0"/>
        <v>0</v>
      </c>
    </row>
    <row r="13" spans="1:25" ht="15" customHeight="1" x14ac:dyDescent="0.35">
      <c r="A13" s="11">
        <v>2019</v>
      </c>
      <c r="B13" s="11" t="s">
        <v>1980</v>
      </c>
      <c r="C13" s="11" t="s">
        <v>1027</v>
      </c>
      <c r="D13" s="163">
        <v>110000746211</v>
      </c>
      <c r="E13" s="11" t="s">
        <v>121</v>
      </c>
      <c r="F13" s="11" t="s">
        <v>122</v>
      </c>
      <c r="G13" s="11" t="s">
        <v>1028</v>
      </c>
      <c r="H13" s="11" t="s">
        <v>111</v>
      </c>
      <c r="I13" s="11" t="s">
        <v>1981</v>
      </c>
      <c r="J13" s="11">
        <v>39.795811999999998</v>
      </c>
      <c r="K13" s="11">
        <v>-88.347945999999993</v>
      </c>
      <c r="L13" s="11">
        <v>2869</v>
      </c>
      <c r="M13" s="11">
        <v>2869</v>
      </c>
      <c r="N13" s="175" t="str">
        <f>VLOOKUP(M13, '2017 SIC to NAICS'!A:D, 2)</f>
        <v>Industrial Organic Chemicals, Nec</v>
      </c>
      <c r="P13" s="187" t="str">
        <f>VLOOKUP(M13, '2017 SIC to NAICS'!A:D, 4)</f>
        <v>All Other Miscellaneous Chemical Product and Preparation Manufacturing</v>
      </c>
      <c r="Q13" s="176" t="str">
        <f>IFERROR(VLOOKUP(O13, 'NAICS OES crosswalk'!A:C, 3, FALSE), VLOOKUP(M13, 'NAICS OES crosswalk'!A:C, 3, FALSE))</f>
        <v>Manufacturing</v>
      </c>
      <c r="U13" s="188">
        <v>71402010206</v>
      </c>
      <c r="V13" s="11" t="s">
        <v>1029</v>
      </c>
      <c r="W13" s="11"/>
      <c r="X13" s="11">
        <v>13.671075</v>
      </c>
      <c r="Y13" s="11" t="b">
        <f t="shared" si="0"/>
        <v>0</v>
      </c>
    </row>
    <row r="14" spans="1:25" ht="15" customHeight="1" x14ac:dyDescent="0.35">
      <c r="A14" s="11">
        <v>2019</v>
      </c>
      <c r="B14" s="11" t="s">
        <v>1980</v>
      </c>
      <c r="C14" s="11" t="s">
        <v>1126</v>
      </c>
      <c r="D14" s="163">
        <v>110000732253</v>
      </c>
      <c r="E14" s="11" t="s">
        <v>140</v>
      </c>
      <c r="F14" s="11" t="s">
        <v>141</v>
      </c>
      <c r="G14" s="11" t="s">
        <v>1120</v>
      </c>
      <c r="H14" s="11" t="s">
        <v>108</v>
      </c>
      <c r="I14" s="11" t="s">
        <v>1981</v>
      </c>
      <c r="J14" s="11">
        <v>37.845027999999999</v>
      </c>
      <c r="K14" s="11">
        <v>-85.940962999999996</v>
      </c>
      <c r="L14" s="11">
        <v>4952</v>
      </c>
      <c r="M14" s="11">
        <v>4952</v>
      </c>
      <c r="N14" s="175" t="str">
        <f>VLOOKUP(M14, '2017 SIC to NAICS'!A:D, 2)</f>
        <v>Sewerage Systems</v>
      </c>
      <c r="O14" s="11">
        <v>221320</v>
      </c>
      <c r="P14" s="187" t="str">
        <f>VLOOKUP(M14, '2017 SIC to NAICS'!A:D, 4)</f>
        <v>Sewage Treatment Facilities</v>
      </c>
      <c r="Q14" s="176" t="str">
        <f>IFERROR(VLOOKUP(O14, 'NAICS OES crosswalk'!A:C, 3, FALSE), VLOOKUP(M14, 'NAICS OES crosswalk'!A:C, 3, FALSE))</f>
        <v>Waste handling, disposal, and treatment</v>
      </c>
      <c r="U14" s="188">
        <v>51401021302</v>
      </c>
      <c r="V14" s="11" t="s">
        <v>1127</v>
      </c>
      <c r="W14" s="11"/>
      <c r="X14" s="11">
        <v>13.5216759375</v>
      </c>
      <c r="Y14" s="11" t="b">
        <f t="shared" si="0"/>
        <v>0</v>
      </c>
    </row>
    <row r="15" spans="1:25" ht="15" customHeight="1" x14ac:dyDescent="0.35">
      <c r="A15" s="11">
        <v>2019</v>
      </c>
      <c r="B15" s="11" t="s">
        <v>1980</v>
      </c>
      <c r="C15" s="11" t="s">
        <v>1247</v>
      </c>
      <c r="D15" s="163">
        <v>110039705361</v>
      </c>
      <c r="E15" s="11" t="s">
        <v>147</v>
      </c>
      <c r="F15" s="11" t="s">
        <v>148</v>
      </c>
      <c r="G15" s="11" t="s">
        <v>862</v>
      </c>
      <c r="H15" s="11" t="s">
        <v>108</v>
      </c>
      <c r="I15" s="11" t="s">
        <v>1981</v>
      </c>
      <c r="J15" s="11">
        <v>38.101582000000001</v>
      </c>
      <c r="K15" s="11">
        <v>-83.919770999999997</v>
      </c>
      <c r="L15" s="11">
        <v>4952</v>
      </c>
      <c r="M15" s="11">
        <v>4952</v>
      </c>
      <c r="N15" s="175" t="str">
        <f>VLOOKUP(M15, '2017 SIC to NAICS'!A:D, 2)</f>
        <v>Sewerage Systems</v>
      </c>
      <c r="O15" s="11">
        <v>221320</v>
      </c>
      <c r="P15" s="187" t="str">
        <f>VLOOKUP(M15, '2017 SIC to NAICS'!A:D, 4)</f>
        <v>Sewage Treatment Facilities</v>
      </c>
      <c r="Q15" s="176" t="str">
        <f>IFERROR(VLOOKUP(O15, 'NAICS OES crosswalk'!A:C, 3, FALSE), VLOOKUP(M15, 'NAICS OES crosswalk'!A:C, 3, FALSE))</f>
        <v>Waste handling, disposal, and treatment</v>
      </c>
      <c r="U15" s="188">
        <v>51001020302</v>
      </c>
      <c r="V15" s="11" t="s">
        <v>1248</v>
      </c>
      <c r="W15" s="11"/>
      <c r="X15" s="11">
        <v>11.086738125</v>
      </c>
      <c r="Y15" s="11" t="b">
        <f t="shared" si="0"/>
        <v>0</v>
      </c>
    </row>
    <row r="16" spans="1:25" ht="15" customHeight="1" x14ac:dyDescent="0.35">
      <c r="A16" s="11">
        <v>2019</v>
      </c>
      <c r="B16" s="11" t="s">
        <v>1980</v>
      </c>
      <c r="C16" s="11" t="s">
        <v>1057</v>
      </c>
      <c r="D16" s="163">
        <v>110000403670</v>
      </c>
      <c r="E16" s="11" t="s">
        <v>149</v>
      </c>
      <c r="F16" s="11" t="s">
        <v>150</v>
      </c>
      <c r="G16" s="11" t="s">
        <v>1058</v>
      </c>
      <c r="H16" s="11" t="s">
        <v>151</v>
      </c>
      <c r="I16" s="11" t="s">
        <v>1981</v>
      </c>
      <c r="J16" s="11">
        <v>37.907200000000003</v>
      </c>
      <c r="K16" s="11">
        <v>-87.927099999999996</v>
      </c>
      <c r="L16" s="11">
        <v>2821</v>
      </c>
      <c r="M16" s="11">
        <v>2821</v>
      </c>
      <c r="N16" s="175" t="str">
        <f>VLOOKUP(M16, '2017 SIC to NAICS'!A:D, 2)</f>
        <v>Plastics Materials and Resins</v>
      </c>
      <c r="P16" s="187" t="str">
        <f>VLOOKUP(M16, '2017 SIC to NAICS'!A:D, 4)</f>
        <v>Plastics Material and Resin Manufacturing</v>
      </c>
      <c r="Q16" s="176" t="str">
        <f>IFERROR(VLOOKUP(O16, 'NAICS OES crosswalk'!A:C, 3, FALSE), VLOOKUP(M16, 'NAICS OES crosswalk'!A:C, 3, FALSE))</f>
        <v>Processing as a reactant</v>
      </c>
      <c r="U16" s="188">
        <v>51402020605</v>
      </c>
      <c r="V16" s="11" t="s">
        <v>1059</v>
      </c>
      <c r="W16" s="11"/>
      <c r="X16" s="11">
        <v>10.859680000000001</v>
      </c>
      <c r="Y16" s="11" t="b">
        <f t="shared" si="0"/>
        <v>0</v>
      </c>
    </row>
    <row r="17" spans="1:25" x14ac:dyDescent="0.35">
      <c r="A17" s="11">
        <v>2019</v>
      </c>
      <c r="B17" s="11" t="s">
        <v>1980</v>
      </c>
      <c r="C17" s="11" t="s">
        <v>784</v>
      </c>
      <c r="D17" s="163">
        <v>110000460901</v>
      </c>
      <c r="E17" s="11" t="s">
        <v>146</v>
      </c>
      <c r="F17" s="11" t="s">
        <v>94</v>
      </c>
      <c r="G17" s="11" t="s">
        <v>747</v>
      </c>
      <c r="H17" s="11" t="s">
        <v>95</v>
      </c>
      <c r="I17" s="11" t="s">
        <v>1981</v>
      </c>
      <c r="J17" s="11">
        <v>29.718139000000001</v>
      </c>
      <c r="K17" s="11">
        <v>-95.268749999999997</v>
      </c>
      <c r="L17" s="11">
        <v>2819</v>
      </c>
      <c r="M17" s="11">
        <v>2819</v>
      </c>
      <c r="N17" s="175" t="str">
        <f>VLOOKUP(M17, '2017 SIC to NAICS'!A:D, 2)</f>
        <v>Industrial Inorganic Chemicals, Nec</v>
      </c>
      <c r="P17" s="187" t="str">
        <f>VLOOKUP(M17, '2017 SIC to NAICS'!A:D, 4)</f>
        <v>Alumina Refining and Primary Aluminum
Production</v>
      </c>
      <c r="Q17" s="176" t="str">
        <f>IFERROR(VLOOKUP(O17, 'NAICS OES crosswalk'!A:C, 3, FALSE), VLOOKUP(M17, 'NAICS OES crosswalk'!A:C, 3, FALSE))</f>
        <v>Processing as a reactant</v>
      </c>
      <c r="U17" s="188">
        <v>120401040502</v>
      </c>
      <c r="V17" s="11" t="s">
        <v>787</v>
      </c>
      <c r="W17" s="11"/>
      <c r="X17" s="11">
        <v>9.8608799999999999</v>
      </c>
      <c r="Y17" s="11" t="b">
        <f t="shared" si="0"/>
        <v>0</v>
      </c>
    </row>
    <row r="18" spans="1:25" ht="29" x14ac:dyDescent="0.35">
      <c r="A18" s="11">
        <v>2019</v>
      </c>
      <c r="B18" s="11" t="s">
        <v>1980</v>
      </c>
      <c r="C18" s="11" t="s">
        <v>1224</v>
      </c>
      <c r="D18" s="163">
        <v>110000551082</v>
      </c>
      <c r="E18" s="11" t="s">
        <v>166</v>
      </c>
      <c r="F18" s="11" t="s">
        <v>167</v>
      </c>
      <c r="G18" s="11" t="s">
        <v>1225</v>
      </c>
      <c r="H18" s="11" t="s">
        <v>108</v>
      </c>
      <c r="I18" s="11" t="s">
        <v>1981</v>
      </c>
      <c r="J18" s="11">
        <v>38.223610999999998</v>
      </c>
      <c r="K18" s="11">
        <v>-84.253332999999998</v>
      </c>
      <c r="L18" s="11">
        <v>4952</v>
      </c>
      <c r="M18" s="11">
        <v>4952</v>
      </c>
      <c r="N18" s="175" t="str">
        <f>VLOOKUP(M18, '2017 SIC to NAICS'!A:D, 2)</f>
        <v>Sewerage Systems</v>
      </c>
      <c r="O18" s="11">
        <v>221320</v>
      </c>
      <c r="P18" s="187" t="str">
        <f>VLOOKUP(M18, '2017 SIC to NAICS'!A:D, 4)</f>
        <v>Sewage Treatment Facilities</v>
      </c>
      <c r="Q18" s="176" t="str">
        <f>IFERROR(VLOOKUP(O18, 'NAICS OES crosswalk'!A:C, 3, FALSE), VLOOKUP(M18, 'NAICS OES crosswalk'!A:C, 3, FALSE))</f>
        <v>Waste handling, disposal, and treatment</v>
      </c>
      <c r="U18" s="188">
        <v>51001020205</v>
      </c>
      <c r="V18" s="11" t="s">
        <v>1226</v>
      </c>
      <c r="W18" s="11"/>
      <c r="X18" s="11">
        <v>8.2787885625000008</v>
      </c>
      <c r="Y18" s="11" t="b">
        <f t="shared" si="0"/>
        <v>0</v>
      </c>
    </row>
    <row r="19" spans="1:25" ht="29" x14ac:dyDescent="0.35">
      <c r="A19" s="11">
        <v>2019</v>
      </c>
      <c r="B19" s="11" t="s">
        <v>1980</v>
      </c>
      <c r="C19" s="11" t="s">
        <v>1143</v>
      </c>
      <c r="D19" s="163">
        <v>110006644872</v>
      </c>
      <c r="E19" s="11" t="s">
        <v>170</v>
      </c>
      <c r="F19" s="11" t="s">
        <v>171</v>
      </c>
      <c r="G19" s="11" t="s">
        <v>1144</v>
      </c>
      <c r="H19" s="11" t="s">
        <v>108</v>
      </c>
      <c r="I19" s="11" t="s">
        <v>1981</v>
      </c>
      <c r="J19" s="11">
        <v>37.491857000000003</v>
      </c>
      <c r="K19" s="11">
        <v>-82.539703000000003</v>
      </c>
      <c r="L19" s="11">
        <v>4952</v>
      </c>
      <c r="M19" s="11">
        <v>4952</v>
      </c>
      <c r="N19" s="175" t="str">
        <f>VLOOKUP(M19, '2017 SIC to NAICS'!A:D, 2)</f>
        <v>Sewerage Systems</v>
      </c>
      <c r="O19" s="11">
        <v>221320</v>
      </c>
      <c r="P19" s="187" t="str">
        <f>VLOOKUP(M19, '2017 SIC to NAICS'!A:D, 4)</f>
        <v>Sewage Treatment Facilities</v>
      </c>
      <c r="Q19" s="176" t="str">
        <f>IFERROR(VLOOKUP(O19, 'NAICS OES crosswalk'!A:C, 3, FALSE), VLOOKUP(M19, 'NAICS OES crosswalk'!A:C, 3, FALSE))</f>
        <v>Waste handling, disposal, and treatment</v>
      </c>
      <c r="U19" s="188">
        <v>50702030202</v>
      </c>
      <c r="V19" s="11" t="s">
        <v>1145</v>
      </c>
      <c r="W19" s="11"/>
      <c r="X19" s="11">
        <v>7.6501946875</v>
      </c>
      <c r="Y19" s="11" t="b">
        <f t="shared" si="0"/>
        <v>0</v>
      </c>
    </row>
    <row r="20" spans="1:25" ht="29" x14ac:dyDescent="0.35">
      <c r="A20" s="11">
        <v>2019</v>
      </c>
      <c r="B20" s="11" t="s">
        <v>1980</v>
      </c>
      <c r="C20" s="11" t="s">
        <v>1278</v>
      </c>
      <c r="D20" s="163">
        <v>110064596361</v>
      </c>
      <c r="E20" s="11" t="s">
        <v>162</v>
      </c>
      <c r="F20" s="11" t="s">
        <v>163</v>
      </c>
      <c r="G20" s="11" t="s">
        <v>823</v>
      </c>
      <c r="H20" s="11" t="s">
        <v>108</v>
      </c>
      <c r="I20" s="11" t="s">
        <v>1981</v>
      </c>
      <c r="J20" s="11">
        <v>37.915556000000002</v>
      </c>
      <c r="K20" s="11">
        <v>-84.268332999999998</v>
      </c>
      <c r="L20" s="11">
        <v>4952</v>
      </c>
      <c r="M20" s="11">
        <v>4952</v>
      </c>
      <c r="N20" s="175" t="str">
        <f>VLOOKUP(M20, '2017 SIC to NAICS'!A:D, 2)</f>
        <v>Sewerage Systems</v>
      </c>
      <c r="O20" s="11">
        <v>221320</v>
      </c>
      <c r="P20" s="187" t="str">
        <f>VLOOKUP(M20, '2017 SIC to NAICS'!A:D, 4)</f>
        <v>Sewage Treatment Facilities</v>
      </c>
      <c r="Q20" s="176" t="str">
        <f>IFERROR(VLOOKUP(O20, 'NAICS OES crosswalk'!A:C, 3, FALSE), VLOOKUP(M20, 'NAICS OES crosswalk'!A:C, 3, FALSE))</f>
        <v>Waste handling, disposal, and treatment</v>
      </c>
      <c r="U20" s="188">
        <v>51002050107</v>
      </c>
      <c r="V20" s="11" t="s">
        <v>1279</v>
      </c>
      <c r="W20" s="11"/>
      <c r="X20" s="11">
        <v>6.9836088749999998</v>
      </c>
      <c r="Y20" s="11" t="b">
        <f t="shared" si="0"/>
        <v>0</v>
      </c>
    </row>
    <row r="21" spans="1:25" ht="29" x14ac:dyDescent="0.35">
      <c r="A21" s="11">
        <v>2019</v>
      </c>
      <c r="B21" s="11" t="s">
        <v>1980</v>
      </c>
      <c r="C21" s="11" t="s">
        <v>1249</v>
      </c>
      <c r="D21" s="163">
        <v>110015632216</v>
      </c>
      <c r="E21" s="11" t="s">
        <v>175</v>
      </c>
      <c r="F21" s="11" t="s">
        <v>176</v>
      </c>
      <c r="G21" s="11" t="s">
        <v>1250</v>
      </c>
      <c r="H21" s="11" t="s">
        <v>108</v>
      </c>
      <c r="I21" s="11" t="s">
        <v>1981</v>
      </c>
      <c r="J21" s="11">
        <v>38.628056000000001</v>
      </c>
      <c r="K21" s="11">
        <v>-85.109722000000005</v>
      </c>
      <c r="L21" s="11">
        <v>4952</v>
      </c>
      <c r="M21" s="11">
        <v>4952</v>
      </c>
      <c r="N21" s="175" t="str">
        <f>VLOOKUP(M21, '2017 SIC to NAICS'!A:D, 2)</f>
        <v>Sewerage Systems</v>
      </c>
      <c r="O21" s="11">
        <v>221320</v>
      </c>
      <c r="P21" s="187" t="str">
        <f>VLOOKUP(M21, '2017 SIC to NAICS'!A:D, 4)</f>
        <v>Sewage Treatment Facilities</v>
      </c>
      <c r="Q21" s="176" t="str">
        <f>IFERROR(VLOOKUP(O21, 'NAICS OES crosswalk'!A:C, 3, FALSE), VLOOKUP(M21, 'NAICS OES crosswalk'!A:C, 3, FALSE))</f>
        <v>Waste handling, disposal, and treatment</v>
      </c>
      <c r="U21" s="188">
        <v>51002051510</v>
      </c>
      <c r="V21" s="11" t="s">
        <v>1251</v>
      </c>
      <c r="W21" s="11"/>
      <c r="X21" s="11">
        <v>5.8714812500000004</v>
      </c>
      <c r="Y21" s="11" t="b">
        <f t="shared" si="0"/>
        <v>0</v>
      </c>
    </row>
    <row r="22" spans="1:25" ht="29" x14ac:dyDescent="0.35">
      <c r="A22" s="11">
        <v>2019</v>
      </c>
      <c r="B22" s="11" t="s">
        <v>1980</v>
      </c>
      <c r="C22" s="11" t="s">
        <v>1209</v>
      </c>
      <c r="D22" s="163">
        <v>110039994897</v>
      </c>
      <c r="E22" s="11" t="s">
        <v>144</v>
      </c>
      <c r="F22" s="11" t="s">
        <v>145</v>
      </c>
      <c r="G22" s="11" t="s">
        <v>1210</v>
      </c>
      <c r="H22" s="11" t="s">
        <v>108</v>
      </c>
      <c r="I22" s="11" t="s">
        <v>1981</v>
      </c>
      <c r="J22" s="11">
        <v>36.803610999999997</v>
      </c>
      <c r="K22" s="11">
        <v>-87.516389000000004</v>
      </c>
      <c r="L22" s="11">
        <v>4952</v>
      </c>
      <c r="M22" s="11">
        <v>4952</v>
      </c>
      <c r="N22" s="175" t="str">
        <f>VLOOKUP(M22, '2017 SIC to NAICS'!A:D, 2)</f>
        <v>Sewerage Systems</v>
      </c>
      <c r="O22" s="11">
        <v>221320</v>
      </c>
      <c r="P22" s="187" t="str">
        <f>VLOOKUP(M22, '2017 SIC to NAICS'!A:D, 4)</f>
        <v>Sewage Treatment Facilities</v>
      </c>
      <c r="Q22" s="176" t="str">
        <f>IFERROR(VLOOKUP(O22, 'NAICS OES crosswalk'!A:C, 3, FALSE), VLOOKUP(M22, 'NAICS OES crosswalk'!A:C, 3, FALSE))</f>
        <v>Waste handling, disposal, and treatment</v>
      </c>
      <c r="U22" s="188">
        <v>51302050503</v>
      </c>
      <c r="V22" s="11" t="s">
        <v>1211</v>
      </c>
      <c r="W22" s="11"/>
      <c r="X22" s="11">
        <v>5.709842825</v>
      </c>
      <c r="Y22" s="11" t="b">
        <f t="shared" si="0"/>
        <v>0</v>
      </c>
    </row>
    <row r="23" spans="1:25" ht="29" x14ac:dyDescent="0.35">
      <c r="A23" s="11">
        <v>2019</v>
      </c>
      <c r="B23" s="11" t="s">
        <v>1980</v>
      </c>
      <c r="C23" s="11" t="s">
        <v>1135</v>
      </c>
      <c r="D23" s="163">
        <v>110064265496</v>
      </c>
      <c r="E23" s="11" t="s">
        <v>182</v>
      </c>
      <c r="F23" s="11" t="s">
        <v>183</v>
      </c>
      <c r="G23" s="11" t="s">
        <v>1136</v>
      </c>
      <c r="H23" s="11" t="s">
        <v>108</v>
      </c>
      <c r="I23" s="11" t="s">
        <v>1981</v>
      </c>
      <c r="J23" s="11">
        <v>37.304611999999999</v>
      </c>
      <c r="K23" s="11">
        <v>-87.145292999999995</v>
      </c>
      <c r="L23" s="11">
        <v>4952</v>
      </c>
      <c r="M23" s="11">
        <v>4952</v>
      </c>
      <c r="N23" s="175" t="str">
        <f>VLOOKUP(M23, '2017 SIC to NAICS'!A:D, 2)</f>
        <v>Sewerage Systems</v>
      </c>
      <c r="O23" s="11">
        <v>221320</v>
      </c>
      <c r="P23" s="187" t="str">
        <f>VLOOKUP(M23, '2017 SIC to NAICS'!A:D, 4)</f>
        <v>Sewage Treatment Facilities</v>
      </c>
      <c r="Q23" s="176" t="str">
        <f>IFERROR(VLOOKUP(O23, 'NAICS OES crosswalk'!A:C, 3, FALSE), VLOOKUP(M23, 'NAICS OES crosswalk'!A:C, 3, FALSE))</f>
        <v>Waste handling, disposal, and treatment</v>
      </c>
      <c r="U23" s="188">
        <v>51100060401</v>
      </c>
      <c r="V23" s="11" t="s">
        <v>1137</v>
      </c>
      <c r="W23" s="11"/>
      <c r="X23" s="11">
        <v>5.6711601250000001</v>
      </c>
      <c r="Y23" s="11" t="b">
        <f t="shared" si="0"/>
        <v>0</v>
      </c>
    </row>
    <row r="24" spans="1:25" ht="29" x14ac:dyDescent="0.35">
      <c r="A24" s="11">
        <v>2019</v>
      </c>
      <c r="B24" s="11" t="s">
        <v>1980</v>
      </c>
      <c r="C24" s="11" t="s">
        <v>1098</v>
      </c>
      <c r="D24" s="163">
        <v>110001123276</v>
      </c>
      <c r="E24" s="11" t="s">
        <v>190</v>
      </c>
      <c r="F24" s="11" t="s">
        <v>191</v>
      </c>
      <c r="G24" s="11" t="s">
        <v>1099</v>
      </c>
      <c r="H24" s="11" t="s">
        <v>108</v>
      </c>
      <c r="I24" s="11" t="s">
        <v>1981</v>
      </c>
      <c r="J24" s="11">
        <v>36.983809999999998</v>
      </c>
      <c r="K24" s="11">
        <v>-85.957089999999994</v>
      </c>
      <c r="L24" s="11">
        <v>4952</v>
      </c>
      <c r="M24" s="11">
        <v>4952</v>
      </c>
      <c r="N24" s="175" t="str">
        <f>VLOOKUP(M24, '2017 SIC to NAICS'!A:D, 2)</f>
        <v>Sewerage Systems</v>
      </c>
      <c r="O24" s="11">
        <v>221320</v>
      </c>
      <c r="P24" s="187" t="str">
        <f>VLOOKUP(M24, '2017 SIC to NAICS'!A:D, 4)</f>
        <v>Sewage Treatment Facilities</v>
      </c>
      <c r="Q24" s="176" t="str">
        <f>IFERROR(VLOOKUP(O24, 'NAICS OES crosswalk'!A:C, 3, FALSE), VLOOKUP(M24, 'NAICS OES crosswalk'!A:C, 3, FALSE))</f>
        <v>Waste handling, disposal, and treatment</v>
      </c>
      <c r="U24" s="188">
        <v>51100020306</v>
      </c>
      <c r="V24" s="11" t="s">
        <v>1100</v>
      </c>
      <c r="W24" s="11"/>
      <c r="X24" s="11">
        <v>5.2014416250000002</v>
      </c>
      <c r="Y24" s="11" t="b">
        <f t="shared" si="0"/>
        <v>0</v>
      </c>
    </row>
    <row r="25" spans="1:25" ht="29" x14ac:dyDescent="0.35">
      <c r="A25" s="11">
        <v>2019</v>
      </c>
      <c r="B25" s="11" t="s">
        <v>1980</v>
      </c>
      <c r="C25" s="11" t="s">
        <v>1171</v>
      </c>
      <c r="D25" s="163">
        <v>110006751737</v>
      </c>
      <c r="E25" s="11" t="s">
        <v>188</v>
      </c>
      <c r="F25" s="11" t="s">
        <v>189</v>
      </c>
      <c r="G25" s="11" t="s">
        <v>1172</v>
      </c>
      <c r="H25" s="11" t="s">
        <v>108</v>
      </c>
      <c r="I25" s="11" t="s">
        <v>1981</v>
      </c>
      <c r="J25" s="11">
        <v>36.747222000000001</v>
      </c>
      <c r="K25" s="11">
        <v>-84.171943999999996</v>
      </c>
      <c r="L25" s="11">
        <v>4952</v>
      </c>
      <c r="M25" s="11">
        <v>4952</v>
      </c>
      <c r="N25" s="175" t="str">
        <f>VLOOKUP(M25, '2017 SIC to NAICS'!A:D, 2)</f>
        <v>Sewerage Systems</v>
      </c>
      <c r="O25" s="11">
        <v>221320</v>
      </c>
      <c r="P25" s="187" t="str">
        <f>VLOOKUP(M25, '2017 SIC to NAICS'!A:D, 4)</f>
        <v>Sewage Treatment Facilities</v>
      </c>
      <c r="Q25" s="176" t="str">
        <f>IFERROR(VLOOKUP(O25, 'NAICS OES crosswalk'!A:C, 3, FALSE), VLOOKUP(M25, 'NAICS OES crosswalk'!A:C, 3, FALSE))</f>
        <v>Waste handling, disposal, and treatment</v>
      </c>
      <c r="U25" s="188">
        <v>51301010704</v>
      </c>
      <c r="V25" s="11" t="s">
        <v>1173</v>
      </c>
      <c r="W25" s="11"/>
      <c r="X25" s="11">
        <v>5.1530882499999997</v>
      </c>
      <c r="Y25" s="11" t="b">
        <f t="shared" si="0"/>
        <v>0</v>
      </c>
    </row>
    <row r="26" spans="1:25" x14ac:dyDescent="0.35">
      <c r="A26" s="11">
        <v>2019</v>
      </c>
      <c r="B26" s="11" t="s">
        <v>1980</v>
      </c>
      <c r="C26" s="11" t="s">
        <v>1330</v>
      </c>
      <c r="D26" s="163">
        <v>110070208769</v>
      </c>
      <c r="E26" s="11" t="s">
        <v>195</v>
      </c>
      <c r="F26" s="11" t="s">
        <v>90</v>
      </c>
      <c r="G26" s="11" t="s">
        <v>771</v>
      </c>
      <c r="H26" s="11" t="s">
        <v>91</v>
      </c>
      <c r="I26" s="11" t="s">
        <v>1981</v>
      </c>
      <c r="J26" s="11">
        <v>30.214192000000001</v>
      </c>
      <c r="K26" s="11">
        <v>-93.308589999999995</v>
      </c>
      <c r="L26" s="11">
        <v>2869</v>
      </c>
      <c r="M26" s="11">
        <v>2869</v>
      </c>
      <c r="N26" s="175" t="str">
        <f>VLOOKUP(M26, '2017 SIC to NAICS'!A:D, 2)</f>
        <v>Industrial Organic Chemicals, Nec</v>
      </c>
      <c r="P26" s="187" t="str">
        <f>VLOOKUP(M26, '2017 SIC to NAICS'!A:D, 4)</f>
        <v>All Other Miscellaneous Chemical Product and Preparation Manufacturing</v>
      </c>
      <c r="Q26" s="176" t="str">
        <f>IFERROR(VLOOKUP(O26, 'NAICS OES crosswalk'!A:C, 3, FALSE), VLOOKUP(M26, 'NAICS OES crosswalk'!A:C, 3, FALSE))</f>
        <v>Manufacturing</v>
      </c>
      <c r="U26" s="188">
        <v>80802060301</v>
      </c>
      <c r="V26" s="11" t="s">
        <v>1286</v>
      </c>
      <c r="W26" s="11"/>
      <c r="X26" s="11">
        <v>4.8884449999999999</v>
      </c>
      <c r="Y26" s="11" t="b">
        <f t="shared" si="0"/>
        <v>0</v>
      </c>
    </row>
    <row r="27" spans="1:25" ht="29" x14ac:dyDescent="0.35">
      <c r="A27" s="11">
        <v>2019</v>
      </c>
      <c r="B27" s="11" t="s">
        <v>1980</v>
      </c>
      <c r="C27" s="11" t="s">
        <v>1139</v>
      </c>
      <c r="D27" s="163">
        <v>110009696356</v>
      </c>
      <c r="E27" s="11" t="s">
        <v>196</v>
      </c>
      <c r="F27" s="11" t="s">
        <v>197</v>
      </c>
      <c r="G27" s="11" t="s">
        <v>1140</v>
      </c>
      <c r="H27" s="11" t="s">
        <v>108</v>
      </c>
      <c r="I27" s="11" t="s">
        <v>1981</v>
      </c>
      <c r="J27" s="11">
        <v>37.108094000000001</v>
      </c>
      <c r="K27" s="11">
        <v>-85.303033999999997</v>
      </c>
      <c r="L27" s="11">
        <v>4952</v>
      </c>
      <c r="M27" s="11">
        <v>4952</v>
      </c>
      <c r="N27" s="175" t="str">
        <f>VLOOKUP(M27, '2017 SIC to NAICS'!A:D, 2)</f>
        <v>Sewerage Systems</v>
      </c>
      <c r="O27" s="11">
        <v>221320</v>
      </c>
      <c r="P27" s="187" t="str">
        <f>VLOOKUP(M27, '2017 SIC to NAICS'!A:D, 4)</f>
        <v>Sewage Treatment Facilities</v>
      </c>
      <c r="Q27" s="176" t="str">
        <f>IFERROR(VLOOKUP(O27, 'NAICS OES crosswalk'!A:C, 3, FALSE), VLOOKUP(M27, 'NAICS OES crosswalk'!A:C, 3, FALSE))</f>
        <v>Waste handling, disposal, and treatment</v>
      </c>
      <c r="U27" s="188">
        <v>51100010407</v>
      </c>
      <c r="V27" s="11" t="s">
        <v>1141</v>
      </c>
      <c r="W27" s="11"/>
      <c r="X27" s="11">
        <v>4.6419240000000004</v>
      </c>
      <c r="Y27" s="11" t="b">
        <f t="shared" si="0"/>
        <v>0</v>
      </c>
    </row>
    <row r="28" spans="1:25" x14ac:dyDescent="0.35">
      <c r="A28" s="11">
        <v>2019</v>
      </c>
      <c r="B28" s="11" t="s">
        <v>1980</v>
      </c>
      <c r="C28" s="11" t="s">
        <v>781</v>
      </c>
      <c r="D28" s="163">
        <v>110000440416</v>
      </c>
      <c r="E28" s="11" t="s">
        <v>198</v>
      </c>
      <c r="F28" s="11" t="s">
        <v>199</v>
      </c>
      <c r="G28" s="11" t="s">
        <v>782</v>
      </c>
      <c r="H28" s="11" t="s">
        <v>129</v>
      </c>
      <c r="I28" s="11" t="s">
        <v>1982</v>
      </c>
      <c r="J28" s="11">
        <v>38.209220000000002</v>
      </c>
      <c r="K28" s="11">
        <v>-90.476910000000004</v>
      </c>
      <c r="L28" s="11">
        <v>1795</v>
      </c>
      <c r="M28" s="11">
        <v>1795</v>
      </c>
      <c r="N28" s="175" t="str">
        <f>VLOOKUP(M28, '2017 SIC to NAICS'!A:D, 2)</f>
        <v>Wrecking and Demolition Work</v>
      </c>
      <c r="P28" s="187" t="str">
        <f>VLOOKUP(M28, '2017 SIC to NAICS'!A:D, 4)</f>
        <v>Site Preparation Contractors</v>
      </c>
      <c r="Q28" s="176" t="e">
        <f>IFERROR(VLOOKUP(O28, 'NAICS OES crosswalk'!A:C, 3, FALSE), VLOOKUP(M28, 'NAICS OES crosswalk'!A:C, 3, FALSE))</f>
        <v>#N/A</v>
      </c>
      <c r="U28" s="188">
        <v>71401010802</v>
      </c>
      <c r="V28" s="11" t="s">
        <v>783</v>
      </c>
      <c r="W28" s="11"/>
      <c r="X28" s="11">
        <v>4.5920384570000001</v>
      </c>
      <c r="Y28" s="11" t="b">
        <f t="shared" si="0"/>
        <v>0</v>
      </c>
    </row>
    <row r="29" spans="1:25" x14ac:dyDescent="0.35">
      <c r="A29" s="11">
        <v>2019</v>
      </c>
      <c r="B29" s="11" t="s">
        <v>1980</v>
      </c>
      <c r="C29" s="11" t="s">
        <v>870</v>
      </c>
      <c r="D29" s="163">
        <v>110017432937</v>
      </c>
      <c r="E29" s="11" t="s">
        <v>200</v>
      </c>
      <c r="F29" s="11" t="s">
        <v>201</v>
      </c>
      <c r="G29" s="11" t="s">
        <v>871</v>
      </c>
      <c r="H29" s="11" t="s">
        <v>202</v>
      </c>
      <c r="I29" s="11" t="s">
        <v>1981</v>
      </c>
      <c r="J29" s="11">
        <v>35.722341999999998</v>
      </c>
      <c r="K29" s="11">
        <v>-91.524983000000006</v>
      </c>
      <c r="L29" s="11">
        <v>2865</v>
      </c>
      <c r="M29" s="11">
        <v>2865</v>
      </c>
      <c r="N29" s="175" t="str">
        <f>VLOOKUP(M29, '2017 SIC to NAICS'!A:D, 2)</f>
        <v>Cyclic Crudes and Intermediates</v>
      </c>
      <c r="O29" s="11">
        <v>325199</v>
      </c>
      <c r="P29" s="187" t="str">
        <f>VLOOKUP(M29, '2017 SIC to NAICS'!A:D, 4)</f>
        <v>Cyclic Crude, Intermediate, and Gum and
Wood Chemical Manufacturing</v>
      </c>
      <c r="Q29" s="176" t="str">
        <f>IFERROR(VLOOKUP(O29, 'NAICS OES crosswalk'!A:C, 3, FALSE), VLOOKUP(M29, 'NAICS OES crosswalk'!A:C, 3, FALSE))</f>
        <v>Manufacturing</v>
      </c>
      <c r="U29" s="188">
        <v>110100040704</v>
      </c>
      <c r="V29" s="11" t="s">
        <v>874</v>
      </c>
      <c r="W29" s="11"/>
      <c r="X29" s="11">
        <v>4.5740499999999997</v>
      </c>
      <c r="Y29" s="11" t="b">
        <f t="shared" si="0"/>
        <v>0</v>
      </c>
    </row>
    <row r="30" spans="1:25" x14ac:dyDescent="0.35">
      <c r="A30" s="11">
        <v>2019</v>
      </c>
      <c r="B30" s="11" t="s">
        <v>1980</v>
      </c>
      <c r="C30" s="11" t="s">
        <v>746</v>
      </c>
      <c r="D30" s="163">
        <v>110034641635</v>
      </c>
      <c r="E30" s="11" t="s">
        <v>206</v>
      </c>
      <c r="F30" s="11" t="s">
        <v>207</v>
      </c>
      <c r="G30" s="11" t="s">
        <v>747</v>
      </c>
      <c r="H30" s="11" t="s">
        <v>95</v>
      </c>
      <c r="I30" s="11" t="s">
        <v>1981</v>
      </c>
      <c r="J30" s="11">
        <v>29.717471</v>
      </c>
      <c r="K30" s="11">
        <v>-95.068008000000006</v>
      </c>
      <c r="L30" s="11">
        <v>2869</v>
      </c>
      <c r="M30" s="11">
        <v>2869</v>
      </c>
      <c r="N30" s="175" t="str">
        <f>VLOOKUP(M30, '2017 SIC to NAICS'!A:D, 2)</f>
        <v>Industrial Organic Chemicals, Nec</v>
      </c>
      <c r="P30" s="187" t="str">
        <f>VLOOKUP(M30, '2017 SIC to NAICS'!A:D, 4)</f>
        <v>All Other Miscellaneous Chemical Product and Preparation Manufacturing</v>
      </c>
      <c r="Q30" s="176" t="str">
        <f>IFERROR(VLOOKUP(O30, 'NAICS OES crosswalk'!A:C, 3, FALSE), VLOOKUP(M30, 'NAICS OES crosswalk'!A:C, 3, FALSE))</f>
        <v>Manufacturing</v>
      </c>
      <c r="U30" s="188">
        <v>120401040706</v>
      </c>
      <c r="V30" s="11" t="s">
        <v>750</v>
      </c>
      <c r="W30" s="11"/>
      <c r="X30" s="11">
        <v>4.4208800000000004</v>
      </c>
      <c r="Y30" s="11" t="b">
        <f t="shared" si="0"/>
        <v>0</v>
      </c>
    </row>
    <row r="31" spans="1:25" x14ac:dyDescent="0.35">
      <c r="A31" s="11">
        <v>2019</v>
      </c>
      <c r="B31" s="11" t="s">
        <v>1980</v>
      </c>
      <c r="C31" s="11" t="s">
        <v>1076</v>
      </c>
      <c r="D31" s="163">
        <v>110000741608</v>
      </c>
      <c r="E31" s="11" t="s">
        <v>168</v>
      </c>
      <c r="F31" s="11" t="s">
        <v>169</v>
      </c>
      <c r="G31" s="11" t="s">
        <v>1077</v>
      </c>
      <c r="H31" s="11" t="s">
        <v>108</v>
      </c>
      <c r="I31" s="11" t="s">
        <v>1981</v>
      </c>
      <c r="J31" s="11">
        <v>37.047736999999998</v>
      </c>
      <c r="K31" s="11">
        <v>-88.35866</v>
      </c>
      <c r="L31" s="11">
        <v>2869</v>
      </c>
      <c r="M31" s="11">
        <v>2869</v>
      </c>
      <c r="N31" s="175" t="str">
        <f>VLOOKUP(M31, '2017 SIC to NAICS'!A:D, 2)</f>
        <v>Industrial Organic Chemicals, Nec</v>
      </c>
      <c r="O31" s="11">
        <v>325110</v>
      </c>
      <c r="P31" s="187" t="str">
        <f>VLOOKUP(M31, '2017 SIC to NAICS'!A:D, 4)</f>
        <v>All Other Miscellaneous Chemical Product and Preparation Manufacturing</v>
      </c>
      <c r="Q31" s="176" t="str">
        <f>IFERROR(VLOOKUP(O31, 'NAICS OES crosswalk'!A:C, 3, FALSE), VLOOKUP(M31, 'NAICS OES crosswalk'!A:C, 3, FALSE))</f>
        <v>Processing as a reactant</v>
      </c>
      <c r="U31" s="188">
        <v>60400060503</v>
      </c>
      <c r="V31" s="11" t="s">
        <v>1078</v>
      </c>
      <c r="W31" s="11"/>
      <c r="X31" s="11">
        <v>4.3084600000000002</v>
      </c>
      <c r="Y31" s="11" t="b">
        <f t="shared" si="0"/>
        <v>0</v>
      </c>
    </row>
    <row r="32" spans="1:25" ht="29" x14ac:dyDescent="0.35">
      <c r="A32" s="11">
        <v>2019</v>
      </c>
      <c r="B32" s="11" t="s">
        <v>1980</v>
      </c>
      <c r="C32" s="11" t="s">
        <v>740</v>
      </c>
      <c r="D32" s="163">
        <v>110000730460</v>
      </c>
      <c r="E32" s="11" t="s">
        <v>212</v>
      </c>
      <c r="F32" s="11" t="s">
        <v>213</v>
      </c>
      <c r="G32" s="11" t="s">
        <v>741</v>
      </c>
      <c r="H32" s="11" t="s">
        <v>102</v>
      </c>
      <c r="I32" s="11" t="s">
        <v>1981</v>
      </c>
      <c r="J32" s="11">
        <v>38.368760000000002</v>
      </c>
      <c r="K32" s="11">
        <v>-122.76860000000001</v>
      </c>
      <c r="L32" s="11">
        <v>4952</v>
      </c>
      <c r="M32" s="11">
        <v>4952</v>
      </c>
      <c r="N32" s="175" t="str">
        <f>VLOOKUP(M32, '2017 SIC to NAICS'!A:D, 2)</f>
        <v>Sewerage Systems</v>
      </c>
      <c r="P32" s="187" t="str">
        <f>VLOOKUP(M32, '2017 SIC to NAICS'!A:D, 4)</f>
        <v>Sewage Treatment Facilities</v>
      </c>
      <c r="Q32" s="176" t="str">
        <f>IFERROR(VLOOKUP(O32, 'NAICS OES crosswalk'!A:C, 3, FALSE), VLOOKUP(M32, 'NAICS OES crosswalk'!A:C, 3, FALSE))</f>
        <v>Waste handling, disposal, and treatment</v>
      </c>
      <c r="U32" s="188">
        <v>180101100701</v>
      </c>
      <c r="V32" s="11" t="s">
        <v>744</v>
      </c>
      <c r="W32" s="11"/>
      <c r="X32" s="11">
        <v>3.9515400000000001</v>
      </c>
      <c r="Y32" s="11" t="b">
        <f t="shared" si="0"/>
        <v>0</v>
      </c>
    </row>
    <row r="33" spans="1:25" ht="29" x14ac:dyDescent="0.35">
      <c r="A33" s="11">
        <v>2019</v>
      </c>
      <c r="B33" s="11" t="s">
        <v>1980</v>
      </c>
      <c r="C33" s="11" t="s">
        <v>913</v>
      </c>
      <c r="D33" s="163">
        <v>110064252419</v>
      </c>
      <c r="E33" s="11" t="s">
        <v>216</v>
      </c>
      <c r="F33" s="11" t="s">
        <v>119</v>
      </c>
      <c r="G33" s="11" t="s">
        <v>886</v>
      </c>
      <c r="H33" s="11" t="s">
        <v>102</v>
      </c>
      <c r="I33" s="11" t="s">
        <v>1981</v>
      </c>
      <c r="J33" s="11">
        <v>37.977150000000002</v>
      </c>
      <c r="K33" s="11">
        <v>-122.33269</v>
      </c>
      <c r="L33" s="11">
        <v>4952</v>
      </c>
      <c r="M33" s="11">
        <v>4952</v>
      </c>
      <c r="N33" s="175" t="str">
        <f>VLOOKUP(M33, '2017 SIC to NAICS'!A:D, 2)</f>
        <v>Sewerage Systems</v>
      </c>
      <c r="P33" s="187" t="str">
        <f>VLOOKUP(M33, '2017 SIC to NAICS'!A:D, 4)</f>
        <v>Sewage Treatment Facilities</v>
      </c>
      <c r="Q33" s="176" t="str">
        <f>IFERROR(VLOOKUP(O33, 'NAICS OES crosswalk'!A:C, 3, FALSE), VLOOKUP(M33, 'NAICS OES crosswalk'!A:C, 3, FALSE))</f>
        <v>Waste handling, disposal, and treatment</v>
      </c>
      <c r="U33" s="188">
        <v>180500020702</v>
      </c>
      <c r="V33" s="11" t="s">
        <v>914</v>
      </c>
      <c r="W33" s="11"/>
      <c r="X33" s="11">
        <v>3.7646556250000001</v>
      </c>
      <c r="Y33" s="11" t="b">
        <f t="shared" si="0"/>
        <v>0</v>
      </c>
    </row>
    <row r="34" spans="1:25" x14ac:dyDescent="0.35">
      <c r="A34" s="11">
        <v>2019</v>
      </c>
      <c r="B34" s="11" t="s">
        <v>1980</v>
      </c>
      <c r="C34" s="11" t="s">
        <v>1298</v>
      </c>
      <c r="D34" s="163">
        <v>110033659878</v>
      </c>
      <c r="E34" s="11" t="s">
        <v>208</v>
      </c>
      <c r="F34" s="11" t="s">
        <v>209</v>
      </c>
      <c r="G34" s="11" t="s">
        <v>1299</v>
      </c>
      <c r="H34" s="11" t="s">
        <v>91</v>
      </c>
      <c r="I34" s="11" t="s">
        <v>1981</v>
      </c>
      <c r="J34" s="11">
        <v>30.221900000000002</v>
      </c>
      <c r="K34" s="11">
        <v>-91.051500000000004</v>
      </c>
      <c r="L34" s="11">
        <v>2869</v>
      </c>
      <c r="M34" s="11">
        <v>2869</v>
      </c>
      <c r="N34" s="175" t="str">
        <f>VLOOKUP(M34, '2017 SIC to NAICS'!A:D, 2)</f>
        <v>Industrial Organic Chemicals, Nec</v>
      </c>
      <c r="P34" s="187" t="str">
        <f>VLOOKUP(M34, '2017 SIC to NAICS'!A:D, 4)</f>
        <v>All Other Miscellaneous Chemical Product and Preparation Manufacturing</v>
      </c>
      <c r="Q34" s="176" t="str">
        <f>IFERROR(VLOOKUP(O34, 'NAICS OES crosswalk'!A:C, 3, FALSE), VLOOKUP(M34, 'NAICS OES crosswalk'!A:C, 3, FALSE))</f>
        <v>Manufacturing</v>
      </c>
      <c r="U34" s="188">
        <v>80702040103</v>
      </c>
      <c r="V34" s="11" t="s">
        <v>1300</v>
      </c>
      <c r="W34" s="11"/>
      <c r="X34" s="11">
        <v>3.4799099999999998</v>
      </c>
      <c r="Y34" s="11" t="b">
        <f t="shared" si="0"/>
        <v>0</v>
      </c>
    </row>
    <row r="35" spans="1:25" ht="29" x14ac:dyDescent="0.35">
      <c r="A35" s="11">
        <v>2019</v>
      </c>
      <c r="B35" s="11" t="s">
        <v>1980</v>
      </c>
      <c r="C35" s="11" t="s">
        <v>1174</v>
      </c>
      <c r="D35" s="163">
        <v>110009938808</v>
      </c>
      <c r="E35" s="11" t="s">
        <v>222</v>
      </c>
      <c r="F35" s="11" t="s">
        <v>223</v>
      </c>
      <c r="G35" s="11" t="s">
        <v>1175</v>
      </c>
      <c r="H35" s="11" t="s">
        <v>108</v>
      </c>
      <c r="I35" s="11" t="s">
        <v>1981</v>
      </c>
      <c r="J35" s="11">
        <v>37.177222</v>
      </c>
      <c r="K35" s="11">
        <v>-83.761388999999994</v>
      </c>
      <c r="L35" s="11">
        <v>4952</v>
      </c>
      <c r="M35" s="11">
        <v>4952</v>
      </c>
      <c r="N35" s="175" t="str">
        <f>VLOOKUP(M35, '2017 SIC to NAICS'!A:D, 2)</f>
        <v>Sewerage Systems</v>
      </c>
      <c r="O35" s="11">
        <v>221320</v>
      </c>
      <c r="P35" s="187" t="str">
        <f>VLOOKUP(M35, '2017 SIC to NAICS'!A:D, 4)</f>
        <v>Sewage Treatment Facilities</v>
      </c>
      <c r="Q35" s="176" t="str">
        <f>IFERROR(VLOOKUP(O35, 'NAICS OES crosswalk'!A:C, 3, FALSE), VLOOKUP(M35, 'NAICS OES crosswalk'!A:C, 3, FALSE))</f>
        <v>Waste handling, disposal, and treatment</v>
      </c>
      <c r="U35" s="188">
        <v>51002030303</v>
      </c>
      <c r="V35" s="11" t="s">
        <v>1176</v>
      </c>
      <c r="W35" s="11"/>
      <c r="X35" s="11">
        <v>3.446904875</v>
      </c>
      <c r="Y35" s="11" t="b">
        <f t="shared" si="0"/>
        <v>0</v>
      </c>
    </row>
    <row r="36" spans="1:25" ht="29" x14ac:dyDescent="0.35">
      <c r="A36" s="11">
        <v>2019</v>
      </c>
      <c r="B36" s="11" t="s">
        <v>1980</v>
      </c>
      <c r="C36" s="11" t="s">
        <v>1242</v>
      </c>
      <c r="D36" s="163">
        <v>110009933484</v>
      </c>
      <c r="E36" s="11" t="s">
        <v>226</v>
      </c>
      <c r="F36" s="11" t="s">
        <v>227</v>
      </c>
      <c r="G36" s="11" t="s">
        <v>1219</v>
      </c>
      <c r="H36" s="11" t="s">
        <v>108</v>
      </c>
      <c r="I36" s="11" t="s">
        <v>1981</v>
      </c>
      <c r="J36" s="11">
        <v>37.640973000000002</v>
      </c>
      <c r="K36" s="11">
        <v>-84.312661000000006</v>
      </c>
      <c r="L36" s="11">
        <v>4952</v>
      </c>
      <c r="M36" s="11">
        <v>4952</v>
      </c>
      <c r="N36" s="175" t="str">
        <f>VLOOKUP(M36, '2017 SIC to NAICS'!A:D, 2)</f>
        <v>Sewerage Systems</v>
      </c>
      <c r="O36" s="11">
        <v>221320</v>
      </c>
      <c r="P36" s="187" t="str">
        <f>VLOOKUP(M36, '2017 SIC to NAICS'!A:D, 4)</f>
        <v>Sewage Treatment Facilities</v>
      </c>
      <c r="Q36" s="176" t="str">
        <f>IFERROR(VLOOKUP(O36, 'NAICS OES crosswalk'!A:C, 3, FALSE), VLOOKUP(M36, 'NAICS OES crosswalk'!A:C, 3, FALSE))</f>
        <v>Waste handling, disposal, and treatment</v>
      </c>
      <c r="U36" s="188">
        <v>51002050204</v>
      </c>
      <c r="V36" s="11" t="s">
        <v>1243</v>
      </c>
      <c r="W36" s="11"/>
      <c r="X36" s="11">
        <v>3.2327685000000002</v>
      </c>
      <c r="Y36" s="11" t="b">
        <f t="shared" si="0"/>
        <v>0</v>
      </c>
    </row>
    <row r="37" spans="1:25" ht="15" customHeight="1" x14ac:dyDescent="0.35">
      <c r="A37" s="11">
        <v>2019</v>
      </c>
      <c r="B37" s="11" t="s">
        <v>1980</v>
      </c>
      <c r="C37" s="11" t="s">
        <v>1327</v>
      </c>
      <c r="D37" s="163">
        <v>110064611969</v>
      </c>
      <c r="E37" s="11" t="s">
        <v>241</v>
      </c>
      <c r="F37" s="11" t="s">
        <v>90</v>
      </c>
      <c r="G37" s="11" t="s">
        <v>771</v>
      </c>
      <c r="H37" s="11" t="s">
        <v>91</v>
      </c>
      <c r="I37" s="11" t="s">
        <v>1981</v>
      </c>
      <c r="J37" s="11">
        <v>30.23771</v>
      </c>
      <c r="K37" s="11">
        <v>-93.258650000000003</v>
      </c>
      <c r="L37" s="11">
        <v>2819</v>
      </c>
      <c r="M37" s="11">
        <v>2819</v>
      </c>
      <c r="N37" s="175" t="str">
        <f>VLOOKUP(M37, '2017 SIC to NAICS'!A:D, 2)</f>
        <v>Industrial Inorganic Chemicals, Nec</v>
      </c>
      <c r="P37" s="187" t="str">
        <f>VLOOKUP(M37, '2017 SIC to NAICS'!A:D, 4)</f>
        <v>Alumina Refining and Primary Aluminum
Production</v>
      </c>
      <c r="Q37" s="176" t="str">
        <f>IFERROR(VLOOKUP(O37, 'NAICS OES crosswalk'!A:C, 3, FALSE), VLOOKUP(M37, 'NAICS OES crosswalk'!A:C, 3, FALSE))</f>
        <v>Processing as a reactant</v>
      </c>
      <c r="U37" s="188">
        <v>80802060302</v>
      </c>
      <c r="V37" s="11" t="s">
        <v>1328</v>
      </c>
      <c r="W37" s="11"/>
      <c r="X37" s="11">
        <v>2.5903593749999998</v>
      </c>
      <c r="Y37" s="11" t="b">
        <f t="shared" si="0"/>
        <v>0</v>
      </c>
    </row>
    <row r="38" spans="1:25" ht="15" customHeight="1" x14ac:dyDescent="0.35">
      <c r="A38" s="11">
        <v>2019</v>
      </c>
      <c r="B38" s="11" t="s">
        <v>1980</v>
      </c>
      <c r="C38" s="11" t="s">
        <v>740</v>
      </c>
      <c r="D38" s="163">
        <v>110000730460</v>
      </c>
      <c r="E38" s="11" t="s">
        <v>212</v>
      </c>
      <c r="F38" s="11" t="s">
        <v>213</v>
      </c>
      <c r="G38" s="11" t="s">
        <v>741</v>
      </c>
      <c r="H38" s="11" t="s">
        <v>102</v>
      </c>
      <c r="I38" s="11" t="s">
        <v>1981</v>
      </c>
      <c r="J38" s="11">
        <v>38.368760000000002</v>
      </c>
      <c r="K38" s="11">
        <v>-122.76860000000001</v>
      </c>
      <c r="L38" s="11">
        <v>4952</v>
      </c>
      <c r="M38" s="11">
        <v>4952</v>
      </c>
      <c r="N38" s="175" t="str">
        <f>VLOOKUP(M38, '2017 SIC to NAICS'!A:D, 2)</f>
        <v>Sewerage Systems</v>
      </c>
      <c r="P38" s="187" t="str">
        <f>VLOOKUP(M38, '2017 SIC to NAICS'!A:D, 4)</f>
        <v>Sewage Treatment Facilities</v>
      </c>
      <c r="Q38" s="176" t="str">
        <f>IFERROR(VLOOKUP(O38, 'NAICS OES crosswalk'!A:C, 3, FALSE), VLOOKUP(M38, 'NAICS OES crosswalk'!A:C, 3, FALSE))</f>
        <v>Waste handling, disposal, and treatment</v>
      </c>
      <c r="U38" s="188">
        <v>180101100701</v>
      </c>
      <c r="V38" s="11" t="s">
        <v>744</v>
      </c>
      <c r="W38" s="11"/>
      <c r="X38" s="11">
        <v>2.51229375</v>
      </c>
      <c r="Y38" s="11" t="b">
        <f t="shared" si="0"/>
        <v>0</v>
      </c>
    </row>
    <row r="39" spans="1:25" ht="29" x14ac:dyDescent="0.35">
      <c r="A39" s="11">
        <v>2019</v>
      </c>
      <c r="B39" s="11" t="s">
        <v>1980</v>
      </c>
      <c r="C39" s="11" t="s">
        <v>740</v>
      </c>
      <c r="D39" s="163">
        <v>110000730460</v>
      </c>
      <c r="E39" s="11" t="s">
        <v>212</v>
      </c>
      <c r="F39" s="11" t="s">
        <v>213</v>
      </c>
      <c r="G39" s="11" t="s">
        <v>741</v>
      </c>
      <c r="H39" s="11" t="s">
        <v>102</v>
      </c>
      <c r="I39" s="11" t="s">
        <v>1981</v>
      </c>
      <c r="J39" s="11">
        <v>38.368760000000002</v>
      </c>
      <c r="K39" s="11">
        <v>-122.76860000000001</v>
      </c>
      <c r="L39" s="11">
        <v>4952</v>
      </c>
      <c r="M39" s="11">
        <v>4952</v>
      </c>
      <c r="N39" s="175" t="str">
        <f>VLOOKUP(M39, '2017 SIC to NAICS'!A:D, 2)</f>
        <v>Sewerage Systems</v>
      </c>
      <c r="P39" s="187" t="str">
        <f>VLOOKUP(M39, '2017 SIC to NAICS'!A:D, 4)</f>
        <v>Sewage Treatment Facilities</v>
      </c>
      <c r="Q39" s="176" t="str">
        <f>IFERROR(VLOOKUP(O39, 'NAICS OES crosswalk'!A:C, 3, FALSE), VLOOKUP(M39, 'NAICS OES crosswalk'!A:C, 3, FALSE))</f>
        <v>Waste handling, disposal, and treatment</v>
      </c>
      <c r="U39" s="188">
        <v>180101100701</v>
      </c>
      <c r="V39" s="11" t="s">
        <v>744</v>
      </c>
      <c r="W39" s="11"/>
      <c r="X39" s="11">
        <v>2.51229375</v>
      </c>
      <c r="Y39" s="11" t="b">
        <f t="shared" si="0"/>
        <v>0</v>
      </c>
    </row>
    <row r="40" spans="1:25" x14ac:dyDescent="0.35">
      <c r="A40" s="11">
        <v>2019</v>
      </c>
      <c r="B40" s="11" t="s">
        <v>1980</v>
      </c>
      <c r="C40" s="11" t="s">
        <v>837</v>
      </c>
      <c r="D40" s="163">
        <v>110011779147</v>
      </c>
      <c r="E40" s="11" t="s">
        <v>172</v>
      </c>
      <c r="F40" s="11" t="s">
        <v>173</v>
      </c>
      <c r="G40" s="11" t="s">
        <v>838</v>
      </c>
      <c r="H40" s="11" t="s">
        <v>126</v>
      </c>
      <c r="I40" s="11" t="s">
        <v>1982</v>
      </c>
      <c r="J40" s="11">
        <v>43.075907999999998</v>
      </c>
      <c r="K40" s="11">
        <v>-76.089072000000002</v>
      </c>
      <c r="L40" s="11">
        <v>3585</v>
      </c>
      <c r="M40" s="11">
        <v>3585</v>
      </c>
      <c r="N40" s="175" t="str">
        <f>VLOOKUP(M40, '2017 SIC to NAICS'!A:D, 2)</f>
        <v>Refrigeration and Heating Equipment</v>
      </c>
      <c r="P40" s="187" t="str">
        <f>VLOOKUP(M40, '2017 SIC to NAICS'!A:D, 4)</f>
        <v>Other Motor Vehicle Parts Manufacturing</v>
      </c>
      <c r="Q40" s="176" t="e">
        <f>IFERROR(VLOOKUP(O40, 'NAICS OES crosswalk'!A:C, 3, FALSE), VLOOKUP(M40, 'NAICS OES crosswalk'!A:C, 3, FALSE))</f>
        <v>#N/A</v>
      </c>
      <c r="U40" s="188">
        <v>41402011508</v>
      </c>
      <c r="V40" s="11" t="s">
        <v>839</v>
      </c>
      <c r="W40" s="11"/>
      <c r="X40" s="11">
        <v>2.486745</v>
      </c>
      <c r="Y40" s="11" t="b">
        <f t="shared" si="0"/>
        <v>0</v>
      </c>
    </row>
    <row r="41" spans="1:25" ht="29" x14ac:dyDescent="0.35">
      <c r="A41" s="11">
        <v>2019</v>
      </c>
      <c r="B41" s="11" t="s">
        <v>1980</v>
      </c>
      <c r="C41" s="11" t="s">
        <v>1193</v>
      </c>
      <c r="D41" s="163">
        <v>110045085457</v>
      </c>
      <c r="E41" s="11" t="s">
        <v>237</v>
      </c>
      <c r="F41" s="11" t="s">
        <v>238</v>
      </c>
      <c r="G41" s="11" t="s">
        <v>1194</v>
      </c>
      <c r="H41" s="11" t="s">
        <v>108</v>
      </c>
      <c r="I41" s="11" t="s">
        <v>1981</v>
      </c>
      <c r="J41" s="11">
        <v>38.151904999999999</v>
      </c>
      <c r="K41" s="11">
        <v>-83.513848999999993</v>
      </c>
      <c r="L41" s="11">
        <v>4952</v>
      </c>
      <c r="M41" s="11">
        <v>4952</v>
      </c>
      <c r="N41" s="175" t="str">
        <f>VLOOKUP(M41, '2017 SIC to NAICS'!A:D, 2)</f>
        <v>Sewerage Systems</v>
      </c>
      <c r="O41" s="11">
        <v>221320</v>
      </c>
      <c r="P41" s="187" t="str">
        <f>VLOOKUP(M41, '2017 SIC to NAICS'!A:D, 4)</f>
        <v>Sewage Treatment Facilities</v>
      </c>
      <c r="Q41" s="176" t="str">
        <f>IFERROR(VLOOKUP(O41, 'NAICS OES crosswalk'!A:C, 3, FALSE), VLOOKUP(M41, 'NAICS OES crosswalk'!A:C, 3, FALSE))</f>
        <v>Waste handling, disposal, and treatment</v>
      </c>
      <c r="U41" s="188">
        <v>51001010603</v>
      </c>
      <c r="V41" s="11" t="s">
        <v>1195</v>
      </c>
      <c r="W41" s="11"/>
      <c r="X41" s="11">
        <v>2.3914197750000001</v>
      </c>
      <c r="Y41" s="11" t="b">
        <f t="shared" si="0"/>
        <v>0</v>
      </c>
    </row>
    <row r="42" spans="1:25" ht="29" x14ac:dyDescent="0.35">
      <c r="A42" s="11">
        <v>2019</v>
      </c>
      <c r="B42" s="11" t="s">
        <v>1980</v>
      </c>
      <c r="C42" s="11" t="s">
        <v>1159</v>
      </c>
      <c r="D42" s="163">
        <v>110020941383</v>
      </c>
      <c r="E42" s="11" t="s">
        <v>248</v>
      </c>
      <c r="F42" s="11" t="s">
        <v>249</v>
      </c>
      <c r="G42" s="11" t="s">
        <v>1160</v>
      </c>
      <c r="H42" s="11" t="s">
        <v>108</v>
      </c>
      <c r="I42" s="11" t="s">
        <v>1981</v>
      </c>
      <c r="J42" s="11">
        <v>37.983888999999998</v>
      </c>
      <c r="K42" s="11">
        <v>-85.722778000000005</v>
      </c>
      <c r="L42" s="11">
        <v>4952</v>
      </c>
      <c r="M42" s="11">
        <v>4952</v>
      </c>
      <c r="N42" s="175" t="str">
        <f>VLOOKUP(M42, '2017 SIC to NAICS'!A:D, 2)</f>
        <v>Sewerage Systems</v>
      </c>
      <c r="O42" s="11">
        <v>221320</v>
      </c>
      <c r="P42" s="187" t="str">
        <f>VLOOKUP(M42, '2017 SIC to NAICS'!A:D, 4)</f>
        <v>Sewage Treatment Facilities</v>
      </c>
      <c r="Q42" s="176" t="str">
        <f>IFERROR(VLOOKUP(O42, 'NAICS OES crosswalk'!A:C, 3, FALSE), VLOOKUP(M42, 'NAICS OES crosswalk'!A:C, 3, FALSE))</f>
        <v>Waste handling, disposal, and treatment</v>
      </c>
      <c r="U42" s="188">
        <v>51401021103</v>
      </c>
      <c r="V42" s="11" t="s">
        <v>1161</v>
      </c>
      <c r="W42" s="11"/>
      <c r="X42" s="11">
        <v>2.3485925000000001</v>
      </c>
      <c r="Y42" s="11" t="b">
        <f t="shared" si="0"/>
        <v>0</v>
      </c>
    </row>
    <row r="43" spans="1:25" ht="29" x14ac:dyDescent="0.35">
      <c r="A43" s="11">
        <v>2019</v>
      </c>
      <c r="B43" s="11" t="s">
        <v>1980</v>
      </c>
      <c r="C43" s="11" t="s">
        <v>740</v>
      </c>
      <c r="D43" s="163">
        <v>110000730460</v>
      </c>
      <c r="E43" s="11" t="s">
        <v>212</v>
      </c>
      <c r="F43" s="11" t="s">
        <v>213</v>
      </c>
      <c r="G43" s="11" t="s">
        <v>741</v>
      </c>
      <c r="H43" s="11" t="s">
        <v>102</v>
      </c>
      <c r="I43" s="11" t="s">
        <v>1981</v>
      </c>
      <c r="J43" s="11">
        <v>38.368760000000002</v>
      </c>
      <c r="K43" s="11">
        <v>-122.76860000000001</v>
      </c>
      <c r="L43" s="11">
        <v>4952</v>
      </c>
      <c r="M43" s="11">
        <v>4952</v>
      </c>
      <c r="N43" s="175" t="str">
        <f>VLOOKUP(M43, '2017 SIC to NAICS'!A:D, 2)</f>
        <v>Sewerage Systems</v>
      </c>
      <c r="P43" s="187" t="str">
        <f>VLOOKUP(M43, '2017 SIC to NAICS'!A:D, 4)</f>
        <v>Sewage Treatment Facilities</v>
      </c>
      <c r="Q43" s="176" t="str">
        <f>IFERROR(VLOOKUP(O43, 'NAICS OES crosswalk'!A:C, 3, FALSE), VLOOKUP(M43, 'NAICS OES crosswalk'!A:C, 3, FALSE))</f>
        <v>Waste handling, disposal, and treatment</v>
      </c>
      <c r="U43" s="188">
        <v>180101100701</v>
      </c>
      <c r="V43" s="11" t="s">
        <v>744</v>
      </c>
      <c r="W43" s="11"/>
      <c r="X43" s="11">
        <v>2.2312574999999999</v>
      </c>
      <c r="Y43" s="11" t="b">
        <f t="shared" si="0"/>
        <v>0</v>
      </c>
    </row>
    <row r="44" spans="1:25" ht="29" x14ac:dyDescent="0.35">
      <c r="A44" s="11">
        <v>2019</v>
      </c>
      <c r="B44" s="11" t="s">
        <v>1980</v>
      </c>
      <c r="C44" s="11" t="s">
        <v>915</v>
      </c>
      <c r="D44" s="163">
        <v>110009547222</v>
      </c>
      <c r="E44" s="11" t="s">
        <v>255</v>
      </c>
      <c r="F44" s="11" t="s">
        <v>256</v>
      </c>
      <c r="G44" s="11" t="s">
        <v>916</v>
      </c>
      <c r="H44" s="11" t="s">
        <v>102</v>
      </c>
      <c r="I44" s="11" t="s">
        <v>1981</v>
      </c>
      <c r="J44" s="11">
        <v>34.661079999999998</v>
      </c>
      <c r="K44" s="11">
        <v>-120.48135000000001</v>
      </c>
      <c r="L44" s="11">
        <v>4952</v>
      </c>
      <c r="M44" s="11">
        <v>4952</v>
      </c>
      <c r="N44" s="175" t="str">
        <f>VLOOKUP(M44, '2017 SIC to NAICS'!A:D, 2)</f>
        <v>Sewerage Systems</v>
      </c>
      <c r="P44" s="187" t="str">
        <f>VLOOKUP(M44, '2017 SIC to NAICS'!A:D, 4)</f>
        <v>Sewage Treatment Facilities</v>
      </c>
      <c r="Q44" s="176" t="str">
        <f>IFERROR(VLOOKUP(O44, 'NAICS OES crosswalk'!A:C, 3, FALSE), VLOOKUP(M44, 'NAICS OES crosswalk'!A:C, 3, FALSE))</f>
        <v>Waste handling, disposal, and treatment</v>
      </c>
      <c r="U44" s="188">
        <v>180600100703</v>
      </c>
      <c r="V44" s="11" t="s">
        <v>917</v>
      </c>
      <c r="W44" s="11"/>
      <c r="X44" s="11">
        <v>2.1206408749999999</v>
      </c>
      <c r="Y44" s="11" t="b">
        <f t="shared" si="0"/>
        <v>0</v>
      </c>
    </row>
    <row r="45" spans="1:25" x14ac:dyDescent="0.35">
      <c r="A45" s="11">
        <v>2019</v>
      </c>
      <c r="B45" s="11" t="s">
        <v>1980</v>
      </c>
      <c r="C45" s="11" t="s">
        <v>1051</v>
      </c>
      <c r="D45" s="163">
        <v>110044852068</v>
      </c>
      <c r="E45" s="11" t="s">
        <v>244</v>
      </c>
      <c r="F45" s="11" t="s">
        <v>245</v>
      </c>
      <c r="G45" s="11" t="s">
        <v>128</v>
      </c>
      <c r="H45" s="11" t="s">
        <v>111</v>
      </c>
      <c r="I45" s="11" t="s">
        <v>1982</v>
      </c>
      <c r="J45" s="11">
        <v>38.2774</v>
      </c>
      <c r="K45" s="11">
        <v>-89.666899999999998</v>
      </c>
      <c r="L45" s="11">
        <v>4911</v>
      </c>
      <c r="M45" s="11">
        <v>4911</v>
      </c>
      <c r="N45" s="175" t="str">
        <f>VLOOKUP(M45, '2017 SIC to NAICS'!A:D, 2)</f>
        <v>Electric Services</v>
      </c>
      <c r="P45" s="187" t="str">
        <f>VLOOKUP(M45, '2017 SIC to NAICS'!A:D, 4)</f>
        <v>Electric Power Distribution</v>
      </c>
      <c r="Q45" s="176" t="e">
        <f>IFERROR(VLOOKUP(O45, 'NAICS OES crosswalk'!A:C, 3, FALSE), VLOOKUP(M45, 'NAICS OES crosswalk'!A:C, 3, FALSE))</f>
        <v>#N/A</v>
      </c>
      <c r="U45" s="188">
        <v>71402040302</v>
      </c>
      <c r="V45" s="11" t="s">
        <v>1052</v>
      </c>
      <c r="W45" s="11"/>
      <c r="X45" s="11">
        <v>2.0336048</v>
      </c>
      <c r="Y45" s="11" t="b">
        <f t="shared" si="0"/>
        <v>0</v>
      </c>
    </row>
    <row r="46" spans="1:25" x14ac:dyDescent="0.35">
      <c r="A46" s="11">
        <v>2019</v>
      </c>
      <c r="B46" s="11" t="s">
        <v>1980</v>
      </c>
      <c r="C46" s="11" t="s">
        <v>1477</v>
      </c>
      <c r="D46" s="163">
        <v>110041133163</v>
      </c>
      <c r="E46" s="11" t="s">
        <v>252</v>
      </c>
      <c r="F46" s="11" t="s">
        <v>253</v>
      </c>
      <c r="G46" s="11" t="s">
        <v>1113</v>
      </c>
      <c r="H46" s="11" t="s">
        <v>254</v>
      </c>
      <c r="I46" s="11" t="s">
        <v>1981</v>
      </c>
      <c r="J46" s="11">
        <v>40.640135000000001</v>
      </c>
      <c r="K46" s="11">
        <v>-74.218879999999999</v>
      </c>
      <c r="L46" s="11">
        <v>2911</v>
      </c>
      <c r="M46" s="11">
        <v>2911</v>
      </c>
      <c r="N46" s="175" t="str">
        <f>VLOOKUP(M46, '2017 SIC to NAICS'!A:D, 2)</f>
        <v>Petroleum Refining</v>
      </c>
      <c r="O46" s="11">
        <v>324110</v>
      </c>
      <c r="P46" s="187" t="str">
        <f>VLOOKUP(M46, '2017 SIC to NAICS'!A:D, 4)</f>
        <v>Petroleum Refineries</v>
      </c>
      <c r="Q46" s="176" t="e">
        <f>IFERROR(VLOOKUP(O46, 'NAICS OES crosswalk'!A:C, 3, FALSE), VLOOKUP(M46, 'NAICS OES crosswalk'!A:C, 3, FALSE))</f>
        <v>#N/A</v>
      </c>
      <c r="U46" s="188">
        <v>20301040204</v>
      </c>
      <c r="V46" s="11" t="s">
        <v>1478</v>
      </c>
      <c r="W46" s="11"/>
      <c r="X46" s="11">
        <v>2</v>
      </c>
      <c r="Y46" s="11" t="b">
        <f t="shared" si="0"/>
        <v>0</v>
      </c>
    </row>
    <row r="47" spans="1:25" x14ac:dyDescent="0.35">
      <c r="A47" s="11">
        <v>2019</v>
      </c>
      <c r="B47" s="11" t="s">
        <v>1980</v>
      </c>
      <c r="C47" s="11" t="s">
        <v>746</v>
      </c>
      <c r="D47" s="163">
        <v>110034641635</v>
      </c>
      <c r="E47" s="11" t="s">
        <v>206</v>
      </c>
      <c r="F47" s="11" t="s">
        <v>207</v>
      </c>
      <c r="G47" s="11" t="s">
        <v>747</v>
      </c>
      <c r="H47" s="11" t="s">
        <v>95</v>
      </c>
      <c r="I47" s="11" t="s">
        <v>1981</v>
      </c>
      <c r="J47" s="11">
        <v>29.717471</v>
      </c>
      <c r="K47" s="11">
        <v>-95.068008000000006</v>
      </c>
      <c r="L47" s="11">
        <v>2869</v>
      </c>
      <c r="M47" s="11">
        <v>2869</v>
      </c>
      <c r="N47" s="175" t="str">
        <f>VLOOKUP(M47, '2017 SIC to NAICS'!A:D, 2)</f>
        <v>Industrial Organic Chemicals, Nec</v>
      </c>
      <c r="P47" s="187" t="str">
        <f>VLOOKUP(M47, '2017 SIC to NAICS'!A:D, 4)</f>
        <v>All Other Miscellaneous Chemical Product and Preparation Manufacturing</v>
      </c>
      <c r="Q47" s="176" t="str">
        <f>IFERROR(VLOOKUP(O47, 'NAICS OES crosswalk'!A:C, 3, FALSE), VLOOKUP(M47, 'NAICS OES crosswalk'!A:C, 3, FALSE))</f>
        <v>Manufacturing</v>
      </c>
      <c r="U47" s="188">
        <v>120401040706</v>
      </c>
      <c r="V47" s="11" t="s">
        <v>750</v>
      </c>
      <c r="W47" s="11"/>
      <c r="X47" s="11">
        <v>1.9885200000000001</v>
      </c>
      <c r="Y47" s="11" t="b">
        <f t="shared" si="0"/>
        <v>0</v>
      </c>
    </row>
    <row r="48" spans="1:25" ht="29" x14ac:dyDescent="0.35">
      <c r="A48" s="11">
        <v>2019</v>
      </c>
      <c r="B48" s="11" t="s">
        <v>1980</v>
      </c>
      <c r="C48" s="11" t="s">
        <v>1165</v>
      </c>
      <c r="D48" s="163">
        <v>110009938719</v>
      </c>
      <c r="E48" s="11" t="s">
        <v>263</v>
      </c>
      <c r="F48" s="11" t="s">
        <v>264</v>
      </c>
      <c r="G48" s="11" t="s">
        <v>1166</v>
      </c>
      <c r="H48" s="11" t="s">
        <v>108</v>
      </c>
      <c r="I48" s="11" t="s">
        <v>1981</v>
      </c>
      <c r="J48" s="11">
        <v>37.075277999999997</v>
      </c>
      <c r="K48" s="11">
        <v>-88.09</v>
      </c>
      <c r="L48" s="11">
        <v>4952</v>
      </c>
      <c r="M48" s="11">
        <v>4952</v>
      </c>
      <c r="N48" s="175" t="str">
        <f>VLOOKUP(M48, '2017 SIC to NAICS'!A:D, 2)</f>
        <v>Sewerage Systems</v>
      </c>
      <c r="O48" s="11">
        <v>221320</v>
      </c>
      <c r="P48" s="187" t="str">
        <f>VLOOKUP(M48, '2017 SIC to NAICS'!A:D, 4)</f>
        <v>Sewage Treatment Facilities</v>
      </c>
      <c r="Q48" s="176" t="str">
        <f>IFERROR(VLOOKUP(O48, 'NAICS OES crosswalk'!A:C, 3, FALSE), VLOOKUP(M48, 'NAICS OES crosswalk'!A:C, 3, FALSE))</f>
        <v>Waste handling, disposal, and treatment</v>
      </c>
      <c r="U48" s="188">
        <v>51302050707</v>
      </c>
      <c r="V48" s="11" t="s">
        <v>1167</v>
      </c>
      <c r="W48" s="11"/>
      <c r="X48" s="11">
        <v>1.8616049374999999</v>
      </c>
      <c r="Y48" s="11" t="b">
        <f t="shared" si="0"/>
        <v>0</v>
      </c>
    </row>
    <row r="49" spans="1:25" x14ac:dyDescent="0.35">
      <c r="A49" s="11">
        <v>2019</v>
      </c>
      <c r="B49" s="11" t="s">
        <v>1980</v>
      </c>
      <c r="C49" s="11" t="s">
        <v>781</v>
      </c>
      <c r="D49" s="163">
        <v>110000440416</v>
      </c>
      <c r="E49" s="11" t="s">
        <v>198</v>
      </c>
      <c r="F49" s="11" t="s">
        <v>199</v>
      </c>
      <c r="G49" s="11" t="s">
        <v>782</v>
      </c>
      <c r="H49" s="11" t="s">
        <v>129</v>
      </c>
      <c r="I49" s="11" t="s">
        <v>1982</v>
      </c>
      <c r="J49" s="11">
        <v>38.209220000000002</v>
      </c>
      <c r="K49" s="11">
        <v>-90.476910000000004</v>
      </c>
      <c r="L49" s="11">
        <v>1795</v>
      </c>
      <c r="M49" s="11">
        <v>1795</v>
      </c>
      <c r="N49" s="175" t="str">
        <f>VLOOKUP(M49, '2017 SIC to NAICS'!A:D, 2)</f>
        <v>Wrecking and Demolition Work</v>
      </c>
      <c r="P49" s="187" t="str">
        <f>VLOOKUP(M49, '2017 SIC to NAICS'!A:D, 4)</f>
        <v>Site Preparation Contractors</v>
      </c>
      <c r="Q49" s="176" t="e">
        <f>IFERROR(VLOOKUP(O49, 'NAICS OES crosswalk'!A:C, 3, FALSE), VLOOKUP(M49, 'NAICS OES crosswalk'!A:C, 3, FALSE))</f>
        <v>#N/A</v>
      </c>
      <c r="U49" s="188">
        <v>71401010802</v>
      </c>
      <c r="V49" s="11" t="s">
        <v>783</v>
      </c>
      <c r="W49" s="11"/>
      <c r="X49" s="11">
        <v>1.828511316115</v>
      </c>
      <c r="Y49" s="11" t="b">
        <f t="shared" si="0"/>
        <v>0</v>
      </c>
    </row>
    <row r="50" spans="1:25" ht="16.5" customHeight="1" x14ac:dyDescent="0.35">
      <c r="A50" s="11">
        <v>2019</v>
      </c>
      <c r="B50" s="11" t="s">
        <v>1980</v>
      </c>
      <c r="C50" s="11" t="s">
        <v>1162</v>
      </c>
      <c r="D50" s="163">
        <v>110000732324</v>
      </c>
      <c r="E50" s="11" t="s">
        <v>265</v>
      </c>
      <c r="F50" s="11" t="s">
        <v>266</v>
      </c>
      <c r="G50" s="11" t="s">
        <v>1163</v>
      </c>
      <c r="H50" s="11" t="s">
        <v>108</v>
      </c>
      <c r="I50" s="11" t="s">
        <v>1981</v>
      </c>
      <c r="J50" s="11">
        <v>37.776316000000001</v>
      </c>
      <c r="K50" s="11">
        <v>-84.867384999999999</v>
      </c>
      <c r="L50" s="11">
        <v>4952</v>
      </c>
      <c r="M50" s="11">
        <v>4952</v>
      </c>
      <c r="N50" s="175" t="str">
        <f>VLOOKUP(M50, '2017 SIC to NAICS'!A:D, 2)</f>
        <v>Sewerage Systems</v>
      </c>
      <c r="O50" s="11">
        <v>221320</v>
      </c>
      <c r="P50" s="187" t="str">
        <f>VLOOKUP(M50, '2017 SIC to NAICS'!A:D, 4)</f>
        <v>Sewage Treatment Facilities</v>
      </c>
      <c r="Q50" s="176" t="str">
        <f>IFERROR(VLOOKUP(O50, 'NAICS OES crosswalk'!A:C, 3, FALSE), VLOOKUP(M50, 'NAICS OES crosswalk'!A:C, 3, FALSE))</f>
        <v>Waste handling, disposal, and treatment</v>
      </c>
      <c r="U50" s="188">
        <v>51401020102</v>
      </c>
      <c r="V50" s="11" t="s">
        <v>1164</v>
      </c>
      <c r="W50" s="11"/>
      <c r="X50" s="11">
        <v>1.8070347</v>
      </c>
      <c r="Y50" s="11" t="b">
        <f t="shared" si="0"/>
        <v>0</v>
      </c>
    </row>
    <row r="51" spans="1:25" x14ac:dyDescent="0.35">
      <c r="A51" s="11">
        <v>2019</v>
      </c>
      <c r="B51" s="11" t="s">
        <v>1980</v>
      </c>
      <c r="C51" s="11" t="s">
        <v>746</v>
      </c>
      <c r="D51" s="163">
        <v>110034641635</v>
      </c>
      <c r="E51" s="11" t="s">
        <v>206</v>
      </c>
      <c r="F51" s="11" t="s">
        <v>207</v>
      </c>
      <c r="G51" s="11" t="s">
        <v>747</v>
      </c>
      <c r="H51" s="11" t="s">
        <v>95</v>
      </c>
      <c r="I51" s="11" t="s">
        <v>1981</v>
      </c>
      <c r="J51" s="11">
        <v>29.717471</v>
      </c>
      <c r="K51" s="11">
        <v>-95.068008000000006</v>
      </c>
      <c r="L51" s="11">
        <v>2869</v>
      </c>
      <c r="M51" s="11">
        <v>2869</v>
      </c>
      <c r="N51" s="175" t="str">
        <f>VLOOKUP(M51, '2017 SIC to NAICS'!A:D, 2)</f>
        <v>Industrial Organic Chemicals, Nec</v>
      </c>
      <c r="P51" s="187" t="str">
        <f>VLOOKUP(M51, '2017 SIC to NAICS'!A:D, 4)</f>
        <v>All Other Miscellaneous Chemical Product and Preparation Manufacturing</v>
      </c>
      <c r="Q51" s="176" t="str">
        <f>IFERROR(VLOOKUP(O51, 'NAICS OES crosswalk'!A:C, 3, FALSE), VLOOKUP(M51, 'NAICS OES crosswalk'!A:C, 3, FALSE))</f>
        <v>Manufacturing</v>
      </c>
      <c r="U51" s="188">
        <v>120401040706</v>
      </c>
      <c r="V51" s="11" t="s">
        <v>750</v>
      </c>
      <c r="W51" s="11"/>
      <c r="X51" s="11">
        <v>1.6571</v>
      </c>
      <c r="Y51" s="11" t="b">
        <f t="shared" si="0"/>
        <v>0</v>
      </c>
    </row>
    <row r="52" spans="1:25" ht="29" x14ac:dyDescent="0.35">
      <c r="A52" s="11">
        <v>2019</v>
      </c>
      <c r="B52" s="11" t="s">
        <v>1980</v>
      </c>
      <c r="C52" s="11" t="s">
        <v>975</v>
      </c>
      <c r="D52" s="163">
        <v>110000525842</v>
      </c>
      <c r="E52" s="11" t="s">
        <v>242</v>
      </c>
      <c r="F52" s="11" t="s">
        <v>243</v>
      </c>
      <c r="G52" s="11" t="s">
        <v>964</v>
      </c>
      <c r="H52" s="11" t="s">
        <v>102</v>
      </c>
      <c r="I52" s="11" t="s">
        <v>1981</v>
      </c>
      <c r="J52" s="11">
        <v>34.055900000000001</v>
      </c>
      <c r="K52" s="11">
        <v>-117.36134</v>
      </c>
      <c r="L52" s="11">
        <v>4952</v>
      </c>
      <c r="M52" s="11">
        <v>4952</v>
      </c>
      <c r="N52" s="175" t="str">
        <f>VLOOKUP(M52, '2017 SIC to NAICS'!A:D, 2)</f>
        <v>Sewerage Systems</v>
      </c>
      <c r="P52" s="187" t="str">
        <f>VLOOKUP(M52, '2017 SIC to NAICS'!A:D, 4)</f>
        <v>Sewage Treatment Facilities</v>
      </c>
      <c r="Q52" s="176" t="str">
        <f>IFERROR(VLOOKUP(O52, 'NAICS OES crosswalk'!A:C, 3, FALSE), VLOOKUP(M52, 'NAICS OES crosswalk'!A:C, 3, FALSE))</f>
        <v>Waste handling, disposal, and treatment</v>
      </c>
      <c r="U52" s="188">
        <v>180702030804</v>
      </c>
      <c r="V52" s="11" t="s">
        <v>976</v>
      </c>
      <c r="W52" s="11"/>
      <c r="X52" s="11">
        <v>1.627694303125</v>
      </c>
      <c r="Y52" s="11" t="b">
        <f t="shared" si="0"/>
        <v>0</v>
      </c>
    </row>
    <row r="53" spans="1:25" x14ac:dyDescent="0.35">
      <c r="A53" s="11">
        <v>2019</v>
      </c>
      <c r="B53" s="11" t="s">
        <v>1980</v>
      </c>
      <c r="C53" s="11" t="s">
        <v>1731</v>
      </c>
      <c r="D53" s="163">
        <v>110070545578</v>
      </c>
      <c r="E53" s="11" t="s">
        <v>274</v>
      </c>
      <c r="F53" s="11" t="s">
        <v>275</v>
      </c>
      <c r="G53" s="11" t="s">
        <v>1718</v>
      </c>
      <c r="H53" s="11" t="s">
        <v>276</v>
      </c>
      <c r="I53" s="11" t="s">
        <v>1982</v>
      </c>
      <c r="J53" s="11">
        <v>38.845162999999999</v>
      </c>
      <c r="K53" s="11">
        <v>-77.050687999999994</v>
      </c>
      <c r="L53" s="11">
        <v>1794</v>
      </c>
      <c r="M53" s="11">
        <v>1794</v>
      </c>
      <c r="N53" s="175" t="str">
        <f>VLOOKUP(M53, '2017 SIC to NAICS'!A:D, 2)</f>
        <v>Excavation Work</v>
      </c>
      <c r="P53" s="187" t="str">
        <f>VLOOKUP(M53, '2017 SIC to NAICS'!A:D, 4)</f>
        <v>Site Preparation Contractors</v>
      </c>
      <c r="Q53" s="176" t="e">
        <f>IFERROR(VLOOKUP(O53, 'NAICS OES crosswalk'!A:C, 3, FALSE), VLOOKUP(M53, 'NAICS OES crosswalk'!A:C, 3, FALSE))</f>
        <v>#N/A</v>
      </c>
      <c r="U53" s="188">
        <v>20700100301</v>
      </c>
      <c r="V53" s="11" t="s">
        <v>1711</v>
      </c>
      <c r="W53" s="11"/>
      <c r="X53" s="11">
        <v>1.50403096764375</v>
      </c>
      <c r="Y53" s="11" t="b">
        <f t="shared" si="0"/>
        <v>0</v>
      </c>
    </row>
    <row r="54" spans="1:25" ht="29" x14ac:dyDescent="0.35">
      <c r="A54" s="11">
        <v>2019</v>
      </c>
      <c r="B54" s="11" t="s">
        <v>1980</v>
      </c>
      <c r="C54" s="11" t="s">
        <v>918</v>
      </c>
      <c r="D54" s="163">
        <v>110013848453</v>
      </c>
      <c r="E54" s="11" t="s">
        <v>239</v>
      </c>
      <c r="F54" s="11" t="s">
        <v>240</v>
      </c>
      <c r="G54" s="11" t="s">
        <v>240</v>
      </c>
      <c r="H54" s="11" t="s">
        <v>102</v>
      </c>
      <c r="I54" s="11" t="s">
        <v>1981</v>
      </c>
      <c r="J54" s="11">
        <v>36.963245999999998</v>
      </c>
      <c r="K54" s="11">
        <v>-122.034009</v>
      </c>
      <c r="L54" s="11">
        <v>4952</v>
      </c>
      <c r="M54" s="11">
        <v>4952</v>
      </c>
      <c r="N54" s="175" t="str">
        <f>VLOOKUP(M54, '2017 SIC to NAICS'!A:D, 2)</f>
        <v>Sewerage Systems</v>
      </c>
      <c r="P54" s="187" t="str">
        <f>VLOOKUP(M54, '2017 SIC to NAICS'!A:D, 4)</f>
        <v>Sewage Treatment Facilities</v>
      </c>
      <c r="Q54" s="176" t="str">
        <f>IFERROR(VLOOKUP(O54, 'NAICS OES crosswalk'!A:C, 3, FALSE), VLOOKUP(M54, 'NAICS OES crosswalk'!A:C, 3, FALSE))</f>
        <v>Waste handling, disposal, and treatment</v>
      </c>
      <c r="U54" s="188">
        <v>180600150305</v>
      </c>
      <c r="V54" s="11" t="s">
        <v>919</v>
      </c>
      <c r="W54" s="11"/>
      <c r="X54" s="11">
        <v>1.503912975</v>
      </c>
      <c r="Y54" s="11" t="b">
        <f t="shared" si="0"/>
        <v>0</v>
      </c>
    </row>
    <row r="55" spans="1:25" ht="15" customHeight="1" x14ac:dyDescent="0.35">
      <c r="A55" s="11">
        <v>2019</v>
      </c>
      <c r="B55" s="11" t="s">
        <v>1980</v>
      </c>
      <c r="C55" s="11" t="s">
        <v>1091</v>
      </c>
      <c r="D55" s="163">
        <v>110000736730</v>
      </c>
      <c r="E55" s="11" t="s">
        <v>277</v>
      </c>
      <c r="F55" s="11" t="s">
        <v>278</v>
      </c>
      <c r="G55" s="11" t="s">
        <v>1092</v>
      </c>
      <c r="H55" s="11" t="s">
        <v>108</v>
      </c>
      <c r="I55" s="11" t="s">
        <v>1981</v>
      </c>
      <c r="J55" s="11">
        <v>36.856732000000001</v>
      </c>
      <c r="K55" s="11">
        <v>-86.889048000000003</v>
      </c>
      <c r="L55" s="11">
        <v>4952</v>
      </c>
      <c r="M55" s="11">
        <v>4952</v>
      </c>
      <c r="N55" s="175" t="str">
        <f>VLOOKUP(M55, '2017 SIC to NAICS'!A:D, 2)</f>
        <v>Sewerage Systems</v>
      </c>
      <c r="O55" s="11">
        <v>221320</v>
      </c>
      <c r="P55" s="187" t="str">
        <f>VLOOKUP(M55, '2017 SIC to NAICS'!A:D, 4)</f>
        <v>Sewage Treatment Facilities</v>
      </c>
      <c r="Q55" s="176" t="str">
        <f>IFERROR(VLOOKUP(O55, 'NAICS OES crosswalk'!A:C, 3, FALSE), VLOOKUP(M55, 'NAICS OES crosswalk'!A:C, 3, FALSE))</f>
        <v>Waste handling, disposal, and treatment</v>
      </c>
      <c r="U55" s="188">
        <v>51100030204</v>
      </c>
      <c r="V55" s="11" t="s">
        <v>1093</v>
      </c>
      <c r="W55" s="11"/>
      <c r="X55" s="11">
        <v>1.4202077</v>
      </c>
      <c r="Y55" s="11" t="b">
        <f t="shared" si="0"/>
        <v>0</v>
      </c>
    </row>
    <row r="56" spans="1:25" x14ac:dyDescent="0.35">
      <c r="A56" s="11">
        <v>2019</v>
      </c>
      <c r="B56" s="11" t="s">
        <v>1980</v>
      </c>
      <c r="C56" s="11" t="s">
        <v>794</v>
      </c>
      <c r="D56" s="163">
        <v>110000433013</v>
      </c>
      <c r="E56" s="11" t="s">
        <v>259</v>
      </c>
      <c r="F56" s="11" t="s">
        <v>260</v>
      </c>
      <c r="G56" s="11" t="s">
        <v>795</v>
      </c>
      <c r="H56" s="11" t="s">
        <v>111</v>
      </c>
      <c r="I56" s="11" t="s">
        <v>1981</v>
      </c>
      <c r="J56" s="11">
        <v>41.412897000000001</v>
      </c>
      <c r="K56" s="11">
        <v>-88.329773000000003</v>
      </c>
      <c r="L56" s="11">
        <v>2821</v>
      </c>
      <c r="M56" s="11">
        <v>2821</v>
      </c>
      <c r="N56" s="175" t="str">
        <f>VLOOKUP(M56, '2017 SIC to NAICS'!A:D, 2)</f>
        <v>Plastics Materials and Resins</v>
      </c>
      <c r="P56" s="187" t="str">
        <f>VLOOKUP(M56, '2017 SIC to NAICS'!A:D, 4)</f>
        <v>Plastics Material and Resin Manufacturing</v>
      </c>
      <c r="Q56" s="176" t="str">
        <f>IFERROR(VLOOKUP(O56, 'NAICS OES crosswalk'!A:C, 3, FALSE), VLOOKUP(M56, 'NAICS OES crosswalk'!A:C, 3, FALSE))</f>
        <v>Processing as a reactant</v>
      </c>
      <c r="U56" s="188">
        <v>71200050106</v>
      </c>
      <c r="V56" s="11" t="s">
        <v>798</v>
      </c>
      <c r="W56" s="11"/>
      <c r="X56" s="11">
        <v>1.097772</v>
      </c>
      <c r="Y56" s="11" t="b">
        <f t="shared" si="0"/>
        <v>0</v>
      </c>
    </row>
    <row r="57" spans="1:25" ht="29" x14ac:dyDescent="0.35">
      <c r="A57" s="11">
        <v>2019</v>
      </c>
      <c r="B57" s="11" t="s">
        <v>1980</v>
      </c>
      <c r="C57" s="11" t="s">
        <v>1206</v>
      </c>
      <c r="D57" s="163">
        <v>110009937499</v>
      </c>
      <c r="E57" s="11" t="s">
        <v>297</v>
      </c>
      <c r="F57" s="11" t="s">
        <v>298</v>
      </c>
      <c r="G57" s="11" t="s">
        <v>1207</v>
      </c>
      <c r="H57" s="11" t="s">
        <v>108</v>
      </c>
      <c r="I57" s="11" t="s">
        <v>1982</v>
      </c>
      <c r="J57" s="11">
        <v>36.644849999999998</v>
      </c>
      <c r="K57" s="11">
        <v>-87.187950000000001</v>
      </c>
      <c r="L57" s="11">
        <v>4952</v>
      </c>
      <c r="M57" s="11">
        <v>4952</v>
      </c>
      <c r="N57" s="175" t="str">
        <f>VLOOKUP(M57, '2017 SIC to NAICS'!A:D, 2)</f>
        <v>Sewerage Systems</v>
      </c>
      <c r="O57" s="11">
        <v>221320</v>
      </c>
      <c r="P57" s="187" t="str">
        <f>VLOOKUP(M57, '2017 SIC to NAICS'!A:D, 4)</f>
        <v>Sewage Treatment Facilities</v>
      </c>
      <c r="Q57" s="176" t="str">
        <f>IFERROR(VLOOKUP(O57, 'NAICS OES crosswalk'!A:C, 3, FALSE), VLOOKUP(M57, 'NAICS OES crosswalk'!A:C, 3, FALSE))</f>
        <v>Waste handling, disposal, and treatment</v>
      </c>
      <c r="U57" s="188">
        <v>51302060603</v>
      </c>
      <c r="V57" s="11" t="s">
        <v>1208</v>
      </c>
      <c r="W57" s="11"/>
      <c r="X57" s="11">
        <v>1.0534128125</v>
      </c>
      <c r="Y57" s="11" t="b">
        <f t="shared" si="0"/>
        <v>0</v>
      </c>
    </row>
    <row r="58" spans="1:25" ht="29" x14ac:dyDescent="0.35">
      <c r="A58" s="11">
        <v>2019</v>
      </c>
      <c r="B58" s="11" t="s">
        <v>1980</v>
      </c>
      <c r="C58" s="11" t="s">
        <v>909</v>
      </c>
      <c r="D58" s="163">
        <v>110055988016</v>
      </c>
      <c r="E58" s="11" t="s">
        <v>301</v>
      </c>
      <c r="F58" s="11" t="s">
        <v>302</v>
      </c>
      <c r="G58" s="11" t="s">
        <v>900</v>
      </c>
      <c r="H58" s="11" t="s">
        <v>102</v>
      </c>
      <c r="I58" s="11" t="s">
        <v>1981</v>
      </c>
      <c r="J58" s="11">
        <v>37.591898999999998</v>
      </c>
      <c r="K58" s="11">
        <v>-122.358101</v>
      </c>
      <c r="L58" s="11">
        <v>4952</v>
      </c>
      <c r="M58" s="11">
        <v>4952</v>
      </c>
      <c r="N58" s="175" t="str">
        <f>VLOOKUP(M58, '2017 SIC to NAICS'!A:D, 2)</f>
        <v>Sewerage Systems</v>
      </c>
      <c r="P58" s="187" t="str">
        <f>VLOOKUP(M58, '2017 SIC to NAICS'!A:D, 4)</f>
        <v>Sewage Treatment Facilities</v>
      </c>
      <c r="Q58" s="176" t="str">
        <f>IFERROR(VLOOKUP(O58, 'NAICS OES crosswalk'!A:C, 3, FALSE), VLOOKUP(M58, 'NAICS OES crosswalk'!A:C, 3, FALSE))</f>
        <v>Waste handling, disposal, and treatment</v>
      </c>
      <c r="U58" s="188">
        <v>180500041001</v>
      </c>
      <c r="V58" s="11" t="s">
        <v>910</v>
      </c>
      <c r="W58" s="11"/>
      <c r="X58" s="11">
        <v>1.0326899375</v>
      </c>
      <c r="Y58" s="11" t="b">
        <f t="shared" si="0"/>
        <v>0</v>
      </c>
    </row>
    <row r="59" spans="1:25" ht="29" x14ac:dyDescent="0.35">
      <c r="A59" s="11">
        <v>2019</v>
      </c>
      <c r="B59" s="11" t="s">
        <v>1980</v>
      </c>
      <c r="C59" s="11" t="s">
        <v>1256</v>
      </c>
      <c r="D59" s="163">
        <v>110016759444</v>
      </c>
      <c r="E59" s="11" t="s">
        <v>305</v>
      </c>
      <c r="F59" s="11" t="s">
        <v>119</v>
      </c>
      <c r="G59" s="11" t="s">
        <v>1219</v>
      </c>
      <c r="H59" s="11" t="s">
        <v>108</v>
      </c>
      <c r="I59" s="11" t="s">
        <v>1981</v>
      </c>
      <c r="J59" s="11">
        <v>37.852220000000003</v>
      </c>
      <c r="K59" s="11">
        <v>-84.363079999999997</v>
      </c>
      <c r="L59" s="11">
        <v>4952</v>
      </c>
      <c r="M59" s="11">
        <v>4952</v>
      </c>
      <c r="N59" s="175" t="str">
        <f>VLOOKUP(M59, '2017 SIC to NAICS'!A:D, 2)</f>
        <v>Sewerage Systems</v>
      </c>
      <c r="O59" s="11">
        <v>221320</v>
      </c>
      <c r="P59" s="187" t="str">
        <f>VLOOKUP(M59, '2017 SIC to NAICS'!A:D, 4)</f>
        <v>Sewage Treatment Facilities</v>
      </c>
      <c r="Q59" s="176" t="str">
        <f>IFERROR(VLOOKUP(O59, 'NAICS OES crosswalk'!A:C, 3, FALSE), VLOOKUP(M59, 'NAICS OES crosswalk'!A:C, 3, FALSE))</f>
        <v>Waste handling, disposal, and treatment</v>
      </c>
      <c r="U59" s="188">
        <v>51002050308</v>
      </c>
      <c r="V59" s="11" t="s">
        <v>1257</v>
      </c>
      <c r="W59" s="11"/>
      <c r="X59" s="11">
        <v>0.97397512500000005</v>
      </c>
      <c r="Y59" s="11" t="b">
        <f t="shared" si="0"/>
        <v>0</v>
      </c>
    </row>
    <row r="60" spans="1:25" x14ac:dyDescent="0.35">
      <c r="A60" s="11">
        <v>2019</v>
      </c>
      <c r="B60" s="11" t="s">
        <v>1980</v>
      </c>
      <c r="C60" s="11" t="s">
        <v>730</v>
      </c>
      <c r="D60" s="163">
        <v>110017979810</v>
      </c>
      <c r="E60" s="11" t="s">
        <v>309</v>
      </c>
      <c r="F60" s="11" t="s">
        <v>158</v>
      </c>
      <c r="G60" s="11" t="s">
        <v>434</v>
      </c>
      <c r="H60" s="11" t="s">
        <v>129</v>
      </c>
      <c r="I60" s="11" t="s">
        <v>1982</v>
      </c>
      <c r="J60" s="11">
        <v>38.959018999999998</v>
      </c>
      <c r="K60" s="11">
        <v>-94.576569000000006</v>
      </c>
      <c r="L60" s="11">
        <v>6552</v>
      </c>
      <c r="M60" s="11">
        <v>6552</v>
      </c>
      <c r="N60" s="175" t="str">
        <f>VLOOKUP(M60, '2017 SIC to NAICS'!A:D, 2)</f>
        <v>Subdividers and Developers, Nec</v>
      </c>
      <c r="P60" s="187" t="str">
        <f>VLOOKUP(M60, '2017 SIC to NAICS'!A:D, 4)</f>
        <v>Land Subdivision</v>
      </c>
      <c r="Q60" s="176" t="e">
        <f>IFERROR(VLOOKUP(O60, 'NAICS OES crosswalk'!A:C, 3, FALSE), VLOOKUP(M60, 'NAICS OES crosswalk'!A:C, 3, FALSE))</f>
        <v>#N/A</v>
      </c>
      <c r="U60" s="188">
        <v>103001010105</v>
      </c>
      <c r="V60" s="11" t="s">
        <v>733</v>
      </c>
      <c r="W60" s="11"/>
      <c r="X60" s="11">
        <v>0.90149540299999997</v>
      </c>
      <c r="Y60" s="11" t="b">
        <f t="shared" si="0"/>
        <v>0</v>
      </c>
    </row>
    <row r="61" spans="1:25" x14ac:dyDescent="0.35">
      <c r="A61" s="11">
        <v>2019</v>
      </c>
      <c r="B61" s="11" t="s">
        <v>1980</v>
      </c>
      <c r="C61" s="11" t="s">
        <v>1709</v>
      </c>
      <c r="D61" s="163">
        <v>110060340162</v>
      </c>
      <c r="E61" s="11" t="s">
        <v>313</v>
      </c>
      <c r="F61" s="11" t="s">
        <v>314</v>
      </c>
      <c r="G61" s="11" t="s">
        <v>747</v>
      </c>
      <c r="H61" s="11" t="s">
        <v>95</v>
      </c>
      <c r="I61" s="11" t="s">
        <v>1982</v>
      </c>
      <c r="J61" s="11">
        <v>29.738610999999999</v>
      </c>
      <c r="K61" s="11">
        <v>-95.166944000000001</v>
      </c>
      <c r="L61" s="11">
        <v>2869</v>
      </c>
      <c r="M61" s="11">
        <v>2869</v>
      </c>
      <c r="N61" s="175" t="str">
        <f>VLOOKUP(M61, '2017 SIC to NAICS'!A:D, 2)</f>
        <v>Industrial Organic Chemicals, Nec</v>
      </c>
      <c r="P61" s="187" t="str">
        <f>VLOOKUP(M61, '2017 SIC to NAICS'!A:D, 4)</f>
        <v>All Other Miscellaneous Chemical Product and Preparation Manufacturing</v>
      </c>
      <c r="Q61" s="176" t="str">
        <f>IFERROR(VLOOKUP(O61, 'NAICS OES crosswalk'!A:C, 3, FALSE), VLOOKUP(M61, 'NAICS OES crosswalk'!A:C, 3, FALSE))</f>
        <v>Manufacturing</v>
      </c>
      <c r="U61" s="188">
        <v>120401040703</v>
      </c>
      <c r="V61" s="11" t="s">
        <v>1688</v>
      </c>
      <c r="W61" s="11"/>
      <c r="X61" s="11">
        <v>0.82891499999999996</v>
      </c>
      <c r="Y61" s="11" t="b">
        <f t="shared" si="0"/>
        <v>0</v>
      </c>
    </row>
    <row r="62" spans="1:25" x14ac:dyDescent="0.35">
      <c r="A62" s="11">
        <v>2019</v>
      </c>
      <c r="B62" s="11" t="s">
        <v>1980</v>
      </c>
      <c r="C62" s="11" t="s">
        <v>1290</v>
      </c>
      <c r="D62" s="163">
        <v>110000597426</v>
      </c>
      <c r="E62" s="11" t="s">
        <v>318</v>
      </c>
      <c r="F62" s="11" t="s">
        <v>319</v>
      </c>
      <c r="G62" s="11" t="s">
        <v>1291</v>
      </c>
      <c r="H62" s="11" t="s">
        <v>91</v>
      </c>
      <c r="I62" s="11" t="s">
        <v>1981</v>
      </c>
      <c r="J62" s="11">
        <v>30.241299999999999</v>
      </c>
      <c r="K62" s="11">
        <v>-91.100899999999996</v>
      </c>
      <c r="L62" s="11">
        <v>2819</v>
      </c>
      <c r="M62" s="11">
        <v>2819</v>
      </c>
      <c r="N62" s="175" t="str">
        <f>VLOOKUP(M62, '2017 SIC to NAICS'!A:D, 2)</f>
        <v>Industrial Inorganic Chemicals, Nec</v>
      </c>
      <c r="P62" s="187" t="str">
        <f>VLOOKUP(M62, '2017 SIC to NAICS'!A:D, 4)</f>
        <v>Alumina Refining and Primary Aluminum
Production</v>
      </c>
      <c r="Q62" s="176" t="str">
        <f>IFERROR(VLOOKUP(O62, 'NAICS OES crosswalk'!A:C, 3, FALSE), VLOOKUP(M62, 'NAICS OES crosswalk'!A:C, 3, FALSE))</f>
        <v>Processing as a reactant</v>
      </c>
      <c r="U62" s="188">
        <v>80702020801</v>
      </c>
      <c r="V62" s="11" t="s">
        <v>1292</v>
      </c>
      <c r="W62" s="11"/>
      <c r="X62" s="11">
        <v>0.82855000000000001</v>
      </c>
      <c r="Y62" s="11" t="b">
        <f t="shared" si="0"/>
        <v>0</v>
      </c>
    </row>
    <row r="63" spans="1:25" x14ac:dyDescent="0.35">
      <c r="A63" s="11">
        <v>2019</v>
      </c>
      <c r="B63" s="11" t="s">
        <v>1980</v>
      </c>
      <c r="C63" s="11" t="s">
        <v>746</v>
      </c>
      <c r="D63" s="163">
        <v>110034641635</v>
      </c>
      <c r="E63" s="11" t="s">
        <v>206</v>
      </c>
      <c r="F63" s="11" t="s">
        <v>207</v>
      </c>
      <c r="G63" s="11" t="s">
        <v>747</v>
      </c>
      <c r="H63" s="11" t="s">
        <v>95</v>
      </c>
      <c r="I63" s="11" t="s">
        <v>1981</v>
      </c>
      <c r="J63" s="11">
        <v>29.717471</v>
      </c>
      <c r="K63" s="11">
        <v>-95.068008000000006</v>
      </c>
      <c r="L63" s="11">
        <v>2869</v>
      </c>
      <c r="M63" s="11">
        <v>2869</v>
      </c>
      <c r="N63" s="175" t="str">
        <f>VLOOKUP(M63, '2017 SIC to NAICS'!A:D, 2)</f>
        <v>Industrial Organic Chemicals, Nec</v>
      </c>
      <c r="P63" s="187" t="str">
        <f>VLOOKUP(M63, '2017 SIC to NAICS'!A:D, 4)</f>
        <v>All Other Miscellaneous Chemical Product and Preparation Manufacturing</v>
      </c>
      <c r="Q63" s="176" t="str">
        <f>IFERROR(VLOOKUP(O63, 'NAICS OES crosswalk'!A:C, 3, FALSE), VLOOKUP(M63, 'NAICS OES crosswalk'!A:C, 3, FALSE))</f>
        <v>Manufacturing</v>
      </c>
      <c r="U63" s="188">
        <v>120401040706</v>
      </c>
      <c r="V63" s="11" t="s">
        <v>750</v>
      </c>
      <c r="W63" s="11"/>
      <c r="X63" s="11">
        <v>0.82855000000000001</v>
      </c>
      <c r="Y63" s="11" t="b">
        <f t="shared" si="0"/>
        <v>0</v>
      </c>
    </row>
    <row r="64" spans="1:25" x14ac:dyDescent="0.35">
      <c r="A64" s="11">
        <v>2019</v>
      </c>
      <c r="B64" s="11" t="s">
        <v>1980</v>
      </c>
      <c r="C64" s="11" t="s">
        <v>837</v>
      </c>
      <c r="D64" s="163">
        <v>110011779147</v>
      </c>
      <c r="E64" s="11" t="s">
        <v>172</v>
      </c>
      <c r="F64" s="11" t="s">
        <v>173</v>
      </c>
      <c r="G64" s="11" t="s">
        <v>838</v>
      </c>
      <c r="H64" s="11" t="s">
        <v>126</v>
      </c>
      <c r="I64" s="11" t="s">
        <v>1982</v>
      </c>
      <c r="J64" s="11">
        <v>43.075907999999998</v>
      </c>
      <c r="K64" s="11">
        <v>-76.089072000000002</v>
      </c>
      <c r="L64" s="11">
        <v>3585</v>
      </c>
      <c r="M64" s="11">
        <v>3585</v>
      </c>
      <c r="N64" s="175" t="str">
        <f>VLOOKUP(M64, '2017 SIC to NAICS'!A:D, 2)</f>
        <v>Refrigeration and Heating Equipment</v>
      </c>
      <c r="P64" s="187" t="str">
        <f>VLOOKUP(M64, '2017 SIC to NAICS'!A:D, 4)</f>
        <v>Other Motor Vehicle Parts Manufacturing</v>
      </c>
      <c r="Q64" s="176" t="e">
        <f>IFERROR(VLOOKUP(O64, 'NAICS OES crosswalk'!A:C, 3, FALSE), VLOOKUP(M64, 'NAICS OES crosswalk'!A:C, 3, FALSE))</f>
        <v>#N/A</v>
      </c>
      <c r="U64" s="188">
        <v>41402011508</v>
      </c>
      <c r="V64" s="11" t="s">
        <v>839</v>
      </c>
      <c r="W64" s="11"/>
      <c r="X64" s="11">
        <v>0.81893206249999995</v>
      </c>
      <c r="Y64" s="11" t="b">
        <f t="shared" si="0"/>
        <v>0</v>
      </c>
    </row>
    <row r="65" spans="1:25" ht="29" x14ac:dyDescent="0.35">
      <c r="A65" s="11">
        <v>2019</v>
      </c>
      <c r="B65" s="11" t="s">
        <v>1980</v>
      </c>
      <c r="C65" s="11" t="s">
        <v>1007</v>
      </c>
      <c r="D65" s="163">
        <v>110005726802</v>
      </c>
      <c r="E65" s="11" t="s">
        <v>154</v>
      </c>
      <c r="F65" s="11" t="s">
        <v>155</v>
      </c>
      <c r="G65" s="11" t="s">
        <v>1008</v>
      </c>
      <c r="H65" s="11" t="s">
        <v>156</v>
      </c>
      <c r="I65" s="11" t="s">
        <v>1981</v>
      </c>
      <c r="J65" s="11">
        <v>21.304500000000001</v>
      </c>
      <c r="K65" s="11">
        <v>-157.88205600000001</v>
      </c>
      <c r="L65" s="11">
        <v>4952</v>
      </c>
      <c r="M65" s="11">
        <v>4952</v>
      </c>
      <c r="N65" s="175" t="str">
        <f>VLOOKUP(M65, '2017 SIC to NAICS'!A:D, 2)</f>
        <v>Sewerage Systems</v>
      </c>
      <c r="P65" s="187" t="str">
        <f>VLOOKUP(M65, '2017 SIC to NAICS'!A:D, 4)</f>
        <v>Sewage Treatment Facilities</v>
      </c>
      <c r="Q65" s="176" t="str">
        <f>IFERROR(VLOOKUP(O65, 'NAICS OES crosswalk'!A:C, 3, FALSE), VLOOKUP(M65, 'NAICS OES crosswalk'!A:C, 3, FALSE))</f>
        <v>Waste handling, disposal, and treatment</v>
      </c>
      <c r="U65" s="188">
        <v>200600000304</v>
      </c>
      <c r="V65" s="11" t="s">
        <v>1009</v>
      </c>
      <c r="W65" s="11"/>
      <c r="X65" s="11">
        <v>0.75884102399999998</v>
      </c>
      <c r="Y65" s="11" t="b">
        <f t="shared" si="0"/>
        <v>0</v>
      </c>
    </row>
    <row r="66" spans="1:25" x14ac:dyDescent="0.35">
      <c r="A66" s="11">
        <v>2019</v>
      </c>
      <c r="B66" s="11" t="s">
        <v>1980</v>
      </c>
      <c r="C66" s="11" t="s">
        <v>804</v>
      </c>
      <c r="D66" s="163">
        <v>110000378467</v>
      </c>
      <c r="E66" s="11" t="s">
        <v>306</v>
      </c>
      <c r="F66" s="11" t="s">
        <v>107</v>
      </c>
      <c r="G66" s="11" t="s">
        <v>782</v>
      </c>
      <c r="H66" s="11" t="s">
        <v>108</v>
      </c>
      <c r="I66" s="11" t="s">
        <v>1981</v>
      </c>
      <c r="J66" s="11">
        <v>38.195278000000002</v>
      </c>
      <c r="K66" s="11">
        <v>-85.872221999999994</v>
      </c>
      <c r="L66" s="11">
        <v>2869</v>
      </c>
      <c r="M66" s="11">
        <v>2869</v>
      </c>
      <c r="N66" s="175" t="str">
        <f>VLOOKUP(M66, '2017 SIC to NAICS'!A:D, 2)</f>
        <v>Industrial Organic Chemicals, Nec</v>
      </c>
      <c r="O66" s="11">
        <v>325110</v>
      </c>
      <c r="P66" s="187" t="str">
        <f>VLOOKUP(M66, '2017 SIC to NAICS'!A:D, 4)</f>
        <v>All Other Miscellaneous Chemical Product and Preparation Manufacturing</v>
      </c>
      <c r="Q66" s="176" t="str">
        <f>IFERROR(VLOOKUP(O66, 'NAICS OES crosswalk'!A:C, 3, FALSE), VLOOKUP(M66, 'NAICS OES crosswalk'!A:C, 3, FALSE))</f>
        <v>Processing as a reactant</v>
      </c>
      <c r="U66" s="188">
        <v>51401010903</v>
      </c>
      <c r="V66" s="11" t="s">
        <v>805</v>
      </c>
      <c r="W66" s="11"/>
      <c r="X66" s="11">
        <v>0.72526500000000005</v>
      </c>
      <c r="Y66" s="11" t="b">
        <f t="shared" si="0"/>
        <v>0</v>
      </c>
    </row>
    <row r="67" spans="1:25" x14ac:dyDescent="0.35">
      <c r="A67" s="11">
        <v>2019</v>
      </c>
      <c r="B67" s="11" t="s">
        <v>1980</v>
      </c>
      <c r="C67" s="11" t="s">
        <v>1761</v>
      </c>
      <c r="D67" s="163">
        <v>110010910700</v>
      </c>
      <c r="E67" s="11" t="s">
        <v>329</v>
      </c>
      <c r="F67" s="11" t="s">
        <v>330</v>
      </c>
      <c r="G67" s="11" t="s">
        <v>1762</v>
      </c>
      <c r="H67" s="11" t="s">
        <v>331</v>
      </c>
      <c r="I67" s="11" t="s">
        <v>1982</v>
      </c>
      <c r="J67" s="11">
        <v>44.548050000000003</v>
      </c>
      <c r="K67" s="11">
        <v>-71.990520000000004</v>
      </c>
      <c r="M67" s="11"/>
      <c r="N67" s="175" t="e">
        <f>VLOOKUP(M67, '2017 SIC to NAICS'!A:D, 2)</f>
        <v>#N/A</v>
      </c>
      <c r="P67" s="187" t="e">
        <f>VLOOKUP(M67, '2017 SIC to NAICS'!A:D, 4)</f>
        <v>#N/A</v>
      </c>
      <c r="Q67" s="176" t="e">
        <f>IFERROR(VLOOKUP(O67, 'NAICS OES crosswalk'!A:C, 3, FALSE), VLOOKUP(M67, 'NAICS OES crosswalk'!A:C, 3, FALSE))</f>
        <v>#N/A</v>
      </c>
      <c r="U67" s="188">
        <v>10801020102</v>
      </c>
      <c r="V67" s="11" t="s">
        <v>1763</v>
      </c>
      <c r="W67" s="11"/>
      <c r="X67" s="11">
        <v>0.70401000000000002</v>
      </c>
      <c r="Y67" s="11" t="b">
        <f t="shared" ref="Y67:Y130" si="1" xml:space="preserve"> X67 &lt;= _xlfn.PERCENTILE.INC($X$2:$X$219, 0.1)</f>
        <v>0</v>
      </c>
    </row>
    <row r="68" spans="1:25" ht="29" x14ac:dyDescent="0.35">
      <c r="A68" s="11">
        <v>2019</v>
      </c>
      <c r="B68" s="11" t="s">
        <v>1980</v>
      </c>
      <c r="C68" s="11" t="s">
        <v>1203</v>
      </c>
      <c r="D68" s="163">
        <v>110000719045</v>
      </c>
      <c r="E68" s="11" t="s">
        <v>332</v>
      </c>
      <c r="F68" s="11" t="s">
        <v>333</v>
      </c>
      <c r="G68" s="11" t="s">
        <v>1204</v>
      </c>
      <c r="H68" s="11" t="s">
        <v>108</v>
      </c>
      <c r="I68" s="11" t="s">
        <v>1981</v>
      </c>
      <c r="J68" s="11">
        <v>36.946111000000002</v>
      </c>
      <c r="K68" s="11">
        <v>-85.020832999999996</v>
      </c>
      <c r="L68" s="11">
        <v>4952</v>
      </c>
      <c r="M68" s="11">
        <v>4952</v>
      </c>
      <c r="N68" s="175" t="str">
        <f>VLOOKUP(M68, '2017 SIC to NAICS'!A:D, 2)</f>
        <v>Sewerage Systems</v>
      </c>
      <c r="O68" s="11">
        <v>221320</v>
      </c>
      <c r="P68" s="187" t="str">
        <f>VLOOKUP(M68, '2017 SIC to NAICS'!A:D, 4)</f>
        <v>Sewage Treatment Facilities</v>
      </c>
      <c r="Q68" s="176" t="str">
        <f>IFERROR(VLOOKUP(O68, 'NAICS OES crosswalk'!A:C, 3, FALSE), VLOOKUP(M68, 'NAICS OES crosswalk'!A:C, 3, FALSE))</f>
        <v>Waste handling, disposal, and treatment</v>
      </c>
      <c r="U68" s="188">
        <v>51301030602</v>
      </c>
      <c r="V68" s="11" t="s">
        <v>1205</v>
      </c>
      <c r="W68" s="11"/>
      <c r="X68" s="11">
        <v>0.69628860000000004</v>
      </c>
      <c r="Y68" s="11" t="b">
        <f t="shared" si="1"/>
        <v>0</v>
      </c>
    </row>
    <row r="69" spans="1:25" x14ac:dyDescent="0.35">
      <c r="A69" s="11">
        <v>2019</v>
      </c>
      <c r="B69" s="11" t="s">
        <v>1980</v>
      </c>
      <c r="C69" s="11" t="s">
        <v>1619</v>
      </c>
      <c r="D69" s="163">
        <v>110059344473</v>
      </c>
      <c r="E69" s="11" t="s">
        <v>338</v>
      </c>
      <c r="F69" s="11" t="s">
        <v>339</v>
      </c>
      <c r="G69" s="11" t="s">
        <v>1616</v>
      </c>
      <c r="H69" s="11" t="s">
        <v>340</v>
      </c>
      <c r="I69" s="11" t="s">
        <v>1981</v>
      </c>
      <c r="J69" s="11">
        <v>40.655278000000003</v>
      </c>
      <c r="K69" s="11">
        <v>-80.356388999999993</v>
      </c>
      <c r="L69" s="11">
        <v>2821</v>
      </c>
      <c r="M69" s="11">
        <v>2821</v>
      </c>
      <c r="N69" s="175" t="str">
        <f>VLOOKUP(M69, '2017 SIC to NAICS'!A:D, 2)</f>
        <v>Plastics Materials and Resins</v>
      </c>
      <c r="O69" s="11">
        <v>325211</v>
      </c>
      <c r="P69" s="187" t="str">
        <f>VLOOKUP(M69, '2017 SIC to NAICS'!A:D, 4)</f>
        <v>Plastics Material and Resin Manufacturing</v>
      </c>
      <c r="Q69" s="176" t="str">
        <f>IFERROR(VLOOKUP(O69, 'NAICS OES crosswalk'!A:C, 3, FALSE), VLOOKUP(M69, 'NAICS OES crosswalk'!A:C, 3, FALSE))</f>
        <v>Processing as a reactant</v>
      </c>
      <c r="U69" s="188">
        <v>50301010310</v>
      </c>
      <c r="V69" s="11" t="s">
        <v>1617</v>
      </c>
      <c r="W69" s="11"/>
      <c r="X69" s="11">
        <v>0.66283999999999998</v>
      </c>
      <c r="Y69" s="11" t="b">
        <f t="shared" si="1"/>
        <v>0</v>
      </c>
    </row>
    <row r="70" spans="1:25" ht="29" x14ac:dyDescent="0.35">
      <c r="A70" s="11">
        <v>2019</v>
      </c>
      <c r="B70" s="11" t="s">
        <v>1980</v>
      </c>
      <c r="C70" s="11" t="s">
        <v>1168</v>
      </c>
      <c r="D70" s="163">
        <v>110009938737</v>
      </c>
      <c r="E70" s="11" t="s">
        <v>341</v>
      </c>
      <c r="F70" s="11" t="s">
        <v>342</v>
      </c>
      <c r="G70" s="11" t="s">
        <v>1169</v>
      </c>
      <c r="H70" s="11" t="s">
        <v>108</v>
      </c>
      <c r="I70" s="11" t="s">
        <v>1982</v>
      </c>
      <c r="J70" s="11">
        <v>38.542222000000002</v>
      </c>
      <c r="K70" s="11">
        <v>-84.831943999999993</v>
      </c>
      <c r="L70" s="11">
        <v>4952</v>
      </c>
      <c r="M70" s="11">
        <v>4952</v>
      </c>
      <c r="N70" s="175" t="str">
        <f>VLOOKUP(M70, '2017 SIC to NAICS'!A:D, 2)</f>
        <v>Sewerage Systems</v>
      </c>
      <c r="O70" s="11">
        <v>221320</v>
      </c>
      <c r="P70" s="187" t="str">
        <f>VLOOKUP(M70, '2017 SIC to NAICS'!A:D, 4)</f>
        <v>Sewage Treatment Facilities</v>
      </c>
      <c r="Q70" s="176" t="str">
        <f>IFERROR(VLOOKUP(O70, 'NAICS OES crosswalk'!A:C, 3, FALSE), VLOOKUP(M70, 'NAICS OES crosswalk'!A:C, 3, FALSE))</f>
        <v>Waste handling, disposal, and treatment</v>
      </c>
      <c r="U70" s="188">
        <v>51002051307</v>
      </c>
      <c r="V70" s="11" t="s">
        <v>1170</v>
      </c>
      <c r="W70" s="11"/>
      <c r="X70" s="11">
        <v>0.65795128125000002</v>
      </c>
      <c r="Y70" s="11" t="b">
        <f t="shared" si="1"/>
        <v>0</v>
      </c>
    </row>
    <row r="71" spans="1:25" ht="29" x14ac:dyDescent="0.35">
      <c r="A71" s="11">
        <v>2019</v>
      </c>
      <c r="B71" s="11" t="s">
        <v>1980</v>
      </c>
      <c r="C71" s="11" t="s">
        <v>1585</v>
      </c>
      <c r="D71" s="163">
        <v>110009827143</v>
      </c>
      <c r="E71" s="11" t="s">
        <v>310</v>
      </c>
      <c r="F71" s="11" t="s">
        <v>311</v>
      </c>
      <c r="G71" s="11" t="s">
        <v>311</v>
      </c>
      <c r="H71" s="11" t="s">
        <v>126</v>
      </c>
      <c r="I71" s="11" t="s">
        <v>1982</v>
      </c>
      <c r="J71" s="11">
        <v>42.593527999999999</v>
      </c>
      <c r="K71" s="11">
        <v>-76.155360999999999</v>
      </c>
      <c r="L71" s="11">
        <v>9999</v>
      </c>
      <c r="M71" s="11">
        <v>9999</v>
      </c>
      <c r="N71" s="175" t="str">
        <f>VLOOKUP(M71, '2017 SIC to NAICS'!A:D, 2)</f>
        <v>Nonclassifiable Establishments</v>
      </c>
      <c r="P71" s="187">
        <f>VLOOKUP(M71, '2017 SIC to NAICS'!A:D, 4)</f>
        <v>0</v>
      </c>
      <c r="Q71" s="176" t="str">
        <f>IFERROR(VLOOKUP(O71, 'NAICS OES crosswalk'!A:C, 3, FALSE), VLOOKUP(M71, 'NAICS OES crosswalk'!A:C, 3, FALSE))</f>
        <v>Uncertain, possibly a remediation site</v>
      </c>
      <c r="U71" s="188">
        <v>20501020403</v>
      </c>
      <c r="V71" s="11" t="s">
        <v>1586</v>
      </c>
      <c r="W71" s="11"/>
      <c r="X71" s="11">
        <v>0.63469200000000003</v>
      </c>
      <c r="Y71" s="11" t="b">
        <f t="shared" si="1"/>
        <v>0</v>
      </c>
    </row>
    <row r="72" spans="1:25" x14ac:dyDescent="0.35">
      <c r="A72" s="11">
        <v>2019</v>
      </c>
      <c r="B72" s="11" t="s">
        <v>1980</v>
      </c>
      <c r="C72" s="11" t="s">
        <v>1768</v>
      </c>
      <c r="D72" s="163">
        <v>110000608030</v>
      </c>
      <c r="E72" s="11" t="s">
        <v>348</v>
      </c>
      <c r="F72" s="11" t="s">
        <v>349</v>
      </c>
      <c r="G72" s="11" t="s">
        <v>1769</v>
      </c>
      <c r="H72" s="11" t="s">
        <v>350</v>
      </c>
      <c r="I72" s="11" t="s">
        <v>1981</v>
      </c>
      <c r="J72" s="11">
        <v>39.719476999999998</v>
      </c>
      <c r="K72" s="11">
        <v>-80.827316999999994</v>
      </c>
      <c r="L72" s="11">
        <v>2869</v>
      </c>
      <c r="M72" s="11">
        <v>2869</v>
      </c>
      <c r="N72" s="175" t="str">
        <f>VLOOKUP(M72, '2017 SIC to NAICS'!A:D, 2)</f>
        <v>Industrial Organic Chemicals, Nec</v>
      </c>
      <c r="P72" s="187" t="str">
        <f>VLOOKUP(M72, '2017 SIC to NAICS'!A:D, 4)</f>
        <v>All Other Miscellaneous Chemical Product and Preparation Manufacturing</v>
      </c>
      <c r="Q72" s="176" t="str">
        <f>IFERROR(VLOOKUP(O72, 'NAICS OES crosswalk'!A:C, 3, FALSE), VLOOKUP(M72, 'NAICS OES crosswalk'!A:C, 3, FALSE))</f>
        <v>Manufacturing</v>
      </c>
      <c r="U72" s="188">
        <v>50302011004</v>
      </c>
      <c r="V72" s="11" t="s">
        <v>1770</v>
      </c>
      <c r="W72" s="11"/>
      <c r="X72" s="11">
        <v>0.62128992000000005</v>
      </c>
      <c r="Y72" s="11" t="b">
        <f t="shared" si="1"/>
        <v>0</v>
      </c>
    </row>
    <row r="73" spans="1:25" x14ac:dyDescent="0.35">
      <c r="A73" s="11">
        <v>2019</v>
      </c>
      <c r="B73" s="11" t="s">
        <v>1980</v>
      </c>
      <c r="C73" s="11" t="s">
        <v>763</v>
      </c>
      <c r="D73" s="163">
        <v>110018199377</v>
      </c>
      <c r="E73" s="11" t="s">
        <v>109</v>
      </c>
      <c r="F73" s="11" t="s">
        <v>110</v>
      </c>
      <c r="G73" s="11" t="s">
        <v>764</v>
      </c>
      <c r="H73" s="11" t="s">
        <v>111</v>
      </c>
      <c r="I73" s="11" t="s">
        <v>1982</v>
      </c>
      <c r="J73" s="11">
        <v>41.692782000000001</v>
      </c>
      <c r="K73" s="11">
        <v>-87.951100999999994</v>
      </c>
      <c r="L73" s="11">
        <v>4226</v>
      </c>
      <c r="M73" s="11">
        <v>4226</v>
      </c>
      <c r="N73" s="175" t="str">
        <f>VLOOKUP(M73, '2017 SIC to NAICS'!A:D, 2)</f>
        <v>Special Warehousing and Storage, Nec</v>
      </c>
      <c r="P73" s="187" t="str">
        <f>VLOOKUP(M73, '2017 SIC to NAICS'!A:D, 4)</f>
        <v>Other Warehousing and Storage</v>
      </c>
      <c r="Q73" s="176" t="e">
        <f>IFERROR(VLOOKUP(O73, 'NAICS OES crosswalk'!A:C, 3, FALSE), VLOOKUP(M73, 'NAICS OES crosswalk'!A:C, 3, FALSE))</f>
        <v>#N/A</v>
      </c>
      <c r="U73" s="188">
        <v>71200040705</v>
      </c>
      <c r="V73" s="11" t="s">
        <v>767</v>
      </c>
      <c r="W73" s="11"/>
      <c r="X73" s="11">
        <v>0.58896492499999997</v>
      </c>
      <c r="Y73" s="11" t="b">
        <f t="shared" si="1"/>
        <v>0</v>
      </c>
    </row>
    <row r="74" spans="1:25" x14ac:dyDescent="0.35">
      <c r="A74" s="11">
        <v>2019</v>
      </c>
      <c r="B74" s="11" t="s">
        <v>1980</v>
      </c>
      <c r="C74" s="11" t="s">
        <v>1032</v>
      </c>
      <c r="D74" s="163">
        <v>110000432504</v>
      </c>
      <c r="E74" s="11" t="s">
        <v>351</v>
      </c>
      <c r="F74" s="11" t="s">
        <v>352</v>
      </c>
      <c r="G74" s="11" t="s">
        <v>1033</v>
      </c>
      <c r="H74" s="11" t="s">
        <v>111</v>
      </c>
      <c r="I74" s="11" t="s">
        <v>1981</v>
      </c>
      <c r="J74" s="11">
        <v>41.441667000000002</v>
      </c>
      <c r="K74" s="11">
        <v>-88.159719999999993</v>
      </c>
      <c r="L74" s="11">
        <v>2843</v>
      </c>
      <c r="M74" s="11">
        <v>2843</v>
      </c>
      <c r="N74" s="175" t="str">
        <f>VLOOKUP(M74, '2017 SIC to NAICS'!A:D, 2)</f>
        <v>Surface Active Agents</v>
      </c>
      <c r="P74" s="187" t="str">
        <f>VLOOKUP(M74, '2017 SIC to NAICS'!A:D, 4)</f>
        <v>Surface Active Agent Manufacturing</v>
      </c>
      <c r="Q74" s="176" t="str">
        <f>IFERROR(VLOOKUP(O74, 'NAICS OES crosswalk'!A:C, 3, FALSE), VLOOKUP(M74, 'NAICS OES crosswalk'!A:C, 3, FALSE))</f>
        <v>Processing as a reactant</v>
      </c>
      <c r="U74" s="188">
        <v>71200040905</v>
      </c>
      <c r="V74" s="11" t="s">
        <v>1036</v>
      </c>
      <c r="W74" s="11"/>
      <c r="X74" s="11">
        <v>0.57930400000000004</v>
      </c>
      <c r="Y74" s="11" t="b">
        <f t="shared" si="1"/>
        <v>0</v>
      </c>
    </row>
    <row r="75" spans="1:25" x14ac:dyDescent="0.35">
      <c r="A75" s="11">
        <v>2019</v>
      </c>
      <c r="B75" s="11" t="s">
        <v>1980</v>
      </c>
      <c r="C75" s="11" t="s">
        <v>850</v>
      </c>
      <c r="D75" s="163">
        <v>110000574423</v>
      </c>
      <c r="E75" s="11" t="s">
        <v>159</v>
      </c>
      <c r="F75" s="11" t="s">
        <v>160</v>
      </c>
      <c r="G75" s="11" t="s">
        <v>851</v>
      </c>
      <c r="H75" s="11" t="s">
        <v>161</v>
      </c>
      <c r="I75" s="11" t="s">
        <v>1981</v>
      </c>
      <c r="J75" s="11">
        <v>36.527054999999997</v>
      </c>
      <c r="K75" s="11">
        <v>-82.538579999999996</v>
      </c>
      <c r="L75" s="11">
        <v>2869</v>
      </c>
      <c r="M75" s="11">
        <v>2869</v>
      </c>
      <c r="N75" s="175" t="str">
        <f>VLOOKUP(M75, '2017 SIC to NAICS'!A:D, 2)</f>
        <v>Industrial Organic Chemicals, Nec</v>
      </c>
      <c r="O75" s="11">
        <v>325188</v>
      </c>
      <c r="P75" s="187" t="str">
        <f>VLOOKUP(M75, '2017 SIC to NAICS'!A:D, 4)</f>
        <v>All Other Miscellaneous Chemical Product and Preparation Manufacturing</v>
      </c>
      <c r="Q75" s="176" t="str">
        <f>IFERROR(VLOOKUP(O75, 'NAICS OES crosswalk'!A:C, 3, FALSE), VLOOKUP(M75, 'NAICS OES crosswalk'!A:C, 3, FALSE))</f>
        <v>Manufacturing</v>
      </c>
      <c r="U75" s="188">
        <v>60101020704</v>
      </c>
      <c r="V75" s="11" t="s">
        <v>852</v>
      </c>
      <c r="W75" s="11"/>
      <c r="X75" s="11">
        <v>0.53304060374999995</v>
      </c>
      <c r="Y75" s="11" t="b">
        <f t="shared" si="1"/>
        <v>0</v>
      </c>
    </row>
    <row r="76" spans="1:25" x14ac:dyDescent="0.35">
      <c r="A76" s="11">
        <v>2019</v>
      </c>
      <c r="B76" s="11" t="s">
        <v>1980</v>
      </c>
      <c r="C76" s="11" t="s">
        <v>800</v>
      </c>
      <c r="D76" s="163">
        <v>110005812371</v>
      </c>
      <c r="E76" s="11" t="s">
        <v>353</v>
      </c>
      <c r="F76" s="11" t="s">
        <v>354</v>
      </c>
      <c r="G76" s="11" t="s">
        <v>801</v>
      </c>
      <c r="H76" s="11" t="s">
        <v>111</v>
      </c>
      <c r="I76" s="11" t="s">
        <v>1982</v>
      </c>
      <c r="J76" s="11">
        <v>42.304209</v>
      </c>
      <c r="K76" s="11">
        <v>-89.055548999999999</v>
      </c>
      <c r="L76" s="11">
        <v>3728</v>
      </c>
      <c r="M76" s="11">
        <v>3728</v>
      </c>
      <c r="N76" s="175" t="str">
        <f>VLOOKUP(M76, '2017 SIC to NAICS'!A:D, 2)</f>
        <v>Aircraft Parts and Auxiliary Equipment, NEC (research and development not
producing prototypes)</v>
      </c>
      <c r="P76" s="187" t="str">
        <f>VLOOKUP(M76, '2017 SIC to NAICS'!A:D, 4)</f>
        <v>Research and Development in Nanotechnology</v>
      </c>
      <c r="Q76" s="176" t="e">
        <f>IFERROR(VLOOKUP(O76, 'NAICS OES crosswalk'!A:C, 3, FALSE), VLOOKUP(M76, 'NAICS OES crosswalk'!A:C, 3, FALSE))</f>
        <v>#N/A</v>
      </c>
      <c r="U76" s="188">
        <v>70900050107</v>
      </c>
      <c r="V76" s="11" t="s">
        <v>802</v>
      </c>
      <c r="W76" s="11"/>
      <c r="X76" s="189">
        <v>0.52709228699999999</v>
      </c>
      <c r="Y76" s="11" t="b">
        <f t="shared" si="1"/>
        <v>0</v>
      </c>
    </row>
    <row r="77" spans="1:25" x14ac:dyDescent="0.35">
      <c r="A77" s="11">
        <v>2019</v>
      </c>
      <c r="B77" s="11" t="s">
        <v>1980</v>
      </c>
      <c r="C77" s="11" t="s">
        <v>1463</v>
      </c>
      <c r="D77" s="163">
        <v>110000595981</v>
      </c>
      <c r="E77" s="11" t="s">
        <v>217</v>
      </c>
      <c r="F77" s="11" t="s">
        <v>218</v>
      </c>
      <c r="G77" s="11" t="s">
        <v>1464</v>
      </c>
      <c r="H77" s="11" t="s">
        <v>129</v>
      </c>
      <c r="I77" s="11" t="s">
        <v>1982</v>
      </c>
      <c r="J77" s="11">
        <v>39.662540999999997</v>
      </c>
      <c r="K77" s="11">
        <v>-91.301670000000001</v>
      </c>
      <c r="L77" s="11">
        <v>3241</v>
      </c>
      <c r="M77" s="11">
        <v>3241</v>
      </c>
      <c r="N77" s="175" t="str">
        <f>VLOOKUP(M77, '2017 SIC to NAICS'!A:D, 2)</f>
        <v>Cement, Hydraulic</v>
      </c>
      <c r="P77" s="187" t="str">
        <f>VLOOKUP(M77, '2017 SIC to NAICS'!A:D, 4)</f>
        <v>Cement Manufacturing</v>
      </c>
      <c r="Q77" s="176" t="e">
        <f>IFERROR(VLOOKUP(O77, 'NAICS OES crosswalk'!A:C, 3, FALSE), VLOOKUP(M77, 'NAICS OES crosswalk'!A:C, 3, FALSE))</f>
        <v>#N/A</v>
      </c>
      <c r="U77" s="188">
        <v>71100040504</v>
      </c>
      <c r="V77" s="11" t="s">
        <v>1465</v>
      </c>
      <c r="W77" s="11"/>
      <c r="X77" s="11">
        <v>0.49734899999999999</v>
      </c>
      <c r="Y77" s="11" t="b">
        <f t="shared" si="1"/>
        <v>0</v>
      </c>
    </row>
    <row r="78" spans="1:25" ht="29" x14ac:dyDescent="0.35">
      <c r="A78" s="11">
        <v>2019</v>
      </c>
      <c r="B78" s="11" t="s">
        <v>1980</v>
      </c>
      <c r="C78" s="11" t="s">
        <v>963</v>
      </c>
      <c r="D78" s="163">
        <v>110000517637</v>
      </c>
      <c r="E78" s="11" t="s">
        <v>358</v>
      </c>
      <c r="F78" s="11" t="s">
        <v>359</v>
      </c>
      <c r="G78" s="11" t="s">
        <v>964</v>
      </c>
      <c r="H78" s="11" t="s">
        <v>102</v>
      </c>
      <c r="I78" s="11" t="s">
        <v>1981</v>
      </c>
      <c r="J78" s="11">
        <v>34.616678999999998</v>
      </c>
      <c r="K78" s="11">
        <v>-117.355046</v>
      </c>
      <c r="L78" s="11">
        <v>4952</v>
      </c>
      <c r="M78" s="11">
        <v>4952</v>
      </c>
      <c r="N78" s="175" t="str">
        <f>VLOOKUP(M78, '2017 SIC to NAICS'!A:D, 2)</f>
        <v>Sewerage Systems</v>
      </c>
      <c r="P78" s="187" t="str">
        <f>VLOOKUP(M78, '2017 SIC to NAICS'!A:D, 4)</f>
        <v>Sewage Treatment Facilities</v>
      </c>
      <c r="Q78" s="176" t="str">
        <f>IFERROR(VLOOKUP(O78, 'NAICS OES crosswalk'!A:C, 3, FALSE), VLOOKUP(M78, 'NAICS OES crosswalk'!A:C, 3, FALSE))</f>
        <v>Waste handling, disposal, and treatment</v>
      </c>
      <c r="U78" s="188">
        <v>180902080706</v>
      </c>
      <c r="V78" s="11" t="s">
        <v>965</v>
      </c>
      <c r="W78" s="11"/>
      <c r="X78" s="11">
        <v>0.49044137500000001</v>
      </c>
      <c r="Y78" s="11" t="b">
        <f t="shared" si="1"/>
        <v>0</v>
      </c>
    </row>
    <row r="79" spans="1:25" ht="29" x14ac:dyDescent="0.35">
      <c r="A79" s="11">
        <v>2019</v>
      </c>
      <c r="B79" s="11" t="s">
        <v>1980</v>
      </c>
      <c r="C79" s="11" t="s">
        <v>1106</v>
      </c>
      <c r="D79" s="163">
        <v>110003251427</v>
      </c>
      <c r="E79" s="11" t="s">
        <v>360</v>
      </c>
      <c r="F79" s="11" t="s">
        <v>361</v>
      </c>
      <c r="G79" s="11" t="s">
        <v>1107</v>
      </c>
      <c r="H79" s="11" t="s">
        <v>108</v>
      </c>
      <c r="I79" s="11" t="s">
        <v>1981</v>
      </c>
      <c r="J79" s="11">
        <v>38.421495999999998</v>
      </c>
      <c r="K79" s="11">
        <v>-83.734424000000004</v>
      </c>
      <c r="L79" s="11">
        <v>4952</v>
      </c>
      <c r="M79" s="11">
        <v>4952</v>
      </c>
      <c r="N79" s="175" t="str">
        <f>VLOOKUP(M79, '2017 SIC to NAICS'!A:D, 2)</f>
        <v>Sewerage Systems</v>
      </c>
      <c r="O79" s="11">
        <v>221320</v>
      </c>
      <c r="P79" s="187" t="str">
        <f>VLOOKUP(M79, '2017 SIC to NAICS'!A:D, 4)</f>
        <v>Sewage Treatment Facilities</v>
      </c>
      <c r="Q79" s="176" t="str">
        <f>IFERROR(VLOOKUP(O79, 'NAICS OES crosswalk'!A:C, 3, FALSE), VLOOKUP(M79, 'NAICS OES crosswalk'!A:C, 3, FALSE))</f>
        <v>Waste handling, disposal, and treatment</v>
      </c>
      <c r="U79" s="188">
        <v>51001010903</v>
      </c>
      <c r="V79" s="11" t="s">
        <v>1108</v>
      </c>
      <c r="W79" s="11"/>
      <c r="X79" s="11">
        <v>0.47524460000000002</v>
      </c>
      <c r="Y79" s="11" t="b">
        <f t="shared" si="1"/>
        <v>0</v>
      </c>
    </row>
    <row r="80" spans="1:25" ht="29" x14ac:dyDescent="0.35">
      <c r="A80" s="11">
        <v>2019</v>
      </c>
      <c r="B80" s="11" t="s">
        <v>1980</v>
      </c>
      <c r="C80" s="11" t="s">
        <v>1085</v>
      </c>
      <c r="D80" s="163">
        <v>110000761104</v>
      </c>
      <c r="E80" s="11" t="s">
        <v>362</v>
      </c>
      <c r="F80" s="11" t="s">
        <v>363</v>
      </c>
      <c r="G80" s="11" t="s">
        <v>1086</v>
      </c>
      <c r="H80" s="11" t="s">
        <v>108</v>
      </c>
      <c r="I80" s="11" t="s">
        <v>1981</v>
      </c>
      <c r="J80" s="11">
        <v>38.686529999999998</v>
      </c>
      <c r="K80" s="11">
        <v>-83.788679999999999</v>
      </c>
      <c r="L80" s="11">
        <v>4952</v>
      </c>
      <c r="M80" s="11">
        <v>4952</v>
      </c>
      <c r="N80" s="175" t="str">
        <f>VLOOKUP(M80, '2017 SIC to NAICS'!A:D, 2)</f>
        <v>Sewerage Systems</v>
      </c>
      <c r="O80" s="11">
        <v>221320</v>
      </c>
      <c r="P80" s="187" t="str">
        <f>VLOOKUP(M80, '2017 SIC to NAICS'!A:D, 4)</f>
        <v>Sewage Treatment Facilities</v>
      </c>
      <c r="Q80" s="176" t="str">
        <f>IFERROR(VLOOKUP(O80, 'NAICS OES crosswalk'!A:C, 3, FALSE), VLOOKUP(M80, 'NAICS OES crosswalk'!A:C, 3, FALSE))</f>
        <v>Waste handling, disposal, and treatment</v>
      </c>
      <c r="U80" s="188">
        <v>50902010605</v>
      </c>
      <c r="V80" s="11" t="s">
        <v>1087</v>
      </c>
      <c r="W80" s="11"/>
      <c r="X80" s="11">
        <v>0.46971849999999998</v>
      </c>
      <c r="Y80" s="11" t="b">
        <f t="shared" si="1"/>
        <v>0</v>
      </c>
    </row>
    <row r="81" spans="1:25" x14ac:dyDescent="0.35">
      <c r="A81" s="11">
        <v>2019</v>
      </c>
      <c r="B81" s="11" t="s">
        <v>1980</v>
      </c>
      <c r="C81" s="11" t="s">
        <v>841</v>
      </c>
      <c r="D81" s="163">
        <v>110000324391</v>
      </c>
      <c r="E81" s="11" t="s">
        <v>315</v>
      </c>
      <c r="F81" s="11" t="s">
        <v>316</v>
      </c>
      <c r="G81" s="11" t="s">
        <v>842</v>
      </c>
      <c r="H81" s="11" t="s">
        <v>126</v>
      </c>
      <c r="I81" s="11" t="s">
        <v>1981</v>
      </c>
      <c r="J81" s="11">
        <v>42.575806</v>
      </c>
      <c r="K81" s="11">
        <v>-73.859943999999999</v>
      </c>
      <c r="L81" s="11">
        <v>2821</v>
      </c>
      <c r="M81" s="11">
        <v>2821</v>
      </c>
      <c r="N81" s="175" t="str">
        <f>VLOOKUP(M81, '2017 SIC to NAICS'!A:D, 2)</f>
        <v>Plastics Materials and Resins</v>
      </c>
      <c r="P81" s="187" t="str">
        <f>VLOOKUP(M81, '2017 SIC to NAICS'!A:D, 4)</f>
        <v>Plastics Material and Resin Manufacturing</v>
      </c>
      <c r="Q81" s="176" t="str">
        <f>IFERROR(VLOOKUP(O81, 'NAICS OES crosswalk'!A:C, 3, FALSE), VLOOKUP(M81, 'NAICS OES crosswalk'!A:C, 3, FALSE))</f>
        <v>Processing as a reactant</v>
      </c>
      <c r="U81" s="188">
        <v>20200060402</v>
      </c>
      <c r="V81" s="11" t="s">
        <v>843</v>
      </c>
      <c r="W81" s="11"/>
      <c r="X81" s="11">
        <v>0.41768</v>
      </c>
      <c r="Y81" s="11" t="b">
        <f t="shared" si="1"/>
        <v>0</v>
      </c>
    </row>
    <row r="82" spans="1:25" x14ac:dyDescent="0.35">
      <c r="A82" s="11">
        <v>2019</v>
      </c>
      <c r="B82" s="11" t="s">
        <v>1980</v>
      </c>
      <c r="C82" s="11" t="s">
        <v>1308</v>
      </c>
      <c r="D82" s="163">
        <v>110056972432</v>
      </c>
      <c r="E82" s="11" t="s">
        <v>364</v>
      </c>
      <c r="F82" s="11" t="s">
        <v>319</v>
      </c>
      <c r="G82" s="11" t="s">
        <v>1291</v>
      </c>
      <c r="H82" s="11" t="s">
        <v>91</v>
      </c>
      <c r="I82" s="11" t="s">
        <v>1981</v>
      </c>
      <c r="J82" s="11">
        <v>30.250833</v>
      </c>
      <c r="K82" s="11">
        <v>-91.092277999999993</v>
      </c>
      <c r="L82" s="11">
        <v>2869</v>
      </c>
      <c r="M82" s="11">
        <v>2869</v>
      </c>
      <c r="N82" s="175" t="str">
        <f>VLOOKUP(M82, '2017 SIC to NAICS'!A:D, 2)</f>
        <v>Industrial Organic Chemicals, Nec</v>
      </c>
      <c r="P82" s="187" t="str">
        <f>VLOOKUP(M82, '2017 SIC to NAICS'!A:D, 4)</f>
        <v>All Other Miscellaneous Chemical Product and Preparation Manufacturing</v>
      </c>
      <c r="Q82" s="176" t="str">
        <f>IFERROR(VLOOKUP(O82, 'NAICS OES crosswalk'!A:C, 3, FALSE), VLOOKUP(M82, 'NAICS OES crosswalk'!A:C, 3, FALSE))</f>
        <v>Manufacturing</v>
      </c>
      <c r="U82" s="188">
        <v>80702020801</v>
      </c>
      <c r="V82" s="11" t="s">
        <v>1292</v>
      </c>
      <c r="W82" s="11"/>
      <c r="X82" s="11">
        <v>0.414275</v>
      </c>
      <c r="Y82" s="11" t="b">
        <f t="shared" si="1"/>
        <v>0</v>
      </c>
    </row>
    <row r="83" spans="1:25" x14ac:dyDescent="0.35">
      <c r="A83" s="11">
        <v>2019</v>
      </c>
      <c r="B83" s="11" t="s">
        <v>1980</v>
      </c>
      <c r="C83" s="11" t="s">
        <v>1496</v>
      </c>
      <c r="D83" s="163">
        <v>110007970142</v>
      </c>
      <c r="E83" s="11" t="s">
        <v>293</v>
      </c>
      <c r="F83" s="11" t="s">
        <v>294</v>
      </c>
      <c r="G83" s="11" t="s">
        <v>1487</v>
      </c>
      <c r="H83" s="11" t="s">
        <v>254</v>
      </c>
      <c r="I83" s="11" t="s">
        <v>1981</v>
      </c>
      <c r="J83" s="11">
        <v>39.698279999999997</v>
      </c>
      <c r="K83" s="11">
        <v>-75.503974999999997</v>
      </c>
      <c r="L83" s="11">
        <v>2869</v>
      </c>
      <c r="M83" s="11">
        <v>2869</v>
      </c>
      <c r="N83" s="175" t="str">
        <f>VLOOKUP(M83, '2017 SIC to NAICS'!A:D, 2)</f>
        <v>Industrial Organic Chemicals, Nec</v>
      </c>
      <c r="P83" s="187" t="str">
        <f>VLOOKUP(M83, '2017 SIC to NAICS'!A:D, 4)</f>
        <v>All Other Miscellaneous Chemical Product and Preparation Manufacturing</v>
      </c>
      <c r="Q83" s="176" t="str">
        <f>IFERROR(VLOOKUP(O83, 'NAICS OES crosswalk'!A:C, 3, FALSE), VLOOKUP(M83, 'NAICS OES crosswalk'!A:C, 3, FALSE))</f>
        <v>Manufacturing</v>
      </c>
      <c r="U83" s="188">
        <v>20402060103</v>
      </c>
      <c r="V83" s="11" t="s">
        <v>1488</v>
      </c>
      <c r="W83" s="11"/>
      <c r="X83" s="11">
        <v>0.41249999999999998</v>
      </c>
      <c r="Y83" s="11" t="b">
        <f t="shared" si="1"/>
        <v>0</v>
      </c>
    </row>
    <row r="84" spans="1:25" ht="29" x14ac:dyDescent="0.35">
      <c r="A84" s="11">
        <v>2019</v>
      </c>
      <c r="B84" s="11" t="s">
        <v>1980</v>
      </c>
      <c r="C84" s="11" t="s">
        <v>1690</v>
      </c>
      <c r="D84" s="163">
        <v>110034247580</v>
      </c>
      <c r="E84" s="11" t="s">
        <v>104</v>
      </c>
      <c r="F84" s="11" t="s">
        <v>105</v>
      </c>
      <c r="G84" s="11" t="s">
        <v>1691</v>
      </c>
      <c r="H84" s="11" t="s">
        <v>95</v>
      </c>
      <c r="I84" s="11" t="s">
        <v>1981</v>
      </c>
      <c r="J84" s="11">
        <v>27.523085999999999</v>
      </c>
      <c r="K84" s="11">
        <v>-97.832245</v>
      </c>
      <c r="L84" s="11">
        <v>4952</v>
      </c>
      <c r="M84" s="11">
        <v>4952</v>
      </c>
      <c r="N84" s="175" t="str">
        <f>VLOOKUP(M84, '2017 SIC to NAICS'!A:D, 2)</f>
        <v>Sewerage Systems</v>
      </c>
      <c r="P84" s="187" t="str">
        <f>VLOOKUP(M84, '2017 SIC to NAICS'!A:D, 4)</f>
        <v>Sewage Treatment Facilities</v>
      </c>
      <c r="Q84" s="176" t="str">
        <f>IFERROR(VLOOKUP(O84, 'NAICS OES crosswalk'!A:C, 3, FALSE), VLOOKUP(M84, 'NAICS OES crosswalk'!A:C, 3, FALSE))</f>
        <v>Waste handling, disposal, and treatment</v>
      </c>
      <c r="U84" s="188">
        <v>121102040409</v>
      </c>
      <c r="V84" s="11" t="s">
        <v>1692</v>
      </c>
      <c r="W84" s="11"/>
      <c r="X84" s="11">
        <v>0.36670749504</v>
      </c>
      <c r="Y84" s="11" t="b">
        <f t="shared" si="1"/>
        <v>0</v>
      </c>
    </row>
    <row r="85" spans="1:25" x14ac:dyDescent="0.35">
      <c r="A85" s="11">
        <v>2019</v>
      </c>
      <c r="B85" s="11" t="s">
        <v>1980</v>
      </c>
      <c r="C85" s="11" t="s">
        <v>1289</v>
      </c>
      <c r="D85" s="163">
        <v>110000597266</v>
      </c>
      <c r="E85" s="11" t="s">
        <v>317</v>
      </c>
      <c r="F85" s="11" t="s">
        <v>90</v>
      </c>
      <c r="G85" s="11" t="s">
        <v>771</v>
      </c>
      <c r="H85" s="11" t="s">
        <v>91</v>
      </c>
      <c r="I85" s="11" t="s">
        <v>1981</v>
      </c>
      <c r="J85" s="11">
        <v>30.193916000000002</v>
      </c>
      <c r="K85" s="11">
        <v>-93.321347000000003</v>
      </c>
      <c r="L85" s="11">
        <v>2821</v>
      </c>
      <c r="M85" s="11">
        <v>2821</v>
      </c>
      <c r="N85" s="175" t="str">
        <f>VLOOKUP(M85, '2017 SIC to NAICS'!A:D, 2)</f>
        <v>Plastics Materials and Resins</v>
      </c>
      <c r="P85" s="187" t="str">
        <f>VLOOKUP(M85, '2017 SIC to NAICS'!A:D, 4)</f>
        <v>Plastics Material and Resin Manufacturing</v>
      </c>
      <c r="Q85" s="176" t="str">
        <f>IFERROR(VLOOKUP(O85, 'NAICS OES crosswalk'!A:C, 3, FALSE), VLOOKUP(M85, 'NAICS OES crosswalk'!A:C, 3, FALSE))</f>
        <v>Processing as a reactant</v>
      </c>
      <c r="U85" s="188">
        <v>80802060301</v>
      </c>
      <c r="V85" s="11" t="s">
        <v>1286</v>
      </c>
      <c r="W85" s="11"/>
      <c r="X85" s="11">
        <v>0.33141999999999999</v>
      </c>
      <c r="Y85" s="11" t="b">
        <f t="shared" si="1"/>
        <v>0</v>
      </c>
    </row>
    <row r="86" spans="1:25" ht="29" x14ac:dyDescent="0.35">
      <c r="A86" s="11">
        <v>2019</v>
      </c>
      <c r="B86" s="11" t="s">
        <v>1980</v>
      </c>
      <c r="C86" s="11" t="s">
        <v>1183</v>
      </c>
      <c r="D86" s="163">
        <v>110009938265</v>
      </c>
      <c r="E86" s="11" t="s">
        <v>379</v>
      </c>
      <c r="F86" s="11" t="s">
        <v>380</v>
      </c>
      <c r="G86" s="11" t="s">
        <v>1184</v>
      </c>
      <c r="H86" s="11" t="s">
        <v>108</v>
      </c>
      <c r="I86" s="11" t="s">
        <v>1982</v>
      </c>
      <c r="J86" s="11">
        <v>36.787260000000003</v>
      </c>
      <c r="K86" s="11">
        <v>-85.369240000000005</v>
      </c>
      <c r="L86" s="11">
        <v>4952</v>
      </c>
      <c r="M86" s="11">
        <v>4952</v>
      </c>
      <c r="N86" s="175" t="str">
        <f>VLOOKUP(M86, '2017 SIC to NAICS'!A:D, 2)</f>
        <v>Sewerage Systems</v>
      </c>
      <c r="O86" s="11">
        <v>221320</v>
      </c>
      <c r="P86" s="187" t="str">
        <f>VLOOKUP(M86, '2017 SIC to NAICS'!A:D, 4)</f>
        <v>Sewage Treatment Facilities</v>
      </c>
      <c r="Q86" s="176" t="str">
        <f>IFERROR(VLOOKUP(O86, 'NAICS OES crosswalk'!A:C, 3, FALSE), VLOOKUP(M86, 'NAICS OES crosswalk'!A:C, 3, FALSE))</f>
        <v>Waste handling, disposal, and treatment</v>
      </c>
      <c r="U86" s="188">
        <v>51301030701</v>
      </c>
      <c r="V86" s="11" t="s">
        <v>1185</v>
      </c>
      <c r="W86" s="11"/>
      <c r="X86" s="11">
        <v>0.3134680225</v>
      </c>
      <c r="Y86" s="11" t="b">
        <f t="shared" si="1"/>
        <v>0</v>
      </c>
    </row>
    <row r="87" spans="1:25" x14ac:dyDescent="0.35">
      <c r="A87" s="11">
        <v>2019</v>
      </c>
      <c r="B87" s="11" t="s">
        <v>1980</v>
      </c>
      <c r="C87" s="11" t="s">
        <v>794</v>
      </c>
      <c r="D87" s="163">
        <v>110000433013</v>
      </c>
      <c r="E87" s="11" t="s">
        <v>259</v>
      </c>
      <c r="F87" s="11" t="s">
        <v>260</v>
      </c>
      <c r="G87" s="11" t="s">
        <v>795</v>
      </c>
      <c r="H87" s="11" t="s">
        <v>111</v>
      </c>
      <c r="I87" s="11" t="s">
        <v>1981</v>
      </c>
      <c r="J87" s="11">
        <v>41.412897000000001</v>
      </c>
      <c r="K87" s="11">
        <v>-88.329773000000003</v>
      </c>
      <c r="L87" s="11">
        <v>2821</v>
      </c>
      <c r="M87" s="11">
        <v>2821</v>
      </c>
      <c r="N87" s="175" t="str">
        <f>VLOOKUP(M87, '2017 SIC to NAICS'!A:D, 2)</f>
        <v>Plastics Materials and Resins</v>
      </c>
      <c r="P87" s="187" t="str">
        <f>VLOOKUP(M87, '2017 SIC to NAICS'!A:D, 4)</f>
        <v>Plastics Material and Resin Manufacturing</v>
      </c>
      <c r="Q87" s="176" t="str">
        <f>IFERROR(VLOOKUP(O87, 'NAICS OES crosswalk'!A:C, 3, FALSE), VLOOKUP(M87, 'NAICS OES crosswalk'!A:C, 3, FALSE))</f>
        <v>Processing as a reactant</v>
      </c>
      <c r="U87" s="188">
        <v>71200050106</v>
      </c>
      <c r="V87" s="11" t="s">
        <v>798</v>
      </c>
      <c r="W87" s="11"/>
      <c r="X87" s="11">
        <v>0.3039984</v>
      </c>
      <c r="Y87" s="11" t="b">
        <f t="shared" si="1"/>
        <v>0</v>
      </c>
    </row>
    <row r="88" spans="1:25" x14ac:dyDescent="0.35">
      <c r="A88" s="11">
        <v>2019</v>
      </c>
      <c r="B88" s="11" t="s">
        <v>1980</v>
      </c>
      <c r="C88" s="11" t="s">
        <v>1555</v>
      </c>
      <c r="D88" s="163">
        <v>110043808467</v>
      </c>
      <c r="E88" s="11" t="s">
        <v>346</v>
      </c>
      <c r="F88" s="11" t="s">
        <v>347</v>
      </c>
      <c r="G88" s="11" t="s">
        <v>823</v>
      </c>
      <c r="H88" s="11" t="s">
        <v>221</v>
      </c>
      <c r="I88" s="11" t="s">
        <v>1982</v>
      </c>
      <c r="J88" s="11">
        <v>36.035440000000001</v>
      </c>
      <c r="K88" s="11">
        <v>-114.99994</v>
      </c>
      <c r="L88" s="11">
        <v>1799</v>
      </c>
      <c r="M88" s="11">
        <v>1799</v>
      </c>
      <c r="N88" s="175" t="str">
        <f>VLOOKUP(M88, '2017 SIC to NAICS'!A:D, 2)</f>
        <v>Special Trade Contractors, Nec</v>
      </c>
      <c r="O88" s="11">
        <v>541990</v>
      </c>
      <c r="P88" s="187" t="str">
        <f>VLOOKUP(M88, '2017 SIC to NAICS'!A:D, 4)</f>
        <v>Remediation Services</v>
      </c>
      <c r="Q88" s="176" t="e">
        <f>IFERROR(VLOOKUP(O88, 'NAICS OES crosswalk'!A:C, 3, FALSE), VLOOKUP(M88, 'NAICS OES crosswalk'!A:C, 3, FALSE))</f>
        <v>#N/A</v>
      </c>
      <c r="U88" s="188">
        <v>150100150708</v>
      </c>
      <c r="V88" s="11" t="s">
        <v>1556</v>
      </c>
      <c r="W88" s="11"/>
      <c r="X88" s="11">
        <v>0.29663518124999999</v>
      </c>
      <c r="Y88" s="11" t="b">
        <f t="shared" si="1"/>
        <v>0</v>
      </c>
    </row>
    <row r="89" spans="1:25" x14ac:dyDescent="0.35">
      <c r="A89" s="11">
        <v>2019</v>
      </c>
      <c r="B89" s="11" t="s">
        <v>1980</v>
      </c>
      <c r="C89" s="11" t="s">
        <v>730</v>
      </c>
      <c r="D89" s="163">
        <v>110017979810</v>
      </c>
      <c r="E89" s="11" t="s">
        <v>309</v>
      </c>
      <c r="F89" s="11" t="s">
        <v>158</v>
      </c>
      <c r="G89" s="11" t="s">
        <v>434</v>
      </c>
      <c r="H89" s="11" t="s">
        <v>129</v>
      </c>
      <c r="I89" s="11" t="s">
        <v>1982</v>
      </c>
      <c r="J89" s="11">
        <v>38.959018999999998</v>
      </c>
      <c r="K89" s="11">
        <v>-94.576569000000006</v>
      </c>
      <c r="L89" s="11">
        <v>6552</v>
      </c>
      <c r="M89" s="11">
        <v>6552</v>
      </c>
      <c r="N89" s="175" t="str">
        <f>VLOOKUP(M89, '2017 SIC to NAICS'!A:D, 2)</f>
        <v>Subdividers and Developers, Nec</v>
      </c>
      <c r="P89" s="187" t="str">
        <f>VLOOKUP(M89, '2017 SIC to NAICS'!A:D, 4)</f>
        <v>Land Subdivision</v>
      </c>
      <c r="Q89" s="176" t="e">
        <f>IFERROR(VLOOKUP(O89, 'NAICS OES crosswalk'!A:C, 3, FALSE), VLOOKUP(M89, 'NAICS OES crosswalk'!A:C, 3, FALSE))</f>
        <v>#N/A</v>
      </c>
      <c r="U89" s="188">
        <v>103001010105</v>
      </c>
      <c r="V89" s="11" t="s">
        <v>733</v>
      </c>
      <c r="W89" s="11"/>
      <c r="X89" s="11">
        <v>0.28524100650000001</v>
      </c>
      <c r="Y89" s="11" t="b">
        <f t="shared" si="1"/>
        <v>0</v>
      </c>
    </row>
    <row r="90" spans="1:25" x14ac:dyDescent="0.35">
      <c r="A90" s="11">
        <v>2019</v>
      </c>
      <c r="B90" s="11" t="s">
        <v>1980</v>
      </c>
      <c r="C90" s="11" t="s">
        <v>1422</v>
      </c>
      <c r="D90" s="163">
        <v>110003597395</v>
      </c>
      <c r="E90" s="11" t="s">
        <v>386</v>
      </c>
      <c r="F90" s="11" t="s">
        <v>387</v>
      </c>
      <c r="G90" s="11" t="s">
        <v>1423</v>
      </c>
      <c r="H90" s="11" t="s">
        <v>181</v>
      </c>
      <c r="I90" s="11" t="s">
        <v>1982</v>
      </c>
      <c r="J90" s="11">
        <v>42.591610000000003</v>
      </c>
      <c r="K90" s="11">
        <v>-83.602609999999999</v>
      </c>
      <c r="L90" s="11">
        <v>1799</v>
      </c>
      <c r="M90" s="11">
        <v>1799</v>
      </c>
      <c r="N90" s="175" t="str">
        <f>VLOOKUP(M90, '2017 SIC to NAICS'!A:D, 2)</f>
        <v>Special Trade Contractors, Nec</v>
      </c>
      <c r="O90" s="11">
        <v>562910</v>
      </c>
      <c r="P90" s="187" t="str">
        <f>VLOOKUP(M90, '2017 SIC to NAICS'!A:D, 4)</f>
        <v>Remediation Services</v>
      </c>
      <c r="Q90" s="176" t="e">
        <f>IFERROR(VLOOKUP(O90, 'NAICS OES crosswalk'!A:C, 3, FALSE), VLOOKUP(M90, 'NAICS OES crosswalk'!A:C, 3, FALSE))</f>
        <v>#N/A</v>
      </c>
      <c r="U90" s="188">
        <v>40900050104</v>
      </c>
      <c r="V90" s="11" t="s">
        <v>1424</v>
      </c>
      <c r="W90" s="11"/>
      <c r="X90" s="11">
        <v>0.28251646887499998</v>
      </c>
      <c r="Y90" s="11" t="b">
        <f t="shared" si="1"/>
        <v>0</v>
      </c>
    </row>
    <row r="91" spans="1:25" x14ac:dyDescent="0.35">
      <c r="A91" s="11">
        <v>2019</v>
      </c>
      <c r="B91" s="11" t="s">
        <v>1980</v>
      </c>
      <c r="C91" s="11" t="s">
        <v>1392</v>
      </c>
      <c r="D91" s="163">
        <v>110000412296</v>
      </c>
      <c r="E91" s="11" t="s">
        <v>390</v>
      </c>
      <c r="F91" s="11" t="s">
        <v>391</v>
      </c>
      <c r="G91" s="11" t="s">
        <v>1393</v>
      </c>
      <c r="H91" s="11" t="s">
        <v>181</v>
      </c>
      <c r="I91" s="11" t="s">
        <v>1982</v>
      </c>
      <c r="J91" s="11">
        <v>45.145420000000001</v>
      </c>
      <c r="K91" s="11">
        <v>-84.660679999999999</v>
      </c>
      <c r="L91" s="11">
        <v>1799</v>
      </c>
      <c r="M91" s="11">
        <v>1799</v>
      </c>
      <c r="N91" s="175" t="str">
        <f>VLOOKUP(M91, '2017 SIC to NAICS'!A:D, 2)</f>
        <v>Special Trade Contractors, Nec</v>
      </c>
      <c r="O91" s="11">
        <v>331420</v>
      </c>
      <c r="P91" s="187" t="str">
        <f>VLOOKUP(M91, '2017 SIC to NAICS'!A:D, 4)</f>
        <v>Remediation Services</v>
      </c>
      <c r="Q91" s="176" t="e">
        <f>IFERROR(VLOOKUP(O91, 'NAICS OES crosswalk'!A:C, 3, FALSE), VLOOKUP(M91, 'NAICS OES crosswalk'!A:C, 3, FALSE))</f>
        <v>#N/A</v>
      </c>
      <c r="U91" s="188">
        <v>40700040102</v>
      </c>
      <c r="V91" s="11" t="s">
        <v>1394</v>
      </c>
      <c r="W91" s="11"/>
      <c r="X91" s="11">
        <v>0.26100981499999998</v>
      </c>
      <c r="Y91" s="11" t="b">
        <f t="shared" si="1"/>
        <v>0</v>
      </c>
    </row>
    <row r="92" spans="1:25" ht="29" x14ac:dyDescent="0.35">
      <c r="A92" s="11">
        <v>2019</v>
      </c>
      <c r="B92" s="11" t="s">
        <v>1980</v>
      </c>
      <c r="C92" s="11" t="s">
        <v>1013</v>
      </c>
      <c r="D92" s="163">
        <v>110020728943</v>
      </c>
      <c r="E92" s="11" t="s">
        <v>392</v>
      </c>
      <c r="F92" s="11" t="s">
        <v>393</v>
      </c>
      <c r="G92" s="11" t="s">
        <v>155</v>
      </c>
      <c r="H92" s="11" t="s">
        <v>156</v>
      </c>
      <c r="I92" s="11" t="s">
        <v>1981</v>
      </c>
      <c r="J92" s="11">
        <v>21.329699999999999</v>
      </c>
      <c r="K92" s="11">
        <v>-158.03559999999999</v>
      </c>
      <c r="L92" s="11">
        <v>4952</v>
      </c>
      <c r="M92" s="11">
        <v>4952</v>
      </c>
      <c r="N92" s="175" t="str">
        <f>VLOOKUP(M92, '2017 SIC to NAICS'!A:D, 2)</f>
        <v>Sewerage Systems</v>
      </c>
      <c r="P92" s="187" t="str">
        <f>VLOOKUP(M92, '2017 SIC to NAICS'!A:D, 4)</f>
        <v>Sewage Treatment Facilities</v>
      </c>
      <c r="Q92" s="176" t="str">
        <f>IFERROR(VLOOKUP(O92, 'NAICS OES crosswalk'!A:C, 3, FALSE), VLOOKUP(M92, 'NAICS OES crosswalk'!A:C, 3, FALSE))</f>
        <v>Waste handling, disposal, and treatment</v>
      </c>
      <c r="U92" s="188">
        <v>200600000405</v>
      </c>
      <c r="V92" s="11" t="s">
        <v>1014</v>
      </c>
      <c r="W92" s="11"/>
      <c r="X92" s="11">
        <v>0.25944340032000002</v>
      </c>
      <c r="Y92" s="11" t="b">
        <f t="shared" si="1"/>
        <v>0</v>
      </c>
    </row>
    <row r="93" spans="1:25" x14ac:dyDescent="0.35">
      <c r="A93" s="11">
        <v>2019</v>
      </c>
      <c r="B93" s="11" t="s">
        <v>1980</v>
      </c>
      <c r="C93" s="11" t="s">
        <v>822</v>
      </c>
      <c r="D93" s="163">
        <v>110015972562</v>
      </c>
      <c r="E93" s="11" t="s">
        <v>381</v>
      </c>
      <c r="F93" s="11" t="s">
        <v>337</v>
      </c>
      <c r="G93" s="11" t="s">
        <v>823</v>
      </c>
      <c r="H93" s="11" t="s">
        <v>221</v>
      </c>
      <c r="I93" s="11" t="s">
        <v>1982</v>
      </c>
      <c r="J93" s="11">
        <v>36.116160999999998</v>
      </c>
      <c r="K93" s="11">
        <v>-115.172741</v>
      </c>
      <c r="L93" s="11">
        <v>7011</v>
      </c>
      <c r="M93" s="11">
        <v>7011</v>
      </c>
      <c r="N93" s="175" t="str">
        <f>VLOOKUP(M93, '2017 SIC to NAICS'!A:D, 2)</f>
        <v>Hotels and Motels</v>
      </c>
      <c r="O93" s="11">
        <v>721120</v>
      </c>
      <c r="P93" s="187" t="str">
        <f>VLOOKUP(M93, '2017 SIC to NAICS'!A:D, 4)</f>
        <v>All Other Traveler Accommodation</v>
      </c>
      <c r="Q93" s="176" t="e">
        <f>IFERROR(VLOOKUP(O93, 'NAICS OES crosswalk'!A:C, 3, FALSE), VLOOKUP(M93, 'NAICS OES crosswalk'!A:C, 3, FALSE))</f>
        <v>#N/A</v>
      </c>
      <c r="U93" s="188">
        <v>150100150604</v>
      </c>
      <c r="V93" s="11" t="s">
        <v>738</v>
      </c>
      <c r="W93" s="11"/>
      <c r="X93" s="11">
        <v>0.25301521370000002</v>
      </c>
      <c r="Y93" s="11" t="b">
        <f t="shared" si="1"/>
        <v>0</v>
      </c>
    </row>
    <row r="94" spans="1:25" x14ac:dyDescent="0.35">
      <c r="A94" s="11">
        <v>2019</v>
      </c>
      <c r="B94" s="11" t="s">
        <v>1980</v>
      </c>
      <c r="C94" s="11" t="s">
        <v>1323</v>
      </c>
      <c r="D94" s="163">
        <v>110000834688</v>
      </c>
      <c r="E94" s="11" t="s">
        <v>368</v>
      </c>
      <c r="F94" s="11" t="s">
        <v>369</v>
      </c>
      <c r="G94" s="11" t="s">
        <v>1324</v>
      </c>
      <c r="H94" s="11" t="s">
        <v>91</v>
      </c>
      <c r="I94" s="11" t="s">
        <v>1982</v>
      </c>
      <c r="J94" s="11">
        <v>29.924576999999999</v>
      </c>
      <c r="K94" s="11">
        <v>-90.145308</v>
      </c>
      <c r="L94" s="11">
        <v>4226</v>
      </c>
      <c r="M94" s="11">
        <v>4226</v>
      </c>
      <c r="N94" s="175" t="str">
        <f>VLOOKUP(M94, '2017 SIC to NAICS'!A:D, 2)</f>
        <v>Special Warehousing and Storage, Nec</v>
      </c>
      <c r="P94" s="187" t="str">
        <f>VLOOKUP(M94, '2017 SIC to NAICS'!A:D, 4)</f>
        <v>Other Warehousing and Storage</v>
      </c>
      <c r="Q94" s="176" t="e">
        <f>IFERROR(VLOOKUP(O94, 'NAICS OES crosswalk'!A:C, 3, FALSE), VLOOKUP(M94, 'NAICS OES crosswalk'!A:C, 3, FALSE))</f>
        <v>#N/A</v>
      </c>
      <c r="U94" s="188">
        <v>80903010307</v>
      </c>
      <c r="V94" s="11" t="s">
        <v>1325</v>
      </c>
      <c r="W94" s="11"/>
      <c r="X94" s="11">
        <v>0.25074205625000001</v>
      </c>
      <c r="Y94" s="11" t="b">
        <f t="shared" si="1"/>
        <v>0</v>
      </c>
    </row>
    <row r="95" spans="1:25" x14ac:dyDescent="0.35">
      <c r="A95" s="11">
        <v>2019</v>
      </c>
      <c r="B95" s="11" t="s">
        <v>1980</v>
      </c>
      <c r="C95" s="11" t="s">
        <v>1728</v>
      </c>
      <c r="D95" s="163">
        <v>110070548118</v>
      </c>
      <c r="E95" s="11" t="s">
        <v>401</v>
      </c>
      <c r="F95" s="11" t="s">
        <v>402</v>
      </c>
      <c r="G95" s="11" t="s">
        <v>1729</v>
      </c>
      <c r="H95" s="11" t="s">
        <v>276</v>
      </c>
      <c r="I95" s="11" t="s">
        <v>1982</v>
      </c>
      <c r="J95" s="11">
        <v>38.890925000000003</v>
      </c>
      <c r="K95" s="11">
        <v>-77.184034999999994</v>
      </c>
      <c r="L95" s="11">
        <v>1794</v>
      </c>
      <c r="M95" s="11">
        <v>1794</v>
      </c>
      <c r="N95" s="175" t="str">
        <f>VLOOKUP(M95, '2017 SIC to NAICS'!A:D, 2)</f>
        <v>Excavation Work</v>
      </c>
      <c r="P95" s="187" t="str">
        <f>VLOOKUP(M95, '2017 SIC to NAICS'!A:D, 4)</f>
        <v>Site Preparation Contractors</v>
      </c>
      <c r="Q95" s="176" t="e">
        <f>IFERROR(VLOOKUP(O95, 'NAICS OES crosswalk'!A:C, 3, FALSE), VLOOKUP(M95, 'NAICS OES crosswalk'!A:C, 3, FALSE))</f>
        <v>#N/A</v>
      </c>
      <c r="U95" s="188">
        <v>20700100302</v>
      </c>
      <c r="V95" s="11" t="s">
        <v>1730</v>
      </c>
      <c r="W95" s="11"/>
      <c r="X95" s="11">
        <v>0.22186534499999999</v>
      </c>
      <c r="Y95" s="11" t="b">
        <f t="shared" si="1"/>
        <v>0</v>
      </c>
    </row>
    <row r="96" spans="1:25" ht="29" x14ac:dyDescent="0.35">
      <c r="A96" s="11">
        <v>2019</v>
      </c>
      <c r="B96" s="11" t="s">
        <v>1980</v>
      </c>
      <c r="C96" s="11" t="s">
        <v>1104</v>
      </c>
      <c r="D96" s="163">
        <v>110003250277</v>
      </c>
      <c r="E96" s="11" t="s">
        <v>403</v>
      </c>
      <c r="F96" s="11" t="s">
        <v>404</v>
      </c>
      <c r="G96" s="11" t="s">
        <v>1092</v>
      </c>
      <c r="H96" s="11" t="s">
        <v>108</v>
      </c>
      <c r="I96" s="11" t="s">
        <v>1982</v>
      </c>
      <c r="J96" s="11">
        <v>36.864350000000002</v>
      </c>
      <c r="K96" s="11">
        <v>-86.705910000000003</v>
      </c>
      <c r="L96" s="11">
        <v>4952</v>
      </c>
      <c r="M96" s="11">
        <v>4952</v>
      </c>
      <c r="N96" s="175" t="str">
        <f>VLOOKUP(M96, '2017 SIC to NAICS'!A:D, 2)</f>
        <v>Sewerage Systems</v>
      </c>
      <c r="O96" s="11">
        <v>221320</v>
      </c>
      <c r="P96" s="187" t="str">
        <f>VLOOKUP(M96, '2017 SIC to NAICS'!A:D, 4)</f>
        <v>Sewage Treatment Facilities</v>
      </c>
      <c r="Q96" s="176" t="str">
        <f>IFERROR(VLOOKUP(O96, 'NAICS OES crosswalk'!A:C, 3, FALSE), VLOOKUP(M96, 'NAICS OES crosswalk'!A:C, 3, FALSE))</f>
        <v>Waste handling, disposal, and treatment</v>
      </c>
      <c r="U96" s="188">
        <v>51100020802</v>
      </c>
      <c r="V96" s="11" t="s">
        <v>1105</v>
      </c>
      <c r="W96" s="11"/>
      <c r="X96" s="11">
        <v>0.22104399999999999</v>
      </c>
      <c r="Y96" s="11" t="b">
        <f t="shared" si="1"/>
        <v>0</v>
      </c>
    </row>
    <row r="97" spans="1:25" x14ac:dyDescent="0.35">
      <c r="A97" s="11">
        <v>2019</v>
      </c>
      <c r="B97" s="11" t="s">
        <v>1980</v>
      </c>
      <c r="C97" s="11" t="s">
        <v>1491</v>
      </c>
      <c r="D97" s="163">
        <v>110000582003</v>
      </c>
      <c r="E97" s="11" t="s">
        <v>299</v>
      </c>
      <c r="F97" s="11" t="s">
        <v>300</v>
      </c>
      <c r="G97" s="11" t="s">
        <v>1492</v>
      </c>
      <c r="H97" s="11" t="s">
        <v>254</v>
      </c>
      <c r="I97" s="11" t="s">
        <v>1981</v>
      </c>
      <c r="J97" s="11">
        <v>39.80142</v>
      </c>
      <c r="K97" s="11">
        <v>-75.354990000000001</v>
      </c>
      <c r="L97" s="11">
        <v>2869</v>
      </c>
      <c r="M97" s="11">
        <v>2869</v>
      </c>
      <c r="N97" s="175" t="str">
        <f>VLOOKUP(M97, '2017 SIC to NAICS'!A:D, 2)</f>
        <v>Industrial Organic Chemicals, Nec</v>
      </c>
      <c r="O97" s="11">
        <v>325199</v>
      </c>
      <c r="P97" s="187" t="str">
        <f>VLOOKUP(M97, '2017 SIC to NAICS'!A:D, 4)</f>
        <v>All Other Miscellaneous Chemical Product and Preparation Manufacturing</v>
      </c>
      <c r="Q97" s="176" t="str">
        <f>IFERROR(VLOOKUP(O97, 'NAICS OES crosswalk'!A:C, 3, FALSE), VLOOKUP(M97, 'NAICS OES crosswalk'!A:C, 3, FALSE))</f>
        <v>Manufacturing</v>
      </c>
      <c r="U97" s="188">
        <v>20402020606</v>
      </c>
      <c r="V97" s="11" t="s">
        <v>1493</v>
      </c>
      <c r="W97" s="11"/>
      <c r="X97" s="11">
        <v>0.2135</v>
      </c>
      <c r="Y97" s="11" t="b">
        <f t="shared" si="1"/>
        <v>0</v>
      </c>
    </row>
    <row r="98" spans="1:25" x14ac:dyDescent="0.35">
      <c r="A98" s="11">
        <v>2019</v>
      </c>
      <c r="B98" s="11" t="s">
        <v>1980</v>
      </c>
      <c r="C98" s="11" t="s">
        <v>1355</v>
      </c>
      <c r="D98" s="163">
        <v>110009291872</v>
      </c>
      <c r="E98" s="11" t="s">
        <v>428</v>
      </c>
      <c r="F98" s="11" t="s">
        <v>429</v>
      </c>
      <c r="G98" s="11" t="s">
        <v>406</v>
      </c>
      <c r="H98" s="11" t="s">
        <v>181</v>
      </c>
      <c r="I98" s="11" t="s">
        <v>1982</v>
      </c>
      <c r="J98" s="11">
        <v>43.394015000000003</v>
      </c>
      <c r="K98" s="11">
        <v>-86.397982999999996</v>
      </c>
      <c r="L98" s="11">
        <v>2869</v>
      </c>
      <c r="M98" s="11">
        <v>2869</v>
      </c>
      <c r="N98" s="175" t="str">
        <f>VLOOKUP(M98, '2017 SIC to NAICS'!A:D, 2)</f>
        <v>Industrial Organic Chemicals, Nec</v>
      </c>
      <c r="P98" s="187" t="str">
        <f>VLOOKUP(M98, '2017 SIC to NAICS'!A:D, 4)</f>
        <v>All Other Miscellaneous Chemical Product and Preparation Manufacturing</v>
      </c>
      <c r="Q98" s="176" t="str">
        <f>IFERROR(VLOOKUP(O98, 'NAICS OES crosswalk'!A:C, 3, FALSE), VLOOKUP(M98, 'NAICS OES crosswalk'!A:C, 3, FALSE))</f>
        <v>Manufacturing</v>
      </c>
      <c r="U98" s="188">
        <v>40601010904</v>
      </c>
      <c r="V98" s="11" t="s">
        <v>1356</v>
      </c>
      <c r="W98" s="11"/>
      <c r="X98" s="11">
        <v>4.0745506075E-2</v>
      </c>
      <c r="Y98" s="11" t="b">
        <f t="shared" si="1"/>
        <v>0</v>
      </c>
    </row>
    <row r="99" spans="1:25" x14ac:dyDescent="0.35">
      <c r="A99" s="11">
        <v>2019</v>
      </c>
      <c r="B99" s="11" t="s">
        <v>1980</v>
      </c>
      <c r="C99" s="11" t="s">
        <v>1071</v>
      </c>
      <c r="D99" s="163">
        <v>110000747835</v>
      </c>
      <c r="E99" s="11" t="s">
        <v>312</v>
      </c>
      <c r="F99" s="11" t="s">
        <v>115</v>
      </c>
      <c r="G99" s="11" t="s">
        <v>1072</v>
      </c>
      <c r="H99" s="11" t="s">
        <v>108</v>
      </c>
      <c r="I99" s="11" t="s">
        <v>1981</v>
      </c>
      <c r="J99" s="11">
        <v>37.8125</v>
      </c>
      <c r="K99" s="11">
        <v>-87.05</v>
      </c>
      <c r="L99" s="11">
        <v>2821</v>
      </c>
      <c r="M99" s="11">
        <v>2821</v>
      </c>
      <c r="N99" s="175" t="str">
        <f>VLOOKUP(M99, '2017 SIC to NAICS'!A:D, 2)</f>
        <v>Plastics Materials and Resins</v>
      </c>
      <c r="O99" s="11">
        <v>325211</v>
      </c>
      <c r="P99" s="187" t="str">
        <f>VLOOKUP(M99, '2017 SIC to NAICS'!A:D, 4)</f>
        <v>Plastics Material and Resin Manufacturing</v>
      </c>
      <c r="Q99" s="176" t="str">
        <f>IFERROR(VLOOKUP(O99, 'NAICS OES crosswalk'!A:C, 3, FALSE), VLOOKUP(M99, 'NAICS OES crosswalk'!A:C, 3, FALSE))</f>
        <v>Processing as a reactant</v>
      </c>
      <c r="U99" s="188">
        <v>51402011202</v>
      </c>
      <c r="V99" s="11" t="s">
        <v>1073</v>
      </c>
      <c r="W99" s="11"/>
      <c r="X99" s="11">
        <v>0.19305215000000001</v>
      </c>
      <c r="Y99" s="11" t="b">
        <f t="shared" si="1"/>
        <v>0</v>
      </c>
    </row>
    <row r="100" spans="1:25" x14ac:dyDescent="0.35">
      <c r="A100" s="11">
        <v>2019</v>
      </c>
      <c r="B100" s="11" t="s">
        <v>1980</v>
      </c>
      <c r="C100" s="11" t="s">
        <v>841</v>
      </c>
      <c r="D100" s="163">
        <v>110000324391</v>
      </c>
      <c r="E100" s="11" t="s">
        <v>315</v>
      </c>
      <c r="F100" s="11" t="s">
        <v>316</v>
      </c>
      <c r="G100" s="11" t="s">
        <v>842</v>
      </c>
      <c r="H100" s="11" t="s">
        <v>126</v>
      </c>
      <c r="I100" s="11" t="s">
        <v>1981</v>
      </c>
      <c r="J100" s="11">
        <v>42.575806</v>
      </c>
      <c r="K100" s="11">
        <v>-73.859943999999999</v>
      </c>
      <c r="L100" s="11">
        <v>2821</v>
      </c>
      <c r="M100" s="11">
        <v>2821</v>
      </c>
      <c r="N100" s="175" t="str">
        <f>VLOOKUP(M100, '2017 SIC to NAICS'!A:D, 2)</f>
        <v>Plastics Materials and Resins</v>
      </c>
      <c r="P100" s="187" t="str">
        <f>VLOOKUP(M100, '2017 SIC to NAICS'!A:D, 4)</f>
        <v>Plastics Material and Resin Manufacturing</v>
      </c>
      <c r="Q100" s="176" t="str">
        <f>IFERROR(VLOOKUP(O100, 'NAICS OES crosswalk'!A:C, 3, FALSE), VLOOKUP(M100, 'NAICS OES crosswalk'!A:C, 3, FALSE))</f>
        <v>Processing as a reactant</v>
      </c>
      <c r="U100" s="188">
        <v>20200060402</v>
      </c>
      <c r="V100" s="11" t="s">
        <v>843</v>
      </c>
      <c r="W100" s="11"/>
      <c r="X100" s="11">
        <v>0.16571</v>
      </c>
      <c r="Y100" s="11" t="b">
        <f t="shared" si="1"/>
        <v>0</v>
      </c>
    </row>
    <row r="101" spans="1:25" x14ac:dyDescent="0.35">
      <c r="A101" s="11">
        <v>2019</v>
      </c>
      <c r="B101" s="11" t="s">
        <v>1980</v>
      </c>
      <c r="C101" s="11" t="s">
        <v>1714</v>
      </c>
      <c r="D101" s="163">
        <v>110010912281</v>
      </c>
      <c r="E101" s="11" t="s">
        <v>701</v>
      </c>
      <c r="F101" s="11" t="s">
        <v>702</v>
      </c>
      <c r="G101" s="11" t="s">
        <v>1715</v>
      </c>
      <c r="H101" s="11" t="s">
        <v>276</v>
      </c>
      <c r="I101" s="11" t="s">
        <v>1982</v>
      </c>
      <c r="J101" s="11">
        <v>38.92286</v>
      </c>
      <c r="K101" s="11">
        <v>-77.23057</v>
      </c>
      <c r="L101" s="11">
        <v>6512</v>
      </c>
      <c r="M101" s="11">
        <v>6512</v>
      </c>
      <c r="N101" s="175" t="str">
        <f>VLOOKUP(M101, '2017 SIC to NAICS'!A:D, 2)</f>
        <v>Nonresidential Building Operators</v>
      </c>
      <c r="O101" s="11">
        <v>531120</v>
      </c>
      <c r="P101" s="187" t="str">
        <f>VLOOKUP(M101, '2017 SIC to NAICS'!A:D, 4)</f>
        <v>Promoters of Performing Arts, Sports, and
Similar Events with Facilities</v>
      </c>
      <c r="Q101" s="176" t="e">
        <f>IFERROR(VLOOKUP(O101, 'NAICS OES crosswalk'!A:C, 3, FALSE), VLOOKUP(M101, 'NAICS OES crosswalk'!A:C, 3, FALSE))</f>
        <v>#N/A</v>
      </c>
      <c r="U101" s="188">
        <v>20700081004</v>
      </c>
      <c r="V101" s="11" t="s">
        <v>1716</v>
      </c>
      <c r="W101" s="11"/>
      <c r="X101" s="11">
        <v>1.0446599999999999E-5</v>
      </c>
      <c r="Y101" s="11" t="b">
        <f t="shared" si="1"/>
        <v>1</v>
      </c>
    </row>
    <row r="102" spans="1:25" x14ac:dyDescent="0.35">
      <c r="A102" s="11">
        <v>2019</v>
      </c>
      <c r="B102" s="11" t="s">
        <v>1980</v>
      </c>
      <c r="C102" s="11" t="s">
        <v>1471</v>
      </c>
      <c r="D102" s="163">
        <v>110054612558</v>
      </c>
      <c r="E102" s="11" t="s">
        <v>426</v>
      </c>
      <c r="F102" s="11" t="s">
        <v>427</v>
      </c>
      <c r="G102" s="11" t="s">
        <v>1144</v>
      </c>
      <c r="H102" s="11" t="s">
        <v>129</v>
      </c>
      <c r="I102" s="11" t="s">
        <v>1981</v>
      </c>
      <c r="J102" s="11">
        <v>39.423425000000002</v>
      </c>
      <c r="K102" s="11">
        <v>-91.025666000000001</v>
      </c>
      <c r="L102" s="11">
        <v>2869</v>
      </c>
      <c r="M102" s="11">
        <v>2869</v>
      </c>
      <c r="N102" s="175" t="str">
        <f>VLOOKUP(M102, '2017 SIC to NAICS'!A:D, 2)</f>
        <v>Industrial Organic Chemicals, Nec</v>
      </c>
      <c r="P102" s="187" t="str">
        <f>VLOOKUP(M102, '2017 SIC to NAICS'!A:D, 4)</f>
        <v>All Other Miscellaneous Chemical Product and Preparation Manufacturing</v>
      </c>
      <c r="Q102" s="176" t="str">
        <f>IFERROR(VLOOKUP(O102, 'NAICS OES crosswalk'!A:C, 3, FALSE), VLOOKUP(M102, 'NAICS OES crosswalk'!A:C, 3, FALSE))</f>
        <v>Manufacturing</v>
      </c>
      <c r="U102" s="188">
        <v>71100040702</v>
      </c>
      <c r="V102" s="11" t="s">
        <v>1472</v>
      </c>
      <c r="W102" s="11"/>
      <c r="X102" s="11">
        <v>0.15127280000000001</v>
      </c>
      <c r="Y102" s="11" t="b">
        <f t="shared" si="1"/>
        <v>0</v>
      </c>
    </row>
    <row r="103" spans="1:25" ht="29" x14ac:dyDescent="0.35">
      <c r="A103" s="11">
        <v>2019</v>
      </c>
      <c r="B103" s="11" t="s">
        <v>1980</v>
      </c>
      <c r="C103" s="11" t="s">
        <v>1629</v>
      </c>
      <c r="D103" s="163">
        <v>110000817439</v>
      </c>
      <c r="E103" s="11" t="s">
        <v>435</v>
      </c>
      <c r="F103" s="11" t="s">
        <v>436</v>
      </c>
      <c r="G103" s="11" t="s">
        <v>1626</v>
      </c>
      <c r="H103" s="11" t="s">
        <v>340</v>
      </c>
      <c r="I103" s="11" t="s">
        <v>1982</v>
      </c>
      <c r="J103" s="11">
        <v>40.159343999999997</v>
      </c>
      <c r="K103" s="11">
        <v>-74.776695000000004</v>
      </c>
      <c r="L103" s="11">
        <v>4953</v>
      </c>
      <c r="M103" s="11">
        <v>4953</v>
      </c>
      <c r="N103" s="175" t="str">
        <f>VLOOKUP(M103, '2017 SIC to NAICS'!A:D, 2)</f>
        <v>Refuse Systems</v>
      </c>
      <c r="P103" s="187" t="str">
        <f>VLOOKUP(M103, '2017 SIC to NAICS'!A:D, 4)</f>
        <v>Materials Recovery Facilities</v>
      </c>
      <c r="Q103" s="176" t="str">
        <f>IFERROR(VLOOKUP(O103, 'NAICS OES crosswalk'!A:C, 3, FALSE), VLOOKUP(M103, 'NAICS OES crosswalk'!A:C, 3, FALSE))</f>
        <v>Waste handling, disposal, and treatment</v>
      </c>
      <c r="U103" s="188">
        <v>20402010404</v>
      </c>
      <c r="V103" s="11" t="s">
        <v>1630</v>
      </c>
      <c r="W103" s="11"/>
      <c r="X103" s="11">
        <v>0.14096700000000001</v>
      </c>
      <c r="Y103" s="11" t="b">
        <f t="shared" si="1"/>
        <v>0</v>
      </c>
    </row>
    <row r="104" spans="1:25" x14ac:dyDescent="0.35">
      <c r="A104" s="11">
        <v>2019</v>
      </c>
      <c r="B104" s="11" t="s">
        <v>1980</v>
      </c>
      <c r="C104" s="11" t="s">
        <v>1438</v>
      </c>
      <c r="D104" s="163">
        <v>110070389730</v>
      </c>
      <c r="E104" s="11" t="s">
        <v>437</v>
      </c>
      <c r="F104" s="11" t="s">
        <v>438</v>
      </c>
      <c r="G104" s="11" t="s">
        <v>1439</v>
      </c>
      <c r="H104" s="11" t="s">
        <v>181</v>
      </c>
      <c r="I104" s="11" t="s">
        <v>1982</v>
      </c>
      <c r="J104" s="11">
        <v>42.677610000000001</v>
      </c>
      <c r="K104" s="11">
        <v>-85.654120000000006</v>
      </c>
      <c r="M104" s="11"/>
      <c r="N104" s="175" t="e">
        <f>VLOOKUP(M104, '2017 SIC to NAICS'!A:D, 2)</f>
        <v>#N/A</v>
      </c>
      <c r="P104" s="187" t="e">
        <f>VLOOKUP(M104, '2017 SIC to NAICS'!A:D, 4)</f>
        <v>#N/A</v>
      </c>
      <c r="Q104" s="176" t="e">
        <f>IFERROR(VLOOKUP(O104, 'NAICS OES crosswalk'!A:C, 3, FALSE), VLOOKUP(M104, 'NAICS OES crosswalk'!A:C, 3, FALSE))</f>
        <v>#N/A</v>
      </c>
      <c r="U104" s="188">
        <v>40500030805</v>
      </c>
      <c r="V104" s="11" t="s">
        <v>1440</v>
      </c>
      <c r="W104" s="11"/>
      <c r="X104" s="11">
        <v>0.1371992856</v>
      </c>
      <c r="Y104" s="11" t="b">
        <f t="shared" si="1"/>
        <v>0</v>
      </c>
    </row>
    <row r="105" spans="1:25" x14ac:dyDescent="0.35">
      <c r="A105" s="11">
        <v>2019</v>
      </c>
      <c r="B105" s="11" t="s">
        <v>1980</v>
      </c>
      <c r="C105" s="11" t="s">
        <v>830</v>
      </c>
      <c r="D105" s="163">
        <v>110000326521</v>
      </c>
      <c r="E105" s="11" t="s">
        <v>124</v>
      </c>
      <c r="F105" s="11" t="s">
        <v>125</v>
      </c>
      <c r="G105" s="11" t="s">
        <v>831</v>
      </c>
      <c r="H105" s="11" t="s">
        <v>126</v>
      </c>
      <c r="I105" s="11" t="s">
        <v>1981</v>
      </c>
      <c r="J105" s="11">
        <v>43.165965999999997</v>
      </c>
      <c r="K105" s="11">
        <v>-78.740509000000003</v>
      </c>
      <c r="L105" s="11">
        <v>3714</v>
      </c>
      <c r="M105" s="11">
        <v>3714</v>
      </c>
      <c r="N105" s="175" t="str">
        <f>VLOOKUP(M105, '2017 SIC to NAICS'!A:D, 2)</f>
        <v>Motor Vehicle Parts and Accessories</v>
      </c>
      <c r="P105" s="187" t="str">
        <f>VLOOKUP(M105, '2017 SIC to NAICS'!A:D, 4)</f>
        <v>Other Motor Vehicle Parts Manufacturing</v>
      </c>
      <c r="Q105" s="176" t="e">
        <f>IFERROR(VLOOKUP(O105, 'NAICS OES crosswalk'!A:C, 3, FALSE), VLOOKUP(M105, 'NAICS OES crosswalk'!A:C, 3, FALSE))</f>
        <v>#N/A</v>
      </c>
      <c r="U105" s="188">
        <v>41300010703</v>
      </c>
      <c r="V105" s="11" t="s">
        <v>834</v>
      </c>
      <c r="W105" s="11"/>
      <c r="X105" s="11">
        <v>0.13341178749999999</v>
      </c>
      <c r="Y105" s="11" t="b">
        <f t="shared" si="1"/>
        <v>0</v>
      </c>
    </row>
    <row r="106" spans="1:25" x14ac:dyDescent="0.35">
      <c r="A106" s="11">
        <v>2019</v>
      </c>
      <c r="B106" s="11" t="s">
        <v>1980</v>
      </c>
      <c r="C106" s="11" t="s">
        <v>735</v>
      </c>
      <c r="D106" s="163">
        <v>110004306938</v>
      </c>
      <c r="E106" s="11" t="s">
        <v>336</v>
      </c>
      <c r="F106" s="11" t="s">
        <v>337</v>
      </c>
      <c r="G106" s="11" t="s">
        <v>736</v>
      </c>
      <c r="H106" s="11" t="s">
        <v>221</v>
      </c>
      <c r="I106" s="11" t="s">
        <v>1982</v>
      </c>
      <c r="J106" s="11">
        <v>36.122100000000003</v>
      </c>
      <c r="K106" s="11">
        <v>-115.17139</v>
      </c>
      <c r="L106" s="11">
        <v>7011</v>
      </c>
      <c r="M106" s="11">
        <v>7011</v>
      </c>
      <c r="N106" s="175" t="str">
        <f>VLOOKUP(M106, '2017 SIC to NAICS'!A:D, 2)</f>
        <v>Hotels and Motels</v>
      </c>
      <c r="P106" s="187" t="str">
        <f>VLOOKUP(M106, '2017 SIC to NAICS'!A:D, 4)</f>
        <v>All Other Traveler Accommodation</v>
      </c>
      <c r="Q106" s="176" t="e">
        <f>IFERROR(VLOOKUP(O106, 'NAICS OES crosswalk'!A:C, 3, FALSE), VLOOKUP(M106, 'NAICS OES crosswalk'!A:C, 3, FALSE))</f>
        <v>#N/A</v>
      </c>
      <c r="U106" s="188">
        <v>150100150604</v>
      </c>
      <c r="V106" s="11" t="s">
        <v>738</v>
      </c>
      <c r="W106" s="11"/>
      <c r="X106" s="11">
        <v>0.1224687374375</v>
      </c>
      <c r="Y106" s="11" t="b">
        <f t="shared" si="1"/>
        <v>0</v>
      </c>
    </row>
    <row r="107" spans="1:25" x14ac:dyDescent="0.35">
      <c r="A107" s="11">
        <v>2019</v>
      </c>
      <c r="B107" s="11" t="s">
        <v>1980</v>
      </c>
      <c r="C107" s="11" t="s">
        <v>1601</v>
      </c>
      <c r="D107" s="163">
        <v>110058286331</v>
      </c>
      <c r="E107" s="11" t="s">
        <v>456</v>
      </c>
      <c r="F107" s="11" t="s">
        <v>457</v>
      </c>
      <c r="G107" s="11" t="s">
        <v>1602</v>
      </c>
      <c r="H107" s="11" t="s">
        <v>458</v>
      </c>
      <c r="I107" s="11" t="s">
        <v>1982</v>
      </c>
      <c r="J107" s="11">
        <v>41.678610999999997</v>
      </c>
      <c r="K107" s="11">
        <v>-84.325556000000006</v>
      </c>
      <c r="L107" s="11">
        <v>8999</v>
      </c>
      <c r="M107" s="11">
        <v>8999</v>
      </c>
      <c r="N107" s="175" t="str">
        <f>VLOOKUP(M107, '2017 SIC to NAICS'!A:D, 2)</f>
        <v>Services, Nec</v>
      </c>
      <c r="P107" s="187" t="str">
        <f>VLOOKUP(M107, '2017 SIC to NAICS'!A:D, 4)</f>
        <v>Independent Artists, Writers, and
Performers</v>
      </c>
      <c r="Q107" s="176" t="e">
        <f>IFERROR(VLOOKUP(O107, 'NAICS OES crosswalk'!A:C, 3, FALSE), VLOOKUP(M107, 'NAICS OES crosswalk'!A:C, 3, FALSE))</f>
        <v>#N/A</v>
      </c>
      <c r="U107" s="188">
        <v>41000060202</v>
      </c>
      <c r="V107" s="11" t="s">
        <v>1603</v>
      </c>
      <c r="W107" s="11"/>
      <c r="X107" s="11">
        <v>0.106970801721</v>
      </c>
      <c r="Y107" s="11" t="b">
        <f t="shared" si="1"/>
        <v>0</v>
      </c>
    </row>
    <row r="108" spans="1:25" ht="16.5" customHeight="1" x14ac:dyDescent="0.35">
      <c r="A108" s="11">
        <v>2019</v>
      </c>
      <c r="B108" s="11" t="s">
        <v>1980</v>
      </c>
      <c r="C108" s="11" t="s">
        <v>1571</v>
      </c>
      <c r="D108" s="163">
        <v>110000326193</v>
      </c>
      <c r="E108" s="11" t="s">
        <v>459</v>
      </c>
      <c r="F108" s="11" t="s">
        <v>460</v>
      </c>
      <c r="G108" s="11" t="s">
        <v>1572</v>
      </c>
      <c r="H108" s="11" t="s">
        <v>126</v>
      </c>
      <c r="I108" s="11" t="s">
        <v>1981</v>
      </c>
      <c r="J108" s="11">
        <v>42.308895999999997</v>
      </c>
      <c r="K108" s="11">
        <v>-75.397531999999998</v>
      </c>
      <c r="L108" s="11">
        <v>3471</v>
      </c>
      <c r="M108" s="11">
        <v>3471</v>
      </c>
      <c r="N108" s="175" t="str">
        <f>VLOOKUP(M108, '2017 SIC to NAICS'!A:D, 2)</f>
        <v>Plating and Polishing</v>
      </c>
      <c r="P108" s="187" t="str">
        <f>VLOOKUP(M108, '2017 SIC to NAICS'!A:D, 4)</f>
        <v>Electroplating, Plating, Polishing,
Anodizing, and Coloring</v>
      </c>
      <c r="Q108" s="176" t="e">
        <f>IFERROR(VLOOKUP(O108, 'NAICS OES crosswalk'!A:C, 3, FALSE), VLOOKUP(M108, 'NAICS OES crosswalk'!A:C, 3, FALSE))</f>
        <v>#N/A</v>
      </c>
      <c r="U108" s="188">
        <v>20501011105</v>
      </c>
      <c r="V108" s="11" t="s">
        <v>1573</v>
      </c>
      <c r="W108" s="11"/>
      <c r="X108" s="11">
        <v>0.106831946725</v>
      </c>
      <c r="Y108" s="11" t="b">
        <f t="shared" si="1"/>
        <v>0</v>
      </c>
    </row>
    <row r="109" spans="1:25" x14ac:dyDescent="0.35">
      <c r="A109" s="11">
        <v>2019</v>
      </c>
      <c r="B109" s="11" t="s">
        <v>1980</v>
      </c>
      <c r="C109" s="11" t="s">
        <v>1332</v>
      </c>
      <c r="D109" s="163">
        <v>110064621805</v>
      </c>
      <c r="E109" s="11" t="s">
        <v>449</v>
      </c>
      <c r="F109" s="11" t="s">
        <v>450</v>
      </c>
      <c r="G109" s="11" t="s">
        <v>1333</v>
      </c>
      <c r="H109" s="11" t="s">
        <v>451</v>
      </c>
      <c r="I109" s="11" t="s">
        <v>1981</v>
      </c>
      <c r="J109" s="11">
        <v>41.952649999999998</v>
      </c>
      <c r="K109" s="11">
        <v>-71.269720000000007</v>
      </c>
      <c r="L109" s="11">
        <v>3356</v>
      </c>
      <c r="M109" s="11">
        <v>3356</v>
      </c>
      <c r="N109" s="175" t="str">
        <f>VLOOKUP(M109, '2017 SIC to NAICS'!A:D, 2)</f>
        <v>Nonferrous Rolling and Drawing, Nec</v>
      </c>
      <c r="P109" s="187" t="str">
        <f>VLOOKUP(M109, '2017 SIC to NAICS'!A:D, 4)</f>
        <v>Nonferrous Metal (except Copper and Aluminum) Rolling, Drawing, and Extruding</v>
      </c>
      <c r="Q109" s="176" t="e">
        <f>IFERROR(VLOOKUP(O109, 'NAICS OES crosswalk'!A:C, 3, FALSE), VLOOKUP(M109, 'NAICS OES crosswalk'!A:C, 3, FALSE))</f>
        <v>#N/A</v>
      </c>
      <c r="U109" s="188">
        <v>10900040401</v>
      </c>
      <c r="V109" s="11" t="s">
        <v>1334</v>
      </c>
      <c r="W109" s="11"/>
      <c r="X109" s="11">
        <v>0.10537091117625</v>
      </c>
      <c r="Y109" s="11" t="b">
        <f t="shared" si="1"/>
        <v>0</v>
      </c>
    </row>
    <row r="110" spans="1:25" ht="29" x14ac:dyDescent="0.35">
      <c r="A110" s="11">
        <v>2019</v>
      </c>
      <c r="B110" s="11" t="s">
        <v>1980</v>
      </c>
      <c r="C110" s="11" t="s">
        <v>937</v>
      </c>
      <c r="D110" s="163">
        <v>110055984957</v>
      </c>
      <c r="E110" s="11" t="s">
        <v>465</v>
      </c>
      <c r="F110" s="11" t="s">
        <v>466</v>
      </c>
      <c r="G110" s="11" t="s">
        <v>466</v>
      </c>
      <c r="H110" s="11" t="s">
        <v>102</v>
      </c>
      <c r="I110" s="11" t="s">
        <v>1982</v>
      </c>
      <c r="J110" s="11">
        <v>39.191054000000001</v>
      </c>
      <c r="K110" s="11">
        <v>-122.023129</v>
      </c>
      <c r="L110" s="11">
        <v>4952</v>
      </c>
      <c r="M110" s="11">
        <v>4952</v>
      </c>
      <c r="N110" s="175" t="str">
        <f>VLOOKUP(M110, '2017 SIC to NAICS'!A:D, 2)</f>
        <v>Sewerage Systems</v>
      </c>
      <c r="O110" s="11">
        <v>221320</v>
      </c>
      <c r="P110" s="187" t="str">
        <f>VLOOKUP(M110, '2017 SIC to NAICS'!A:D, 4)</f>
        <v>Sewage Treatment Facilities</v>
      </c>
      <c r="Q110" s="176" t="str">
        <f>IFERROR(VLOOKUP(O110, 'NAICS OES crosswalk'!A:C, 3, FALSE), VLOOKUP(M110, 'NAICS OES crosswalk'!A:C, 3, FALSE))</f>
        <v>Waste handling, disposal, and treatment</v>
      </c>
      <c r="U110" s="188">
        <v>180201040807</v>
      </c>
      <c r="V110" s="11" t="s">
        <v>938</v>
      </c>
      <c r="W110" s="11"/>
      <c r="X110" s="11">
        <v>0.100571992</v>
      </c>
      <c r="Y110" s="11" t="b">
        <f t="shared" si="1"/>
        <v>0</v>
      </c>
    </row>
    <row r="111" spans="1:25" x14ac:dyDescent="0.35">
      <c r="A111" s="11">
        <v>2019</v>
      </c>
      <c r="B111" s="11" t="s">
        <v>1980</v>
      </c>
      <c r="C111" s="11" t="s">
        <v>1048</v>
      </c>
      <c r="D111" s="163">
        <v>110000500459</v>
      </c>
      <c r="E111" s="11" t="s">
        <v>454</v>
      </c>
      <c r="F111" s="11" t="s">
        <v>455</v>
      </c>
      <c r="G111" s="11" t="s">
        <v>801</v>
      </c>
      <c r="H111" s="11" t="s">
        <v>111</v>
      </c>
      <c r="I111" s="11" t="s">
        <v>1982</v>
      </c>
      <c r="J111" s="11">
        <v>42.468611000000003</v>
      </c>
      <c r="K111" s="11">
        <v>-89.065550000000002</v>
      </c>
      <c r="L111" s="11">
        <v>4225</v>
      </c>
      <c r="M111" s="11">
        <v>4225</v>
      </c>
      <c r="N111" s="175" t="str">
        <f>VLOOKUP(M111, '2017 SIC to NAICS'!A:D, 2)</f>
        <v>General Warehousing and Storage</v>
      </c>
      <c r="P111" s="187" t="str">
        <f>VLOOKUP(M111, '2017 SIC to NAICS'!A:D, 4)</f>
        <v>Lessors of Miniwarehouses and Self-
Storage Units</v>
      </c>
      <c r="Q111" s="176" t="e">
        <f>IFERROR(VLOOKUP(O111, 'NAICS OES crosswalk'!A:C, 3, FALSE), VLOOKUP(M111, 'NAICS OES crosswalk'!A:C, 3, FALSE))</f>
        <v>#N/A</v>
      </c>
      <c r="U111" s="188">
        <v>70900021502</v>
      </c>
      <c r="V111" s="11" t="s">
        <v>1049</v>
      </c>
      <c r="W111" s="11"/>
      <c r="X111" s="11">
        <v>9.9973204999999996E-2</v>
      </c>
      <c r="Y111" s="11" t="b">
        <f t="shared" si="1"/>
        <v>0</v>
      </c>
    </row>
    <row r="112" spans="1:25" x14ac:dyDescent="0.35">
      <c r="A112" s="11">
        <v>2019</v>
      </c>
      <c r="B112" s="11" t="s">
        <v>1980</v>
      </c>
      <c r="C112" s="11" t="s">
        <v>1358</v>
      </c>
      <c r="D112" s="163">
        <v>110000408238</v>
      </c>
      <c r="E112" s="11" t="s">
        <v>499</v>
      </c>
      <c r="F112" s="11" t="s">
        <v>500</v>
      </c>
      <c r="G112" s="11" t="s">
        <v>1359</v>
      </c>
      <c r="H112" s="11" t="s">
        <v>181</v>
      </c>
      <c r="I112" s="11" t="s">
        <v>1982</v>
      </c>
      <c r="J112" s="11">
        <v>43.185969999999998</v>
      </c>
      <c r="K112" s="11">
        <v>-85.256680000000003</v>
      </c>
      <c r="L112" s="11">
        <v>3632</v>
      </c>
      <c r="M112" s="11">
        <v>3632</v>
      </c>
      <c r="N112" s="175" t="str">
        <f>VLOOKUP(M112, '2017 SIC to NAICS'!A:D, 2)</f>
        <v>Household Refrigerators and Freezers</v>
      </c>
      <c r="O112" s="11">
        <v>333415</v>
      </c>
      <c r="P112" s="187" t="str">
        <f>VLOOKUP(M112, '2017 SIC to NAICS'!A:D, 4)</f>
        <v>Major Household Appliance Manufacturing</v>
      </c>
      <c r="Q112" s="176" t="e">
        <f>IFERROR(VLOOKUP(O112, 'NAICS OES crosswalk'!A:C, 3, FALSE), VLOOKUP(M112, 'NAICS OES crosswalk'!A:C, 3, FALSE))</f>
        <v>#N/A</v>
      </c>
      <c r="U112" s="188">
        <v>40500060206</v>
      </c>
      <c r="V112" s="11" t="s">
        <v>1362</v>
      </c>
      <c r="W112" s="11"/>
      <c r="X112" s="11">
        <v>5.5560772000000001E-2</v>
      </c>
      <c r="Y112" s="11" t="b">
        <f t="shared" si="1"/>
        <v>0</v>
      </c>
    </row>
    <row r="113" spans="1:25" ht="29" x14ac:dyDescent="0.35">
      <c r="A113" s="11">
        <v>2019</v>
      </c>
      <c r="B113" s="11" t="s">
        <v>1980</v>
      </c>
      <c r="C113" s="11" t="s">
        <v>980</v>
      </c>
      <c r="D113" s="163">
        <v>110000730825</v>
      </c>
      <c r="E113" s="11" t="s">
        <v>412</v>
      </c>
      <c r="F113" s="11" t="s">
        <v>413</v>
      </c>
      <c r="G113" s="11" t="s">
        <v>790</v>
      </c>
      <c r="H113" s="11" t="s">
        <v>102</v>
      </c>
      <c r="I113" s="11" t="s">
        <v>1981</v>
      </c>
      <c r="J113" s="11">
        <v>32.664450000000002</v>
      </c>
      <c r="K113" s="11">
        <v>-115.55970499999999</v>
      </c>
      <c r="L113" s="11">
        <v>4952</v>
      </c>
      <c r="M113" s="11">
        <v>4952</v>
      </c>
      <c r="N113" s="175" t="str">
        <f>VLOOKUP(M113, '2017 SIC to NAICS'!A:D, 2)</f>
        <v>Sewerage Systems</v>
      </c>
      <c r="P113" s="187" t="str">
        <f>VLOOKUP(M113, '2017 SIC to NAICS'!A:D, 4)</f>
        <v>Sewage Treatment Facilities</v>
      </c>
      <c r="Q113" s="176" t="str">
        <f>IFERROR(VLOOKUP(O113, 'NAICS OES crosswalk'!A:C, 3, FALSE), VLOOKUP(M113, 'NAICS OES crosswalk'!A:C, 3, FALSE))</f>
        <v>Waste handling, disposal, and treatment</v>
      </c>
      <c r="U113" s="188">
        <v>181002040902</v>
      </c>
      <c r="V113" s="11" t="s">
        <v>972</v>
      </c>
      <c r="W113" s="11"/>
      <c r="X113" s="11">
        <v>8.5136478124999998E-2</v>
      </c>
      <c r="Y113" s="11" t="b">
        <f t="shared" si="1"/>
        <v>0</v>
      </c>
    </row>
    <row r="114" spans="1:25" x14ac:dyDescent="0.35">
      <c r="A114" s="11">
        <v>2019</v>
      </c>
      <c r="B114" s="11" t="s">
        <v>1980</v>
      </c>
      <c r="C114" s="11" t="s">
        <v>1597</v>
      </c>
      <c r="D114" s="163">
        <v>110015744024</v>
      </c>
      <c r="E114" s="11" t="s">
        <v>469</v>
      </c>
      <c r="F114" s="11" t="s">
        <v>470</v>
      </c>
      <c r="G114" s="11" t="s">
        <v>1598</v>
      </c>
      <c r="H114" s="11" t="s">
        <v>126</v>
      </c>
      <c r="I114" s="11" t="s">
        <v>1982</v>
      </c>
      <c r="J114" s="11">
        <v>42.025620000000004</v>
      </c>
      <c r="K114" s="11">
        <v>-74.099329999999995</v>
      </c>
      <c r="L114" s="11">
        <v>9511</v>
      </c>
      <c r="M114" s="11">
        <v>9511</v>
      </c>
      <c r="N114" s="175" t="str">
        <f>VLOOKUP(M114, '2017 SIC to NAICS'!A:D, 2)</f>
        <v>Air, Water, and Solid Waste Management</v>
      </c>
      <c r="P114" s="187" t="str">
        <f>VLOOKUP(M114, '2017 SIC to NAICS'!A:D, 4)</f>
        <v>Administration of Air and Water Resource
and Solid Waste Management Programs</v>
      </c>
      <c r="Q114" s="176" t="e">
        <f>IFERROR(VLOOKUP(O114, 'NAICS OES crosswalk'!A:C, 3, FALSE), VLOOKUP(M114, 'NAICS OES crosswalk'!A:C, 3, FALSE))</f>
        <v>#N/A</v>
      </c>
      <c r="U114" s="188">
        <v>20200060907</v>
      </c>
      <c r="V114" s="11" t="s">
        <v>1599</v>
      </c>
      <c r="W114" s="11"/>
      <c r="X114" s="11">
        <v>8.32701419375E-2</v>
      </c>
      <c r="Y114" s="11" t="b">
        <f t="shared" si="1"/>
        <v>0</v>
      </c>
    </row>
    <row r="115" spans="1:25" x14ac:dyDescent="0.35">
      <c r="A115" s="11">
        <v>2019</v>
      </c>
      <c r="B115" s="11" t="s">
        <v>1980</v>
      </c>
      <c r="C115" s="11" t="s">
        <v>1625</v>
      </c>
      <c r="D115" s="163">
        <v>110064634686</v>
      </c>
      <c r="E115" s="11" t="s">
        <v>461</v>
      </c>
      <c r="F115" s="11" t="s">
        <v>462</v>
      </c>
      <c r="G115" s="11" t="s">
        <v>1626</v>
      </c>
      <c r="H115" s="11" t="s">
        <v>340</v>
      </c>
      <c r="I115" s="11" t="s">
        <v>1981</v>
      </c>
      <c r="J115" s="11">
        <v>40.095258000000001</v>
      </c>
      <c r="K115" s="11">
        <v>-74.877359999999996</v>
      </c>
      <c r="L115" s="11">
        <v>2821</v>
      </c>
      <c r="M115" s="11">
        <v>2821</v>
      </c>
      <c r="N115" s="175" t="str">
        <f>VLOOKUP(M115, '2017 SIC to NAICS'!A:D, 2)</f>
        <v>Plastics Materials and Resins</v>
      </c>
      <c r="P115" s="187" t="str">
        <f>VLOOKUP(M115, '2017 SIC to NAICS'!A:D, 4)</f>
        <v>Plastics Material and Resin Manufacturing</v>
      </c>
      <c r="Q115" s="176" t="str">
        <f>IFERROR(VLOOKUP(O115, 'NAICS OES crosswalk'!A:C, 3, FALSE), VLOOKUP(M115, 'NAICS OES crosswalk'!A:C, 3, FALSE))</f>
        <v>Processing as a reactant</v>
      </c>
      <c r="U115" s="188">
        <v>20402010405</v>
      </c>
      <c r="V115" s="11" t="s">
        <v>1627</v>
      </c>
      <c r="W115" s="11"/>
      <c r="X115" s="11">
        <v>8.2900399999999999E-2</v>
      </c>
      <c r="Y115" s="11" t="b">
        <f t="shared" si="1"/>
        <v>0</v>
      </c>
    </row>
    <row r="116" spans="1:25" x14ac:dyDescent="0.35">
      <c r="A116" s="11">
        <v>2019</v>
      </c>
      <c r="B116" s="11" t="s">
        <v>1980</v>
      </c>
      <c r="C116" s="11" t="s">
        <v>1631</v>
      </c>
      <c r="D116" s="163">
        <v>110000772628</v>
      </c>
      <c r="E116" s="11" t="s">
        <v>416</v>
      </c>
      <c r="F116" s="11" t="s">
        <v>417</v>
      </c>
      <c r="G116" s="11" t="s">
        <v>1626</v>
      </c>
      <c r="H116" s="11" t="s">
        <v>340</v>
      </c>
      <c r="I116" s="11" t="s">
        <v>1982</v>
      </c>
      <c r="J116" s="11">
        <v>40.177332</v>
      </c>
      <c r="K116" s="11">
        <v>-74.800439999999995</v>
      </c>
      <c r="L116" s="11">
        <v>2819</v>
      </c>
      <c r="M116" s="11">
        <v>2819</v>
      </c>
      <c r="N116" s="175" t="str">
        <f>VLOOKUP(M116, '2017 SIC to NAICS'!A:D, 2)</f>
        <v>Industrial Inorganic Chemicals, Nec</v>
      </c>
      <c r="P116" s="187" t="str">
        <f>VLOOKUP(M116, '2017 SIC to NAICS'!A:D, 4)</f>
        <v>Alumina Refining and Primary Aluminum
Production</v>
      </c>
      <c r="Q116" s="176" t="str">
        <f>IFERROR(VLOOKUP(O116, 'NAICS OES crosswalk'!A:C, 3, FALSE), VLOOKUP(M116, 'NAICS OES crosswalk'!A:C, 3, FALSE))</f>
        <v>Processing as a reactant</v>
      </c>
      <c r="U116" s="188">
        <v>20402010403</v>
      </c>
      <c r="V116" s="11" t="s">
        <v>1632</v>
      </c>
      <c r="W116" s="11"/>
      <c r="X116" s="11">
        <v>8.2891500000000007E-2</v>
      </c>
      <c r="Y116" s="11" t="b">
        <f t="shared" si="1"/>
        <v>0</v>
      </c>
    </row>
    <row r="117" spans="1:25" x14ac:dyDescent="0.35">
      <c r="A117" s="11">
        <v>2019</v>
      </c>
      <c r="B117" s="11" t="s">
        <v>1980</v>
      </c>
      <c r="C117" s="11" t="s">
        <v>1560</v>
      </c>
      <c r="D117" s="163">
        <v>110041253256</v>
      </c>
      <c r="E117" s="11" t="s">
        <v>444</v>
      </c>
      <c r="F117" s="11" t="s">
        <v>337</v>
      </c>
      <c r="G117" s="11" t="s">
        <v>823</v>
      </c>
      <c r="H117" s="11" t="s">
        <v>221</v>
      </c>
      <c r="I117" s="11" t="s">
        <v>1982</v>
      </c>
      <c r="J117" s="11">
        <v>36.132570000000001</v>
      </c>
      <c r="K117" s="11">
        <v>-115.16477</v>
      </c>
      <c r="L117" s="11">
        <v>7011</v>
      </c>
      <c r="M117" s="11">
        <v>7011</v>
      </c>
      <c r="N117" s="175" t="str">
        <f>VLOOKUP(M117, '2017 SIC to NAICS'!A:D, 2)</f>
        <v>Hotels and Motels</v>
      </c>
      <c r="O117" s="11">
        <v>721120</v>
      </c>
      <c r="P117" s="187" t="str">
        <f>VLOOKUP(M117, '2017 SIC to NAICS'!A:D, 4)</f>
        <v>All Other Traveler Accommodation</v>
      </c>
      <c r="Q117" s="176" t="e">
        <f>IFERROR(VLOOKUP(O117, 'NAICS OES crosswalk'!A:C, 3, FALSE), VLOOKUP(M117, 'NAICS OES crosswalk'!A:C, 3, FALSE))</f>
        <v>#N/A</v>
      </c>
      <c r="U117" s="188">
        <v>150100150604</v>
      </c>
      <c r="V117" s="11" t="s">
        <v>738</v>
      </c>
      <c r="W117" s="11"/>
      <c r="X117" s="11">
        <v>7.8746924999999995E-2</v>
      </c>
      <c r="Y117" s="11" t="b">
        <f t="shared" si="1"/>
        <v>0</v>
      </c>
    </row>
    <row r="118" spans="1:25" x14ac:dyDescent="0.35">
      <c r="A118" s="11">
        <v>2019</v>
      </c>
      <c r="B118" s="11" t="s">
        <v>1980</v>
      </c>
      <c r="C118" s="11" t="s">
        <v>1568</v>
      </c>
      <c r="D118" s="163">
        <v>110000737365</v>
      </c>
      <c r="E118" s="11" t="s">
        <v>588</v>
      </c>
      <c r="F118" s="11" t="s">
        <v>589</v>
      </c>
      <c r="G118" s="11" t="s">
        <v>831</v>
      </c>
      <c r="H118" s="11" t="s">
        <v>126</v>
      </c>
      <c r="I118" s="11" t="s">
        <v>1981</v>
      </c>
      <c r="J118" s="11">
        <v>43.129750000000001</v>
      </c>
      <c r="K118" s="11">
        <v>-78.939679999999996</v>
      </c>
      <c r="L118" s="11">
        <v>9511</v>
      </c>
      <c r="M118" s="11">
        <v>9511</v>
      </c>
      <c r="N118" s="175" t="str">
        <f>VLOOKUP(M118, '2017 SIC to NAICS'!A:D, 2)</f>
        <v>Air, Water, and Solid Waste Management</v>
      </c>
      <c r="P118" s="187" t="str">
        <f>VLOOKUP(M118, '2017 SIC to NAICS'!A:D, 4)</f>
        <v>Administration of Air and Water Resource
and Solid Waste Management Programs</v>
      </c>
      <c r="Q118" s="176" t="e">
        <f>IFERROR(VLOOKUP(O118, 'NAICS OES crosswalk'!A:C, 3, FALSE), VLOOKUP(M118, 'NAICS OES crosswalk'!A:C, 3, FALSE))</f>
        <v>#N/A</v>
      </c>
      <c r="U118" s="188">
        <v>41201040603</v>
      </c>
      <c r="V118" s="11" t="s">
        <v>1569</v>
      </c>
      <c r="W118" s="11"/>
      <c r="X118" s="11">
        <v>1.4576963025224999E-2</v>
      </c>
      <c r="Y118" s="11" t="b">
        <f t="shared" si="1"/>
        <v>0</v>
      </c>
    </row>
    <row r="119" spans="1:25" x14ac:dyDescent="0.35">
      <c r="A119" s="11">
        <v>2019</v>
      </c>
      <c r="B119" s="11" t="s">
        <v>1980</v>
      </c>
      <c r="C119" s="11" t="s">
        <v>1388</v>
      </c>
      <c r="D119" s="163">
        <v>110001301074</v>
      </c>
      <c r="E119" s="11" t="s">
        <v>441</v>
      </c>
      <c r="F119" s="11" t="s">
        <v>357</v>
      </c>
      <c r="G119" s="11" t="s">
        <v>1389</v>
      </c>
      <c r="H119" s="11" t="s">
        <v>181</v>
      </c>
      <c r="I119" s="11" t="s">
        <v>1982</v>
      </c>
      <c r="J119" s="11">
        <v>44.260753000000001</v>
      </c>
      <c r="K119" s="11">
        <v>-85.408919999999995</v>
      </c>
      <c r="L119" s="11">
        <v>3635</v>
      </c>
      <c r="M119" s="11">
        <v>3635</v>
      </c>
      <c r="N119" s="175" t="str">
        <f>VLOOKUP(M119, '2017 SIC to NAICS'!A:D, 2)</f>
        <v>Household Vacuum Cleaners</v>
      </c>
      <c r="O119" s="11">
        <v>335210</v>
      </c>
      <c r="P119" s="187" t="str">
        <f>VLOOKUP(M119, '2017 SIC to NAICS'!A:D, 4)</f>
        <v>Small Electrical Appliance Manufacturing</v>
      </c>
      <c r="Q119" s="176" t="e">
        <f>IFERROR(VLOOKUP(O119, 'NAICS OES crosswalk'!A:C, 3, FALSE), VLOOKUP(M119, 'NAICS OES crosswalk'!A:C, 3, FALSE))</f>
        <v>#N/A</v>
      </c>
      <c r="U119" s="188">
        <v>40601020303</v>
      </c>
      <c r="V119" s="11" t="s">
        <v>1390</v>
      </c>
      <c r="W119" s="11"/>
      <c r="X119" s="11">
        <v>7.0594034999999999E-2</v>
      </c>
      <c r="Y119" s="11" t="b">
        <f t="shared" si="1"/>
        <v>0</v>
      </c>
    </row>
    <row r="120" spans="1:25" ht="29" x14ac:dyDescent="0.35">
      <c r="A120" s="11">
        <v>2019</v>
      </c>
      <c r="B120" s="11" t="s">
        <v>1980</v>
      </c>
      <c r="C120" s="11" t="s">
        <v>888</v>
      </c>
      <c r="D120" s="163">
        <v>110000730451</v>
      </c>
      <c r="E120" s="11" t="s">
        <v>486</v>
      </c>
      <c r="F120" s="11" t="s">
        <v>415</v>
      </c>
      <c r="G120" s="11" t="s">
        <v>889</v>
      </c>
      <c r="H120" s="11" t="s">
        <v>102</v>
      </c>
      <c r="I120" s="11" t="s">
        <v>1981</v>
      </c>
      <c r="J120" s="11">
        <v>39.916111000000001</v>
      </c>
      <c r="K120" s="11">
        <v>-122.104444</v>
      </c>
      <c r="L120" s="11">
        <v>4952</v>
      </c>
      <c r="M120" s="11">
        <v>4952</v>
      </c>
      <c r="N120" s="175" t="str">
        <f>VLOOKUP(M120, '2017 SIC to NAICS'!A:D, 2)</f>
        <v>Sewerage Systems</v>
      </c>
      <c r="P120" s="187" t="str">
        <f>VLOOKUP(M120, '2017 SIC to NAICS'!A:D, 4)</f>
        <v>Sewage Treatment Facilities</v>
      </c>
      <c r="Q120" s="176" t="str">
        <f>IFERROR(VLOOKUP(O120, 'NAICS OES crosswalk'!A:C, 3, FALSE), VLOOKUP(M120, 'NAICS OES crosswalk'!A:C, 3, FALSE))</f>
        <v>Waste handling, disposal, and treatment</v>
      </c>
      <c r="U120" s="188">
        <v>180201570701</v>
      </c>
      <c r="V120" s="11" t="s">
        <v>890</v>
      </c>
      <c r="W120" s="11"/>
      <c r="X120" s="11">
        <v>6.7778701533333305E-2</v>
      </c>
      <c r="Y120" s="11" t="b">
        <f t="shared" si="1"/>
        <v>0</v>
      </c>
    </row>
    <row r="121" spans="1:25" x14ac:dyDescent="0.35">
      <c r="A121" s="11">
        <v>2019</v>
      </c>
      <c r="B121" s="11" t="s">
        <v>1980</v>
      </c>
      <c r="C121" s="11" t="s">
        <v>730</v>
      </c>
      <c r="D121" s="163">
        <v>110017979810</v>
      </c>
      <c r="E121" s="11" t="s">
        <v>309</v>
      </c>
      <c r="F121" s="11" t="s">
        <v>158</v>
      </c>
      <c r="G121" s="11" t="s">
        <v>434</v>
      </c>
      <c r="H121" s="11" t="s">
        <v>129</v>
      </c>
      <c r="I121" s="11" t="s">
        <v>1982</v>
      </c>
      <c r="J121" s="11">
        <v>38.959018999999998</v>
      </c>
      <c r="K121" s="11">
        <v>-94.576569000000006</v>
      </c>
      <c r="L121" s="11">
        <v>6552</v>
      </c>
      <c r="M121" s="11">
        <v>6552</v>
      </c>
      <c r="N121" s="175" t="str">
        <f>VLOOKUP(M121, '2017 SIC to NAICS'!A:D, 2)</f>
        <v>Subdividers and Developers, Nec</v>
      </c>
      <c r="P121" s="187" t="str">
        <f>VLOOKUP(M121, '2017 SIC to NAICS'!A:D, 4)</f>
        <v>Land Subdivision</v>
      </c>
      <c r="Q121" s="176" t="e">
        <f>IFERROR(VLOOKUP(O121, 'NAICS OES crosswalk'!A:C, 3, FALSE), VLOOKUP(M121, 'NAICS OES crosswalk'!A:C, 3, FALSE))</f>
        <v>#N/A</v>
      </c>
      <c r="U121" s="188">
        <v>103001010105</v>
      </c>
      <c r="V121" s="11" t="s">
        <v>733</v>
      </c>
      <c r="W121" s="11"/>
      <c r="X121" s="11">
        <v>6.4134932500000005E-2</v>
      </c>
      <c r="Y121" s="11" t="b">
        <f t="shared" si="1"/>
        <v>0</v>
      </c>
    </row>
    <row r="122" spans="1:25" x14ac:dyDescent="0.35">
      <c r="A122" s="11">
        <v>2019</v>
      </c>
      <c r="B122" s="11" t="s">
        <v>1980</v>
      </c>
      <c r="C122" s="11" t="s">
        <v>1522</v>
      </c>
      <c r="D122" s="163">
        <v>110070219521</v>
      </c>
      <c r="E122" s="11" t="s">
        <v>471</v>
      </c>
      <c r="F122" s="11" t="s">
        <v>472</v>
      </c>
      <c r="G122" s="11" t="s">
        <v>1163</v>
      </c>
      <c r="H122" s="11" t="s">
        <v>254</v>
      </c>
      <c r="I122" s="11" t="s">
        <v>1982</v>
      </c>
      <c r="J122" s="11">
        <v>40.393389999999997</v>
      </c>
      <c r="K122" s="11">
        <v>-74.758080000000007</v>
      </c>
      <c r="M122" s="11"/>
      <c r="N122" s="175" t="e">
        <f>VLOOKUP(M122, '2017 SIC to NAICS'!A:D, 2)</f>
        <v>#N/A</v>
      </c>
      <c r="P122" s="187" t="e">
        <f>VLOOKUP(M122, '2017 SIC to NAICS'!A:D, 4)</f>
        <v>#N/A</v>
      </c>
      <c r="Q122" s="176" t="e">
        <f>IFERROR(VLOOKUP(O122, 'NAICS OES crosswalk'!A:C, 3, FALSE), VLOOKUP(M122, 'NAICS OES crosswalk'!A:C, 3, FALSE))</f>
        <v>#N/A</v>
      </c>
      <c r="U122" s="188">
        <v>20301050309</v>
      </c>
      <c r="V122" s="11" t="s">
        <v>1523</v>
      </c>
      <c r="W122" s="11"/>
      <c r="X122" s="11">
        <v>6.0172605249999997E-2</v>
      </c>
      <c r="Y122" s="11" t="b">
        <f t="shared" si="1"/>
        <v>0</v>
      </c>
    </row>
    <row r="123" spans="1:25" x14ac:dyDescent="0.35">
      <c r="A123" s="11">
        <v>2019</v>
      </c>
      <c r="B123" s="11" t="s">
        <v>1980</v>
      </c>
      <c r="C123" s="11" t="s">
        <v>1554</v>
      </c>
      <c r="D123" s="163">
        <v>110008995490</v>
      </c>
      <c r="E123" s="11" t="s">
        <v>394</v>
      </c>
      <c r="F123" s="11" t="s">
        <v>337</v>
      </c>
      <c r="G123" s="11" t="s">
        <v>736</v>
      </c>
      <c r="H123" s="11" t="s">
        <v>221</v>
      </c>
      <c r="I123" s="11" t="s">
        <v>1982</v>
      </c>
      <c r="J123" s="11">
        <v>36.176639999999999</v>
      </c>
      <c r="K123" s="11">
        <v>-115.12891999999999</v>
      </c>
      <c r="L123" s="11">
        <v>6513</v>
      </c>
      <c r="M123" s="11">
        <v>6513</v>
      </c>
      <c r="N123" s="175" t="str">
        <f>VLOOKUP(M123, '2017 SIC to NAICS'!A:D, 2)</f>
        <v>Apartment Building Operators</v>
      </c>
      <c r="O123" s="11">
        <v>531311</v>
      </c>
      <c r="P123" s="187" t="str">
        <f>VLOOKUP(M123, '2017 SIC to NAICS'!A:D, 4)</f>
        <v>Lessors of Residential Buildings and
Dwellings</v>
      </c>
      <c r="Q123" s="176" t="e">
        <f>IFERROR(VLOOKUP(O123, 'NAICS OES crosswalk'!A:C, 3, FALSE), VLOOKUP(M123, 'NAICS OES crosswalk'!A:C, 3, FALSE))</f>
        <v>#N/A</v>
      </c>
      <c r="U123" s="188">
        <v>150100150604</v>
      </c>
      <c r="V123" s="11" t="s">
        <v>738</v>
      </c>
      <c r="W123" s="11"/>
      <c r="X123" s="11">
        <v>5.9291599187500002E-2</v>
      </c>
      <c r="Y123" s="11" t="b">
        <f t="shared" si="1"/>
        <v>0</v>
      </c>
    </row>
    <row r="124" spans="1:25" x14ac:dyDescent="0.35">
      <c r="A124" s="11">
        <v>2019</v>
      </c>
      <c r="B124" s="11" t="s">
        <v>1980</v>
      </c>
      <c r="C124" s="11" t="s">
        <v>822</v>
      </c>
      <c r="D124" s="163">
        <v>110015972562</v>
      </c>
      <c r="E124" s="11" t="s">
        <v>381</v>
      </c>
      <c r="F124" s="11" t="s">
        <v>337</v>
      </c>
      <c r="G124" s="11" t="s">
        <v>823</v>
      </c>
      <c r="H124" s="11" t="s">
        <v>221</v>
      </c>
      <c r="I124" s="11" t="s">
        <v>1982</v>
      </c>
      <c r="J124" s="11">
        <v>36.116160999999998</v>
      </c>
      <c r="K124" s="11">
        <v>-115.172741</v>
      </c>
      <c r="L124" s="11">
        <v>7011</v>
      </c>
      <c r="M124" s="11">
        <v>7011</v>
      </c>
      <c r="N124" s="175" t="str">
        <f>VLOOKUP(M124, '2017 SIC to NAICS'!A:D, 2)</f>
        <v>Hotels and Motels</v>
      </c>
      <c r="O124" s="11">
        <v>721120</v>
      </c>
      <c r="P124" s="187" t="str">
        <f>VLOOKUP(M124, '2017 SIC to NAICS'!A:D, 4)</f>
        <v>All Other Traveler Accommodation</v>
      </c>
      <c r="Q124" s="176" t="e">
        <f>IFERROR(VLOOKUP(O124, 'NAICS OES crosswalk'!A:C, 3, FALSE), VLOOKUP(M124, 'NAICS OES crosswalk'!A:C, 3, FALSE))</f>
        <v>#N/A</v>
      </c>
      <c r="U124" s="188">
        <v>150100150604</v>
      </c>
      <c r="V124" s="11" t="s">
        <v>738</v>
      </c>
      <c r="W124" s="11"/>
      <c r="X124" s="11">
        <v>5.8473452512500003E-2</v>
      </c>
      <c r="Y124" s="11" t="b">
        <f t="shared" si="1"/>
        <v>0</v>
      </c>
    </row>
    <row r="125" spans="1:25" x14ac:dyDescent="0.35">
      <c r="A125" s="11">
        <v>2019</v>
      </c>
      <c r="B125" s="11" t="s">
        <v>1980</v>
      </c>
      <c r="C125" s="11" t="s">
        <v>1040</v>
      </c>
      <c r="D125" s="163">
        <v>110000547196</v>
      </c>
      <c r="E125" s="11" t="s">
        <v>468</v>
      </c>
      <c r="F125" s="11" t="s">
        <v>260</v>
      </c>
      <c r="G125" s="11" t="s">
        <v>1041</v>
      </c>
      <c r="H125" s="11" t="s">
        <v>111</v>
      </c>
      <c r="I125" s="11" t="s">
        <v>1982</v>
      </c>
      <c r="J125" s="11">
        <v>41.405655000000003</v>
      </c>
      <c r="K125" s="11">
        <v>-88.335212999999996</v>
      </c>
      <c r="L125" s="11">
        <v>2869</v>
      </c>
      <c r="M125" s="11">
        <v>2869</v>
      </c>
      <c r="N125" s="175" t="str">
        <f>VLOOKUP(M125, '2017 SIC to NAICS'!A:D, 2)</f>
        <v>Industrial Organic Chemicals, Nec</v>
      </c>
      <c r="P125" s="187" t="str">
        <f>VLOOKUP(M125, '2017 SIC to NAICS'!A:D, 4)</f>
        <v>All Other Miscellaneous Chemical Product and Preparation Manufacturing</v>
      </c>
      <c r="Q125" s="176" t="str">
        <f>IFERROR(VLOOKUP(O125, 'NAICS OES crosswalk'!A:C, 3, FALSE), VLOOKUP(M125, 'NAICS OES crosswalk'!A:C, 3, FALSE))</f>
        <v>Manufacturing</v>
      </c>
      <c r="U125" s="188">
        <v>71200050106</v>
      </c>
      <c r="V125" s="11" t="s">
        <v>798</v>
      </c>
      <c r="W125" s="11"/>
      <c r="X125" s="11">
        <v>5.8121079999999999E-2</v>
      </c>
      <c r="Y125" s="11" t="b">
        <f t="shared" si="1"/>
        <v>0</v>
      </c>
    </row>
    <row r="126" spans="1:25" ht="29" x14ac:dyDescent="0.35">
      <c r="A126" s="11">
        <v>2019</v>
      </c>
      <c r="B126" s="11" t="s">
        <v>1980</v>
      </c>
      <c r="C126" s="11" t="s">
        <v>911</v>
      </c>
      <c r="D126" s="163">
        <v>110064622519</v>
      </c>
      <c r="E126" s="11" t="s">
        <v>493</v>
      </c>
      <c r="F126" s="11" t="s">
        <v>494</v>
      </c>
      <c r="G126" s="11" t="s">
        <v>912</v>
      </c>
      <c r="H126" s="11" t="s">
        <v>102</v>
      </c>
      <c r="I126" s="11" t="s">
        <v>1981</v>
      </c>
      <c r="J126" s="11">
        <v>37.636249999999997</v>
      </c>
      <c r="K126" s="11">
        <v>-122.38583</v>
      </c>
      <c r="L126" s="11">
        <v>4952</v>
      </c>
      <c r="M126" s="11">
        <v>4952</v>
      </c>
      <c r="N126" s="175" t="str">
        <f>VLOOKUP(M126, '2017 SIC to NAICS'!A:D, 2)</f>
        <v>Sewerage Systems</v>
      </c>
      <c r="P126" s="187" t="str">
        <f>VLOOKUP(M126, '2017 SIC to NAICS'!A:D, 4)</f>
        <v>Sewage Treatment Facilities</v>
      </c>
      <c r="Q126" s="176" t="str">
        <f>IFERROR(VLOOKUP(O126, 'NAICS OES crosswalk'!A:C, 3, FALSE), VLOOKUP(M126, 'NAICS OES crosswalk'!A:C, 3, FALSE))</f>
        <v>Waste handling, disposal, and treatment</v>
      </c>
      <c r="U126" s="188">
        <v>180500041001</v>
      </c>
      <c r="V126" s="11" t="s">
        <v>910</v>
      </c>
      <c r="W126" s="11"/>
      <c r="X126" s="11">
        <v>5.8024050000000001E-2</v>
      </c>
      <c r="Y126" s="11" t="b">
        <f t="shared" si="1"/>
        <v>0</v>
      </c>
    </row>
    <row r="127" spans="1:25" x14ac:dyDescent="0.35">
      <c r="A127" s="11">
        <v>2019</v>
      </c>
      <c r="B127" s="11" t="s">
        <v>1980</v>
      </c>
      <c r="C127" s="11" t="s">
        <v>1765</v>
      </c>
      <c r="D127" s="163">
        <v>110000572782</v>
      </c>
      <c r="E127" s="11" t="s">
        <v>495</v>
      </c>
      <c r="F127" s="11" t="s">
        <v>496</v>
      </c>
      <c r="G127" s="11" t="s">
        <v>1766</v>
      </c>
      <c r="H127" s="11" t="s">
        <v>350</v>
      </c>
      <c r="I127" s="11" t="s">
        <v>1981</v>
      </c>
      <c r="J127" s="11">
        <v>39.599829999999997</v>
      </c>
      <c r="K127" s="11">
        <v>-79.97148</v>
      </c>
      <c r="L127" s="11">
        <v>2869</v>
      </c>
      <c r="M127" s="11">
        <v>2869</v>
      </c>
      <c r="N127" s="175" t="str">
        <f>VLOOKUP(M127, '2017 SIC to NAICS'!A:D, 2)</f>
        <v>Industrial Organic Chemicals, Nec</v>
      </c>
      <c r="P127" s="187" t="str">
        <f>VLOOKUP(M127, '2017 SIC to NAICS'!A:D, 4)</f>
        <v>All Other Miscellaneous Chemical Product and Preparation Manufacturing</v>
      </c>
      <c r="Q127" s="176" t="str">
        <f>IFERROR(VLOOKUP(O127, 'NAICS OES crosswalk'!A:C, 3, FALSE), VLOOKUP(M127, 'NAICS OES crosswalk'!A:C, 3, FALSE))</f>
        <v>Manufacturing</v>
      </c>
      <c r="U127" s="188">
        <v>50200030307</v>
      </c>
      <c r="V127" s="11" t="s">
        <v>1767</v>
      </c>
      <c r="W127" s="11"/>
      <c r="X127" s="11">
        <v>5.7998500000000001E-2</v>
      </c>
      <c r="Y127" s="11" t="b">
        <f t="shared" si="1"/>
        <v>0</v>
      </c>
    </row>
    <row r="128" spans="1:25" ht="29" x14ac:dyDescent="0.35">
      <c r="A128" s="11">
        <v>2019</v>
      </c>
      <c r="B128" s="11" t="s">
        <v>1980</v>
      </c>
      <c r="C128" s="11" t="s">
        <v>1719</v>
      </c>
      <c r="D128" s="163">
        <v>110070544905</v>
      </c>
      <c r="E128" s="11" t="s">
        <v>501</v>
      </c>
      <c r="F128" s="11" t="s">
        <v>502</v>
      </c>
      <c r="G128" s="11" t="s">
        <v>1720</v>
      </c>
      <c r="H128" s="11" t="s">
        <v>276</v>
      </c>
      <c r="I128" s="11" t="s">
        <v>1982</v>
      </c>
      <c r="J128" s="11">
        <v>38.400409000000003</v>
      </c>
      <c r="K128" s="11">
        <v>-78.895222000000004</v>
      </c>
      <c r="L128" s="11">
        <v>4953</v>
      </c>
      <c r="M128" s="11">
        <v>4953</v>
      </c>
      <c r="N128" s="175" t="str">
        <f>VLOOKUP(M128, '2017 SIC to NAICS'!A:D, 2)</f>
        <v>Refuse Systems</v>
      </c>
      <c r="P128" s="187" t="str">
        <f>VLOOKUP(M128, '2017 SIC to NAICS'!A:D, 4)</f>
        <v>Materials Recovery Facilities</v>
      </c>
      <c r="Q128" s="176" t="str">
        <f>IFERROR(VLOOKUP(O128, 'NAICS OES crosswalk'!A:C, 3, FALSE), VLOOKUP(M128, 'NAICS OES crosswalk'!A:C, 3, FALSE))</f>
        <v>Waste handling, disposal, and treatment</v>
      </c>
      <c r="U128" s="188">
        <v>20700050602</v>
      </c>
      <c r="V128" s="11" t="s">
        <v>1721</v>
      </c>
      <c r="W128" s="11"/>
      <c r="X128" s="11">
        <v>5.3779437450000002E-2</v>
      </c>
      <c r="Y128" s="11" t="b">
        <f t="shared" si="1"/>
        <v>0</v>
      </c>
    </row>
    <row r="129" spans="1:25" ht="29" x14ac:dyDescent="0.35">
      <c r="A129" s="11">
        <v>2019</v>
      </c>
      <c r="B129" s="11" t="s">
        <v>1980</v>
      </c>
      <c r="C129" s="11" t="s">
        <v>1461</v>
      </c>
      <c r="D129" s="163">
        <v>110000614746</v>
      </c>
      <c r="E129" s="11" t="s">
        <v>508</v>
      </c>
      <c r="F129" s="11" t="s">
        <v>509</v>
      </c>
      <c r="G129" s="11" t="s">
        <v>1175</v>
      </c>
      <c r="H129" s="11" t="s">
        <v>129</v>
      </c>
      <c r="I129" s="11" t="s">
        <v>1982</v>
      </c>
      <c r="J129" s="11">
        <v>39.248446999999999</v>
      </c>
      <c r="K129" s="11">
        <v>-94.293233000000001</v>
      </c>
      <c r="L129" s="11">
        <v>4953</v>
      </c>
      <c r="M129" s="11">
        <v>4953</v>
      </c>
      <c r="N129" s="175" t="str">
        <f>VLOOKUP(M129, '2017 SIC to NAICS'!A:D, 2)</f>
        <v>Refuse Systems</v>
      </c>
      <c r="P129" s="187" t="str">
        <f>VLOOKUP(M129, '2017 SIC to NAICS'!A:D, 4)</f>
        <v>Materials Recovery Facilities</v>
      </c>
      <c r="Q129" s="176" t="str">
        <f>IFERROR(VLOOKUP(O129, 'NAICS OES crosswalk'!A:C, 3, FALSE), VLOOKUP(M129, 'NAICS OES crosswalk'!A:C, 3, FALSE))</f>
        <v>Waste handling, disposal, and treatment</v>
      </c>
      <c r="U129" s="188">
        <v>103001010307</v>
      </c>
      <c r="V129" s="11" t="s">
        <v>1462</v>
      </c>
      <c r="W129" s="11"/>
      <c r="X129" s="11">
        <v>4.9800192631524999E-2</v>
      </c>
      <c r="Y129" s="11" t="b">
        <f t="shared" si="1"/>
        <v>0</v>
      </c>
    </row>
    <row r="130" spans="1:25" x14ac:dyDescent="0.35">
      <c r="A130" s="11">
        <v>2019</v>
      </c>
      <c r="B130" s="11" t="s">
        <v>1980</v>
      </c>
      <c r="C130" s="11" t="s">
        <v>1501</v>
      </c>
      <c r="D130" s="163">
        <v>110000321651</v>
      </c>
      <c r="E130" s="11" t="s">
        <v>541</v>
      </c>
      <c r="F130" s="11" t="s">
        <v>542</v>
      </c>
      <c r="G130" s="11" t="s">
        <v>818</v>
      </c>
      <c r="H130" s="11" t="s">
        <v>254</v>
      </c>
      <c r="I130" s="11" t="s">
        <v>1981</v>
      </c>
      <c r="J130" s="11">
        <v>40.331944</v>
      </c>
      <c r="K130" s="11">
        <v>-74.619721999999996</v>
      </c>
      <c r="L130" s="11">
        <v>2869</v>
      </c>
      <c r="M130" s="11">
        <v>2869</v>
      </c>
      <c r="N130" s="175" t="str">
        <f>VLOOKUP(M130, '2017 SIC to NAICS'!A:D, 2)</f>
        <v>Industrial Organic Chemicals, Nec</v>
      </c>
      <c r="O130" s="11">
        <v>325199</v>
      </c>
      <c r="P130" s="187" t="str">
        <f>VLOOKUP(M130, '2017 SIC to NAICS'!A:D, 4)</f>
        <v>All Other Miscellaneous Chemical Product and Preparation Manufacturing</v>
      </c>
      <c r="Q130" s="176" t="str">
        <f>IFERROR(VLOOKUP(O130, 'NAICS OES crosswalk'!A:C, 3, FALSE), VLOOKUP(M130, 'NAICS OES crosswalk'!A:C, 3, FALSE))</f>
        <v>Manufacturing</v>
      </c>
      <c r="U130" s="188">
        <v>20301050306</v>
      </c>
      <c r="V130" s="11" t="s">
        <v>1502</v>
      </c>
      <c r="W130" s="11"/>
      <c r="X130" s="11">
        <v>8.4749999999999999E-3</v>
      </c>
      <c r="Y130" s="11" t="b">
        <f t="shared" si="1"/>
        <v>0</v>
      </c>
    </row>
    <row r="131" spans="1:25" ht="29" x14ac:dyDescent="0.35">
      <c r="A131" s="11">
        <v>2019</v>
      </c>
      <c r="B131" s="11" t="s">
        <v>1980</v>
      </c>
      <c r="C131" s="11" t="s">
        <v>969</v>
      </c>
      <c r="D131" s="163">
        <v>110030476465</v>
      </c>
      <c r="E131" s="11" t="s">
        <v>518</v>
      </c>
      <c r="F131" s="11" t="s">
        <v>519</v>
      </c>
      <c r="G131" s="11" t="s">
        <v>790</v>
      </c>
      <c r="H131" s="11" t="s">
        <v>102</v>
      </c>
      <c r="I131" s="11" t="s">
        <v>1981</v>
      </c>
      <c r="J131" s="11">
        <v>33.017359999999996</v>
      </c>
      <c r="K131" s="11">
        <v>-115.50923</v>
      </c>
      <c r="L131" s="11">
        <v>4952</v>
      </c>
      <c r="M131" s="11">
        <v>4952</v>
      </c>
      <c r="N131" s="175" t="str">
        <f>VLOOKUP(M131, '2017 SIC to NAICS'!A:D, 2)</f>
        <v>Sewerage Systems</v>
      </c>
      <c r="P131" s="187" t="str">
        <f>VLOOKUP(M131, '2017 SIC to NAICS'!A:D, 4)</f>
        <v>Sewage Treatment Facilities</v>
      </c>
      <c r="Q131" s="176" t="str">
        <f>IFERROR(VLOOKUP(O131, 'NAICS OES crosswalk'!A:C, 3, FALSE), VLOOKUP(M131, 'NAICS OES crosswalk'!A:C, 3, FALSE))</f>
        <v>Waste handling, disposal, and treatment</v>
      </c>
      <c r="U131" s="188">
        <v>181002040705</v>
      </c>
      <c r="V131" s="11" t="s">
        <v>970</v>
      </c>
      <c r="W131" s="11"/>
      <c r="X131" s="11">
        <v>4.1860207500000003E-2</v>
      </c>
      <c r="Y131" s="11" t="b">
        <f t="shared" ref="Y131:Y194" si="2" xml:space="preserve"> X131 &lt;= _xlfn.PERCENTILE.INC($X$2:$X$219, 0.1)</f>
        <v>0</v>
      </c>
    </row>
    <row r="132" spans="1:25" x14ac:dyDescent="0.35">
      <c r="A132" s="11">
        <v>2019</v>
      </c>
      <c r="B132" s="11" t="s">
        <v>1980</v>
      </c>
      <c r="C132" s="11" t="s">
        <v>1434</v>
      </c>
      <c r="D132" s="163">
        <v>110003614358</v>
      </c>
      <c r="E132" s="11" t="s">
        <v>520</v>
      </c>
      <c r="F132" s="11" t="s">
        <v>521</v>
      </c>
      <c r="G132" s="11" t="s">
        <v>1310</v>
      </c>
      <c r="H132" s="11" t="s">
        <v>181</v>
      </c>
      <c r="I132" s="11" t="s">
        <v>1982</v>
      </c>
      <c r="J132" s="11">
        <v>42.606527</v>
      </c>
      <c r="K132" s="11">
        <v>-83.921477999999993</v>
      </c>
      <c r="L132" s="11">
        <v>4959</v>
      </c>
      <c r="M132" s="11">
        <v>4959</v>
      </c>
      <c r="N132" s="175" t="str">
        <f>VLOOKUP(M132, '2017 SIC to NAICS'!A:D, 2)</f>
        <v>Sanitary Services, Nec</v>
      </c>
      <c r="O132" s="11">
        <v>562910</v>
      </c>
      <c r="P132" s="187" t="str">
        <f>VLOOKUP(M132, '2017 SIC to NAICS'!A:D, 4)</f>
        <v>All Other Miscellaneous Waste
Management Services</v>
      </c>
      <c r="Q132" s="176" t="e">
        <f>IFERROR(VLOOKUP(O132, 'NAICS OES crosswalk'!A:C, 3, FALSE), VLOOKUP(M132, 'NAICS OES crosswalk'!A:C, 3, FALSE))</f>
        <v>#N/A</v>
      </c>
      <c r="U132" s="188">
        <v>40802030104</v>
      </c>
      <c r="V132" s="11" t="s">
        <v>1435</v>
      </c>
      <c r="W132" s="11"/>
      <c r="X132" s="11">
        <v>4.1547945000000003E-2</v>
      </c>
      <c r="Y132" s="11" t="b">
        <f t="shared" si="2"/>
        <v>0</v>
      </c>
    </row>
    <row r="133" spans="1:25" ht="29" x14ac:dyDescent="0.35">
      <c r="A133" s="11">
        <v>2019</v>
      </c>
      <c r="B133" s="11" t="s">
        <v>1980</v>
      </c>
      <c r="C133" s="11" t="s">
        <v>967</v>
      </c>
      <c r="D133" s="163">
        <v>110001177958</v>
      </c>
      <c r="E133" s="11" t="s">
        <v>522</v>
      </c>
      <c r="F133" s="11" t="s">
        <v>523</v>
      </c>
      <c r="G133" s="11" t="s">
        <v>790</v>
      </c>
      <c r="H133" s="11" t="s">
        <v>102</v>
      </c>
      <c r="I133" s="11" t="s">
        <v>1982</v>
      </c>
      <c r="J133" s="11">
        <v>33.227348999999997</v>
      </c>
      <c r="K133" s="11">
        <v>-115.528569</v>
      </c>
      <c r="L133" s="11">
        <v>4952</v>
      </c>
      <c r="M133" s="11">
        <v>4952</v>
      </c>
      <c r="N133" s="175" t="str">
        <f>VLOOKUP(M133, '2017 SIC to NAICS'!A:D, 2)</f>
        <v>Sewerage Systems</v>
      </c>
      <c r="P133" s="187" t="str">
        <f>VLOOKUP(M133, '2017 SIC to NAICS'!A:D, 4)</f>
        <v>Sewage Treatment Facilities</v>
      </c>
      <c r="Q133" s="176" t="str">
        <f>IFERROR(VLOOKUP(O133, 'NAICS OES crosswalk'!A:C, 3, FALSE), VLOOKUP(M133, 'NAICS OES crosswalk'!A:C, 3, FALSE))</f>
        <v>Waste handling, disposal, and treatment</v>
      </c>
      <c r="U133" s="188">
        <v>181002041109</v>
      </c>
      <c r="V133" s="11" t="s">
        <v>968</v>
      </c>
      <c r="W133" s="11"/>
      <c r="X133" s="11">
        <v>4.1445750000000003E-2</v>
      </c>
      <c r="Y133" s="11" t="b">
        <f t="shared" si="2"/>
        <v>0</v>
      </c>
    </row>
    <row r="134" spans="1:25" x14ac:dyDescent="0.35">
      <c r="A134" s="11">
        <v>2019</v>
      </c>
      <c r="B134" s="11" t="s">
        <v>1980</v>
      </c>
      <c r="C134" s="11" t="s">
        <v>1726</v>
      </c>
      <c r="D134" s="163">
        <v>110070549382</v>
      </c>
      <c r="E134" s="11" t="s">
        <v>524</v>
      </c>
      <c r="F134" s="11" t="s">
        <v>275</v>
      </c>
      <c r="G134" s="11" t="s">
        <v>1718</v>
      </c>
      <c r="H134" s="11" t="s">
        <v>276</v>
      </c>
      <c r="I134" s="11" t="s">
        <v>1982</v>
      </c>
      <c r="J134" s="11">
        <v>38.882449999999999</v>
      </c>
      <c r="K134" s="11">
        <v>-77.108000000000004</v>
      </c>
      <c r="L134" s="11">
        <v>1794</v>
      </c>
      <c r="M134" s="11">
        <v>1794</v>
      </c>
      <c r="N134" s="175" t="str">
        <f>VLOOKUP(M134, '2017 SIC to NAICS'!A:D, 2)</f>
        <v>Excavation Work</v>
      </c>
      <c r="P134" s="187" t="str">
        <f>VLOOKUP(M134, '2017 SIC to NAICS'!A:D, 4)</f>
        <v>Site Preparation Contractors</v>
      </c>
      <c r="Q134" s="176" t="e">
        <f>IFERROR(VLOOKUP(O134, 'NAICS OES crosswalk'!A:C, 3, FALSE), VLOOKUP(M134, 'NAICS OES crosswalk'!A:C, 3, FALSE))</f>
        <v>#N/A</v>
      </c>
      <c r="U134" s="188">
        <v>20700100103</v>
      </c>
      <c r="V134" s="11" t="s">
        <v>1727</v>
      </c>
      <c r="W134" s="11"/>
      <c r="X134" s="11">
        <v>4.1026647272727201E-2</v>
      </c>
      <c r="Y134" s="11" t="b">
        <f t="shared" si="2"/>
        <v>0</v>
      </c>
    </row>
    <row r="135" spans="1:25" x14ac:dyDescent="0.35">
      <c r="A135" s="11">
        <v>2019</v>
      </c>
      <c r="B135" s="11" t="s">
        <v>1980</v>
      </c>
      <c r="C135" s="11" t="s">
        <v>817</v>
      </c>
      <c r="D135" s="163">
        <v>110070215141</v>
      </c>
      <c r="E135" s="11" t="s">
        <v>627</v>
      </c>
      <c r="F135" s="11" t="s">
        <v>628</v>
      </c>
      <c r="G135" s="11" t="s">
        <v>818</v>
      </c>
      <c r="H135" s="11" t="s">
        <v>254</v>
      </c>
      <c r="I135" s="11" t="s">
        <v>1982</v>
      </c>
      <c r="J135" s="11">
        <v>40.515906999999999</v>
      </c>
      <c r="K135" s="11">
        <v>-74.325175999999999</v>
      </c>
      <c r="M135" s="11"/>
      <c r="N135" s="175" t="e">
        <f>VLOOKUP(M135, '2017 SIC to NAICS'!A:D, 2)</f>
        <v>#N/A</v>
      </c>
      <c r="P135" s="187" t="e">
        <f>VLOOKUP(M135, '2017 SIC to NAICS'!A:D, 4)</f>
        <v>#N/A</v>
      </c>
      <c r="Q135" s="176" t="e">
        <f>IFERROR(VLOOKUP(O135, 'NAICS OES crosswalk'!A:C, 3, FALSE), VLOOKUP(M135, 'NAICS OES crosswalk'!A:C, 3, FALSE))</f>
        <v>#N/A</v>
      </c>
      <c r="U135" s="188">
        <v>20301050507</v>
      </c>
      <c r="V135" s="11" t="s">
        <v>819</v>
      </c>
      <c r="W135" s="11"/>
      <c r="X135" s="11">
        <v>3.4725104E-3</v>
      </c>
      <c r="Y135" s="11" t="b">
        <f t="shared" si="2"/>
        <v>0</v>
      </c>
    </row>
    <row r="136" spans="1:25" ht="29" x14ac:dyDescent="0.35">
      <c r="A136" s="11">
        <v>2019</v>
      </c>
      <c r="B136" s="11" t="s">
        <v>1980</v>
      </c>
      <c r="C136" s="11" t="s">
        <v>1637</v>
      </c>
      <c r="D136" s="163">
        <v>110001057533</v>
      </c>
      <c r="E136" s="11" t="s">
        <v>382</v>
      </c>
      <c r="F136" s="11" t="s">
        <v>383</v>
      </c>
      <c r="G136" s="11" t="s">
        <v>1517</v>
      </c>
      <c r="H136" s="11" t="s">
        <v>340</v>
      </c>
      <c r="I136" s="11" t="s">
        <v>1982</v>
      </c>
      <c r="J136" s="11">
        <v>40.231741999999997</v>
      </c>
      <c r="K136" s="11">
        <v>-78.917860000000005</v>
      </c>
      <c r="L136" s="11">
        <v>4952</v>
      </c>
      <c r="M136" s="11">
        <v>4952</v>
      </c>
      <c r="N136" s="175" t="str">
        <f>VLOOKUP(M136, '2017 SIC to NAICS'!A:D, 2)</f>
        <v>Sewerage Systems</v>
      </c>
      <c r="P136" s="187" t="str">
        <f>VLOOKUP(M136, '2017 SIC to NAICS'!A:D, 4)</f>
        <v>Sewage Treatment Facilities</v>
      </c>
      <c r="Q136" s="176" t="str">
        <f>IFERROR(VLOOKUP(O136, 'NAICS OES crosswalk'!A:C, 3, FALSE), VLOOKUP(M136, 'NAICS OES crosswalk'!A:C, 3, FALSE))</f>
        <v>Waste handling, disposal, and treatment</v>
      </c>
      <c r="U136" s="188">
        <v>50100070310</v>
      </c>
      <c r="V136" s="11" t="s">
        <v>1638</v>
      </c>
      <c r="W136" s="11"/>
      <c r="X136" s="11">
        <v>3.7922861250000002E-2</v>
      </c>
      <c r="Y136" s="11" t="b">
        <f t="shared" si="2"/>
        <v>0</v>
      </c>
    </row>
    <row r="137" spans="1:25" x14ac:dyDescent="0.35">
      <c r="A137" s="11">
        <v>2019</v>
      </c>
      <c r="B137" s="11" t="s">
        <v>1980</v>
      </c>
      <c r="C137" s="11" t="s">
        <v>735</v>
      </c>
      <c r="D137" s="163">
        <v>110004306938</v>
      </c>
      <c r="E137" s="11" t="s">
        <v>336</v>
      </c>
      <c r="F137" s="11" t="s">
        <v>337</v>
      </c>
      <c r="G137" s="11" t="s">
        <v>736</v>
      </c>
      <c r="H137" s="11" t="s">
        <v>221</v>
      </c>
      <c r="I137" s="11" t="s">
        <v>1982</v>
      </c>
      <c r="J137" s="11">
        <v>36.122100000000003</v>
      </c>
      <c r="K137" s="11">
        <v>-115.17139</v>
      </c>
      <c r="L137" s="11">
        <v>7011</v>
      </c>
      <c r="M137" s="11">
        <v>7011</v>
      </c>
      <c r="N137" s="175" t="str">
        <f>VLOOKUP(M137, '2017 SIC to NAICS'!A:D, 2)</f>
        <v>Hotels and Motels</v>
      </c>
      <c r="P137" s="187" t="str">
        <f>VLOOKUP(M137, '2017 SIC to NAICS'!A:D, 4)</f>
        <v>All Other Traveler Accommodation</v>
      </c>
      <c r="Q137" s="176" t="e">
        <f>IFERROR(VLOOKUP(O137, 'NAICS OES crosswalk'!A:C, 3, FALSE), VLOOKUP(M137, 'NAICS OES crosswalk'!A:C, 3, FALSE))</f>
        <v>#N/A</v>
      </c>
      <c r="U137" s="188">
        <v>150100150604</v>
      </c>
      <c r="V137" s="11" t="s">
        <v>738</v>
      </c>
      <c r="W137" s="11"/>
      <c r="X137" s="11">
        <v>3.61579630625E-2</v>
      </c>
      <c r="Y137" s="11" t="b">
        <f t="shared" si="2"/>
        <v>0</v>
      </c>
    </row>
    <row r="138" spans="1:25" x14ac:dyDescent="0.35">
      <c r="A138" s="11">
        <v>2019</v>
      </c>
      <c r="B138" s="11" t="s">
        <v>1980</v>
      </c>
      <c r="C138" s="11" t="s">
        <v>1412</v>
      </c>
      <c r="D138" s="163">
        <v>110006739832</v>
      </c>
      <c r="E138" s="11" t="s">
        <v>186</v>
      </c>
      <c r="F138" s="11" t="s">
        <v>187</v>
      </c>
      <c r="G138" s="11" t="s">
        <v>1413</v>
      </c>
      <c r="H138" s="11" t="s">
        <v>181</v>
      </c>
      <c r="I138" s="11" t="s">
        <v>1982</v>
      </c>
      <c r="J138" s="11">
        <v>43.064709999999998</v>
      </c>
      <c r="K138" s="11">
        <v>-86.233519999999999</v>
      </c>
      <c r="L138" s="11">
        <v>5812</v>
      </c>
      <c r="M138" s="11">
        <v>5812</v>
      </c>
      <c r="N138" s="175" t="str">
        <f>VLOOKUP(M138, '2017 SIC to NAICS'!A:D, 2)</f>
        <v>Eating Places</v>
      </c>
      <c r="O138" s="11">
        <v>531120</v>
      </c>
      <c r="P138" s="187" t="str">
        <f>VLOOKUP(M138, '2017 SIC to NAICS'!A:D, 4)</f>
        <v>Snack and Nonalcoholic Beverage Bars</v>
      </c>
      <c r="Q138" s="176" t="e">
        <f>IFERROR(VLOOKUP(O138, 'NAICS OES crosswalk'!A:C, 3, FALSE), VLOOKUP(M138, 'NAICS OES crosswalk'!A:C, 3, FALSE))</f>
        <v>#N/A</v>
      </c>
      <c r="U138" s="188">
        <v>40500060712</v>
      </c>
      <c r="V138" s="11" t="s">
        <v>1414</v>
      </c>
      <c r="W138" s="11"/>
      <c r="X138" s="11">
        <v>3.5550234E-2</v>
      </c>
      <c r="Y138" s="11" t="b">
        <f t="shared" si="2"/>
        <v>0</v>
      </c>
    </row>
    <row r="139" spans="1:25" ht="29" x14ac:dyDescent="0.35">
      <c r="A139" s="11">
        <v>2019</v>
      </c>
      <c r="B139" s="11" t="s">
        <v>1980</v>
      </c>
      <c r="C139" s="11" t="s">
        <v>1400</v>
      </c>
      <c r="D139" s="163">
        <v>110001847761</v>
      </c>
      <c r="E139" s="11" t="s">
        <v>497</v>
      </c>
      <c r="F139" s="11" t="s">
        <v>498</v>
      </c>
      <c r="G139" s="11" t="s">
        <v>1401</v>
      </c>
      <c r="H139" s="11" t="s">
        <v>181</v>
      </c>
      <c r="I139" s="11" t="s">
        <v>1982</v>
      </c>
      <c r="J139" s="11">
        <v>41.775967999999999</v>
      </c>
      <c r="K139" s="11">
        <v>-86.654864000000003</v>
      </c>
      <c r="L139" s="11">
        <v>4953</v>
      </c>
      <c r="M139" s="11">
        <v>4953</v>
      </c>
      <c r="N139" s="175" t="str">
        <f>VLOOKUP(M139, '2017 SIC to NAICS'!A:D, 2)</f>
        <v>Refuse Systems</v>
      </c>
      <c r="O139" s="11">
        <v>562212</v>
      </c>
      <c r="P139" s="187" t="str">
        <f>VLOOKUP(M139, '2017 SIC to NAICS'!A:D, 4)</f>
        <v>Materials Recovery Facilities</v>
      </c>
      <c r="Q139" s="176" t="str">
        <f>IFERROR(VLOOKUP(O139, 'NAICS OES crosswalk'!A:C, 3, FALSE), VLOOKUP(M139, 'NAICS OES crosswalk'!A:C, 3, FALSE))</f>
        <v>Waste handling, disposal, and treatment</v>
      </c>
      <c r="U139" s="188">
        <v>40400010206</v>
      </c>
      <c r="V139" s="11" t="s">
        <v>1402</v>
      </c>
      <c r="W139" s="11"/>
      <c r="X139" s="11">
        <v>3.5547343636363603E-2</v>
      </c>
      <c r="Y139" s="11" t="b">
        <f t="shared" si="2"/>
        <v>0</v>
      </c>
    </row>
    <row r="140" spans="1:25" x14ac:dyDescent="0.35">
      <c r="A140" s="11">
        <v>2019</v>
      </c>
      <c r="B140" s="11" t="s">
        <v>1980</v>
      </c>
      <c r="C140" s="11" t="s">
        <v>730</v>
      </c>
      <c r="D140" s="163">
        <v>110017979810</v>
      </c>
      <c r="E140" s="11" t="s">
        <v>309</v>
      </c>
      <c r="F140" s="11" t="s">
        <v>158</v>
      </c>
      <c r="G140" s="11" t="s">
        <v>434</v>
      </c>
      <c r="H140" s="11" t="s">
        <v>129</v>
      </c>
      <c r="I140" s="11" t="s">
        <v>1982</v>
      </c>
      <c r="J140" s="11">
        <v>38.959018999999998</v>
      </c>
      <c r="K140" s="11">
        <v>-94.576569000000006</v>
      </c>
      <c r="L140" s="11">
        <v>6552</v>
      </c>
      <c r="M140" s="11">
        <v>6552</v>
      </c>
      <c r="N140" s="175" t="str">
        <f>VLOOKUP(M140, '2017 SIC to NAICS'!A:D, 2)</f>
        <v>Subdividers and Developers, Nec</v>
      </c>
      <c r="P140" s="187" t="str">
        <f>VLOOKUP(M140, '2017 SIC to NAICS'!A:D, 4)</f>
        <v>Land Subdivision</v>
      </c>
      <c r="Q140" s="176" t="e">
        <f>IFERROR(VLOOKUP(O140, 'NAICS OES crosswalk'!A:C, 3, FALSE), VLOOKUP(M140, 'NAICS OES crosswalk'!A:C, 3, FALSE))</f>
        <v>#N/A</v>
      </c>
      <c r="U140" s="188">
        <v>103001010105</v>
      </c>
      <c r="V140" s="11" t="s">
        <v>733</v>
      </c>
      <c r="W140" s="11"/>
      <c r="X140" s="11">
        <v>3.43053475E-2</v>
      </c>
      <c r="Y140" s="11" t="b">
        <f t="shared" si="2"/>
        <v>0</v>
      </c>
    </row>
    <row r="141" spans="1:25" x14ac:dyDescent="0.35">
      <c r="A141" s="11">
        <v>2019</v>
      </c>
      <c r="B141" s="11" t="s">
        <v>1980</v>
      </c>
      <c r="C141" s="11" t="s">
        <v>1634</v>
      </c>
      <c r="D141" s="163">
        <v>110071151044</v>
      </c>
      <c r="E141" s="11" t="s">
        <v>630</v>
      </c>
      <c r="F141" s="11" t="s">
        <v>631</v>
      </c>
      <c r="G141" s="11" t="s">
        <v>1635</v>
      </c>
      <c r="H141" s="11" t="s">
        <v>340</v>
      </c>
      <c r="I141" s="11" t="s">
        <v>1982</v>
      </c>
      <c r="J141" s="11">
        <v>39.859110000000001</v>
      </c>
      <c r="K141" s="11">
        <v>-77.236620000000002</v>
      </c>
      <c r="L141" s="11">
        <v>4959</v>
      </c>
      <c r="M141" s="11">
        <v>4959</v>
      </c>
      <c r="N141" s="175" t="str">
        <f>VLOOKUP(M141, '2017 SIC to NAICS'!A:D, 2)</f>
        <v>Sanitary Services, Nec</v>
      </c>
      <c r="O141" s="11">
        <v>562910</v>
      </c>
      <c r="P141" s="187" t="str">
        <f>VLOOKUP(M141, '2017 SIC to NAICS'!A:D, 4)</f>
        <v>All Other Miscellaneous Waste
Management Services</v>
      </c>
      <c r="Q141" s="176" t="e">
        <f>IFERROR(VLOOKUP(O141, 'NAICS OES crosswalk'!A:C, 3, FALSE), VLOOKUP(M141, 'NAICS OES crosswalk'!A:C, 3, FALSE))</f>
        <v>#N/A</v>
      </c>
      <c r="U141" s="188">
        <v>20700090101</v>
      </c>
      <c r="V141" s="11" t="s">
        <v>1636</v>
      </c>
      <c r="W141" s="11"/>
      <c r="X141" s="11">
        <v>5.633385825E-3</v>
      </c>
      <c r="Y141" s="11" t="b">
        <f t="shared" si="2"/>
        <v>0</v>
      </c>
    </row>
    <row r="142" spans="1:25" x14ac:dyDescent="0.35">
      <c r="A142" s="11">
        <v>2019</v>
      </c>
      <c r="B142" s="11" t="s">
        <v>1980</v>
      </c>
      <c r="C142" s="11" t="s">
        <v>1309</v>
      </c>
      <c r="D142" s="163">
        <v>110000597355</v>
      </c>
      <c r="E142" s="11" t="s">
        <v>533</v>
      </c>
      <c r="F142" s="11" t="s">
        <v>534</v>
      </c>
      <c r="G142" s="11" t="s">
        <v>1310</v>
      </c>
      <c r="H142" s="11" t="s">
        <v>91</v>
      </c>
      <c r="I142" s="11" t="s">
        <v>1982</v>
      </c>
      <c r="J142" s="11">
        <v>30.486767</v>
      </c>
      <c r="K142" s="11">
        <v>-90.925479999999993</v>
      </c>
      <c r="L142" s="11">
        <v>2899</v>
      </c>
      <c r="M142" s="11">
        <v>2899</v>
      </c>
      <c r="N142" s="175" t="str">
        <f>VLOOKUP(M142, '2017 SIC to NAICS'!A:D, 2)</f>
        <v>Chemical Preparations, Nec</v>
      </c>
      <c r="P142" s="187" t="str">
        <f>VLOOKUP(M142, '2017 SIC to NAICS'!A:D, 4)</f>
        <v>All Other Miscellaneous Chemical Product and Preparation Manufacturing</v>
      </c>
      <c r="Q142" s="176" t="e">
        <f>IFERROR(VLOOKUP(O142, 'NAICS OES crosswalk'!A:C, 3, FALSE), VLOOKUP(M142, 'NAICS OES crosswalk'!A:C, 3, FALSE))</f>
        <v>#N/A</v>
      </c>
      <c r="U142" s="188">
        <v>80702020903</v>
      </c>
      <c r="V142" s="11" t="s">
        <v>1311</v>
      </c>
      <c r="W142" s="11"/>
      <c r="X142" s="11">
        <v>3.3141999999999998E-2</v>
      </c>
      <c r="Y142" s="11" t="b">
        <f t="shared" si="2"/>
        <v>0</v>
      </c>
    </row>
    <row r="143" spans="1:25" x14ac:dyDescent="0.35">
      <c r="A143" s="11">
        <v>2019</v>
      </c>
      <c r="B143" s="11" t="s">
        <v>1980</v>
      </c>
      <c r="C143" s="11" t="s">
        <v>876</v>
      </c>
      <c r="D143" s="163">
        <v>110000452082</v>
      </c>
      <c r="E143" s="11" t="s">
        <v>488</v>
      </c>
      <c r="F143" s="11" t="s">
        <v>489</v>
      </c>
      <c r="G143" s="11" t="s">
        <v>877</v>
      </c>
      <c r="H143" s="11" t="s">
        <v>202</v>
      </c>
      <c r="I143" s="11" t="s">
        <v>1981</v>
      </c>
      <c r="J143" s="11">
        <v>35.136057000000001</v>
      </c>
      <c r="K143" s="11">
        <v>-90.096892999999994</v>
      </c>
      <c r="L143" s="11">
        <v>2869</v>
      </c>
      <c r="M143" s="11">
        <v>2869</v>
      </c>
      <c r="N143" s="175" t="str">
        <f>VLOOKUP(M143, '2017 SIC to NAICS'!A:D, 2)</f>
        <v>Industrial Organic Chemicals, Nec</v>
      </c>
      <c r="O143" s="11">
        <v>325199</v>
      </c>
      <c r="P143" s="187" t="str">
        <f>VLOOKUP(M143, '2017 SIC to NAICS'!A:D, 4)</f>
        <v>All Other Miscellaneous Chemical Product and Preparation Manufacturing</v>
      </c>
      <c r="Q143" s="176" t="str">
        <f>IFERROR(VLOOKUP(O143, 'NAICS OES crosswalk'!A:C, 3, FALSE), VLOOKUP(M143, 'NAICS OES crosswalk'!A:C, 3, FALSE))</f>
        <v>Manufacturing</v>
      </c>
      <c r="U143" s="188">
        <v>80101000703</v>
      </c>
      <c r="V143" s="11" t="s">
        <v>878</v>
      </c>
      <c r="W143" s="11"/>
      <c r="X143" s="11">
        <v>3.10309E-2</v>
      </c>
      <c r="Y143" s="11" t="b">
        <f t="shared" si="2"/>
        <v>0</v>
      </c>
    </row>
    <row r="144" spans="1:25" x14ac:dyDescent="0.35">
      <c r="A144" s="11">
        <v>2019</v>
      </c>
      <c r="B144" s="11" t="s">
        <v>1980</v>
      </c>
      <c r="C144" s="11" t="s">
        <v>1000</v>
      </c>
      <c r="D144" s="163">
        <v>110000338536</v>
      </c>
      <c r="E144" s="11" t="s">
        <v>513</v>
      </c>
      <c r="F144" s="11" t="s">
        <v>514</v>
      </c>
      <c r="G144" s="11" t="s">
        <v>1001</v>
      </c>
      <c r="H144" s="11" t="s">
        <v>515</v>
      </c>
      <c r="I144" s="11" t="s">
        <v>1981</v>
      </c>
      <c r="J144" s="11">
        <v>39.585099999999997</v>
      </c>
      <c r="K144" s="11">
        <v>-75.649199999999993</v>
      </c>
      <c r="L144" s="11">
        <v>2821</v>
      </c>
      <c r="M144" s="11">
        <v>2821</v>
      </c>
      <c r="N144" s="175" t="str">
        <f>VLOOKUP(M144, '2017 SIC to NAICS'!A:D, 2)</f>
        <v>Plastics Materials and Resins</v>
      </c>
      <c r="P144" s="187" t="str">
        <f>VLOOKUP(M144, '2017 SIC to NAICS'!A:D, 4)</f>
        <v>Plastics Material and Resin Manufacturing</v>
      </c>
      <c r="Q144" s="176" t="str">
        <f>IFERROR(VLOOKUP(O144, 'NAICS OES crosswalk'!A:C, 3, FALSE), VLOOKUP(M144, 'NAICS OES crosswalk'!A:C, 3, FALSE))</f>
        <v>Processing as a reactant</v>
      </c>
      <c r="U144" s="188">
        <v>20402050704</v>
      </c>
      <c r="V144" s="11" t="s">
        <v>1002</v>
      </c>
      <c r="W144" s="11"/>
      <c r="X144" s="11">
        <v>4.2562500000000003E-2</v>
      </c>
      <c r="Y144" s="11" t="b">
        <f t="shared" si="2"/>
        <v>0</v>
      </c>
    </row>
    <row r="145" spans="1:25" x14ac:dyDescent="0.35">
      <c r="A145" s="11">
        <v>2019</v>
      </c>
      <c r="B145" s="11" t="s">
        <v>1980</v>
      </c>
      <c r="C145" s="11" t="s">
        <v>990</v>
      </c>
      <c r="D145" s="163">
        <v>110070053140</v>
      </c>
      <c r="E145" s="11" t="s">
        <v>490</v>
      </c>
      <c r="F145" s="11" t="s">
        <v>491</v>
      </c>
      <c r="G145" s="11" t="s">
        <v>991</v>
      </c>
      <c r="H145" s="11" t="s">
        <v>492</v>
      </c>
      <c r="I145" s="11" t="s">
        <v>1982</v>
      </c>
      <c r="J145" s="11">
        <v>40.393799999999999</v>
      </c>
      <c r="K145" s="11">
        <v>-105.074</v>
      </c>
      <c r="L145" s="11">
        <v>7521</v>
      </c>
      <c r="M145" s="11">
        <v>7521</v>
      </c>
      <c r="N145" s="175" t="str">
        <f>VLOOKUP(M145, '2017 SIC to NAICS'!A:D, 2)</f>
        <v>Automobile Parking</v>
      </c>
      <c r="P145" s="187" t="str">
        <f>VLOOKUP(M145, '2017 SIC to NAICS'!A:D, 4)</f>
        <v>Parking Lots and Garages</v>
      </c>
      <c r="Q145" s="176" t="e">
        <f>IFERROR(VLOOKUP(O145, 'NAICS OES crosswalk'!A:C, 3, FALSE), VLOOKUP(M145, 'NAICS OES crosswalk'!A:C, 3, FALSE))</f>
        <v>#N/A</v>
      </c>
      <c r="U145" s="188">
        <v>101900060605</v>
      </c>
      <c r="V145" s="11" t="s">
        <v>992</v>
      </c>
      <c r="W145" s="11"/>
      <c r="X145" s="11">
        <v>5.0143680000000003E-2</v>
      </c>
      <c r="Y145" s="11" t="b">
        <f t="shared" si="2"/>
        <v>0</v>
      </c>
    </row>
    <row r="146" spans="1:25" x14ac:dyDescent="0.35">
      <c r="A146" s="11">
        <v>2019</v>
      </c>
      <c r="B146" s="11" t="s">
        <v>1980</v>
      </c>
      <c r="C146" s="11" t="s">
        <v>1610</v>
      </c>
      <c r="D146" s="163">
        <v>110000701973</v>
      </c>
      <c r="E146" s="11" t="s">
        <v>550</v>
      </c>
      <c r="F146" s="11" t="s">
        <v>551</v>
      </c>
      <c r="G146" s="11" t="s">
        <v>1611</v>
      </c>
      <c r="H146" s="11" t="s">
        <v>340</v>
      </c>
      <c r="I146" s="11" t="s">
        <v>1982</v>
      </c>
      <c r="J146" s="11">
        <v>40.359177000000003</v>
      </c>
      <c r="K146" s="11">
        <v>-79.902659999999997</v>
      </c>
      <c r="L146" s="11">
        <v>8733</v>
      </c>
      <c r="M146" s="11">
        <v>8733</v>
      </c>
      <c r="N146" s="175" t="str">
        <f>VLOOKUP(M146, '2017 SIC to NAICS'!A:D, 2)</f>
        <v>Noncommercial Research Organizations</v>
      </c>
      <c r="P146" s="187" t="str">
        <f>VLOOKUP(M146, '2017 SIC to NAICS'!A:D, 4)</f>
        <v>Research and Development in the Social
Sciences and Humanities</v>
      </c>
      <c r="Q146" s="176" t="e">
        <f>IFERROR(VLOOKUP(O146, 'NAICS OES crosswalk'!A:C, 3, FALSE), VLOOKUP(M146, 'NAICS OES crosswalk'!A:C, 3, FALSE))</f>
        <v>#N/A</v>
      </c>
      <c r="U146" s="188">
        <v>50200050808</v>
      </c>
      <c r="V146" s="11" t="s">
        <v>1612</v>
      </c>
      <c r="W146" s="11"/>
      <c r="X146" s="11">
        <v>2.6203555E-2</v>
      </c>
      <c r="Y146" s="11" t="b">
        <f t="shared" si="2"/>
        <v>0</v>
      </c>
    </row>
    <row r="147" spans="1:25" x14ac:dyDescent="0.35">
      <c r="A147" s="11">
        <v>2019</v>
      </c>
      <c r="B147" s="11" t="s">
        <v>1980</v>
      </c>
      <c r="C147" s="11" t="s">
        <v>923</v>
      </c>
      <c r="D147" s="163">
        <v>110037256867</v>
      </c>
      <c r="E147" s="11" t="s">
        <v>424</v>
      </c>
      <c r="F147" s="11" t="s">
        <v>425</v>
      </c>
      <c r="G147" s="11" t="s">
        <v>924</v>
      </c>
      <c r="H147" s="11" t="s">
        <v>102</v>
      </c>
      <c r="I147" s="11" t="s">
        <v>1982</v>
      </c>
      <c r="J147" s="11">
        <v>35.178620000000002</v>
      </c>
      <c r="K147" s="11">
        <v>-120.62067500000001</v>
      </c>
      <c r="L147" s="11">
        <v>2911</v>
      </c>
      <c r="M147" s="11">
        <v>2911</v>
      </c>
      <c r="N147" s="175" t="str">
        <f>VLOOKUP(M147, '2017 SIC to NAICS'!A:D, 2)</f>
        <v>Petroleum Refining</v>
      </c>
      <c r="P147" s="187" t="str">
        <f>VLOOKUP(M147, '2017 SIC to NAICS'!A:D, 4)</f>
        <v>Petroleum Refineries</v>
      </c>
      <c r="Q147" s="176" t="e">
        <f>IFERROR(VLOOKUP(O147, 'NAICS OES crosswalk'!A:C, 3, FALSE), VLOOKUP(M147, 'NAICS OES crosswalk'!A:C, 3, FALSE))</f>
        <v>#N/A</v>
      </c>
      <c r="U147" s="188">
        <v>180600060703</v>
      </c>
      <c r="V147" s="11" t="s">
        <v>925</v>
      </c>
      <c r="W147" s="11"/>
      <c r="X147" s="11">
        <v>2.5636959425000001E-2</v>
      </c>
      <c r="Y147" s="11" t="b">
        <f t="shared" si="2"/>
        <v>0</v>
      </c>
    </row>
    <row r="148" spans="1:25" x14ac:dyDescent="0.35">
      <c r="A148" s="11">
        <v>2019</v>
      </c>
      <c r="B148" s="11" t="s">
        <v>1980</v>
      </c>
      <c r="C148" s="11" t="s">
        <v>1581</v>
      </c>
      <c r="D148" s="163">
        <v>110019560722</v>
      </c>
      <c r="E148" s="11" t="s">
        <v>528</v>
      </c>
      <c r="F148" s="11" t="s">
        <v>143</v>
      </c>
      <c r="G148" s="11" t="s">
        <v>1582</v>
      </c>
      <c r="H148" s="11" t="s">
        <v>126</v>
      </c>
      <c r="I148" s="11" t="s">
        <v>1982</v>
      </c>
      <c r="J148" s="11">
        <v>43.087819000000003</v>
      </c>
      <c r="K148" s="11">
        <v>-75.182382000000004</v>
      </c>
      <c r="L148" s="11">
        <v>9511</v>
      </c>
      <c r="M148" s="11">
        <v>9511</v>
      </c>
      <c r="N148" s="175" t="str">
        <f>VLOOKUP(M148, '2017 SIC to NAICS'!A:D, 2)</f>
        <v>Air, Water, and Solid Waste Management</v>
      </c>
      <c r="P148" s="187" t="str">
        <f>VLOOKUP(M148, '2017 SIC to NAICS'!A:D, 4)</f>
        <v>Administration of Air and Water Resource
and Solid Waste Management Programs</v>
      </c>
      <c r="Q148" s="176" t="e">
        <f>IFERROR(VLOOKUP(O148, 'NAICS OES crosswalk'!A:C, 3, FALSE), VLOOKUP(M148, 'NAICS OES crosswalk'!A:C, 3, FALSE))</f>
        <v>#N/A</v>
      </c>
      <c r="U148" s="188">
        <v>20200040311</v>
      </c>
      <c r="V148" s="11" t="s">
        <v>1583</v>
      </c>
      <c r="W148" s="11"/>
      <c r="X148" s="11">
        <v>2.5043140237500001E-2</v>
      </c>
      <c r="Y148" s="11" t="b">
        <f t="shared" si="2"/>
        <v>0</v>
      </c>
    </row>
    <row r="149" spans="1:25" x14ac:dyDescent="0.35">
      <c r="A149" s="11">
        <v>2019</v>
      </c>
      <c r="B149" s="11" t="s">
        <v>1980</v>
      </c>
      <c r="C149" s="11" t="s">
        <v>830</v>
      </c>
      <c r="D149" s="163">
        <v>110000326521</v>
      </c>
      <c r="E149" s="11" t="s">
        <v>124</v>
      </c>
      <c r="F149" s="11" t="s">
        <v>125</v>
      </c>
      <c r="G149" s="11" t="s">
        <v>831</v>
      </c>
      <c r="H149" s="11" t="s">
        <v>126</v>
      </c>
      <c r="I149" s="11" t="s">
        <v>1981</v>
      </c>
      <c r="J149" s="11">
        <v>43.165965999999997</v>
      </c>
      <c r="K149" s="11">
        <v>-78.740509000000003</v>
      </c>
      <c r="L149" s="11">
        <v>3714</v>
      </c>
      <c r="M149" s="11">
        <v>3714</v>
      </c>
      <c r="N149" s="175" t="str">
        <f>VLOOKUP(M149, '2017 SIC to NAICS'!A:D, 2)</f>
        <v>Motor Vehicle Parts and Accessories</v>
      </c>
      <c r="P149" s="187" t="str">
        <f>VLOOKUP(M149, '2017 SIC to NAICS'!A:D, 4)</f>
        <v>Other Motor Vehicle Parts Manufacturing</v>
      </c>
      <c r="Q149" s="176" t="e">
        <f>IFERROR(VLOOKUP(O149, 'NAICS OES crosswalk'!A:C, 3, FALSE), VLOOKUP(M149, 'NAICS OES crosswalk'!A:C, 3, FALSE))</f>
        <v>#N/A</v>
      </c>
      <c r="U149" s="188">
        <v>41300010703</v>
      </c>
      <c r="V149" s="11" t="s">
        <v>834</v>
      </c>
      <c r="W149" s="11"/>
      <c r="X149" s="11">
        <v>2.3720595000000001E-2</v>
      </c>
      <c r="Y149" s="11" t="b">
        <f t="shared" si="2"/>
        <v>0</v>
      </c>
    </row>
    <row r="150" spans="1:25" x14ac:dyDescent="0.35">
      <c r="A150" s="11">
        <v>2019</v>
      </c>
      <c r="B150" s="11" t="s">
        <v>1980</v>
      </c>
      <c r="C150" s="11" t="s">
        <v>1474</v>
      </c>
      <c r="D150" s="163">
        <v>110001512603</v>
      </c>
      <c r="E150" s="11" t="s">
        <v>558</v>
      </c>
      <c r="F150" s="11" t="s">
        <v>559</v>
      </c>
      <c r="G150" s="11" t="s">
        <v>1475</v>
      </c>
      <c r="H150" s="11" t="s">
        <v>560</v>
      </c>
      <c r="I150" s="11" t="s">
        <v>1982</v>
      </c>
      <c r="J150" s="11">
        <v>41.111856000000003</v>
      </c>
      <c r="K150" s="11">
        <v>-95.923699999999997</v>
      </c>
      <c r="L150" s="11">
        <v>9711</v>
      </c>
      <c r="M150" s="11">
        <v>9711</v>
      </c>
      <c r="N150" s="175" t="str">
        <f>VLOOKUP(M150, '2017 SIC to NAICS'!A:D, 2)</f>
        <v>National Security</v>
      </c>
      <c r="P150" s="187" t="str">
        <f>VLOOKUP(M150, '2017 SIC to NAICS'!A:D, 4)</f>
        <v>National Security</v>
      </c>
      <c r="Q150" s="176" t="e">
        <f>IFERROR(VLOOKUP(O150, 'NAICS OES crosswalk'!A:C, 3, FALSE), VLOOKUP(M150, 'NAICS OES crosswalk'!A:C, 3, FALSE))</f>
        <v>#N/A</v>
      </c>
      <c r="U150" s="188">
        <v>102300060206</v>
      </c>
      <c r="V150" s="11" t="s">
        <v>1476</v>
      </c>
      <c r="W150" s="11"/>
      <c r="X150" s="11">
        <v>2.2814844500000001E-2</v>
      </c>
      <c r="Y150" s="11" t="b">
        <f t="shared" si="2"/>
        <v>0</v>
      </c>
    </row>
    <row r="151" spans="1:25" ht="29" x14ac:dyDescent="0.35">
      <c r="A151" s="11">
        <v>2019</v>
      </c>
      <c r="B151" s="11" t="s">
        <v>1980</v>
      </c>
      <c r="C151" s="11" t="s">
        <v>1649</v>
      </c>
      <c r="D151" s="163">
        <v>110020036209</v>
      </c>
      <c r="E151" s="11" t="s">
        <v>563</v>
      </c>
      <c r="F151" s="11" t="s">
        <v>564</v>
      </c>
      <c r="G151" s="11" t="s">
        <v>1650</v>
      </c>
      <c r="H151" s="11" t="s">
        <v>340</v>
      </c>
      <c r="I151" s="11" t="s">
        <v>1982</v>
      </c>
      <c r="J151" s="11">
        <v>41.795278000000003</v>
      </c>
      <c r="K151" s="11">
        <v>-77.299722000000003</v>
      </c>
      <c r="L151" s="11">
        <v>9999</v>
      </c>
      <c r="M151" s="11">
        <v>9999</v>
      </c>
      <c r="N151" s="175" t="str">
        <f>VLOOKUP(M151, '2017 SIC to NAICS'!A:D, 2)</f>
        <v>Nonclassifiable Establishments</v>
      </c>
      <c r="P151" s="187">
        <f>VLOOKUP(M151, '2017 SIC to NAICS'!A:D, 4)</f>
        <v>0</v>
      </c>
      <c r="Q151" s="176" t="str">
        <f>IFERROR(VLOOKUP(O151, 'NAICS OES crosswalk'!A:C, 3, FALSE), VLOOKUP(M151, 'NAICS OES crosswalk'!A:C, 3, FALSE))</f>
        <v>Uncertain, possibly a remediation site</v>
      </c>
      <c r="U151" s="188">
        <v>20502050303</v>
      </c>
      <c r="V151" s="11" t="s">
        <v>1651</v>
      </c>
      <c r="W151" s="11"/>
      <c r="X151" s="11">
        <v>2.15573034833333E-2</v>
      </c>
      <c r="Y151" s="11" t="b">
        <f t="shared" si="2"/>
        <v>0</v>
      </c>
    </row>
    <row r="152" spans="1:25" x14ac:dyDescent="0.35">
      <c r="A152" s="11">
        <v>2019</v>
      </c>
      <c r="B152" s="11" t="s">
        <v>1980</v>
      </c>
      <c r="C152" s="11" t="s">
        <v>1003</v>
      </c>
      <c r="D152" s="163">
        <v>110000611703</v>
      </c>
      <c r="E152" s="11" t="s">
        <v>565</v>
      </c>
      <c r="F152" s="11" t="s">
        <v>566</v>
      </c>
      <c r="G152" s="11" t="s">
        <v>1004</v>
      </c>
      <c r="H152" s="11" t="s">
        <v>567</v>
      </c>
      <c r="I152" s="11" t="s">
        <v>1982</v>
      </c>
      <c r="J152" s="11">
        <v>34.632592000000002</v>
      </c>
      <c r="K152" s="11">
        <v>-84.927667999999997</v>
      </c>
      <c r="L152" s="11">
        <v>2821</v>
      </c>
      <c r="M152" s="11">
        <v>2821</v>
      </c>
      <c r="N152" s="175" t="str">
        <f>VLOOKUP(M152, '2017 SIC to NAICS'!A:D, 2)</f>
        <v>Plastics Materials and Resins</v>
      </c>
      <c r="O152" s="11">
        <v>325211</v>
      </c>
      <c r="P152" s="187" t="str">
        <f>VLOOKUP(M152, '2017 SIC to NAICS'!A:D, 4)</f>
        <v>Plastics Material and Resin Manufacturing</v>
      </c>
      <c r="Q152" s="176" t="str">
        <f>IFERROR(VLOOKUP(O152, 'NAICS OES crosswalk'!A:C, 3, FALSE), VLOOKUP(M152, 'NAICS OES crosswalk'!A:C, 3, FALSE))</f>
        <v>Processing as a reactant</v>
      </c>
      <c r="U152" s="188">
        <v>31501010504</v>
      </c>
      <c r="V152" s="11" t="s">
        <v>1005</v>
      </c>
      <c r="W152" s="11"/>
      <c r="X152" s="11">
        <v>2.1111000000000001E-2</v>
      </c>
      <c r="Y152" s="11" t="b">
        <f t="shared" si="2"/>
        <v>0</v>
      </c>
    </row>
    <row r="153" spans="1:25" x14ac:dyDescent="0.35">
      <c r="A153" s="11">
        <v>2019</v>
      </c>
      <c r="B153" s="11" t="s">
        <v>1980</v>
      </c>
      <c r="C153" s="11" t="s">
        <v>1513</v>
      </c>
      <c r="D153" s="163">
        <v>110070220772</v>
      </c>
      <c r="E153" s="11" t="s">
        <v>556</v>
      </c>
      <c r="F153" s="11" t="s">
        <v>557</v>
      </c>
      <c r="G153" s="11" t="s">
        <v>818</v>
      </c>
      <c r="H153" s="11" t="s">
        <v>254</v>
      </c>
      <c r="I153" s="11" t="s">
        <v>1982</v>
      </c>
      <c r="J153" s="11">
        <v>40.382820000000002</v>
      </c>
      <c r="K153" s="11">
        <v>-74.501608000000004</v>
      </c>
      <c r="L153" s="11">
        <v>3492</v>
      </c>
      <c r="M153" s="11">
        <v>3492</v>
      </c>
      <c r="N153" s="175" t="str">
        <f>VLOOKUP(M153, '2017 SIC to NAICS'!A:D, 2)</f>
        <v>Fluid Power Valves and Hose Fittings</v>
      </c>
      <c r="P153" s="187" t="str">
        <f>VLOOKUP(M153, '2017 SIC to NAICS'!A:D, 4)</f>
        <v>Fluid Power Valve and Hose Fitting
Manufacturing</v>
      </c>
      <c r="Q153" s="176" t="e">
        <f>IFERROR(VLOOKUP(O153, 'NAICS OES crosswalk'!A:C, 3, FALSE), VLOOKUP(M153, 'NAICS OES crosswalk'!A:C, 3, FALSE))</f>
        <v>#N/A</v>
      </c>
      <c r="U153" s="188">
        <v>20301050505</v>
      </c>
      <c r="V153" s="11" t="s">
        <v>1510</v>
      </c>
      <c r="W153" s="11"/>
      <c r="X153" s="11">
        <v>7.3251737852000004E-3</v>
      </c>
      <c r="Y153" s="11" t="b">
        <f t="shared" si="2"/>
        <v>0</v>
      </c>
    </row>
    <row r="154" spans="1:25" x14ac:dyDescent="0.35">
      <c r="A154" s="11">
        <v>2019</v>
      </c>
      <c r="B154" s="11" t="s">
        <v>1980</v>
      </c>
      <c r="C154" s="11" t="s">
        <v>1506</v>
      </c>
      <c r="D154" s="163">
        <v>110009721836</v>
      </c>
      <c r="E154" s="11" t="s">
        <v>568</v>
      </c>
      <c r="F154" s="11" t="s">
        <v>300</v>
      </c>
      <c r="G154" s="11" t="s">
        <v>1492</v>
      </c>
      <c r="H154" s="11" t="s">
        <v>254</v>
      </c>
      <c r="I154" s="11" t="s">
        <v>1982</v>
      </c>
      <c r="J154" s="11">
        <v>39.799250000000001</v>
      </c>
      <c r="K154" s="11">
        <v>-75.33296</v>
      </c>
      <c r="L154" s="11">
        <v>4213</v>
      </c>
      <c r="M154" s="11">
        <v>4213</v>
      </c>
      <c r="N154" s="175" t="str">
        <f>VLOOKUP(M154, '2017 SIC to NAICS'!A:D, 2)</f>
        <v>Trucking, Except Local</v>
      </c>
      <c r="O154" s="11">
        <v>484230</v>
      </c>
      <c r="P154" s="187" t="str">
        <f>VLOOKUP(M154, '2017 SIC to NAICS'!A:D, 4)</f>
        <v>Specialized Freight (except Used Goods)
Trucking, Long-Distance</v>
      </c>
      <c r="Q154" s="176" t="e">
        <f>IFERROR(VLOOKUP(O154, 'NAICS OES crosswalk'!A:C, 3, FALSE), VLOOKUP(M154, 'NAICS OES crosswalk'!A:C, 3, FALSE))</f>
        <v>#N/A</v>
      </c>
      <c r="U154" s="188">
        <v>20402020607</v>
      </c>
      <c r="V154" s="11" t="s">
        <v>1507</v>
      </c>
      <c r="W154" s="11"/>
      <c r="X154" s="11">
        <v>2.0696048263675E-2</v>
      </c>
      <c r="Y154" s="11" t="b">
        <f t="shared" si="2"/>
        <v>0</v>
      </c>
    </row>
    <row r="155" spans="1:25" x14ac:dyDescent="0.35">
      <c r="A155" s="11">
        <v>2019</v>
      </c>
      <c r="B155" s="11" t="s">
        <v>1980</v>
      </c>
      <c r="C155" s="11" t="s">
        <v>927</v>
      </c>
      <c r="D155" s="163">
        <v>110028243791</v>
      </c>
      <c r="E155" s="11" t="s">
        <v>569</v>
      </c>
      <c r="F155" s="11" t="s">
        <v>570</v>
      </c>
      <c r="G155" s="11" t="s">
        <v>335</v>
      </c>
      <c r="H155" s="11" t="s">
        <v>102</v>
      </c>
      <c r="I155" s="11" t="s">
        <v>1982</v>
      </c>
      <c r="J155" s="11">
        <v>33.791108999999999</v>
      </c>
      <c r="K155" s="11">
        <v>-118.244609</v>
      </c>
      <c r="L155" s="11">
        <v>5171</v>
      </c>
      <c r="M155" s="11">
        <v>5171</v>
      </c>
      <c r="N155" s="175" t="str">
        <f>VLOOKUP(M155, '2017 SIC to NAICS'!A:D, 2)</f>
        <v>Petroleum Bulk Stations and Terminals</v>
      </c>
      <c r="P155" s="187" t="str">
        <f>VLOOKUP(M155, '2017 SIC to NAICS'!A:D, 4)</f>
        <v>Fuel Dealers</v>
      </c>
      <c r="Q155" s="176" t="e">
        <f>IFERROR(VLOOKUP(O155, 'NAICS OES crosswalk'!A:C, 3, FALSE), VLOOKUP(M155, 'NAICS OES crosswalk'!A:C, 3, FALSE))</f>
        <v>#N/A</v>
      </c>
      <c r="U155" s="188">
        <v>180701060701</v>
      </c>
      <c r="V155" s="11" t="s">
        <v>928</v>
      </c>
      <c r="W155" s="11"/>
      <c r="X155" s="11">
        <v>2.02980560625E-2</v>
      </c>
      <c r="Y155" s="11" t="b">
        <f t="shared" si="2"/>
        <v>0</v>
      </c>
    </row>
    <row r="156" spans="1:25" x14ac:dyDescent="0.35">
      <c r="A156" s="11">
        <v>2019</v>
      </c>
      <c r="B156" s="11" t="s">
        <v>1980</v>
      </c>
      <c r="C156" s="11" t="s">
        <v>1579</v>
      </c>
      <c r="D156" s="163">
        <v>110000324569</v>
      </c>
      <c r="E156" s="11" t="s">
        <v>375</v>
      </c>
      <c r="F156" s="11" t="s">
        <v>376</v>
      </c>
      <c r="G156" s="11" t="s">
        <v>128</v>
      </c>
      <c r="H156" s="11" t="s">
        <v>126</v>
      </c>
      <c r="I156" s="11" t="s">
        <v>1981</v>
      </c>
      <c r="J156" s="11">
        <v>43.285654999999998</v>
      </c>
      <c r="K156" s="11">
        <v>-73.589192999999995</v>
      </c>
      <c r="L156" s="11">
        <v>3612</v>
      </c>
      <c r="M156" s="11">
        <v>3612</v>
      </c>
      <c r="N156" s="175" t="str">
        <f>VLOOKUP(M156, '2017 SIC to NAICS'!A:D, 2)</f>
        <v>Power, Distribution and Specialty
Transformers</v>
      </c>
      <c r="P156" s="187" t="str">
        <f>VLOOKUP(M156, '2017 SIC to NAICS'!A:D, 4)</f>
        <v>Power, Distribution, and Specialty
Transformer Manufacturing</v>
      </c>
      <c r="Q156" s="176" t="e">
        <f>IFERROR(VLOOKUP(O156, 'NAICS OES crosswalk'!A:C, 3, FALSE), VLOOKUP(M156, 'NAICS OES crosswalk'!A:C, 3, FALSE))</f>
        <v>#N/A</v>
      </c>
      <c r="U156" s="188">
        <v>20200030506</v>
      </c>
      <c r="V156" s="11" t="s">
        <v>1580</v>
      </c>
      <c r="W156" s="11"/>
      <c r="X156" s="11">
        <v>0.24647659999999999</v>
      </c>
      <c r="Y156" s="11" t="b">
        <f t="shared" si="2"/>
        <v>0</v>
      </c>
    </row>
    <row r="157" spans="1:25" x14ac:dyDescent="0.35">
      <c r="A157" s="11">
        <v>2019</v>
      </c>
      <c r="B157" s="11" t="s">
        <v>1980</v>
      </c>
      <c r="C157" s="11" t="s">
        <v>1320</v>
      </c>
      <c r="D157" s="163">
        <v>110012254363</v>
      </c>
      <c r="E157" s="11" t="s">
        <v>686</v>
      </c>
      <c r="F157" s="11" t="s">
        <v>304</v>
      </c>
      <c r="G157" s="11" t="s">
        <v>779</v>
      </c>
      <c r="H157" s="11" t="s">
        <v>91</v>
      </c>
      <c r="I157" s="11" t="s">
        <v>1982</v>
      </c>
      <c r="J157" s="11">
        <v>30.563776000000001</v>
      </c>
      <c r="K157" s="11">
        <v>-91.212565999999995</v>
      </c>
      <c r="L157" s="11">
        <v>4491</v>
      </c>
      <c r="M157" s="11">
        <v>4491</v>
      </c>
      <c r="N157" s="175" t="str">
        <f>VLOOKUP(M157, '2017 SIC to NAICS'!A:D, 2)</f>
        <v>Marine Cargo Handling</v>
      </c>
      <c r="P157" s="187" t="str">
        <f>VLOOKUP(M157, '2017 SIC to NAICS'!A:D, 4)</f>
        <v>Marine Cargo Handling</v>
      </c>
      <c r="Q157" s="176" t="e">
        <f>IFERROR(VLOOKUP(O157, 'NAICS OES crosswalk'!A:C, 3, FALSE), VLOOKUP(M157, 'NAICS OES crosswalk'!A:C, 3, FALSE))</f>
        <v>#N/A</v>
      </c>
      <c r="U157" s="188">
        <v>80702010402</v>
      </c>
      <c r="V157" s="11" t="s">
        <v>1321</v>
      </c>
      <c r="W157" s="11"/>
      <c r="X157" s="11">
        <v>5.8632488750000002E-5</v>
      </c>
      <c r="Y157" s="11" t="b">
        <f t="shared" si="2"/>
        <v>1</v>
      </c>
    </row>
    <row r="158" spans="1:25" x14ac:dyDescent="0.35">
      <c r="A158" s="11">
        <v>2019</v>
      </c>
      <c r="B158" s="11" t="s">
        <v>1980</v>
      </c>
      <c r="C158" s="11" t="s">
        <v>1313</v>
      </c>
      <c r="D158" s="163">
        <v>110001131837</v>
      </c>
      <c r="E158" s="11" t="s">
        <v>575</v>
      </c>
      <c r="F158" s="11" t="s">
        <v>576</v>
      </c>
      <c r="G158" s="11" t="s">
        <v>1314</v>
      </c>
      <c r="H158" s="11" t="s">
        <v>91</v>
      </c>
      <c r="I158" s="11" t="s">
        <v>1982</v>
      </c>
      <c r="J158" s="11">
        <v>32.008493999999999</v>
      </c>
      <c r="K158" s="11">
        <v>-93.335728000000003</v>
      </c>
      <c r="L158" s="11">
        <v>4226</v>
      </c>
      <c r="M158" s="11">
        <v>4226</v>
      </c>
      <c r="N158" s="175" t="str">
        <f>VLOOKUP(M158, '2017 SIC to NAICS'!A:D, 2)</f>
        <v>Special Warehousing and Storage, Nec</v>
      </c>
      <c r="P158" s="187" t="str">
        <f>VLOOKUP(M158, '2017 SIC to NAICS'!A:D, 4)</f>
        <v>Other Warehousing and Storage</v>
      </c>
      <c r="Q158" s="176" t="e">
        <f>IFERROR(VLOOKUP(O158, 'NAICS OES crosswalk'!A:C, 3, FALSE), VLOOKUP(M158, 'NAICS OES crosswalk'!A:C, 3, FALSE))</f>
        <v>#N/A</v>
      </c>
      <c r="U158" s="188">
        <v>111402020203</v>
      </c>
      <c r="V158" s="11" t="s">
        <v>1315</v>
      </c>
      <c r="W158" s="11"/>
      <c r="X158" s="11">
        <v>1.9046542027499998E-2</v>
      </c>
      <c r="Y158" s="11" t="b">
        <f t="shared" si="2"/>
        <v>0</v>
      </c>
    </row>
    <row r="159" spans="1:25" ht="29" x14ac:dyDescent="0.35">
      <c r="A159" s="11">
        <v>2019</v>
      </c>
      <c r="B159" s="11" t="s">
        <v>1980</v>
      </c>
      <c r="C159" s="11" t="s">
        <v>920</v>
      </c>
      <c r="D159" s="163">
        <v>110064616296</v>
      </c>
      <c r="E159" s="11" t="s">
        <v>582</v>
      </c>
      <c r="F159" s="11" t="s">
        <v>583</v>
      </c>
      <c r="G159" s="11" t="s">
        <v>921</v>
      </c>
      <c r="H159" s="11" t="s">
        <v>102</v>
      </c>
      <c r="I159" s="11" t="s">
        <v>1982</v>
      </c>
      <c r="J159" s="11">
        <v>38.273180000000004</v>
      </c>
      <c r="K159" s="11">
        <v>-120.91082</v>
      </c>
      <c r="L159" s="11">
        <v>4952</v>
      </c>
      <c r="M159" s="11">
        <v>4952</v>
      </c>
      <c r="N159" s="175" t="str">
        <f>VLOOKUP(M159, '2017 SIC to NAICS'!A:D, 2)</f>
        <v>Sewerage Systems</v>
      </c>
      <c r="P159" s="187" t="str">
        <f>VLOOKUP(M159, '2017 SIC to NAICS'!A:D, 4)</f>
        <v>Sewage Treatment Facilities</v>
      </c>
      <c r="Q159" s="176" t="str">
        <f>IFERROR(VLOOKUP(O159, 'NAICS OES crosswalk'!A:C, 3, FALSE), VLOOKUP(M159, 'NAICS OES crosswalk'!A:C, 3, FALSE))</f>
        <v>Waste handling, disposal, and treatment</v>
      </c>
      <c r="U159" s="188">
        <v>180400120703</v>
      </c>
      <c r="V159" s="11" t="s">
        <v>922</v>
      </c>
      <c r="W159" s="11"/>
      <c r="X159" s="11">
        <v>1.7269062500000001E-2</v>
      </c>
      <c r="Y159" s="11" t="b">
        <f t="shared" si="2"/>
        <v>0</v>
      </c>
    </row>
    <row r="160" spans="1:25" x14ac:dyDescent="0.35">
      <c r="A160" s="11">
        <v>2019</v>
      </c>
      <c r="B160" s="11" t="s">
        <v>1980</v>
      </c>
      <c r="C160" s="11" t="s">
        <v>1066</v>
      </c>
      <c r="D160" s="163">
        <v>110000400012</v>
      </c>
      <c r="E160" s="11" t="s">
        <v>580</v>
      </c>
      <c r="F160" s="11" t="s">
        <v>581</v>
      </c>
      <c r="G160" s="11" t="s">
        <v>1067</v>
      </c>
      <c r="H160" s="11" t="s">
        <v>151</v>
      </c>
      <c r="I160" s="11" t="s">
        <v>1982</v>
      </c>
      <c r="J160" s="11">
        <v>40.86168</v>
      </c>
      <c r="K160" s="11">
        <v>-85.599149999999995</v>
      </c>
      <c r="L160" s="11">
        <v>3714</v>
      </c>
      <c r="M160" s="11">
        <v>3714</v>
      </c>
      <c r="N160" s="175" t="str">
        <f>VLOOKUP(M160, '2017 SIC to NAICS'!A:D, 2)</f>
        <v>Motor Vehicle Parts and Accessories</v>
      </c>
      <c r="P160" s="187" t="str">
        <f>VLOOKUP(M160, '2017 SIC to NAICS'!A:D, 4)</f>
        <v>Other Motor Vehicle Parts Manufacturing</v>
      </c>
      <c r="Q160" s="176" t="e">
        <f>IFERROR(VLOOKUP(O160, 'NAICS OES crosswalk'!A:C, 3, FALSE), VLOOKUP(M160, 'NAICS OES crosswalk'!A:C, 3, FALSE))</f>
        <v>#N/A</v>
      </c>
      <c r="U160" s="188">
        <v>51201011303</v>
      </c>
      <c r="V160" s="11" t="s">
        <v>1068</v>
      </c>
      <c r="W160" s="11"/>
      <c r="X160" s="11">
        <v>1.5904948499999998E-2</v>
      </c>
      <c r="Y160" s="11" t="b">
        <f t="shared" si="2"/>
        <v>0</v>
      </c>
    </row>
    <row r="161" spans="1:25" x14ac:dyDescent="0.35">
      <c r="A161" s="11">
        <v>2019</v>
      </c>
      <c r="B161" s="11" t="s">
        <v>1980</v>
      </c>
      <c r="C161" s="11" t="s">
        <v>1054</v>
      </c>
      <c r="D161" s="163">
        <v>110000433022</v>
      </c>
      <c r="E161" s="11" t="s">
        <v>407</v>
      </c>
      <c r="F161" s="11" t="s">
        <v>260</v>
      </c>
      <c r="G161" s="11" t="s">
        <v>795</v>
      </c>
      <c r="H161" s="11" t="s">
        <v>111</v>
      </c>
      <c r="I161" s="11" t="s">
        <v>1982</v>
      </c>
      <c r="J161" s="11">
        <v>41.305320000000002</v>
      </c>
      <c r="K161" s="11">
        <v>-88.561769999999996</v>
      </c>
      <c r="L161" s="11">
        <v>2821</v>
      </c>
      <c r="M161" s="11">
        <v>2821</v>
      </c>
      <c r="N161" s="175" t="str">
        <f>VLOOKUP(M161, '2017 SIC to NAICS'!A:D, 2)</f>
        <v>Plastics Materials and Resins</v>
      </c>
      <c r="P161" s="187" t="str">
        <f>VLOOKUP(M161, '2017 SIC to NAICS'!A:D, 4)</f>
        <v>Plastics Material and Resin Manufacturing</v>
      </c>
      <c r="Q161" s="176" t="str">
        <f>IFERROR(VLOOKUP(O161, 'NAICS OES crosswalk'!A:C, 3, FALSE), VLOOKUP(M161, 'NAICS OES crosswalk'!A:C, 3, FALSE))</f>
        <v>Processing as a reactant</v>
      </c>
      <c r="U161" s="188">
        <v>71200050705</v>
      </c>
      <c r="V161" s="11" t="s">
        <v>1055</v>
      </c>
      <c r="W161" s="11"/>
      <c r="X161" s="11">
        <v>6.4544044999999994E-2</v>
      </c>
      <c r="Y161" s="11" t="b">
        <f t="shared" si="2"/>
        <v>0</v>
      </c>
    </row>
    <row r="162" spans="1:25" x14ac:dyDescent="0.35">
      <c r="A162" s="11">
        <v>2019</v>
      </c>
      <c r="B162" s="11" t="s">
        <v>1980</v>
      </c>
      <c r="C162" s="11" t="s">
        <v>735</v>
      </c>
      <c r="D162" s="163">
        <v>110004306938</v>
      </c>
      <c r="E162" s="11" t="s">
        <v>336</v>
      </c>
      <c r="F162" s="11" t="s">
        <v>337</v>
      </c>
      <c r="G162" s="11" t="s">
        <v>736</v>
      </c>
      <c r="H162" s="11" t="s">
        <v>221</v>
      </c>
      <c r="I162" s="11" t="s">
        <v>1982</v>
      </c>
      <c r="J162" s="11">
        <v>36.122100000000003</v>
      </c>
      <c r="K162" s="11">
        <v>-115.17139</v>
      </c>
      <c r="L162" s="11">
        <v>7011</v>
      </c>
      <c r="M162" s="11">
        <v>7011</v>
      </c>
      <c r="N162" s="175" t="str">
        <f>VLOOKUP(M162, '2017 SIC to NAICS'!A:D, 2)</f>
        <v>Hotels and Motels</v>
      </c>
      <c r="P162" s="187" t="str">
        <f>VLOOKUP(M162, '2017 SIC to NAICS'!A:D, 4)</f>
        <v>All Other Traveler Accommodation</v>
      </c>
      <c r="Q162" s="176" t="e">
        <f>IFERROR(VLOOKUP(O162, 'NAICS OES crosswalk'!A:C, 3, FALSE), VLOOKUP(M162, 'NAICS OES crosswalk'!A:C, 3, FALSE))</f>
        <v>#N/A</v>
      </c>
      <c r="U162" s="188">
        <v>150100150604</v>
      </c>
      <c r="V162" s="11" t="s">
        <v>738</v>
      </c>
      <c r="W162" s="11"/>
      <c r="X162" s="11">
        <v>1.5086253000000001E-2</v>
      </c>
      <c r="Y162" s="11" t="b">
        <f t="shared" si="2"/>
        <v>0</v>
      </c>
    </row>
    <row r="163" spans="1:25" x14ac:dyDescent="0.35">
      <c r="A163" s="11">
        <v>2019</v>
      </c>
      <c r="B163" s="11" t="s">
        <v>1980</v>
      </c>
      <c r="C163" s="11" t="s">
        <v>1504</v>
      </c>
      <c r="D163" s="163">
        <v>110070210457</v>
      </c>
      <c r="E163" s="11" t="s">
        <v>650</v>
      </c>
      <c r="F163" s="11" t="s">
        <v>651</v>
      </c>
      <c r="G163" s="11" t="s">
        <v>1492</v>
      </c>
      <c r="H163" s="11" t="s">
        <v>254</v>
      </c>
      <c r="I163" s="11" t="s">
        <v>1982</v>
      </c>
      <c r="J163" s="11">
        <v>39.827696000000003</v>
      </c>
      <c r="K163" s="11">
        <v>-75.277782000000002</v>
      </c>
      <c r="L163" s="11">
        <v>2869</v>
      </c>
      <c r="M163" s="11">
        <v>2869</v>
      </c>
      <c r="N163" s="175" t="str">
        <f>VLOOKUP(M163, '2017 SIC to NAICS'!A:D, 2)</f>
        <v>Industrial Organic Chemicals, Nec</v>
      </c>
      <c r="P163" s="187" t="str">
        <f>VLOOKUP(M163, '2017 SIC to NAICS'!A:D, 4)</f>
        <v>All Other Miscellaneous Chemical Product and Preparation Manufacturing</v>
      </c>
      <c r="Q163" s="176" t="str">
        <f>IFERROR(VLOOKUP(O163, 'NAICS OES crosswalk'!A:C, 3, FALSE), VLOOKUP(M163, 'NAICS OES crosswalk'!A:C, 3, FALSE))</f>
        <v>Manufacturing</v>
      </c>
      <c r="U163" s="188">
        <v>20402020507</v>
      </c>
      <c r="V163" s="11" t="s">
        <v>1498</v>
      </c>
      <c r="W163" s="11"/>
      <c r="X163" s="11">
        <v>3.6858443550000001E-3</v>
      </c>
      <c r="Y163" s="11" t="b">
        <f t="shared" si="2"/>
        <v>0</v>
      </c>
    </row>
    <row r="164" spans="1:25" x14ac:dyDescent="0.35">
      <c r="A164" s="11">
        <v>2019</v>
      </c>
      <c r="B164" s="11" t="s">
        <v>1980</v>
      </c>
      <c r="C164" s="11" t="s">
        <v>800</v>
      </c>
      <c r="D164" s="163">
        <v>110005812371</v>
      </c>
      <c r="E164" s="11" t="s">
        <v>353</v>
      </c>
      <c r="F164" s="11" t="s">
        <v>354</v>
      </c>
      <c r="G164" s="11" t="s">
        <v>801</v>
      </c>
      <c r="H164" s="11" t="s">
        <v>111</v>
      </c>
      <c r="I164" s="11" t="s">
        <v>1982</v>
      </c>
      <c r="J164" s="11">
        <v>42.304209</v>
      </c>
      <c r="K164" s="11">
        <v>-89.055548999999999</v>
      </c>
      <c r="L164" s="11">
        <v>3728</v>
      </c>
      <c r="M164" s="11">
        <v>3728</v>
      </c>
      <c r="N164" s="175" t="str">
        <f>VLOOKUP(M164, '2017 SIC to NAICS'!A:D, 2)</f>
        <v>Aircraft Parts and Auxiliary Equipment, NEC (research and development not
producing prototypes)</v>
      </c>
      <c r="P164" s="187" t="str">
        <f>VLOOKUP(M164, '2017 SIC to NAICS'!A:D, 4)</f>
        <v>Research and Development in Nanotechnology</v>
      </c>
      <c r="Q164" s="176" t="e">
        <f>IFERROR(VLOOKUP(O164, 'NAICS OES crosswalk'!A:C, 3, FALSE), VLOOKUP(M164, 'NAICS OES crosswalk'!A:C, 3, FALSE))</f>
        <v>#N/A</v>
      </c>
      <c r="U164" s="188">
        <v>70900050107</v>
      </c>
      <c r="V164" s="11" t="s">
        <v>802</v>
      </c>
      <c r="W164" s="11"/>
      <c r="X164" s="189">
        <v>1.4678608500000001E-2</v>
      </c>
      <c r="Y164" s="11" t="b">
        <f t="shared" si="2"/>
        <v>0</v>
      </c>
    </row>
    <row r="165" spans="1:25" ht="29" x14ac:dyDescent="0.35">
      <c r="A165" s="11">
        <v>2019</v>
      </c>
      <c r="B165" s="11" t="s">
        <v>1980</v>
      </c>
      <c r="C165" s="11" t="s">
        <v>1403</v>
      </c>
      <c r="D165" s="163">
        <v>110034151450</v>
      </c>
      <c r="E165" s="11" t="s">
        <v>584</v>
      </c>
      <c r="F165" s="11" t="s">
        <v>585</v>
      </c>
      <c r="G165" s="11" t="s">
        <v>1372</v>
      </c>
      <c r="H165" s="11" t="s">
        <v>181</v>
      </c>
      <c r="I165" s="11" t="s">
        <v>1982</v>
      </c>
      <c r="J165" s="11">
        <v>42.665671000000003</v>
      </c>
      <c r="K165" s="11">
        <v>-85.290707999999995</v>
      </c>
      <c r="L165" s="11">
        <v>4953</v>
      </c>
      <c r="M165" s="11">
        <v>4953</v>
      </c>
      <c r="N165" s="175" t="str">
        <f>VLOOKUP(M165, '2017 SIC to NAICS'!A:D, 2)</f>
        <v>Refuse Systems</v>
      </c>
      <c r="O165" s="11">
        <v>562212</v>
      </c>
      <c r="P165" s="187" t="str">
        <f>VLOOKUP(M165, '2017 SIC to NAICS'!A:D, 4)</f>
        <v>Materials Recovery Facilities</v>
      </c>
      <c r="Q165" s="176" t="str">
        <f>IFERROR(VLOOKUP(O165, 'NAICS OES crosswalk'!A:C, 3, FALSE), VLOOKUP(M165, 'NAICS OES crosswalk'!A:C, 3, FALSE))</f>
        <v>Waste handling, disposal, and treatment</v>
      </c>
      <c r="U165" s="188">
        <v>40500070402</v>
      </c>
      <c r="V165" s="11" t="s">
        <v>1404</v>
      </c>
      <c r="W165" s="11"/>
      <c r="X165" s="11">
        <v>1.3692237499999999E-2</v>
      </c>
      <c r="Y165" s="11" t="b">
        <f t="shared" si="2"/>
        <v>0</v>
      </c>
    </row>
    <row r="166" spans="1:25" x14ac:dyDescent="0.35">
      <c r="A166" s="11">
        <v>2019</v>
      </c>
      <c r="B166" s="11" t="s">
        <v>1980</v>
      </c>
      <c r="C166" s="11" t="s">
        <v>735</v>
      </c>
      <c r="D166" s="163">
        <v>110004306938</v>
      </c>
      <c r="E166" s="11" t="s">
        <v>336</v>
      </c>
      <c r="F166" s="11" t="s">
        <v>337</v>
      </c>
      <c r="G166" s="11" t="s">
        <v>736</v>
      </c>
      <c r="H166" s="11" t="s">
        <v>221</v>
      </c>
      <c r="I166" s="11" t="s">
        <v>1982</v>
      </c>
      <c r="J166" s="11">
        <v>36.122100000000003</v>
      </c>
      <c r="K166" s="11">
        <v>-115.17139</v>
      </c>
      <c r="L166" s="11">
        <v>7011</v>
      </c>
      <c r="M166" s="11">
        <v>7011</v>
      </c>
      <c r="N166" s="175" t="str">
        <f>VLOOKUP(M166, '2017 SIC to NAICS'!A:D, 2)</f>
        <v>Hotels and Motels</v>
      </c>
      <c r="P166" s="187" t="str">
        <f>VLOOKUP(M166, '2017 SIC to NAICS'!A:D, 4)</f>
        <v>All Other Traveler Accommodation</v>
      </c>
      <c r="Q166" s="176" t="e">
        <f>IFERROR(VLOOKUP(O166, 'NAICS OES crosswalk'!A:C, 3, FALSE), VLOOKUP(M166, 'NAICS OES crosswalk'!A:C, 3, FALSE))</f>
        <v>#N/A</v>
      </c>
      <c r="U166" s="188">
        <v>150100150604</v>
      </c>
      <c r="V166" s="11" t="s">
        <v>738</v>
      </c>
      <c r="W166" s="11"/>
      <c r="X166" s="11">
        <v>1.34456920625E-2</v>
      </c>
      <c r="Y166" s="11" t="b">
        <f t="shared" si="2"/>
        <v>0</v>
      </c>
    </row>
    <row r="167" spans="1:25" x14ac:dyDescent="0.35">
      <c r="A167" s="11">
        <v>2019</v>
      </c>
      <c r="B167" s="11" t="s">
        <v>1980</v>
      </c>
      <c r="C167" s="11" t="s">
        <v>1350</v>
      </c>
      <c r="D167" s="163">
        <v>110000314598</v>
      </c>
      <c r="E167" s="11" t="s">
        <v>590</v>
      </c>
      <c r="F167" s="11" t="s">
        <v>591</v>
      </c>
      <c r="G167" s="11" t="s">
        <v>1351</v>
      </c>
      <c r="H167" s="11" t="s">
        <v>592</v>
      </c>
      <c r="I167" s="11" t="s">
        <v>1982</v>
      </c>
      <c r="J167" s="11">
        <v>44.740049999999997</v>
      </c>
      <c r="K167" s="11">
        <v>-68.824690000000004</v>
      </c>
      <c r="L167" s="11">
        <v>2812</v>
      </c>
      <c r="M167" s="11">
        <v>2812</v>
      </c>
      <c r="N167" s="175" t="str">
        <f>VLOOKUP(M167, '2017 SIC to NAICS'!A:D, 2)</f>
        <v>Alkalies and Chlorine</v>
      </c>
      <c r="P167" s="187" t="str">
        <f>VLOOKUP(M167, '2017 SIC to NAICS'!A:D, 4)</f>
        <v>Other Basic Inorganic Chemical
Manufacturing</v>
      </c>
      <c r="Q167" s="176" t="str">
        <f>IFERROR(VLOOKUP(O167, 'NAICS OES crosswalk'!A:C, 3, FALSE), VLOOKUP(M167, 'NAICS OES crosswalk'!A:C, 3, FALSE))</f>
        <v>Processing as a reactant</v>
      </c>
      <c r="U167" s="188">
        <v>10200051007</v>
      </c>
      <c r="V167" s="11" t="s">
        <v>1354</v>
      </c>
      <c r="W167" s="11"/>
      <c r="X167" s="11">
        <v>1.546551E-2</v>
      </c>
      <c r="Y167" s="11" t="b">
        <f t="shared" si="2"/>
        <v>0</v>
      </c>
    </row>
    <row r="168" spans="1:25" x14ac:dyDescent="0.35">
      <c r="A168" s="11">
        <v>2019</v>
      </c>
      <c r="B168" s="11" t="s">
        <v>1980</v>
      </c>
      <c r="C168" s="11" t="s">
        <v>1565</v>
      </c>
      <c r="D168" s="163">
        <v>110000734661</v>
      </c>
      <c r="E168" s="11" t="s">
        <v>516</v>
      </c>
      <c r="F168" s="11" t="s">
        <v>517</v>
      </c>
      <c r="G168" s="11" t="s">
        <v>831</v>
      </c>
      <c r="H168" s="11" t="s">
        <v>126</v>
      </c>
      <c r="I168" s="11" t="s">
        <v>1981</v>
      </c>
      <c r="J168" s="11">
        <v>43.047975999999998</v>
      </c>
      <c r="K168" s="11">
        <v>-78.859217000000001</v>
      </c>
      <c r="L168" s="11">
        <v>9511</v>
      </c>
      <c r="M168" s="11">
        <v>9511</v>
      </c>
      <c r="N168" s="175" t="str">
        <f>VLOOKUP(M168, '2017 SIC to NAICS'!A:D, 2)</f>
        <v>Air, Water, and Solid Waste Management</v>
      </c>
      <c r="P168" s="187" t="str">
        <f>VLOOKUP(M168, '2017 SIC to NAICS'!A:D, 4)</f>
        <v>Administration of Air and Water Resource
and Solid Waste Management Programs</v>
      </c>
      <c r="Q168" s="176" t="e">
        <f>IFERROR(VLOOKUP(O168, 'NAICS OES crosswalk'!A:C, 3, FALSE), VLOOKUP(M168, 'NAICS OES crosswalk'!A:C, 3, FALSE))</f>
        <v>#N/A</v>
      </c>
      <c r="U168" s="188">
        <v>41201040604</v>
      </c>
      <c r="V168" s="11" t="s">
        <v>1566</v>
      </c>
      <c r="W168" s="11"/>
      <c r="X168" s="11">
        <v>1.5853127307999999E-2</v>
      </c>
      <c r="Y168" s="11" t="b">
        <f t="shared" si="2"/>
        <v>0</v>
      </c>
    </row>
    <row r="169" spans="1:25" x14ac:dyDescent="0.35">
      <c r="A169" s="11">
        <v>2019</v>
      </c>
      <c r="B169" s="11" t="s">
        <v>1980</v>
      </c>
      <c r="C169" s="11" t="s">
        <v>1430</v>
      </c>
      <c r="D169" s="163">
        <v>110000409406</v>
      </c>
      <c r="E169" s="11" t="s">
        <v>603</v>
      </c>
      <c r="F169" s="11" t="s">
        <v>604</v>
      </c>
      <c r="G169" s="11" t="s">
        <v>1401</v>
      </c>
      <c r="H169" s="11" t="s">
        <v>181</v>
      </c>
      <c r="I169" s="11" t="s">
        <v>1982</v>
      </c>
      <c r="J169" s="11">
        <v>42.04945</v>
      </c>
      <c r="K169" s="11">
        <v>-86.511949999999999</v>
      </c>
      <c r="L169" s="11">
        <v>3321</v>
      </c>
      <c r="M169" s="11">
        <v>3321</v>
      </c>
      <c r="N169" s="175" t="str">
        <f>VLOOKUP(M169, '2017 SIC to NAICS'!A:D, 2)</f>
        <v>Gray and Ductile Iron Foundries</v>
      </c>
      <c r="O169" s="11">
        <v>336340</v>
      </c>
      <c r="P169" s="187" t="str">
        <f>VLOOKUP(M169, '2017 SIC to NAICS'!A:D, 4)</f>
        <v>Iron Foundries</v>
      </c>
      <c r="Q169" s="176" t="e">
        <f>IFERROR(VLOOKUP(O169, 'NAICS OES crosswalk'!A:C, 3, FALSE), VLOOKUP(M169, 'NAICS OES crosswalk'!A:C, 3, FALSE))</f>
        <v>#N/A</v>
      </c>
      <c r="U169" s="188">
        <v>40500012607</v>
      </c>
      <c r="V169" s="11" t="s">
        <v>1431</v>
      </c>
      <c r="W169" s="11"/>
      <c r="X169" s="11">
        <v>1.2396657738E-2</v>
      </c>
      <c r="Y169" s="11" t="b">
        <f t="shared" si="2"/>
        <v>0</v>
      </c>
    </row>
    <row r="170" spans="1:25" x14ac:dyDescent="0.35">
      <c r="A170" s="11">
        <v>2019</v>
      </c>
      <c r="B170" s="11" t="s">
        <v>1980</v>
      </c>
      <c r="C170" s="11" t="s">
        <v>1316</v>
      </c>
      <c r="D170" s="163">
        <v>110000911309</v>
      </c>
      <c r="E170" s="11" t="s">
        <v>573</v>
      </c>
      <c r="F170" s="11" t="s">
        <v>209</v>
      </c>
      <c r="G170" s="11" t="s">
        <v>1299</v>
      </c>
      <c r="H170" s="11" t="s">
        <v>91</v>
      </c>
      <c r="I170" s="11" t="s">
        <v>1982</v>
      </c>
      <c r="J170" s="11">
        <v>30.233011999999999</v>
      </c>
      <c r="K170" s="11">
        <v>-91.022057000000004</v>
      </c>
      <c r="L170" s="11">
        <v>4789</v>
      </c>
      <c r="M170" s="11">
        <v>4789</v>
      </c>
      <c r="N170" s="175" t="str">
        <f>VLOOKUP(M170, '2017 SIC to NAICS'!A:D, 2)</f>
        <v>Transportation Services, Nec</v>
      </c>
      <c r="P170" s="187" t="str">
        <f>VLOOKUP(M170, '2017 SIC to NAICS'!A:D, 4)</f>
        <v>Food Service Contractors</v>
      </c>
      <c r="Q170" s="176" t="e">
        <f>IFERROR(VLOOKUP(O170, 'NAICS OES crosswalk'!A:C, 3, FALSE), VLOOKUP(M170, 'NAICS OES crosswalk'!A:C, 3, FALSE))</f>
        <v>#N/A</v>
      </c>
      <c r="U170" s="188">
        <v>80702040103</v>
      </c>
      <c r="V170" s="11" t="s">
        <v>1300</v>
      </c>
      <c r="W170" s="11"/>
      <c r="X170" s="11">
        <v>1.1140674375E-2</v>
      </c>
      <c r="Y170" s="11" t="b">
        <f t="shared" si="2"/>
        <v>0</v>
      </c>
    </row>
    <row r="171" spans="1:25" x14ac:dyDescent="0.35">
      <c r="A171" s="11">
        <v>2019</v>
      </c>
      <c r="B171" s="11" t="s">
        <v>1980</v>
      </c>
      <c r="C171" s="11" t="s">
        <v>1734</v>
      </c>
      <c r="D171" s="163">
        <v>110070684897</v>
      </c>
      <c r="E171" s="11" t="s">
        <v>571</v>
      </c>
      <c r="F171" s="11" t="s">
        <v>572</v>
      </c>
      <c r="G171" s="11" t="s">
        <v>1735</v>
      </c>
      <c r="H171" s="11" t="s">
        <v>276</v>
      </c>
      <c r="I171" s="11" t="s">
        <v>1982</v>
      </c>
      <c r="J171" s="11">
        <v>38.920251999999998</v>
      </c>
      <c r="K171" s="11">
        <v>-77.231944999999996</v>
      </c>
      <c r="L171" s="11">
        <v>1794</v>
      </c>
      <c r="M171" s="11">
        <v>1794</v>
      </c>
      <c r="N171" s="175" t="str">
        <f>VLOOKUP(M171, '2017 SIC to NAICS'!A:D, 2)</f>
        <v>Excavation Work</v>
      </c>
      <c r="P171" s="187" t="str">
        <f>VLOOKUP(M171, '2017 SIC to NAICS'!A:D, 4)</f>
        <v>Site Preparation Contractors</v>
      </c>
      <c r="Q171" s="176" t="e">
        <f>IFERROR(VLOOKUP(O171, 'NAICS OES crosswalk'!A:C, 3, FALSE), VLOOKUP(M171, 'NAICS OES crosswalk'!A:C, 3, FALSE))</f>
        <v>#N/A</v>
      </c>
      <c r="U171" s="188">
        <v>20700081004</v>
      </c>
      <c r="V171" s="11" t="s">
        <v>1716</v>
      </c>
      <c r="W171" s="11"/>
      <c r="X171" s="11">
        <v>1.0137744000000001E-2</v>
      </c>
      <c r="Y171" s="11" t="b">
        <f t="shared" si="2"/>
        <v>0</v>
      </c>
    </row>
    <row r="172" spans="1:25" x14ac:dyDescent="0.35">
      <c r="A172" s="11">
        <v>2019</v>
      </c>
      <c r="B172" s="11" t="s">
        <v>1980</v>
      </c>
      <c r="C172" s="11" t="s">
        <v>1604</v>
      </c>
      <c r="D172" s="163">
        <v>110000487633</v>
      </c>
      <c r="E172" s="11" t="s">
        <v>599</v>
      </c>
      <c r="F172" s="11" t="s">
        <v>600</v>
      </c>
      <c r="G172" s="11" t="s">
        <v>1605</v>
      </c>
      <c r="H172" s="11" t="s">
        <v>601</v>
      </c>
      <c r="I172" s="11" t="s">
        <v>1982</v>
      </c>
      <c r="J172" s="11">
        <v>45.543847</v>
      </c>
      <c r="K172" s="11">
        <v>-122.46656299999999</v>
      </c>
      <c r="L172" s="11">
        <v>3728</v>
      </c>
      <c r="M172" s="11">
        <v>3728</v>
      </c>
      <c r="N172" s="175" t="str">
        <f>VLOOKUP(M172, '2017 SIC to NAICS'!A:D, 2)</f>
        <v>Aircraft Parts and Auxiliary Equipment, NEC (research and development not
producing prototypes)</v>
      </c>
      <c r="P172" s="187" t="str">
        <f>VLOOKUP(M172, '2017 SIC to NAICS'!A:D, 4)</f>
        <v>Research and Development in Nanotechnology</v>
      </c>
      <c r="Q172" s="176" t="e">
        <f>IFERROR(VLOOKUP(O172, 'NAICS OES crosswalk'!A:C, 3, FALSE), VLOOKUP(M172, 'NAICS OES crosswalk'!A:C, 3, FALSE))</f>
        <v>#N/A</v>
      </c>
      <c r="U172" s="188">
        <v>170900120201</v>
      </c>
      <c r="V172" s="11" t="s">
        <v>1606</v>
      </c>
      <c r="W172" s="11"/>
      <c r="X172" s="11">
        <v>9.9867679200000004E-3</v>
      </c>
      <c r="Y172" s="11" t="b">
        <f t="shared" si="2"/>
        <v>0</v>
      </c>
    </row>
    <row r="173" spans="1:25" ht="15" customHeight="1" x14ac:dyDescent="0.35">
      <c r="A173" s="11">
        <v>2019</v>
      </c>
      <c r="B173" s="11" t="s">
        <v>1980</v>
      </c>
      <c r="C173" s="11" t="s">
        <v>864</v>
      </c>
      <c r="D173" s="163">
        <v>110007915505</v>
      </c>
      <c r="E173" s="11" t="s">
        <v>543</v>
      </c>
      <c r="F173" s="11" t="s">
        <v>544</v>
      </c>
      <c r="G173" s="11" t="s">
        <v>865</v>
      </c>
      <c r="H173" s="11" t="s">
        <v>545</v>
      </c>
      <c r="I173" s="11" t="s">
        <v>1982</v>
      </c>
      <c r="J173" s="11">
        <v>33.917197000000002</v>
      </c>
      <c r="K173" s="11">
        <v>-88.101809000000003</v>
      </c>
      <c r="L173" s="11">
        <v>3537</v>
      </c>
      <c r="M173" s="11">
        <v>3537</v>
      </c>
      <c r="N173" s="175" t="str">
        <f>VLOOKUP(M173, '2017 SIC to NAICS'!A:D, 2)</f>
        <v>Industrial Trucks and Tractors</v>
      </c>
      <c r="O173" s="11">
        <v>333924</v>
      </c>
      <c r="P173" s="187" t="str">
        <f>VLOOKUP(M173, '2017 SIC to NAICS'!A:D, 4)</f>
        <v>Industrial Truck, Tractor, Trailer, and
Stacker Machinery Manufacturing</v>
      </c>
      <c r="Q173" s="176" t="e">
        <f>IFERROR(VLOOKUP(O173, 'NAICS OES crosswalk'!A:C, 3, FALSE), VLOOKUP(M173, 'NAICS OES crosswalk'!A:C, 3, FALSE))</f>
        <v>#N/A</v>
      </c>
      <c r="U173" s="188">
        <v>31601030202</v>
      </c>
      <c r="V173" s="11" t="s">
        <v>868</v>
      </c>
      <c r="W173" s="11"/>
      <c r="X173" s="11">
        <v>4.1544159999999998E-5</v>
      </c>
      <c r="Y173" s="11" t="b">
        <f t="shared" si="2"/>
        <v>1</v>
      </c>
    </row>
    <row r="174" spans="1:25" ht="15" customHeight="1" x14ac:dyDescent="0.35">
      <c r="A174" s="11">
        <v>2019</v>
      </c>
      <c r="B174" s="11" t="s">
        <v>1980</v>
      </c>
      <c r="C174" s="11" t="s">
        <v>752</v>
      </c>
      <c r="D174" s="163">
        <v>110000749021</v>
      </c>
      <c r="E174" s="11" t="s">
        <v>530</v>
      </c>
      <c r="F174" s="11" t="s">
        <v>531</v>
      </c>
      <c r="G174" s="11" t="s">
        <v>753</v>
      </c>
      <c r="H174" s="11" t="s">
        <v>276</v>
      </c>
      <c r="I174" s="11" t="s">
        <v>1982</v>
      </c>
      <c r="J174" s="11">
        <v>38.748759999999997</v>
      </c>
      <c r="K174" s="11">
        <v>-77.511420000000001</v>
      </c>
      <c r="L174" s="11">
        <v>4959</v>
      </c>
      <c r="M174" s="11">
        <v>4959</v>
      </c>
      <c r="N174" s="175" t="str">
        <f>VLOOKUP(M174, '2017 SIC to NAICS'!A:D, 2)</f>
        <v>Sanitary Services, Nec</v>
      </c>
      <c r="O174" s="11">
        <v>562910</v>
      </c>
      <c r="P174" s="187" t="str">
        <f>VLOOKUP(M174, '2017 SIC to NAICS'!A:D, 4)</f>
        <v>All Other Miscellaneous Waste
Management Services</v>
      </c>
      <c r="Q174" s="176" t="e">
        <f>IFERROR(VLOOKUP(O174, 'NAICS OES crosswalk'!A:C, 3, FALSE), VLOOKUP(M174, 'NAICS OES crosswalk'!A:C, 3, FALSE))</f>
        <v>#N/A</v>
      </c>
      <c r="U174" s="188">
        <v>20700100504</v>
      </c>
      <c r="V174" s="11" t="s">
        <v>756</v>
      </c>
      <c r="W174" s="11"/>
      <c r="X174" s="11">
        <v>3.3947097250000002E-2</v>
      </c>
      <c r="Y174" s="11" t="b">
        <f t="shared" si="2"/>
        <v>0</v>
      </c>
    </row>
    <row r="175" spans="1:25" ht="15" customHeight="1" x14ac:dyDescent="0.35">
      <c r="A175" s="11">
        <v>2019</v>
      </c>
      <c r="B175" s="11" t="s">
        <v>1980</v>
      </c>
      <c r="C175" s="11" t="s">
        <v>929</v>
      </c>
      <c r="D175" s="163">
        <v>110017217545</v>
      </c>
      <c r="E175" s="11" t="s">
        <v>617</v>
      </c>
      <c r="F175" s="11" t="s">
        <v>618</v>
      </c>
      <c r="G175" s="11" t="s">
        <v>335</v>
      </c>
      <c r="H175" s="11" t="s">
        <v>102</v>
      </c>
      <c r="I175" s="11" t="s">
        <v>1982</v>
      </c>
      <c r="J175" s="11">
        <v>33.762349999999998</v>
      </c>
      <c r="K175" s="11">
        <v>-118.241775</v>
      </c>
      <c r="L175" s="11">
        <v>5171</v>
      </c>
      <c r="M175" s="11">
        <v>5171</v>
      </c>
      <c r="N175" s="175" t="str">
        <f>VLOOKUP(M175, '2017 SIC to NAICS'!A:D, 2)</f>
        <v>Petroleum Bulk Stations and Terminals</v>
      </c>
      <c r="P175" s="187" t="str">
        <f>VLOOKUP(M175, '2017 SIC to NAICS'!A:D, 4)</f>
        <v>Fuel Dealers</v>
      </c>
      <c r="Q175" s="176" t="e">
        <f>IFERROR(VLOOKUP(O175, 'NAICS OES crosswalk'!A:C, 3, FALSE), VLOOKUP(M175, 'NAICS OES crosswalk'!A:C, 3, FALSE))</f>
        <v>#N/A</v>
      </c>
      <c r="U175" s="188">
        <v>180701060701</v>
      </c>
      <c r="V175" s="11" t="s">
        <v>928</v>
      </c>
      <c r="W175" s="11"/>
      <c r="X175" s="11">
        <v>8.5171016250000006E-3</v>
      </c>
      <c r="Y175" s="11" t="b">
        <f t="shared" si="2"/>
        <v>0</v>
      </c>
    </row>
    <row r="176" spans="1:25" ht="15" customHeight="1" x14ac:dyDescent="0.35">
      <c r="A176" s="11">
        <v>2019</v>
      </c>
      <c r="B176" s="11" t="s">
        <v>1980</v>
      </c>
      <c r="C176" s="11" t="s">
        <v>1640</v>
      </c>
      <c r="D176" s="163">
        <v>110008476327</v>
      </c>
      <c r="E176" s="11" t="s">
        <v>609</v>
      </c>
      <c r="F176" s="11" t="s">
        <v>610</v>
      </c>
      <c r="G176" s="11" t="s">
        <v>1641</v>
      </c>
      <c r="H176" s="11" t="s">
        <v>340</v>
      </c>
      <c r="I176" s="11" t="s">
        <v>1982</v>
      </c>
      <c r="J176" s="11">
        <v>41.452778000000002</v>
      </c>
      <c r="K176" s="11">
        <v>-79.690278000000006</v>
      </c>
      <c r="L176" s="11">
        <v>2865</v>
      </c>
      <c r="M176" s="11">
        <v>2865</v>
      </c>
      <c r="N176" s="175" t="str">
        <f>VLOOKUP(M176, '2017 SIC to NAICS'!A:D, 2)</f>
        <v>Cyclic Crudes and Intermediates</v>
      </c>
      <c r="P176" s="187" t="str">
        <f>VLOOKUP(M176, '2017 SIC to NAICS'!A:D, 4)</f>
        <v>Cyclic Crude, Intermediate, and Gum and
Wood Chemical Manufacturing</v>
      </c>
      <c r="Q176" s="176" t="e">
        <f>IFERROR(VLOOKUP(O176, 'NAICS OES crosswalk'!A:C, 3, FALSE), VLOOKUP(M176, 'NAICS OES crosswalk'!A:C, 3, FALSE))</f>
        <v>#N/A</v>
      </c>
      <c r="U176" s="188">
        <v>50100030606</v>
      </c>
      <c r="V176" s="11" t="s">
        <v>1642</v>
      </c>
      <c r="W176" s="11"/>
      <c r="X176" s="11">
        <v>8.2854999999999995E-3</v>
      </c>
      <c r="Y176" s="11" t="b">
        <f t="shared" si="2"/>
        <v>0</v>
      </c>
    </row>
    <row r="177" spans="1:25" ht="15" customHeight="1" x14ac:dyDescent="0.35">
      <c r="A177" s="11">
        <v>2019</v>
      </c>
      <c r="B177" s="11" t="s">
        <v>1980</v>
      </c>
      <c r="C177" s="11" t="s">
        <v>752</v>
      </c>
      <c r="D177" s="163">
        <v>110000749021</v>
      </c>
      <c r="E177" s="11" t="s">
        <v>530</v>
      </c>
      <c r="F177" s="11" t="s">
        <v>531</v>
      </c>
      <c r="G177" s="11" t="s">
        <v>753</v>
      </c>
      <c r="H177" s="11" t="s">
        <v>276</v>
      </c>
      <c r="I177" s="11" t="s">
        <v>1982</v>
      </c>
      <c r="J177" s="11">
        <v>38.748759999999997</v>
      </c>
      <c r="K177" s="11">
        <v>-77.511420000000001</v>
      </c>
      <c r="L177" s="11">
        <v>4959</v>
      </c>
      <c r="M177" s="11">
        <v>4959</v>
      </c>
      <c r="N177" s="175" t="str">
        <f>VLOOKUP(M177, '2017 SIC to NAICS'!A:D, 2)</f>
        <v>Sanitary Services, Nec</v>
      </c>
      <c r="O177" s="11">
        <v>562910</v>
      </c>
      <c r="P177" s="187" t="str">
        <f>VLOOKUP(M177, '2017 SIC to NAICS'!A:D, 4)</f>
        <v>All Other Miscellaneous Waste
Management Services</v>
      </c>
      <c r="Q177" s="176" t="e">
        <f>IFERROR(VLOOKUP(O177, 'NAICS OES crosswalk'!A:C, 3, FALSE), VLOOKUP(M177, 'NAICS OES crosswalk'!A:C, 3, FALSE))</f>
        <v>#N/A</v>
      </c>
      <c r="U177" s="188">
        <v>20700100504</v>
      </c>
      <c r="V177" s="11" t="s">
        <v>756</v>
      </c>
      <c r="W177" s="11"/>
      <c r="X177" s="11">
        <v>9.8824836000000003E-3</v>
      </c>
      <c r="Y177" s="11" t="b">
        <f t="shared" si="2"/>
        <v>0</v>
      </c>
    </row>
    <row r="178" spans="1:25" x14ac:dyDescent="0.35">
      <c r="A178" s="11">
        <v>2019</v>
      </c>
      <c r="B178" s="11" t="s">
        <v>1980</v>
      </c>
      <c r="C178" s="11" t="s">
        <v>752</v>
      </c>
      <c r="D178" s="163">
        <v>110000749021</v>
      </c>
      <c r="E178" s="11" t="s">
        <v>530</v>
      </c>
      <c r="F178" s="11" t="s">
        <v>531</v>
      </c>
      <c r="G178" s="11" t="s">
        <v>753</v>
      </c>
      <c r="H178" s="11" t="s">
        <v>276</v>
      </c>
      <c r="I178" s="11" t="s">
        <v>1982</v>
      </c>
      <c r="J178" s="11">
        <v>38.748759999999997</v>
      </c>
      <c r="K178" s="11">
        <v>-77.511420000000001</v>
      </c>
      <c r="L178" s="11">
        <v>4959</v>
      </c>
      <c r="M178" s="11">
        <v>4959</v>
      </c>
      <c r="N178" s="175" t="str">
        <f>VLOOKUP(M178, '2017 SIC to NAICS'!A:D, 2)</f>
        <v>Sanitary Services, Nec</v>
      </c>
      <c r="O178" s="11">
        <v>562910</v>
      </c>
      <c r="P178" s="187" t="str">
        <f>VLOOKUP(M178, '2017 SIC to NAICS'!A:D, 4)</f>
        <v>All Other Miscellaneous Waste
Management Services</v>
      </c>
      <c r="Q178" s="176" t="e">
        <f>IFERROR(VLOOKUP(O178, 'NAICS OES crosswalk'!A:C, 3, FALSE), VLOOKUP(M178, 'NAICS OES crosswalk'!A:C, 3, FALSE))</f>
        <v>#N/A</v>
      </c>
      <c r="U178" s="188">
        <v>20700100504</v>
      </c>
      <c r="V178" s="11" t="s">
        <v>756</v>
      </c>
      <c r="W178" s="11"/>
      <c r="X178" s="11">
        <v>9.5925904500000006E-3</v>
      </c>
      <c r="Y178" s="11" t="b">
        <f t="shared" si="2"/>
        <v>0</v>
      </c>
    </row>
    <row r="179" spans="1:25" x14ac:dyDescent="0.35">
      <c r="A179" s="11">
        <v>2019</v>
      </c>
      <c r="B179" s="11" t="s">
        <v>1980</v>
      </c>
      <c r="C179" s="11" t="s">
        <v>735</v>
      </c>
      <c r="D179" s="163">
        <v>110004306938</v>
      </c>
      <c r="E179" s="11" t="s">
        <v>336</v>
      </c>
      <c r="F179" s="11" t="s">
        <v>337</v>
      </c>
      <c r="G179" s="11" t="s">
        <v>736</v>
      </c>
      <c r="H179" s="11" t="s">
        <v>221</v>
      </c>
      <c r="I179" s="11" t="s">
        <v>1982</v>
      </c>
      <c r="J179" s="11">
        <v>36.122100000000003</v>
      </c>
      <c r="K179" s="11">
        <v>-115.17139</v>
      </c>
      <c r="L179" s="11">
        <v>7011</v>
      </c>
      <c r="M179" s="11">
        <v>7011</v>
      </c>
      <c r="N179" s="175" t="str">
        <f>VLOOKUP(M179, '2017 SIC to NAICS'!A:D, 2)</f>
        <v>Hotels and Motels</v>
      </c>
      <c r="P179" s="187" t="str">
        <f>VLOOKUP(M179, '2017 SIC to NAICS'!A:D, 4)</f>
        <v>All Other Traveler Accommodation</v>
      </c>
      <c r="Q179" s="176" t="e">
        <f>IFERROR(VLOOKUP(O179, 'NAICS OES crosswalk'!A:C, 3, FALSE), VLOOKUP(M179, 'NAICS OES crosswalk'!A:C, 3, FALSE))</f>
        <v>#N/A</v>
      </c>
      <c r="U179" s="188">
        <v>150100150604</v>
      </c>
      <c r="V179" s="11" t="s">
        <v>738</v>
      </c>
      <c r="W179" s="11"/>
      <c r="X179" s="11">
        <v>7.4878655000000004E-3</v>
      </c>
      <c r="Y179" s="11" t="b">
        <f t="shared" si="2"/>
        <v>0</v>
      </c>
    </row>
    <row r="180" spans="1:25" x14ac:dyDescent="0.35">
      <c r="A180" s="11">
        <v>2019</v>
      </c>
      <c r="B180" s="11" t="s">
        <v>1980</v>
      </c>
      <c r="C180" s="11" t="s">
        <v>752</v>
      </c>
      <c r="D180" s="163">
        <v>110000749021</v>
      </c>
      <c r="E180" s="11" t="s">
        <v>530</v>
      </c>
      <c r="F180" s="11" t="s">
        <v>531</v>
      </c>
      <c r="G180" s="11" t="s">
        <v>753</v>
      </c>
      <c r="H180" s="11" t="s">
        <v>276</v>
      </c>
      <c r="I180" s="11" t="s">
        <v>1982</v>
      </c>
      <c r="J180" s="11">
        <v>38.748759999999997</v>
      </c>
      <c r="K180" s="11">
        <v>-77.511420000000001</v>
      </c>
      <c r="L180" s="11">
        <v>4959</v>
      </c>
      <c r="M180" s="11">
        <v>4959</v>
      </c>
      <c r="N180" s="175" t="str">
        <f>VLOOKUP(M180, '2017 SIC to NAICS'!A:D, 2)</f>
        <v>Sanitary Services, Nec</v>
      </c>
      <c r="O180" s="11">
        <v>562910</v>
      </c>
      <c r="P180" s="187" t="str">
        <f>VLOOKUP(M180, '2017 SIC to NAICS'!A:D, 4)</f>
        <v>All Other Miscellaneous Waste
Management Services</v>
      </c>
      <c r="Q180" s="176" t="e">
        <f>IFERROR(VLOOKUP(O180, 'NAICS OES crosswalk'!A:C, 3, FALSE), VLOOKUP(M180, 'NAICS OES crosswalk'!A:C, 3, FALSE))</f>
        <v>#N/A</v>
      </c>
      <c r="U180" s="188">
        <v>20700100504</v>
      </c>
      <c r="V180" s="11" t="s">
        <v>756</v>
      </c>
      <c r="W180" s="11"/>
      <c r="X180" s="11">
        <v>5.9798079499999999E-3</v>
      </c>
      <c r="Y180" s="11" t="b">
        <f t="shared" si="2"/>
        <v>0</v>
      </c>
    </row>
    <row r="181" spans="1:25" x14ac:dyDescent="0.35">
      <c r="A181" s="11">
        <v>2019</v>
      </c>
      <c r="B181" s="11" t="s">
        <v>1980</v>
      </c>
      <c r="C181" s="11" t="s">
        <v>1620</v>
      </c>
      <c r="D181" s="163">
        <v>110000584305</v>
      </c>
      <c r="E181" s="11" t="s">
        <v>624</v>
      </c>
      <c r="F181" s="11" t="s">
        <v>625</v>
      </c>
      <c r="G181" s="11" t="s">
        <v>1621</v>
      </c>
      <c r="H181" s="11" t="s">
        <v>340</v>
      </c>
      <c r="I181" s="11" t="s">
        <v>1982</v>
      </c>
      <c r="J181" s="11">
        <v>40.627648000000001</v>
      </c>
      <c r="K181" s="11">
        <v>-76.064880000000002</v>
      </c>
      <c r="L181" s="11">
        <v>3951</v>
      </c>
      <c r="M181" s="11">
        <v>3951</v>
      </c>
      <c r="N181" s="175" t="str">
        <f>VLOOKUP(M181, '2017 SIC to NAICS'!A:D, 2)</f>
        <v>Pens and Mechanical Pencils</v>
      </c>
      <c r="P181" s="187" t="str">
        <f>VLOOKUP(M181, '2017 SIC to NAICS'!A:D, 4)</f>
        <v>Office Supplies (except Paper)
Manufacturing</v>
      </c>
      <c r="Q181" s="176" t="e">
        <f>IFERROR(VLOOKUP(O181, 'NAICS OES crosswalk'!A:C, 3, FALSE), VLOOKUP(M181, 'NAICS OES crosswalk'!A:C, 3, FALSE))</f>
        <v>#N/A</v>
      </c>
      <c r="U181" s="188">
        <v>20402030205</v>
      </c>
      <c r="V181" s="11" t="s">
        <v>1622</v>
      </c>
      <c r="W181" s="11"/>
      <c r="X181" s="11">
        <v>7.2526500000000002E-3</v>
      </c>
      <c r="Y181" s="11" t="b">
        <f t="shared" si="2"/>
        <v>0</v>
      </c>
    </row>
    <row r="182" spans="1:25" x14ac:dyDescent="0.35">
      <c r="A182" s="11">
        <v>2019</v>
      </c>
      <c r="B182" s="11" t="s">
        <v>1980</v>
      </c>
      <c r="C182" s="11" t="s">
        <v>995</v>
      </c>
      <c r="D182" s="163">
        <v>110031267304</v>
      </c>
      <c r="E182" s="11" t="s">
        <v>632</v>
      </c>
      <c r="F182" s="11" t="s">
        <v>623</v>
      </c>
      <c r="G182" s="11" t="s">
        <v>623</v>
      </c>
      <c r="H182" s="11" t="s">
        <v>492</v>
      </c>
      <c r="I182" s="11" t="s">
        <v>1982</v>
      </c>
      <c r="J182" s="11">
        <v>39.751111000000002</v>
      </c>
      <c r="K182" s="11">
        <v>-105.00194399999999</v>
      </c>
      <c r="L182" s="11">
        <v>1799</v>
      </c>
      <c r="M182" s="11">
        <v>1799</v>
      </c>
      <c r="N182" s="175" t="str">
        <f>VLOOKUP(M182, '2017 SIC to NAICS'!A:D, 2)</f>
        <v>Special Trade Contractors, Nec</v>
      </c>
      <c r="P182" s="187" t="str">
        <f>VLOOKUP(M182, '2017 SIC to NAICS'!A:D, 4)</f>
        <v>Remediation Services</v>
      </c>
      <c r="Q182" s="176" t="e">
        <f>IFERROR(VLOOKUP(O182, 'NAICS OES crosswalk'!A:C, 3, FALSE), VLOOKUP(M182, 'NAICS OES crosswalk'!A:C, 3, FALSE))</f>
        <v>#N/A</v>
      </c>
      <c r="U182" s="188">
        <v>101900030304</v>
      </c>
      <c r="V182" s="11" t="s">
        <v>987</v>
      </c>
      <c r="W182" s="11"/>
      <c r="X182" s="11">
        <v>5.9681880000000001E-3</v>
      </c>
      <c r="Y182" s="11" t="b">
        <f t="shared" si="2"/>
        <v>0</v>
      </c>
    </row>
    <row r="183" spans="1:25" x14ac:dyDescent="0.35">
      <c r="A183" s="11">
        <v>2019</v>
      </c>
      <c r="B183" s="11" t="s">
        <v>1980</v>
      </c>
      <c r="C183" s="11" t="s">
        <v>996</v>
      </c>
      <c r="D183" s="163">
        <v>110000339027</v>
      </c>
      <c r="E183" s="11" t="s">
        <v>679</v>
      </c>
      <c r="F183" s="11" t="s">
        <v>680</v>
      </c>
      <c r="G183" s="11" t="s">
        <v>997</v>
      </c>
      <c r="H183" s="11" t="s">
        <v>515</v>
      </c>
      <c r="I183" s="11" t="s">
        <v>1981</v>
      </c>
      <c r="J183" s="11">
        <v>38.631867</v>
      </c>
      <c r="K183" s="11">
        <v>-75.628372999999996</v>
      </c>
      <c r="L183" s="11">
        <v>2821</v>
      </c>
      <c r="M183" s="11">
        <v>2821</v>
      </c>
      <c r="N183" s="175" t="str">
        <f>VLOOKUP(M183, '2017 SIC to NAICS'!A:D, 2)</f>
        <v>Plastics Materials and Resins</v>
      </c>
      <c r="P183" s="187" t="str">
        <f>VLOOKUP(M183, '2017 SIC to NAICS'!A:D, 4)</f>
        <v>Plastics Material and Resin Manufacturing</v>
      </c>
      <c r="Q183" s="176" t="str">
        <f>IFERROR(VLOOKUP(O183, 'NAICS OES crosswalk'!A:C, 3, FALSE), VLOOKUP(M183, 'NAICS OES crosswalk'!A:C, 3, FALSE))</f>
        <v>Processing as a reactant</v>
      </c>
      <c r="U183" s="188">
        <v>20801090405</v>
      </c>
      <c r="V183" s="11" t="s">
        <v>998</v>
      </c>
      <c r="W183" s="11"/>
      <c r="X183" s="11">
        <v>9.1481E-5</v>
      </c>
      <c r="Y183" s="11" t="b">
        <f t="shared" si="2"/>
        <v>1</v>
      </c>
    </row>
    <row r="184" spans="1:25" x14ac:dyDescent="0.35">
      <c r="A184" s="11">
        <v>2019</v>
      </c>
      <c r="B184" s="11" t="s">
        <v>1980</v>
      </c>
      <c r="C184" s="11" t="s">
        <v>1706</v>
      </c>
      <c r="D184" s="163">
        <v>110035762822</v>
      </c>
      <c r="E184" s="11" t="s">
        <v>577</v>
      </c>
      <c r="F184" s="11" t="s">
        <v>578</v>
      </c>
      <c r="G184" s="11" t="s">
        <v>1707</v>
      </c>
      <c r="H184" s="11" t="s">
        <v>95</v>
      </c>
      <c r="I184" s="11" t="s">
        <v>1982</v>
      </c>
      <c r="J184" s="11">
        <v>30.265280000000001</v>
      </c>
      <c r="K184" s="11">
        <v>-97.746499999999997</v>
      </c>
      <c r="L184" s="11">
        <v>6513</v>
      </c>
      <c r="M184" s="11">
        <v>6513</v>
      </c>
      <c r="N184" s="175" t="str">
        <f>VLOOKUP(M184, '2017 SIC to NAICS'!A:D, 2)</f>
        <v>Apartment Building Operators</v>
      </c>
      <c r="P184" s="187" t="str">
        <f>VLOOKUP(M184, '2017 SIC to NAICS'!A:D, 4)</f>
        <v>Lessors of Residential Buildings and
Dwellings</v>
      </c>
      <c r="Q184" s="176" t="e">
        <f>IFERROR(VLOOKUP(O184, 'NAICS OES crosswalk'!A:C, 3, FALSE), VLOOKUP(M184, 'NAICS OES crosswalk'!A:C, 3, FALSE))</f>
        <v>#N/A</v>
      </c>
      <c r="U184" s="188">
        <v>120902050306</v>
      </c>
      <c r="V184" s="11" t="s">
        <v>1708</v>
      </c>
      <c r="W184" s="11"/>
      <c r="X184" s="11">
        <v>4.8803840466666599E-3</v>
      </c>
      <c r="Y184" s="11" t="b">
        <f t="shared" si="2"/>
        <v>0</v>
      </c>
    </row>
    <row r="185" spans="1:25" x14ac:dyDescent="0.35">
      <c r="A185" s="11">
        <v>2019</v>
      </c>
      <c r="B185" s="11" t="s">
        <v>1980</v>
      </c>
      <c r="C185" s="11" t="s">
        <v>1645</v>
      </c>
      <c r="D185" s="163">
        <v>110017796330</v>
      </c>
      <c r="E185" s="11" t="s">
        <v>642</v>
      </c>
      <c r="F185" s="11" t="s">
        <v>643</v>
      </c>
      <c r="G185" s="11" t="s">
        <v>1646</v>
      </c>
      <c r="H185" s="11" t="s">
        <v>340</v>
      </c>
      <c r="I185" s="11" t="s">
        <v>1982</v>
      </c>
      <c r="J185" s="11">
        <v>40.725278000000003</v>
      </c>
      <c r="K185" s="11">
        <v>-77.056944000000001</v>
      </c>
      <c r="L185" s="11">
        <v>3645</v>
      </c>
      <c r="M185" s="11">
        <v>3645</v>
      </c>
      <c r="N185" s="175" t="str">
        <f>VLOOKUP(M185, '2017 SIC to NAICS'!A:D, 2)</f>
        <v>Residential Lighting Fixtures</v>
      </c>
      <c r="P185" s="187" t="str">
        <f>VLOOKUP(M185, '2017 SIC to NAICS'!A:D, 4)</f>
        <v>Residential Electric Lighting Fixture
Manufacturing</v>
      </c>
      <c r="Q185" s="176" t="e">
        <f>IFERROR(VLOOKUP(O185, 'NAICS OES crosswalk'!A:C, 3, FALSE), VLOOKUP(M185, 'NAICS OES crosswalk'!A:C, 3, FALSE))</f>
        <v>#N/A</v>
      </c>
      <c r="U185" s="188">
        <v>20503010601</v>
      </c>
      <c r="V185" s="11" t="s">
        <v>1647</v>
      </c>
      <c r="W185" s="11"/>
      <c r="X185" s="11">
        <v>4.3566038181818102E-3</v>
      </c>
      <c r="Y185" s="11" t="b">
        <f t="shared" si="2"/>
        <v>0</v>
      </c>
    </row>
    <row r="186" spans="1:25" x14ac:dyDescent="0.35">
      <c r="A186" s="11">
        <v>2019</v>
      </c>
      <c r="B186" s="11" t="s">
        <v>1980</v>
      </c>
      <c r="C186" s="11" t="s">
        <v>735</v>
      </c>
      <c r="D186" s="163">
        <v>110004306938</v>
      </c>
      <c r="E186" s="11" t="s">
        <v>336</v>
      </c>
      <c r="F186" s="11" t="s">
        <v>337</v>
      </c>
      <c r="G186" s="11" t="s">
        <v>736</v>
      </c>
      <c r="H186" s="11" t="s">
        <v>221</v>
      </c>
      <c r="I186" s="11" t="s">
        <v>1982</v>
      </c>
      <c r="J186" s="11">
        <v>36.122100000000003</v>
      </c>
      <c r="K186" s="11">
        <v>-115.17139</v>
      </c>
      <c r="L186" s="11">
        <v>7011</v>
      </c>
      <c r="M186" s="11">
        <v>7011</v>
      </c>
      <c r="N186" s="175" t="str">
        <f>VLOOKUP(M186, '2017 SIC to NAICS'!A:D, 2)</f>
        <v>Hotels and Motels</v>
      </c>
      <c r="P186" s="187" t="str">
        <f>VLOOKUP(M186, '2017 SIC to NAICS'!A:D, 4)</f>
        <v>All Other Traveler Accommodation</v>
      </c>
      <c r="Q186" s="176" t="e">
        <f>IFERROR(VLOOKUP(O186, 'NAICS OES crosswalk'!A:C, 3, FALSE), VLOOKUP(M186, 'NAICS OES crosswalk'!A:C, 3, FALSE))</f>
        <v>#N/A</v>
      </c>
      <c r="U186" s="188">
        <v>150100150604</v>
      </c>
      <c r="V186" s="11" t="s">
        <v>738</v>
      </c>
      <c r="W186" s="11"/>
      <c r="X186" s="11">
        <v>4.2723660624999996E-3</v>
      </c>
      <c r="Y186" s="11" t="b">
        <f t="shared" si="2"/>
        <v>0</v>
      </c>
    </row>
    <row r="187" spans="1:25" ht="29" x14ac:dyDescent="0.35">
      <c r="A187" s="11">
        <v>2019</v>
      </c>
      <c r="B187" s="11" t="s">
        <v>1980</v>
      </c>
      <c r="C187" s="11" t="s">
        <v>973</v>
      </c>
      <c r="D187" s="163">
        <v>110002043217</v>
      </c>
      <c r="E187" s="11" t="s">
        <v>646</v>
      </c>
      <c r="F187" s="11" t="s">
        <v>647</v>
      </c>
      <c r="G187" s="11" t="s">
        <v>790</v>
      </c>
      <c r="H187" s="11" t="s">
        <v>102</v>
      </c>
      <c r="I187" s="11" t="s">
        <v>1981</v>
      </c>
      <c r="J187" s="11">
        <v>33.147531999999998</v>
      </c>
      <c r="K187" s="11">
        <v>-115.54533000000001</v>
      </c>
      <c r="L187" s="11">
        <v>4952</v>
      </c>
      <c r="M187" s="11">
        <v>4952</v>
      </c>
      <c r="N187" s="175" t="str">
        <f>VLOOKUP(M187, '2017 SIC to NAICS'!A:D, 2)</f>
        <v>Sewerage Systems</v>
      </c>
      <c r="P187" s="187" t="str">
        <f>VLOOKUP(M187, '2017 SIC to NAICS'!A:D, 4)</f>
        <v>Sewage Treatment Facilities</v>
      </c>
      <c r="Q187" s="176" t="str">
        <f>IFERROR(VLOOKUP(O187, 'NAICS OES crosswalk'!A:C, 3, FALSE), VLOOKUP(M187, 'NAICS OES crosswalk'!A:C, 3, FALSE))</f>
        <v>Waste handling, disposal, and treatment</v>
      </c>
      <c r="U187" s="188">
        <v>181002040707</v>
      </c>
      <c r="V187" s="11" t="s">
        <v>974</v>
      </c>
      <c r="W187" s="11"/>
      <c r="X187" s="11">
        <v>4.1445750000000002E-3</v>
      </c>
      <c r="Y187" s="11" t="b">
        <f t="shared" si="2"/>
        <v>0</v>
      </c>
    </row>
    <row r="188" spans="1:25" x14ac:dyDescent="0.35">
      <c r="A188" s="11">
        <v>2019</v>
      </c>
      <c r="B188" s="11" t="s">
        <v>1980</v>
      </c>
      <c r="C188" s="11" t="s">
        <v>1592</v>
      </c>
      <c r="D188" s="163">
        <v>110000616414</v>
      </c>
      <c r="E188" s="11" t="s">
        <v>595</v>
      </c>
      <c r="F188" s="11" t="s">
        <v>596</v>
      </c>
      <c r="G188" s="11" t="s">
        <v>1593</v>
      </c>
      <c r="H188" s="11" t="s">
        <v>126</v>
      </c>
      <c r="I188" s="11" t="s">
        <v>1982</v>
      </c>
      <c r="J188" s="11">
        <v>43.211829000000002</v>
      </c>
      <c r="K188" s="11">
        <v>-77.929390999999995</v>
      </c>
      <c r="L188" s="11">
        <v>9511</v>
      </c>
      <c r="M188" s="11">
        <v>9511</v>
      </c>
      <c r="N188" s="175" t="str">
        <f>VLOOKUP(M188, '2017 SIC to NAICS'!A:D, 2)</f>
        <v>Air, Water, and Solid Waste Management</v>
      </c>
      <c r="P188" s="187" t="str">
        <f>VLOOKUP(M188, '2017 SIC to NAICS'!A:D, 4)</f>
        <v>Administration of Air and Water Resource
and Solid Waste Management Programs</v>
      </c>
      <c r="Q188" s="176" t="e">
        <f>IFERROR(VLOOKUP(O188, 'NAICS OES crosswalk'!A:C, 3, FALSE), VLOOKUP(M188, 'NAICS OES crosswalk'!A:C, 3, FALSE))</f>
        <v>#N/A</v>
      </c>
      <c r="U188" s="188">
        <v>41300010202</v>
      </c>
      <c r="V188" s="11" t="s">
        <v>1594</v>
      </c>
      <c r="W188" s="11"/>
      <c r="X188" s="11">
        <v>5.8111999999999999E-3</v>
      </c>
      <c r="Y188" s="11" t="b">
        <f t="shared" si="2"/>
        <v>0</v>
      </c>
    </row>
    <row r="189" spans="1:25" x14ac:dyDescent="0.35">
      <c r="A189" s="11">
        <v>2019</v>
      </c>
      <c r="B189" s="11" t="s">
        <v>1980</v>
      </c>
      <c r="C189" s="11" t="s">
        <v>1558</v>
      </c>
      <c r="D189" s="163">
        <v>110017237373</v>
      </c>
      <c r="E189" s="11" t="s">
        <v>653</v>
      </c>
      <c r="F189" s="11" t="s">
        <v>337</v>
      </c>
      <c r="G189" s="11" t="s">
        <v>823</v>
      </c>
      <c r="H189" s="11" t="s">
        <v>221</v>
      </c>
      <c r="I189" s="11" t="s">
        <v>1982</v>
      </c>
      <c r="J189" s="11">
        <v>36.16478</v>
      </c>
      <c r="K189" s="11">
        <v>-115.14067</v>
      </c>
      <c r="L189" s="11">
        <v>8211</v>
      </c>
      <c r="M189" s="11">
        <v>8211</v>
      </c>
      <c r="N189" s="175" t="str">
        <f>VLOOKUP(M189, '2017 SIC to NAICS'!A:D, 2)</f>
        <v>Elementary and Secondary Schools</v>
      </c>
      <c r="P189" s="187" t="str">
        <f>VLOOKUP(M189, '2017 SIC to NAICS'!A:D, 4)</f>
        <v>Elementary and Secondary Schools</v>
      </c>
      <c r="Q189" s="176" t="e">
        <f>IFERROR(VLOOKUP(O189, 'NAICS OES crosswalk'!A:C, 3, FALSE), VLOOKUP(M189, 'NAICS OES crosswalk'!A:C, 3, FALSE))</f>
        <v>#N/A</v>
      </c>
      <c r="U189" s="188">
        <v>150100150604</v>
      </c>
      <c r="V189" s="11" t="s">
        <v>738</v>
      </c>
      <c r="W189" s="11"/>
      <c r="X189" s="11">
        <v>5.1807187500000002E-4</v>
      </c>
      <c r="Y189" s="11" t="b">
        <f t="shared" si="2"/>
        <v>1</v>
      </c>
    </row>
    <row r="190" spans="1:25" x14ac:dyDescent="0.35">
      <c r="A190" s="11">
        <v>2019</v>
      </c>
      <c r="B190" s="11" t="s">
        <v>1980</v>
      </c>
      <c r="C190" s="11" t="s">
        <v>1227</v>
      </c>
      <c r="D190" s="163">
        <v>110043544144</v>
      </c>
      <c r="E190" s="11" t="s">
        <v>586</v>
      </c>
      <c r="F190" s="11" t="s">
        <v>587</v>
      </c>
      <c r="G190" s="11" t="s">
        <v>457</v>
      </c>
      <c r="H190" s="11" t="s">
        <v>108</v>
      </c>
      <c r="I190" s="11" t="s">
        <v>1982</v>
      </c>
      <c r="J190" s="11">
        <v>38.072870000000002</v>
      </c>
      <c r="K190" s="11">
        <v>-84.484369999999998</v>
      </c>
      <c r="L190" s="11">
        <v>3579</v>
      </c>
      <c r="M190" s="11">
        <v>3579</v>
      </c>
      <c r="N190" s="175" t="str">
        <f>VLOOKUP(M190, '2017 SIC to NAICS'!A:D, 2)</f>
        <v>Office Machines, Nec</v>
      </c>
      <c r="O190" s="11">
        <v>333313</v>
      </c>
      <c r="P190" s="187" t="str">
        <f>VLOOKUP(M190, '2017 SIC to NAICS'!A:D, 4)</f>
        <v>Office Supplies (except Paper)
Manufacturing</v>
      </c>
      <c r="Q190" s="176" t="e">
        <f>IFERROR(VLOOKUP(O190, 'NAICS OES crosswalk'!A:C, 3, FALSE), VLOOKUP(M190, 'NAICS OES crosswalk'!A:C, 3, FALSE))</f>
        <v>#N/A</v>
      </c>
      <c r="U190" s="188">
        <v>51002050804</v>
      </c>
      <c r="V190" s="11" t="s">
        <v>1230</v>
      </c>
      <c r="W190" s="11"/>
      <c r="X190" s="11">
        <v>4.7950272500000002E-3</v>
      </c>
      <c r="Y190" s="11" t="b">
        <f t="shared" si="2"/>
        <v>0</v>
      </c>
    </row>
    <row r="191" spans="1:25" x14ac:dyDescent="0.35">
      <c r="A191" s="11">
        <v>2019</v>
      </c>
      <c r="B191" s="11" t="s">
        <v>1980</v>
      </c>
      <c r="C191" s="11" t="s">
        <v>1588</v>
      </c>
      <c r="D191" s="163">
        <v>110000738916</v>
      </c>
      <c r="E191" s="11" t="s">
        <v>619</v>
      </c>
      <c r="F191" s="11" t="s">
        <v>620</v>
      </c>
      <c r="G191" s="11" t="s">
        <v>1589</v>
      </c>
      <c r="H191" s="11" t="s">
        <v>126</v>
      </c>
      <c r="I191" s="11" t="s">
        <v>1982</v>
      </c>
      <c r="J191" s="11">
        <v>43.089840000000002</v>
      </c>
      <c r="K191" s="11">
        <v>-75.280265</v>
      </c>
      <c r="L191" s="11">
        <v>3369</v>
      </c>
      <c r="M191" s="11">
        <v>3369</v>
      </c>
      <c r="N191" s="175" t="str">
        <f>VLOOKUP(M191, '2017 SIC to NAICS'!A:D, 2)</f>
        <v>Nonferrous Foundries, Nec</v>
      </c>
      <c r="P191" s="187" t="str">
        <f>VLOOKUP(M191, '2017 SIC to NAICS'!A:D, 4)</f>
        <v>Other Nonferrous Metal Foundries (except
Die-Casting)</v>
      </c>
      <c r="Q191" s="176" t="e">
        <f>IFERROR(VLOOKUP(O191, 'NAICS OES crosswalk'!A:C, 3, FALSE), VLOOKUP(M191, 'NAICS OES crosswalk'!A:C, 3, FALSE))</f>
        <v>#N/A</v>
      </c>
      <c r="U191" s="188">
        <v>20200040310</v>
      </c>
      <c r="V191" s="11" t="s">
        <v>1590</v>
      </c>
      <c r="W191" s="11"/>
      <c r="X191" s="11">
        <v>8.0783103600000003E-3</v>
      </c>
      <c r="Y191" s="11" t="b">
        <f t="shared" si="2"/>
        <v>0</v>
      </c>
    </row>
    <row r="192" spans="1:25" x14ac:dyDescent="0.35">
      <c r="A192" s="11">
        <v>2019</v>
      </c>
      <c r="B192" s="11" t="s">
        <v>1980</v>
      </c>
      <c r="C192" s="11" t="s">
        <v>1608</v>
      </c>
      <c r="D192" s="163">
        <v>110000487447</v>
      </c>
      <c r="E192" s="11" t="s">
        <v>655</v>
      </c>
      <c r="F192" s="11" t="s">
        <v>600</v>
      </c>
      <c r="G192" s="11" t="s">
        <v>1605</v>
      </c>
      <c r="H192" s="11" t="s">
        <v>601</v>
      </c>
      <c r="I192" s="11" t="s">
        <v>1982</v>
      </c>
      <c r="J192" s="11">
        <v>45.548641000000003</v>
      </c>
      <c r="K192" s="11">
        <v>-122.72292299999999</v>
      </c>
      <c r="L192" s="11">
        <v>5169</v>
      </c>
      <c r="M192" s="11">
        <v>5169</v>
      </c>
      <c r="N192" s="175" t="str">
        <f>VLOOKUP(M192, '2017 SIC to NAICS'!A:D, 2)</f>
        <v>Chemicals and Allied Products, Nec</v>
      </c>
      <c r="P192" s="187" t="str">
        <f>VLOOKUP(M192, '2017 SIC to NAICS'!A:D, 4)</f>
        <v>Wholesale Trade Agents and Brokers</v>
      </c>
      <c r="Q192" s="176" t="e">
        <f>IFERROR(VLOOKUP(O192, 'NAICS OES crosswalk'!A:C, 3, FALSE), VLOOKUP(M192, 'NAICS OES crosswalk'!A:C, 3, FALSE))</f>
        <v>#N/A</v>
      </c>
      <c r="U192" s="188">
        <v>170900120202</v>
      </c>
      <c r="V192" s="11" t="s">
        <v>1609</v>
      </c>
      <c r="W192" s="11"/>
      <c r="X192" s="11">
        <v>2.9100837970285698E-3</v>
      </c>
      <c r="Y192" s="11" t="b">
        <f t="shared" si="2"/>
        <v>0</v>
      </c>
    </row>
    <row r="193" spans="1:25" x14ac:dyDescent="0.35">
      <c r="A193" s="11">
        <v>2019</v>
      </c>
      <c r="B193" s="11" t="s">
        <v>1980</v>
      </c>
      <c r="C193" s="11" t="s">
        <v>1368</v>
      </c>
      <c r="D193" s="163">
        <v>110000410957</v>
      </c>
      <c r="E193" s="11" t="s">
        <v>405</v>
      </c>
      <c r="F193" s="11" t="s">
        <v>406</v>
      </c>
      <c r="G193" s="11" t="s">
        <v>406</v>
      </c>
      <c r="H193" s="11" t="s">
        <v>181</v>
      </c>
      <c r="I193" s="11" t="s">
        <v>1982</v>
      </c>
      <c r="J193" s="11">
        <v>43.215029999999999</v>
      </c>
      <c r="K193" s="11">
        <v>-86.245689999999996</v>
      </c>
      <c r="L193" s="11">
        <v>3714</v>
      </c>
      <c r="M193" s="11">
        <v>3714</v>
      </c>
      <c r="N193" s="175" t="str">
        <f>VLOOKUP(M193, '2017 SIC to NAICS'!A:D, 2)</f>
        <v>Motor Vehicle Parts and Accessories</v>
      </c>
      <c r="O193" s="11">
        <v>331511</v>
      </c>
      <c r="P193" s="187" t="str">
        <f>VLOOKUP(M193, '2017 SIC to NAICS'!A:D, 4)</f>
        <v>Other Motor Vehicle Parts Manufacturing</v>
      </c>
      <c r="Q193" s="176" t="e">
        <f>IFERROR(VLOOKUP(O193, 'NAICS OES crosswalk'!A:C, 3, FALSE), VLOOKUP(M193, 'NAICS OES crosswalk'!A:C, 3, FALSE))</f>
        <v>#N/A</v>
      </c>
      <c r="U193" s="188">
        <v>40601021004</v>
      </c>
      <c r="V193" s="11" t="s">
        <v>1369</v>
      </c>
      <c r="W193" s="11"/>
      <c r="X193" s="11">
        <v>0.15481407</v>
      </c>
      <c r="Y193" s="11" t="b">
        <f t="shared" si="2"/>
        <v>0</v>
      </c>
    </row>
    <row r="194" spans="1:25" x14ac:dyDescent="0.35">
      <c r="A194" s="11">
        <v>2019</v>
      </c>
      <c r="B194" s="11" t="s">
        <v>1980</v>
      </c>
      <c r="C194" s="11" t="s">
        <v>960</v>
      </c>
      <c r="D194" s="163">
        <v>110066354359</v>
      </c>
      <c r="E194" s="11" t="s">
        <v>574</v>
      </c>
      <c r="F194" s="11" t="s">
        <v>483</v>
      </c>
      <c r="G194" s="11" t="s">
        <v>942</v>
      </c>
      <c r="H194" s="11" t="s">
        <v>102</v>
      </c>
      <c r="I194" s="11" t="s">
        <v>1982</v>
      </c>
      <c r="J194" s="11">
        <v>39.368808999999999</v>
      </c>
      <c r="K194" s="11">
        <v>-120.898977</v>
      </c>
      <c r="L194" s="11">
        <v>1041</v>
      </c>
      <c r="M194" s="11">
        <v>1041</v>
      </c>
      <c r="N194" s="175" t="str">
        <f>VLOOKUP(M194, '2017 SIC to NAICS'!A:D, 2)</f>
        <v>Gold Ores</v>
      </c>
      <c r="O194" s="11">
        <v>212210</v>
      </c>
      <c r="P194" s="187" t="str">
        <f>VLOOKUP(M194, '2017 SIC to NAICS'!A:D, 4)</f>
        <v>Gold Ore Mining</v>
      </c>
      <c r="Q194" s="176" t="e">
        <f>IFERROR(VLOOKUP(O194, 'NAICS OES crosswalk'!A:C, 3, FALSE), VLOOKUP(M194, 'NAICS OES crosswalk'!A:C, 3, FALSE))</f>
        <v>#N/A</v>
      </c>
      <c r="U194" s="188">
        <v>180201250702</v>
      </c>
      <c r="V194" s="11" t="s">
        <v>961</v>
      </c>
      <c r="W194" s="11"/>
      <c r="X194" s="11">
        <v>1.9163133275000001E-2</v>
      </c>
      <c r="Y194" s="11" t="b">
        <f t="shared" si="2"/>
        <v>0</v>
      </c>
    </row>
    <row r="195" spans="1:25" x14ac:dyDescent="0.35">
      <c r="A195" s="11">
        <v>2019</v>
      </c>
      <c r="B195" s="11" t="s">
        <v>1980</v>
      </c>
      <c r="C195" s="11" t="s">
        <v>826</v>
      </c>
      <c r="D195" s="163">
        <v>110064134459</v>
      </c>
      <c r="E195" s="11" t="s">
        <v>547</v>
      </c>
      <c r="F195" s="11" t="s">
        <v>337</v>
      </c>
      <c r="G195" s="11" t="s">
        <v>823</v>
      </c>
      <c r="H195" s="11" t="s">
        <v>221</v>
      </c>
      <c r="I195" s="11" t="s">
        <v>1982</v>
      </c>
      <c r="J195" s="11">
        <v>36.075400000000002</v>
      </c>
      <c r="K195" s="11">
        <v>-115.1669</v>
      </c>
      <c r="L195" s="11">
        <v>4581</v>
      </c>
      <c r="M195" s="11">
        <v>4581</v>
      </c>
      <c r="N195" s="175" t="str">
        <f>VLOOKUP(M195, '2017 SIC to NAICS'!A:D, 2)</f>
        <v>Airports, Flying Fields, and Services</v>
      </c>
      <c r="O195" s="11">
        <v>488119</v>
      </c>
      <c r="P195" s="187" t="str">
        <f>VLOOKUP(M195, '2017 SIC to NAICS'!A:D, 4)</f>
        <v>Reupholstery and Furniture Repair</v>
      </c>
      <c r="Q195" s="176" t="e">
        <f>IFERROR(VLOOKUP(O195, 'NAICS OES crosswalk'!A:C, 3, FALSE), VLOOKUP(M195, 'NAICS OES crosswalk'!A:C, 3, FALSE))</f>
        <v>#N/A</v>
      </c>
      <c r="U195" s="188">
        <v>150100150704</v>
      </c>
      <c r="V195" s="11" t="s">
        <v>827</v>
      </c>
      <c r="W195" s="11"/>
      <c r="X195" s="11">
        <v>1.4024844375E-2</v>
      </c>
      <c r="Y195" s="11" t="b">
        <f t="shared" ref="Y195:Y219" si="3" xml:space="preserve"> X195 &lt;= _xlfn.PERCENTILE.INC($X$2:$X$219, 0.1)</f>
        <v>0</v>
      </c>
    </row>
    <row r="196" spans="1:25" x14ac:dyDescent="0.35">
      <c r="A196" s="11">
        <v>2019</v>
      </c>
      <c r="B196" s="11" t="s">
        <v>1980</v>
      </c>
      <c r="C196" s="11" t="s">
        <v>1561</v>
      </c>
      <c r="D196" s="163">
        <v>110041903223</v>
      </c>
      <c r="E196" s="11" t="s">
        <v>656</v>
      </c>
      <c r="F196" s="11" t="s">
        <v>337</v>
      </c>
      <c r="G196" s="11" t="s">
        <v>823</v>
      </c>
      <c r="H196" s="11" t="s">
        <v>221</v>
      </c>
      <c r="I196" s="11" t="s">
        <v>1982</v>
      </c>
      <c r="J196" s="11">
        <v>36.074100000000001</v>
      </c>
      <c r="K196" s="11">
        <v>-115.17274</v>
      </c>
      <c r="L196" s="11">
        <v>5541</v>
      </c>
      <c r="M196" s="11">
        <v>5541</v>
      </c>
      <c r="N196" s="175" t="str">
        <f>VLOOKUP(M196, '2017 SIC to NAICS'!A:D, 2)</f>
        <v>Gasoline Service Stations</v>
      </c>
      <c r="P196" s="187" t="str">
        <f>VLOOKUP(M196, '2017 SIC to NAICS'!A:D, 4)</f>
        <v>Other Gasoline Stations</v>
      </c>
      <c r="Q196" s="176" t="e">
        <f>IFERROR(VLOOKUP(O196, 'NAICS OES crosswalk'!A:C, 3, FALSE), VLOOKUP(M196, 'NAICS OES crosswalk'!A:C, 3, FALSE))</f>
        <v>#N/A</v>
      </c>
      <c r="U196" s="188">
        <v>150100150505</v>
      </c>
      <c r="V196" s="11" t="s">
        <v>825</v>
      </c>
      <c r="W196" s="11"/>
      <c r="X196" s="11">
        <v>2.39176515625E-3</v>
      </c>
      <c r="Y196" s="11" t="b">
        <f t="shared" si="3"/>
        <v>0</v>
      </c>
    </row>
    <row r="197" spans="1:25" x14ac:dyDescent="0.35">
      <c r="A197" s="11">
        <v>2019</v>
      </c>
      <c r="B197" s="11" t="s">
        <v>1980</v>
      </c>
      <c r="C197" s="11" t="s">
        <v>826</v>
      </c>
      <c r="D197" s="163">
        <v>110064134459</v>
      </c>
      <c r="E197" s="11" t="s">
        <v>547</v>
      </c>
      <c r="F197" s="11" t="s">
        <v>337</v>
      </c>
      <c r="G197" s="11" t="s">
        <v>823</v>
      </c>
      <c r="H197" s="11" t="s">
        <v>221</v>
      </c>
      <c r="I197" s="11" t="s">
        <v>1982</v>
      </c>
      <c r="J197" s="11">
        <v>36.075400000000002</v>
      </c>
      <c r="K197" s="11">
        <v>-115.1669</v>
      </c>
      <c r="L197" s="11">
        <v>4581</v>
      </c>
      <c r="M197" s="11">
        <v>4581</v>
      </c>
      <c r="N197" s="175" t="str">
        <f>VLOOKUP(M197, '2017 SIC to NAICS'!A:D, 2)</f>
        <v>Airports, Flying Fields, and Services</v>
      </c>
      <c r="O197" s="11">
        <v>488119</v>
      </c>
      <c r="P197" s="187" t="str">
        <f>VLOOKUP(M197, '2017 SIC to NAICS'!A:D, 4)</f>
        <v>Reupholstery and Furniture Repair</v>
      </c>
      <c r="Q197" s="176" t="e">
        <f>IFERROR(VLOOKUP(O197, 'NAICS OES crosswalk'!A:C, 3, FALSE), VLOOKUP(M197, 'NAICS OES crosswalk'!A:C, 3, FALSE))</f>
        <v>#N/A</v>
      </c>
      <c r="U197" s="188">
        <v>150100150704</v>
      </c>
      <c r="V197" s="11" t="s">
        <v>827</v>
      </c>
      <c r="W197" s="11"/>
      <c r="X197" s="11">
        <v>7.5289327499999999E-3</v>
      </c>
      <c r="Y197" s="11" t="b">
        <f t="shared" si="3"/>
        <v>0</v>
      </c>
    </row>
    <row r="198" spans="1:25" x14ac:dyDescent="0.35">
      <c r="A198" s="11">
        <v>2019</v>
      </c>
      <c r="B198" s="11" t="s">
        <v>1980</v>
      </c>
      <c r="C198" s="11" t="s">
        <v>1509</v>
      </c>
      <c r="D198" s="163">
        <v>110070220269</v>
      </c>
      <c r="E198" s="11" t="s">
        <v>659</v>
      </c>
      <c r="F198" s="11" t="s">
        <v>660</v>
      </c>
      <c r="G198" s="11" t="s">
        <v>818</v>
      </c>
      <c r="H198" s="11" t="s">
        <v>254</v>
      </c>
      <c r="I198" s="11" t="s">
        <v>1982</v>
      </c>
      <c r="J198" s="11">
        <v>40.471558999999999</v>
      </c>
      <c r="K198" s="11">
        <v>-74.446973</v>
      </c>
      <c r="L198" s="11">
        <v>3053</v>
      </c>
      <c r="M198" s="11">
        <v>3053</v>
      </c>
      <c r="N198" s="175" t="str">
        <f>VLOOKUP(M198, '2017 SIC to NAICS'!A:D, 2)</f>
        <v>Gaskets; Packing and Sealing Devices</v>
      </c>
      <c r="P198" s="187" t="str">
        <f>VLOOKUP(M198, '2017 SIC to NAICS'!A:D, 4)</f>
        <v>Gasket, Packing, and Sealing Device
Manufacturing</v>
      </c>
      <c r="Q198" s="176" t="e">
        <f>IFERROR(VLOOKUP(O198, 'NAICS OES crosswalk'!A:C, 3, FALSE), VLOOKUP(M198, 'NAICS OES crosswalk'!A:C, 3, FALSE))</f>
        <v>#N/A</v>
      </c>
      <c r="U198" s="188">
        <v>20301050505</v>
      </c>
      <c r="V198" s="11" t="s">
        <v>1510</v>
      </c>
      <c r="W198" s="11"/>
      <c r="X198" s="11">
        <v>2.15688225E-3</v>
      </c>
      <c r="Y198" s="11" t="b">
        <f t="shared" si="3"/>
        <v>1</v>
      </c>
    </row>
    <row r="199" spans="1:25" x14ac:dyDescent="0.35">
      <c r="A199" s="11">
        <v>2019</v>
      </c>
      <c r="B199" s="11" t="s">
        <v>1980</v>
      </c>
      <c r="C199" s="11" t="s">
        <v>1515</v>
      </c>
      <c r="D199" s="163">
        <v>110070212323</v>
      </c>
      <c r="E199" s="11" t="s">
        <v>662</v>
      </c>
      <c r="F199" s="11" t="s">
        <v>557</v>
      </c>
      <c r="G199" s="11" t="s">
        <v>818</v>
      </c>
      <c r="H199" s="11" t="s">
        <v>254</v>
      </c>
      <c r="I199" s="11" t="s">
        <v>1982</v>
      </c>
      <c r="J199" s="11">
        <v>40.428542</v>
      </c>
      <c r="K199" s="11">
        <v>-74.518662000000006</v>
      </c>
      <c r="M199" s="11"/>
      <c r="N199" s="175" t="e">
        <f>VLOOKUP(M199, '2017 SIC to NAICS'!A:D, 2)</f>
        <v>#N/A</v>
      </c>
      <c r="P199" s="187" t="e">
        <f>VLOOKUP(M199, '2017 SIC to NAICS'!A:D, 4)</f>
        <v>#N/A</v>
      </c>
      <c r="Q199" s="176" t="e">
        <f>IFERROR(VLOOKUP(O199, 'NAICS OES crosswalk'!A:C, 3, FALSE), VLOOKUP(M199, 'NAICS OES crosswalk'!A:C, 3, FALSE))</f>
        <v>#N/A</v>
      </c>
      <c r="U199" s="188">
        <v>20301050505</v>
      </c>
      <c r="V199" s="11" t="s">
        <v>1510</v>
      </c>
      <c r="W199" s="11"/>
      <c r="X199" s="11">
        <v>1.8990217064E-3</v>
      </c>
      <c r="Y199" s="11" t="b">
        <f t="shared" si="3"/>
        <v>1</v>
      </c>
    </row>
    <row r="200" spans="1:25" ht="29" x14ac:dyDescent="0.35">
      <c r="A200" s="11">
        <v>2019</v>
      </c>
      <c r="B200" s="11" t="s">
        <v>1980</v>
      </c>
      <c r="C200" s="11" t="s">
        <v>1723</v>
      </c>
      <c r="D200" s="163">
        <v>110054919406</v>
      </c>
      <c r="E200" s="11" t="s">
        <v>614</v>
      </c>
      <c r="F200" s="11" t="s">
        <v>615</v>
      </c>
      <c r="G200" s="11" t="s">
        <v>1482</v>
      </c>
      <c r="H200" s="11" t="s">
        <v>276</v>
      </c>
      <c r="I200" s="11" t="s">
        <v>1982</v>
      </c>
      <c r="J200" s="11">
        <v>38.814979999999998</v>
      </c>
      <c r="K200" s="11">
        <v>-78.2834</v>
      </c>
      <c r="L200" s="11">
        <v>4953</v>
      </c>
      <c r="M200" s="11">
        <v>4953</v>
      </c>
      <c r="N200" s="175" t="str">
        <f>VLOOKUP(M200, '2017 SIC to NAICS'!A:D, 2)</f>
        <v>Refuse Systems</v>
      </c>
      <c r="P200" s="187" t="str">
        <f>VLOOKUP(M200, '2017 SIC to NAICS'!A:D, 4)</f>
        <v>Materials Recovery Facilities</v>
      </c>
      <c r="Q200" s="176" t="str">
        <f>IFERROR(VLOOKUP(O200, 'NAICS OES crosswalk'!A:C, 3, FALSE), VLOOKUP(M200, 'NAICS OES crosswalk'!A:C, 3, FALSE))</f>
        <v>Waste handling, disposal, and treatment</v>
      </c>
      <c r="U200" s="188">
        <v>20700051002</v>
      </c>
      <c r="V200" s="11" t="s">
        <v>1724</v>
      </c>
      <c r="W200" s="11"/>
      <c r="X200" s="11">
        <v>1.301522747199E-3</v>
      </c>
      <c r="Y200" s="11" t="b">
        <f t="shared" si="3"/>
        <v>1</v>
      </c>
    </row>
    <row r="201" spans="1:25" ht="29" x14ac:dyDescent="0.35">
      <c r="A201" s="11">
        <v>2019</v>
      </c>
      <c r="B201" s="11" t="s">
        <v>1980</v>
      </c>
      <c r="C201" s="11" t="s">
        <v>1675</v>
      </c>
      <c r="D201" s="163">
        <v>110002311551</v>
      </c>
      <c r="E201" s="11" t="s">
        <v>666</v>
      </c>
      <c r="F201" s="11" t="s">
        <v>667</v>
      </c>
      <c r="G201" s="11" t="s">
        <v>667</v>
      </c>
      <c r="H201" s="11" t="s">
        <v>194</v>
      </c>
      <c r="I201" s="11" t="s">
        <v>1982</v>
      </c>
      <c r="J201" s="11">
        <v>33.773513999999999</v>
      </c>
      <c r="K201" s="11">
        <v>-81.904872999999995</v>
      </c>
      <c r="L201" s="11">
        <v>4952</v>
      </c>
      <c r="M201" s="11">
        <v>4952</v>
      </c>
      <c r="N201" s="175" t="str">
        <f>VLOOKUP(M201, '2017 SIC to NAICS'!A:D, 2)</f>
        <v>Sewerage Systems</v>
      </c>
      <c r="O201" s="11">
        <v>562910</v>
      </c>
      <c r="P201" s="187" t="str">
        <f>VLOOKUP(M201, '2017 SIC to NAICS'!A:D, 4)</f>
        <v>Sewage Treatment Facilities</v>
      </c>
      <c r="Q201" s="176" t="str">
        <f>IFERROR(VLOOKUP(O201, 'NAICS OES crosswalk'!A:C, 3, FALSE), VLOOKUP(M201, 'NAICS OES crosswalk'!A:C, 3, FALSE))</f>
        <v>Waste handling, disposal, and treatment</v>
      </c>
      <c r="U201" s="188">
        <v>30601070207</v>
      </c>
      <c r="V201" s="11" t="s">
        <v>1676</v>
      </c>
      <c r="W201" s="11"/>
      <c r="X201" s="11">
        <v>1.257660875E-3</v>
      </c>
      <c r="Y201" s="11" t="b">
        <f t="shared" si="3"/>
        <v>1</v>
      </c>
    </row>
    <row r="202" spans="1:25" x14ac:dyDescent="0.35">
      <c r="A202" s="11">
        <v>2019</v>
      </c>
      <c r="B202" s="11" t="s">
        <v>1980</v>
      </c>
      <c r="C202" s="11" t="s">
        <v>1385</v>
      </c>
      <c r="D202" s="163">
        <v>110009900312</v>
      </c>
      <c r="E202" s="11" t="s">
        <v>648</v>
      </c>
      <c r="F202" s="11" t="s">
        <v>378</v>
      </c>
      <c r="G202" s="11" t="s">
        <v>814</v>
      </c>
      <c r="H202" s="11" t="s">
        <v>181</v>
      </c>
      <c r="I202" s="11" t="s">
        <v>1982</v>
      </c>
      <c r="J202" s="11">
        <v>42.672580000000004</v>
      </c>
      <c r="K202" s="11">
        <v>-84.663955999999999</v>
      </c>
      <c r="L202" s="11">
        <v>9199</v>
      </c>
      <c r="M202" s="11">
        <v>9199</v>
      </c>
      <c r="N202" s="175" t="str">
        <f>VLOOKUP(M202, '2017 SIC to NAICS'!A:D, 2)</f>
        <v>General Government, Nec</v>
      </c>
      <c r="O202" s="11">
        <v>921190</v>
      </c>
      <c r="P202" s="187" t="str">
        <f>VLOOKUP(M202, '2017 SIC to NAICS'!A:D, 4)</f>
        <v>Other General Government Support</v>
      </c>
      <c r="Q202" s="176" t="e">
        <f>IFERROR(VLOOKUP(O202, 'NAICS OES crosswalk'!A:C, 3, FALSE), VLOOKUP(M202, 'NAICS OES crosswalk'!A:C, 3, FALSE))</f>
        <v>#N/A</v>
      </c>
      <c r="U202" s="188">
        <v>40500040703</v>
      </c>
      <c r="V202" s="11" t="s">
        <v>1386</v>
      </c>
      <c r="W202" s="11"/>
      <c r="X202" s="11">
        <v>2.999991E-3</v>
      </c>
      <c r="Y202" s="11" t="b">
        <f t="shared" si="3"/>
        <v>0</v>
      </c>
    </row>
    <row r="203" spans="1:25" x14ac:dyDescent="0.35">
      <c r="A203" s="11">
        <v>2019</v>
      </c>
      <c r="B203" s="11" t="s">
        <v>1980</v>
      </c>
      <c r="C203" s="11" t="s">
        <v>1347</v>
      </c>
      <c r="D203" s="163">
        <v>110041245015</v>
      </c>
      <c r="E203" s="11" t="s">
        <v>673</v>
      </c>
      <c r="F203" s="11" t="s">
        <v>674</v>
      </c>
      <c r="G203" s="11" t="s">
        <v>1250</v>
      </c>
      <c r="H203" s="11" t="s">
        <v>481</v>
      </c>
      <c r="I203" s="11" t="s">
        <v>1982</v>
      </c>
      <c r="J203" s="11">
        <v>39.567390000000003</v>
      </c>
      <c r="K203" s="11">
        <v>-76.920410000000004</v>
      </c>
      <c r="M203" s="11"/>
      <c r="N203" s="175" t="e">
        <f>VLOOKUP(M203, '2017 SIC to NAICS'!A:D, 2)</f>
        <v>#N/A</v>
      </c>
      <c r="P203" s="187" t="e">
        <f>VLOOKUP(M203, '2017 SIC to NAICS'!A:D, 4)</f>
        <v>#N/A</v>
      </c>
      <c r="Q203" s="176" t="e">
        <f>IFERROR(VLOOKUP(O203, 'NAICS OES crosswalk'!A:C, 3, FALSE), VLOOKUP(M203, 'NAICS OES crosswalk'!A:C, 3, FALSE))</f>
        <v>#N/A</v>
      </c>
      <c r="U203" s="188">
        <v>20600030802</v>
      </c>
      <c r="V203" s="11" t="s">
        <v>1348</v>
      </c>
      <c r="W203" s="11"/>
      <c r="X203" s="11">
        <v>6.9421631250000005E-4</v>
      </c>
      <c r="Y203" s="11" t="b">
        <f t="shared" si="3"/>
        <v>1</v>
      </c>
    </row>
    <row r="204" spans="1:25" x14ac:dyDescent="0.35">
      <c r="A204" s="11">
        <v>2019</v>
      </c>
      <c r="B204" s="11" t="s">
        <v>1980</v>
      </c>
      <c r="C204" s="11" t="s">
        <v>988</v>
      </c>
      <c r="D204" s="163">
        <v>110070162955</v>
      </c>
      <c r="E204" s="11" t="s">
        <v>622</v>
      </c>
      <c r="F204" s="11" t="s">
        <v>623</v>
      </c>
      <c r="G204" s="11" t="s">
        <v>623</v>
      </c>
      <c r="H204" s="11" t="s">
        <v>492</v>
      </c>
      <c r="I204" s="11" t="s">
        <v>1982</v>
      </c>
      <c r="J204" s="11">
        <v>39.781474000000003</v>
      </c>
      <c r="K204" s="11">
        <v>-104.97438</v>
      </c>
      <c r="L204" s="11">
        <v>1629</v>
      </c>
      <c r="M204" s="11">
        <v>1629</v>
      </c>
      <c r="N204" s="175" t="str">
        <f>VLOOKUP(M204, '2017 SIC to NAICS'!A:D, 2)</f>
        <v>Heavy Construction, Nec</v>
      </c>
      <c r="P204" s="187" t="str">
        <f>VLOOKUP(M204, '2017 SIC to NAICS'!A:D, 4)</f>
        <v>Site Preparation Contractors</v>
      </c>
      <c r="Q204" s="176" t="e">
        <f>IFERROR(VLOOKUP(O204, 'NAICS OES crosswalk'!A:C, 3, FALSE), VLOOKUP(M204, 'NAICS OES crosswalk'!A:C, 3, FALSE))</f>
        <v>#N/A</v>
      </c>
      <c r="U204" s="188">
        <v>101900030304</v>
      </c>
      <c r="V204" s="11" t="s">
        <v>987</v>
      </c>
      <c r="W204" s="11"/>
      <c r="X204" s="11">
        <v>5.7151531800000001E-4</v>
      </c>
      <c r="Y204" s="11" t="b">
        <f t="shared" si="3"/>
        <v>1</v>
      </c>
    </row>
    <row r="205" spans="1:25" x14ac:dyDescent="0.35">
      <c r="A205" s="11">
        <v>2019</v>
      </c>
      <c r="B205" s="11" t="s">
        <v>1980</v>
      </c>
      <c r="C205" s="11" t="s">
        <v>1698</v>
      </c>
      <c r="D205" s="163">
        <v>110000463677</v>
      </c>
      <c r="E205" s="11" t="s">
        <v>649</v>
      </c>
      <c r="F205" s="11" t="s">
        <v>421</v>
      </c>
      <c r="G205" s="11" t="s">
        <v>747</v>
      </c>
      <c r="H205" s="11" t="s">
        <v>95</v>
      </c>
      <c r="I205" s="11" t="s">
        <v>1982</v>
      </c>
      <c r="J205" s="11">
        <v>29.726065999999999</v>
      </c>
      <c r="K205" s="11">
        <v>-95.079583999999997</v>
      </c>
      <c r="L205" s="11">
        <v>2821</v>
      </c>
      <c r="M205" s="11">
        <v>2821</v>
      </c>
      <c r="N205" s="175" t="str">
        <f>VLOOKUP(M205, '2017 SIC to NAICS'!A:D, 2)</f>
        <v>Plastics Materials and Resins</v>
      </c>
      <c r="P205" s="187" t="str">
        <f>VLOOKUP(M205, '2017 SIC to NAICS'!A:D, 4)</f>
        <v>Plastics Material and Resin Manufacturing</v>
      </c>
      <c r="Q205" s="176" t="str">
        <f>IFERROR(VLOOKUP(O205, 'NAICS OES crosswalk'!A:C, 3, FALSE), VLOOKUP(M205, 'NAICS OES crosswalk'!A:C, 3, FALSE))</f>
        <v>Processing as a reactant</v>
      </c>
      <c r="U205" s="188">
        <v>120401040706</v>
      </c>
      <c r="V205" s="11" t="s">
        <v>750</v>
      </c>
      <c r="W205" s="11"/>
      <c r="X205" s="11">
        <v>1.6405289999999999E-3</v>
      </c>
      <c r="Y205" s="11" t="b">
        <f t="shared" si="3"/>
        <v>1</v>
      </c>
    </row>
    <row r="206" spans="1:25" x14ac:dyDescent="0.35">
      <c r="A206" s="11">
        <v>2019</v>
      </c>
      <c r="B206" s="11" t="s">
        <v>1980</v>
      </c>
      <c r="C206" s="11" t="s">
        <v>1717</v>
      </c>
      <c r="D206" s="163">
        <v>110070546877</v>
      </c>
      <c r="E206" s="11" t="s">
        <v>616</v>
      </c>
      <c r="F206" s="11" t="s">
        <v>275</v>
      </c>
      <c r="G206" s="11" t="s">
        <v>1718</v>
      </c>
      <c r="H206" s="11" t="s">
        <v>276</v>
      </c>
      <c r="I206" s="11" t="s">
        <v>1982</v>
      </c>
      <c r="J206" s="11">
        <v>38.861800000000002</v>
      </c>
      <c r="K206" s="11">
        <v>-77.086969999999994</v>
      </c>
      <c r="L206" s="11">
        <v>1794</v>
      </c>
      <c r="M206" s="11">
        <v>1794</v>
      </c>
      <c r="N206" s="175" t="str">
        <f>VLOOKUP(M206, '2017 SIC to NAICS'!A:D, 2)</f>
        <v>Excavation Work</v>
      </c>
      <c r="P206" s="187" t="str">
        <f>VLOOKUP(M206, '2017 SIC to NAICS'!A:D, 4)</f>
        <v>Site Preparation Contractors</v>
      </c>
      <c r="Q206" s="176" t="e">
        <f>IFERROR(VLOOKUP(O206, 'NAICS OES crosswalk'!A:C, 3, FALSE), VLOOKUP(M206, 'NAICS OES crosswalk'!A:C, 3, FALSE))</f>
        <v>#N/A</v>
      </c>
      <c r="U206" s="188">
        <v>20700100301</v>
      </c>
      <c r="V206" s="11" t="s">
        <v>1711</v>
      </c>
      <c r="W206" s="11"/>
      <c r="X206" s="11">
        <v>4.4856072849999999E-4</v>
      </c>
      <c r="Y206" s="11" t="b">
        <f t="shared" si="3"/>
        <v>1</v>
      </c>
    </row>
    <row r="207" spans="1:25" ht="29" x14ac:dyDescent="0.35">
      <c r="A207" s="11">
        <v>2019</v>
      </c>
      <c r="B207" s="11" t="s">
        <v>1980</v>
      </c>
      <c r="C207" s="11" t="s">
        <v>1525</v>
      </c>
      <c r="D207" s="163">
        <v>110070213656</v>
      </c>
      <c r="E207" s="11" t="s">
        <v>687</v>
      </c>
      <c r="F207" s="11" t="s">
        <v>688</v>
      </c>
      <c r="G207" s="11" t="s">
        <v>1526</v>
      </c>
      <c r="H207" s="11" t="s">
        <v>254</v>
      </c>
      <c r="I207" s="11" t="s">
        <v>1982</v>
      </c>
      <c r="J207" s="11">
        <v>40.891950000000001</v>
      </c>
      <c r="K207" s="11">
        <v>-74.249369999999999</v>
      </c>
      <c r="L207" s="11">
        <v>9999</v>
      </c>
      <c r="M207" s="11">
        <v>9999</v>
      </c>
      <c r="N207" s="175" t="str">
        <f>VLOOKUP(M207, '2017 SIC to NAICS'!A:D, 2)</f>
        <v>Nonclassifiable Establishments</v>
      </c>
      <c r="P207" s="187">
        <f>VLOOKUP(M207, '2017 SIC to NAICS'!A:D, 4)</f>
        <v>0</v>
      </c>
      <c r="Q207" s="176" t="str">
        <f>IFERROR(VLOOKUP(O207, 'NAICS OES crosswalk'!A:C, 3, FALSE), VLOOKUP(M207, 'NAICS OES crosswalk'!A:C, 3, FALSE))</f>
        <v>Uncertain, possibly a remediation site</v>
      </c>
      <c r="U207" s="188">
        <v>20301030801</v>
      </c>
      <c r="V207" s="11" t="s">
        <v>1527</v>
      </c>
      <c r="W207" s="11"/>
      <c r="X207" s="11">
        <v>4.2768062459999997E-4</v>
      </c>
      <c r="Y207" s="11" t="b">
        <f t="shared" si="3"/>
        <v>1</v>
      </c>
    </row>
    <row r="208" spans="1:25" x14ac:dyDescent="0.35">
      <c r="A208" s="11">
        <v>2019</v>
      </c>
      <c r="B208" s="11" t="s">
        <v>1980</v>
      </c>
      <c r="C208" s="11" t="s">
        <v>1486</v>
      </c>
      <c r="D208" s="163">
        <v>110041022274</v>
      </c>
      <c r="E208" s="11" t="s">
        <v>699</v>
      </c>
      <c r="F208" s="11" t="s">
        <v>700</v>
      </c>
      <c r="G208" s="11" t="s">
        <v>1487</v>
      </c>
      <c r="H208" s="11" t="s">
        <v>254</v>
      </c>
      <c r="I208" s="11" t="s">
        <v>1981</v>
      </c>
      <c r="J208" s="11">
        <v>39.766944000000002</v>
      </c>
      <c r="K208" s="11">
        <v>-75.421361000000005</v>
      </c>
      <c r="L208" s="11">
        <v>2821</v>
      </c>
      <c r="M208" s="11">
        <v>2821</v>
      </c>
      <c r="N208" s="175" t="str">
        <f>VLOOKUP(M208, '2017 SIC to NAICS'!A:D, 2)</f>
        <v>Plastics Materials and Resins</v>
      </c>
      <c r="O208" s="11">
        <v>325211</v>
      </c>
      <c r="P208" s="187" t="str">
        <f>VLOOKUP(M208, '2017 SIC to NAICS'!A:D, 4)</f>
        <v>Plastics Material and Resin Manufacturing</v>
      </c>
      <c r="Q208" s="176" t="str">
        <f>IFERROR(VLOOKUP(O208, 'NAICS OES crosswalk'!A:C, 3, FALSE), VLOOKUP(M208, 'NAICS OES crosswalk'!A:C, 3, FALSE))</f>
        <v>Processing as a reactant</v>
      </c>
      <c r="U208" s="188">
        <v>20402060103</v>
      </c>
      <c r="V208" s="11" t="s">
        <v>1488</v>
      </c>
      <c r="W208" s="11"/>
      <c r="X208" s="11">
        <v>2.0149999999999999E-5</v>
      </c>
      <c r="Y208" s="11" t="b">
        <f t="shared" si="3"/>
        <v>1</v>
      </c>
    </row>
    <row r="209" spans="1:25" x14ac:dyDescent="0.35">
      <c r="A209" s="11">
        <v>2019</v>
      </c>
      <c r="B209" s="11" t="s">
        <v>1980</v>
      </c>
      <c r="C209" s="11" t="s">
        <v>1516</v>
      </c>
      <c r="D209" s="163">
        <v>110070217974</v>
      </c>
      <c r="E209" s="11" t="s">
        <v>684</v>
      </c>
      <c r="F209" s="11" t="s">
        <v>685</v>
      </c>
      <c r="G209" s="11" t="s">
        <v>1517</v>
      </c>
      <c r="H209" s="11" t="s">
        <v>254</v>
      </c>
      <c r="I209" s="11" t="s">
        <v>1982</v>
      </c>
      <c r="J209" s="11">
        <v>40.52516</v>
      </c>
      <c r="K209" s="11">
        <v>-74.601039999999998</v>
      </c>
      <c r="L209" s="11">
        <v>2851</v>
      </c>
      <c r="M209" s="11">
        <v>2851</v>
      </c>
      <c r="N209" s="175" t="str">
        <f>VLOOKUP(M209, '2017 SIC to NAICS'!A:D, 2)</f>
        <v>Paints and Allied Products</v>
      </c>
      <c r="P209" s="187" t="str">
        <f>VLOOKUP(M209, '2017 SIC to NAICS'!A:D, 4)</f>
        <v>Paint and Coating Manufacturing</v>
      </c>
      <c r="Q209" s="176" t="e">
        <f>IFERROR(VLOOKUP(O209, 'NAICS OES crosswalk'!A:C, 3, FALSE), VLOOKUP(M209, 'NAICS OES crosswalk'!A:C, 3, FALSE))</f>
        <v>#N/A</v>
      </c>
      <c r="U209" s="188">
        <v>20301050311</v>
      </c>
      <c r="V209" s="11" t="s">
        <v>1520</v>
      </c>
      <c r="W209" s="11"/>
      <c r="X209" s="11">
        <v>2.8224260520000002E-4</v>
      </c>
      <c r="Y209" s="11" t="b">
        <f t="shared" si="3"/>
        <v>1</v>
      </c>
    </row>
    <row r="210" spans="1:25" ht="29" x14ac:dyDescent="0.35">
      <c r="A210" s="11">
        <v>2019</v>
      </c>
      <c r="B210" s="11" t="s">
        <v>1980</v>
      </c>
      <c r="C210" s="11" t="s">
        <v>899</v>
      </c>
      <c r="D210" s="163">
        <v>110005972965</v>
      </c>
      <c r="E210" s="11" t="s">
        <v>694</v>
      </c>
      <c r="F210" s="11" t="s">
        <v>695</v>
      </c>
      <c r="G210" s="11" t="s">
        <v>900</v>
      </c>
      <c r="H210" s="11" t="s">
        <v>102</v>
      </c>
      <c r="I210" s="11" t="s">
        <v>1982</v>
      </c>
      <c r="J210" s="11">
        <v>37.499200000000002</v>
      </c>
      <c r="K210" s="11">
        <v>-122.411</v>
      </c>
      <c r="L210" s="11">
        <v>4953</v>
      </c>
      <c r="M210" s="11">
        <v>4953</v>
      </c>
      <c r="N210" s="175" t="str">
        <f>VLOOKUP(M210, '2017 SIC to NAICS'!A:D, 2)</f>
        <v>Refuse Systems</v>
      </c>
      <c r="P210" s="187" t="str">
        <f>VLOOKUP(M210, '2017 SIC to NAICS'!A:D, 4)</f>
        <v>Materials Recovery Facilities</v>
      </c>
      <c r="Q210" s="176" t="str">
        <f>IFERROR(VLOOKUP(O210, 'NAICS OES crosswalk'!A:C, 3, FALSE), VLOOKUP(M210, 'NAICS OES crosswalk'!A:C, 3, FALSE))</f>
        <v>Waste handling, disposal, and treatment</v>
      </c>
      <c r="U210" s="188">
        <v>180500060201</v>
      </c>
      <c r="V210" s="11" t="s">
        <v>901</v>
      </c>
      <c r="W210" s="11"/>
      <c r="X210" s="11">
        <v>2.1738226798749999E-4</v>
      </c>
      <c r="Y210" s="11" t="b">
        <f t="shared" si="3"/>
        <v>1</v>
      </c>
    </row>
    <row r="211" spans="1:25" x14ac:dyDescent="0.35">
      <c r="A211" s="11">
        <v>2019</v>
      </c>
      <c r="B211" s="11" t="s">
        <v>1980</v>
      </c>
      <c r="C211" s="11" t="s">
        <v>1732</v>
      </c>
      <c r="D211" s="163">
        <v>110070598729</v>
      </c>
      <c r="E211" s="11" t="s">
        <v>665</v>
      </c>
      <c r="F211" s="11" t="s">
        <v>396</v>
      </c>
      <c r="G211" s="11" t="s">
        <v>1733</v>
      </c>
      <c r="H211" s="11" t="s">
        <v>276</v>
      </c>
      <c r="I211" s="11" t="s">
        <v>1982</v>
      </c>
      <c r="J211" s="11">
        <v>38.840600000000002</v>
      </c>
      <c r="K211" s="11">
        <v>-77.068200000000004</v>
      </c>
      <c r="L211" s="11">
        <v>1794</v>
      </c>
      <c r="M211" s="11">
        <v>1794</v>
      </c>
      <c r="N211" s="175" t="str">
        <f>VLOOKUP(M211, '2017 SIC to NAICS'!A:D, 2)</f>
        <v>Excavation Work</v>
      </c>
      <c r="P211" s="187" t="str">
        <f>VLOOKUP(M211, '2017 SIC to NAICS'!A:D, 4)</f>
        <v>Site Preparation Contractors</v>
      </c>
      <c r="Q211" s="176" t="e">
        <f>IFERROR(VLOOKUP(O211, 'NAICS OES crosswalk'!A:C, 3, FALSE), VLOOKUP(M211, 'NAICS OES crosswalk'!A:C, 3, FALSE))</f>
        <v>#N/A</v>
      </c>
      <c r="U211" s="188">
        <v>20700100301</v>
      </c>
      <c r="V211" s="11" t="s">
        <v>1711</v>
      </c>
      <c r="W211" s="11"/>
      <c r="X211" s="11">
        <v>1.42196394E-4</v>
      </c>
      <c r="Y211" s="11" t="b">
        <f t="shared" si="3"/>
        <v>1</v>
      </c>
    </row>
    <row r="212" spans="1:25" x14ac:dyDescent="0.35">
      <c r="A212" s="11">
        <v>2019</v>
      </c>
      <c r="B212" s="11" t="s">
        <v>1980</v>
      </c>
      <c r="C212" s="11" t="s">
        <v>1710</v>
      </c>
      <c r="D212" s="163">
        <v>110010844426</v>
      </c>
      <c r="E212" s="11" t="s">
        <v>696</v>
      </c>
      <c r="F212" s="11" t="s">
        <v>275</v>
      </c>
      <c r="G212" s="11" t="s">
        <v>275</v>
      </c>
      <c r="H212" s="11" t="s">
        <v>276</v>
      </c>
      <c r="I212" s="11" t="s">
        <v>1982</v>
      </c>
      <c r="J212" s="11">
        <v>38.88223</v>
      </c>
      <c r="K212" s="11">
        <v>-77.112300000000005</v>
      </c>
      <c r="L212" s="11">
        <v>4959</v>
      </c>
      <c r="M212" s="11">
        <v>4959</v>
      </c>
      <c r="N212" s="175" t="str">
        <f>VLOOKUP(M212, '2017 SIC to NAICS'!A:D, 2)</f>
        <v>Sanitary Services, Nec</v>
      </c>
      <c r="O212" s="11">
        <v>562910</v>
      </c>
      <c r="P212" s="187" t="str">
        <f>VLOOKUP(M212, '2017 SIC to NAICS'!A:D, 4)</f>
        <v>All Other Miscellaneous Waste
Management Services</v>
      </c>
      <c r="Q212" s="176" t="e">
        <f>IFERROR(VLOOKUP(O212, 'NAICS OES crosswalk'!A:C, 3, FALSE), VLOOKUP(M212, 'NAICS OES crosswalk'!A:C, 3, FALSE))</f>
        <v>#N/A</v>
      </c>
      <c r="U212" s="188">
        <v>20700100301</v>
      </c>
      <c r="V212" s="11" t="s">
        <v>1711</v>
      </c>
      <c r="W212" s="11"/>
      <c r="X212" s="11">
        <v>1.114304E-4</v>
      </c>
      <c r="Y212" s="11" t="b">
        <f t="shared" si="3"/>
        <v>1</v>
      </c>
    </row>
    <row r="213" spans="1:25" x14ac:dyDescent="0.35">
      <c r="A213" s="11">
        <v>2019</v>
      </c>
      <c r="B213" s="11" t="s">
        <v>1980</v>
      </c>
      <c r="C213" s="11" t="s">
        <v>1596</v>
      </c>
      <c r="D213" s="163">
        <v>110002321345</v>
      </c>
      <c r="E213" s="11" t="s">
        <v>629</v>
      </c>
      <c r="F213" s="11" t="s">
        <v>620</v>
      </c>
      <c r="G213" s="11" t="s">
        <v>1589</v>
      </c>
      <c r="H213" s="11" t="s">
        <v>126</v>
      </c>
      <c r="I213" s="11" t="s">
        <v>1982</v>
      </c>
      <c r="J213" s="11">
        <v>43.107216000000001</v>
      </c>
      <c r="K213" s="11">
        <v>-75.225815999999995</v>
      </c>
      <c r="L213" s="11">
        <v>5169</v>
      </c>
      <c r="M213" s="11">
        <v>5169</v>
      </c>
      <c r="N213" s="175" t="str">
        <f>VLOOKUP(M213, '2017 SIC to NAICS'!A:D, 2)</f>
        <v>Chemicals and Allied Products, Nec</v>
      </c>
      <c r="P213" s="187" t="str">
        <f>VLOOKUP(M213, '2017 SIC to NAICS'!A:D, 4)</f>
        <v>Wholesale Trade Agents and Brokers</v>
      </c>
      <c r="Q213" s="176" t="e">
        <f>IFERROR(VLOOKUP(O213, 'NAICS OES crosswalk'!A:C, 3, FALSE), VLOOKUP(M213, 'NAICS OES crosswalk'!A:C, 3, FALSE))</f>
        <v>#N/A</v>
      </c>
      <c r="U213" s="188">
        <v>20200040311</v>
      </c>
      <c r="V213" s="11" t="s">
        <v>1583</v>
      </c>
      <c r="W213" s="11"/>
      <c r="X213" s="11">
        <v>7.0432793999999996E-3</v>
      </c>
      <c r="Y213" s="11" t="b">
        <f t="shared" si="3"/>
        <v>0</v>
      </c>
    </row>
    <row r="214" spans="1:25" x14ac:dyDescent="0.35">
      <c r="A214" s="11">
        <v>2019</v>
      </c>
      <c r="B214" s="11" t="s">
        <v>1980</v>
      </c>
      <c r="C214" s="11" t="s">
        <v>781</v>
      </c>
      <c r="D214" s="163">
        <v>110000440416</v>
      </c>
      <c r="E214" s="11" t="s">
        <v>198</v>
      </c>
      <c r="F214" s="11" t="s">
        <v>199</v>
      </c>
      <c r="G214" s="11" t="s">
        <v>782</v>
      </c>
      <c r="H214" s="11" t="s">
        <v>129</v>
      </c>
      <c r="I214" s="11" t="s">
        <v>1982</v>
      </c>
      <c r="J214" s="11">
        <v>38.209220000000002</v>
      </c>
      <c r="K214" s="11">
        <v>-90.476910000000004</v>
      </c>
      <c r="L214" s="11">
        <v>1795</v>
      </c>
      <c r="M214" s="11">
        <v>1795</v>
      </c>
      <c r="N214" s="175" t="str">
        <f>VLOOKUP(M214, '2017 SIC to NAICS'!A:D, 2)</f>
        <v>Wrecking and Demolition Work</v>
      </c>
      <c r="P214" s="187" t="str">
        <f>VLOOKUP(M214, '2017 SIC to NAICS'!A:D, 4)</f>
        <v>Site Preparation Contractors</v>
      </c>
      <c r="Q214" s="176" t="e">
        <f>IFERROR(VLOOKUP(O214, 'NAICS OES crosswalk'!A:C, 3, FALSE), VLOOKUP(M214, 'NAICS OES crosswalk'!A:C, 3, FALSE))</f>
        <v>#N/A</v>
      </c>
      <c r="U214" s="188">
        <v>71401010802</v>
      </c>
      <c r="V214" s="11" t="s">
        <v>783</v>
      </c>
      <c r="W214" s="11"/>
      <c r="X214" s="11">
        <v>9.5760499999999999E-5</v>
      </c>
      <c r="Y214" s="11" t="b">
        <f t="shared" si="3"/>
        <v>1</v>
      </c>
    </row>
    <row r="215" spans="1:25" x14ac:dyDescent="0.35">
      <c r="A215" s="11">
        <v>2019</v>
      </c>
      <c r="B215" s="11" t="s">
        <v>1980</v>
      </c>
      <c r="C215" s="11" t="s">
        <v>845</v>
      </c>
      <c r="D215" s="163">
        <v>110008011490</v>
      </c>
      <c r="E215" s="11" t="s">
        <v>445</v>
      </c>
      <c r="F215" s="11" t="s">
        <v>446</v>
      </c>
      <c r="G215" s="11" t="s">
        <v>846</v>
      </c>
      <c r="H215" s="11" t="s">
        <v>126</v>
      </c>
      <c r="I215" s="11" t="s">
        <v>1982</v>
      </c>
      <c r="J215" s="11">
        <v>42.805160000000001</v>
      </c>
      <c r="K215" s="11">
        <v>-78.64658</v>
      </c>
      <c r="L215" s="11">
        <v>3492</v>
      </c>
      <c r="M215" s="11">
        <v>3492</v>
      </c>
      <c r="N215" s="175" t="str">
        <f>VLOOKUP(M215, '2017 SIC to NAICS'!A:D, 2)</f>
        <v>Fluid Power Valves and Hose Fittings</v>
      </c>
      <c r="P215" s="187" t="str">
        <f>VLOOKUP(M215, '2017 SIC to NAICS'!A:D, 4)</f>
        <v>Fluid Power Valve and Hose Fitting
Manufacturing</v>
      </c>
      <c r="Q215" s="176" t="e">
        <f>IFERROR(VLOOKUP(O215, 'NAICS OES crosswalk'!A:C, 3, FALSE), VLOOKUP(M215, 'NAICS OES crosswalk'!A:C, 3, FALSE))</f>
        <v>#N/A</v>
      </c>
      <c r="U215" s="188">
        <v>41201030206</v>
      </c>
      <c r="V215" s="11" t="s">
        <v>847</v>
      </c>
      <c r="W215" s="11"/>
      <c r="X215" s="11">
        <v>0.1197630775</v>
      </c>
      <c r="Y215" s="11" t="b">
        <f t="shared" si="3"/>
        <v>0</v>
      </c>
    </row>
    <row r="216" spans="1:25" x14ac:dyDescent="0.35">
      <c r="A216" s="11">
        <v>2019</v>
      </c>
      <c r="B216" s="11" t="s">
        <v>1980</v>
      </c>
      <c r="C216" s="11" t="s">
        <v>1497</v>
      </c>
      <c r="D216" s="163">
        <v>110013317614</v>
      </c>
      <c r="E216" s="11" t="s">
        <v>561</v>
      </c>
      <c r="F216" s="11" t="s">
        <v>562</v>
      </c>
      <c r="G216" s="11" t="s">
        <v>1492</v>
      </c>
      <c r="H216" s="11" t="s">
        <v>254</v>
      </c>
      <c r="I216" s="11" t="s">
        <v>1981</v>
      </c>
      <c r="J216" s="11">
        <v>39.845474000000003</v>
      </c>
      <c r="K216" s="11">
        <v>-75.209485999999998</v>
      </c>
      <c r="L216" s="11">
        <v>2821</v>
      </c>
      <c r="M216" s="11">
        <v>2821</v>
      </c>
      <c r="N216" s="175" t="str">
        <f>VLOOKUP(M216, '2017 SIC to NAICS'!A:D, 2)</f>
        <v>Plastics Materials and Resins</v>
      </c>
      <c r="O216" s="11">
        <v>325211</v>
      </c>
      <c r="P216" s="187" t="str">
        <f>VLOOKUP(M216, '2017 SIC to NAICS'!A:D, 4)</f>
        <v>Plastics Material and Resin Manufacturing</v>
      </c>
      <c r="Q216" s="176" t="str">
        <f>IFERROR(VLOOKUP(O216, 'NAICS OES crosswalk'!A:C, 3, FALSE), VLOOKUP(M216, 'NAICS OES crosswalk'!A:C, 3, FALSE))</f>
        <v>Processing as a reactant</v>
      </c>
      <c r="U216" s="188">
        <v>20402020507</v>
      </c>
      <c r="V216" s="11" t="s">
        <v>1498</v>
      </c>
      <c r="W216" s="11"/>
      <c r="X216" s="11">
        <v>4.5000000000000003E-5</v>
      </c>
      <c r="Y216" s="11" t="b">
        <f t="shared" si="3"/>
        <v>1</v>
      </c>
    </row>
    <row r="217" spans="1:25" x14ac:dyDescent="0.35">
      <c r="A217" s="11">
        <v>2019</v>
      </c>
      <c r="B217" s="11" t="s">
        <v>1980</v>
      </c>
      <c r="C217" s="11" t="s">
        <v>845</v>
      </c>
      <c r="D217" s="163">
        <v>110008011490</v>
      </c>
      <c r="E217" s="11" t="s">
        <v>445</v>
      </c>
      <c r="F217" s="11" t="s">
        <v>446</v>
      </c>
      <c r="G217" s="11" t="s">
        <v>846</v>
      </c>
      <c r="H217" s="11" t="s">
        <v>126</v>
      </c>
      <c r="I217" s="11" t="s">
        <v>1982</v>
      </c>
      <c r="J217" s="11">
        <v>42.805160000000001</v>
      </c>
      <c r="K217" s="11">
        <v>-78.64658</v>
      </c>
      <c r="L217" s="11">
        <v>3492</v>
      </c>
      <c r="M217" s="11">
        <v>3492</v>
      </c>
      <c r="N217" s="175" t="str">
        <f>VLOOKUP(M217, '2017 SIC to NAICS'!A:D, 2)</f>
        <v>Fluid Power Valves and Hose Fittings</v>
      </c>
      <c r="P217" s="187" t="str">
        <f>VLOOKUP(M217, '2017 SIC to NAICS'!A:D, 4)</f>
        <v>Fluid Power Valve and Hose Fitting
Manufacturing</v>
      </c>
      <c r="Q217" s="176" t="e">
        <f>IFERROR(VLOOKUP(O217, 'NAICS OES crosswalk'!A:C, 3, FALSE), VLOOKUP(M217, 'NAICS OES crosswalk'!A:C, 3, FALSE))</f>
        <v>#N/A</v>
      </c>
      <c r="U217" s="188">
        <v>41201030206</v>
      </c>
      <c r="V217" s="11" t="s">
        <v>847</v>
      </c>
      <c r="W217" s="11"/>
      <c r="X217" s="11">
        <v>3.5937212400000001E-2</v>
      </c>
      <c r="Y217" s="11" t="b">
        <f t="shared" si="3"/>
        <v>0</v>
      </c>
    </row>
    <row r="218" spans="1:25" x14ac:dyDescent="0.35">
      <c r="A218" s="11">
        <v>2019</v>
      </c>
      <c r="B218" s="11" t="s">
        <v>1980</v>
      </c>
      <c r="C218" s="11" t="s">
        <v>1303</v>
      </c>
      <c r="D218" s="163">
        <v>110007015871</v>
      </c>
      <c r="E218" s="11" t="s">
        <v>418</v>
      </c>
      <c r="F218" s="11" t="s">
        <v>419</v>
      </c>
      <c r="G218" s="11" t="s">
        <v>1304</v>
      </c>
      <c r="H218" s="11" t="s">
        <v>91</v>
      </c>
      <c r="I218" s="11" t="s">
        <v>1981</v>
      </c>
      <c r="J218" s="11">
        <v>30.048590999999998</v>
      </c>
      <c r="K218" s="11">
        <v>-90.630941000000007</v>
      </c>
      <c r="L218" s="11">
        <v>2869</v>
      </c>
      <c r="M218" s="11">
        <v>2869</v>
      </c>
      <c r="N218" s="175" t="str">
        <f>VLOOKUP(M218, '2017 SIC to NAICS'!A:D, 2)</f>
        <v>Industrial Organic Chemicals, Nec</v>
      </c>
      <c r="P218" s="187" t="str">
        <f>VLOOKUP(M218, '2017 SIC to NAICS'!A:D, 4)</f>
        <v>All Other Miscellaneous Chemical Product and Preparation Manufacturing</v>
      </c>
      <c r="Q218" s="176" t="str">
        <f>IFERROR(VLOOKUP(O218, 'NAICS OES crosswalk'!A:C, 3, FALSE), VLOOKUP(M218, 'NAICS OES crosswalk'!A:C, 3, FALSE))</f>
        <v>Manufacturing</v>
      </c>
      <c r="U218" s="188">
        <v>80702040302</v>
      </c>
      <c r="V218" s="11" t="s">
        <v>1305</v>
      </c>
      <c r="W218" s="11"/>
      <c r="X218" s="11">
        <v>8.2854999999999998E-2</v>
      </c>
      <c r="Y218" s="11" t="b">
        <f t="shared" si="3"/>
        <v>0</v>
      </c>
    </row>
    <row r="219" spans="1:25" x14ac:dyDescent="0.35">
      <c r="A219" s="11">
        <v>2019</v>
      </c>
      <c r="B219" s="11" t="s">
        <v>1980</v>
      </c>
      <c r="C219" s="11" t="s">
        <v>1557</v>
      </c>
      <c r="D219" s="163">
        <v>110020039402</v>
      </c>
      <c r="E219" s="11" t="s">
        <v>654</v>
      </c>
      <c r="F219" s="11" t="s">
        <v>337</v>
      </c>
      <c r="G219" s="11" t="s">
        <v>823</v>
      </c>
      <c r="H219" s="11" t="s">
        <v>221</v>
      </c>
      <c r="I219" s="11" t="s">
        <v>1982</v>
      </c>
      <c r="J219" s="11">
        <v>36.137529999999998</v>
      </c>
      <c r="K219" s="11">
        <v>-115.15479000000001</v>
      </c>
      <c r="L219" s="11">
        <v>7011</v>
      </c>
      <c r="M219" s="11">
        <v>7011</v>
      </c>
      <c r="N219" s="175" t="str">
        <f>VLOOKUP(M219, '2017 SIC to NAICS'!A:D, 2)</f>
        <v>Hotels and Motels</v>
      </c>
      <c r="O219" s="11">
        <v>812990</v>
      </c>
      <c r="P219" s="187" t="str">
        <f>VLOOKUP(M219, '2017 SIC to NAICS'!A:D, 4)</f>
        <v>All Other Traveler Accommodation</v>
      </c>
      <c r="Q219" s="176" t="e">
        <f>IFERROR(VLOOKUP(O219, 'NAICS OES crosswalk'!A:C, 3, FALSE), VLOOKUP(M219, 'NAICS OES crosswalk'!A:C, 3, FALSE))</f>
        <v>#N/A</v>
      </c>
      <c r="U219" s="188">
        <v>150100150604</v>
      </c>
      <c r="V219" s="11" t="s">
        <v>738</v>
      </c>
      <c r="W219" s="11"/>
      <c r="X219" s="11">
        <v>1.8135196666666601E-8</v>
      </c>
      <c r="Y219" s="11" t="b">
        <f t="shared" si="3"/>
        <v>1</v>
      </c>
    </row>
    <row r="220" spans="1:25" ht="29" x14ac:dyDescent="0.35">
      <c r="A220" s="11">
        <v>2020</v>
      </c>
      <c r="B220" s="11" t="s">
        <v>1980</v>
      </c>
      <c r="C220" s="11" t="s">
        <v>1215</v>
      </c>
      <c r="D220" s="163">
        <v>110000732379</v>
      </c>
      <c r="E220" s="11" t="s">
        <v>106</v>
      </c>
      <c r="F220" s="11" t="s">
        <v>107</v>
      </c>
      <c r="G220" s="11" t="s">
        <v>782</v>
      </c>
      <c r="H220" s="11" t="s">
        <v>108</v>
      </c>
      <c r="I220" s="11" t="s">
        <v>1981</v>
      </c>
      <c r="J220" s="11">
        <v>38.08614</v>
      </c>
      <c r="K220" s="11">
        <v>-85.898780000000002</v>
      </c>
      <c r="L220" s="11">
        <v>4952</v>
      </c>
      <c r="M220" s="11">
        <v>4952</v>
      </c>
      <c r="N220" s="175" t="str">
        <f>VLOOKUP(M220, '2017 SIC to NAICS'!A:D, 2)</f>
        <v>Sewerage Systems</v>
      </c>
      <c r="O220" s="11">
        <v>221320</v>
      </c>
      <c r="P220" s="187" t="str">
        <f>VLOOKUP(M220, '2017 SIC to NAICS'!A:D, 4)</f>
        <v>Sewage Treatment Facilities</v>
      </c>
      <c r="Q220" s="176" t="str">
        <f>IFERROR(VLOOKUP(O220, 'NAICS OES crosswalk'!A:C, 3, FALSE), VLOOKUP(M220, 'NAICS OES crosswalk'!A:C, 3, FALSE))</f>
        <v>Waste handling, disposal, and treatment</v>
      </c>
      <c r="U220" s="188">
        <v>51401010904</v>
      </c>
      <c r="V220" s="11" t="s">
        <v>1216</v>
      </c>
      <c r="W220" s="11"/>
      <c r="X220" s="11">
        <v>167.30267749999999</v>
      </c>
      <c r="Y220" s="11" t="b">
        <f xml:space="preserve"> X220 &lt;= _xlfn.PERCENTILE.INC($X$219:$X$458, 0.1)</f>
        <v>0</v>
      </c>
    </row>
    <row r="221" spans="1:25" ht="29" x14ac:dyDescent="0.35">
      <c r="A221" s="11">
        <v>2020</v>
      </c>
      <c r="B221" s="11" t="s">
        <v>1980</v>
      </c>
      <c r="C221" s="11" t="s">
        <v>1690</v>
      </c>
      <c r="D221" s="163">
        <v>110034247580</v>
      </c>
      <c r="E221" s="11" t="s">
        <v>104</v>
      </c>
      <c r="F221" s="11" t="s">
        <v>105</v>
      </c>
      <c r="G221" s="11" t="s">
        <v>1691</v>
      </c>
      <c r="H221" s="11" t="s">
        <v>95</v>
      </c>
      <c r="I221" s="11" t="s">
        <v>1981</v>
      </c>
      <c r="J221" s="11">
        <v>27.523085999999999</v>
      </c>
      <c r="K221" s="11">
        <v>-97.832245</v>
      </c>
      <c r="L221" s="11">
        <v>4952</v>
      </c>
      <c r="M221" s="11">
        <v>4952</v>
      </c>
      <c r="N221" s="175" t="str">
        <f>VLOOKUP(M221, '2017 SIC to NAICS'!A:D, 2)</f>
        <v>Sewerage Systems</v>
      </c>
      <c r="P221" s="187" t="str">
        <f>VLOOKUP(M221, '2017 SIC to NAICS'!A:D, 4)</f>
        <v>Sewage Treatment Facilities</v>
      </c>
      <c r="Q221" s="176" t="str">
        <f>IFERROR(VLOOKUP(O221, 'NAICS OES crosswalk'!A:C, 3, FALSE), VLOOKUP(M221, 'NAICS OES crosswalk'!A:C, 3, FALSE))</f>
        <v>Waste handling, disposal, and treatment</v>
      </c>
      <c r="U221" s="188">
        <v>121102040409</v>
      </c>
      <c r="V221" s="11" t="s">
        <v>1692</v>
      </c>
      <c r="W221" s="11"/>
      <c r="X221" s="11">
        <v>121.42451097999999</v>
      </c>
      <c r="Y221" s="11" t="b">
        <f t="shared" ref="Y221:Y284" si="4" xml:space="preserve"> X221 &lt;= _xlfn.PERCENTILE.INC($X$219:$X$458, 0.1)</f>
        <v>0</v>
      </c>
    </row>
    <row r="222" spans="1:25" ht="29" x14ac:dyDescent="0.35">
      <c r="A222" s="11">
        <v>2020</v>
      </c>
      <c r="B222" s="11" t="s">
        <v>1980</v>
      </c>
      <c r="C222" s="11" t="s">
        <v>1080</v>
      </c>
      <c r="D222" s="163">
        <v>110039998214</v>
      </c>
      <c r="E222" s="11" t="s">
        <v>114</v>
      </c>
      <c r="F222" s="11" t="s">
        <v>115</v>
      </c>
      <c r="G222" s="11" t="s">
        <v>1072</v>
      </c>
      <c r="H222" s="11" t="s">
        <v>108</v>
      </c>
      <c r="I222" s="11" t="s">
        <v>1981</v>
      </c>
      <c r="J222" s="11">
        <v>37.790278000000001</v>
      </c>
      <c r="K222" s="11">
        <v>-87.140277999999995</v>
      </c>
      <c r="L222" s="11">
        <v>4952</v>
      </c>
      <c r="M222" s="11">
        <v>4952</v>
      </c>
      <c r="N222" s="175" t="str">
        <f>VLOOKUP(M222, '2017 SIC to NAICS'!A:D, 2)</f>
        <v>Sewerage Systems</v>
      </c>
      <c r="O222" s="11">
        <v>221320</v>
      </c>
      <c r="P222" s="187" t="str">
        <f>VLOOKUP(M222, '2017 SIC to NAICS'!A:D, 4)</f>
        <v>Sewage Treatment Facilities</v>
      </c>
      <c r="Q222" s="176" t="str">
        <f>IFERROR(VLOOKUP(O222, 'NAICS OES crosswalk'!A:C, 3, FALSE), VLOOKUP(M222, 'NAICS OES crosswalk'!A:C, 3, FALSE))</f>
        <v>Waste handling, disposal, and treatment</v>
      </c>
      <c r="U222" s="188">
        <v>51402011202</v>
      </c>
      <c r="V222" s="11" t="s">
        <v>1073</v>
      </c>
      <c r="W222" s="11"/>
      <c r="X222" s="11">
        <v>49.955944000000002</v>
      </c>
      <c r="Y222" s="11" t="b">
        <f t="shared" si="4"/>
        <v>0</v>
      </c>
    </row>
    <row r="223" spans="1:25" ht="29" x14ac:dyDescent="0.35">
      <c r="A223" s="11">
        <v>2020</v>
      </c>
      <c r="B223" s="11" t="s">
        <v>1980</v>
      </c>
      <c r="C223" s="11" t="s">
        <v>1119</v>
      </c>
      <c r="D223" s="163">
        <v>110000571373</v>
      </c>
      <c r="E223" s="11" t="s">
        <v>116</v>
      </c>
      <c r="F223" s="11" t="s">
        <v>117</v>
      </c>
      <c r="G223" s="11" t="s">
        <v>1120</v>
      </c>
      <c r="H223" s="11" t="s">
        <v>108</v>
      </c>
      <c r="I223" s="11" t="s">
        <v>1981</v>
      </c>
      <c r="J223" s="11">
        <v>37.642310000000002</v>
      </c>
      <c r="K223" s="11">
        <v>-85.903570000000002</v>
      </c>
      <c r="L223" s="11">
        <v>4952</v>
      </c>
      <c r="M223" s="11">
        <v>4952</v>
      </c>
      <c r="N223" s="175" t="str">
        <f>VLOOKUP(M223, '2017 SIC to NAICS'!A:D, 2)</f>
        <v>Sewerage Systems</v>
      </c>
      <c r="O223" s="11">
        <v>221320</v>
      </c>
      <c r="P223" s="187" t="str">
        <f>VLOOKUP(M223, '2017 SIC to NAICS'!A:D, 4)</f>
        <v>Sewage Treatment Facilities</v>
      </c>
      <c r="Q223" s="176" t="str">
        <f>IFERROR(VLOOKUP(O223, 'NAICS OES crosswalk'!A:C, 3, FALSE), VLOOKUP(M223, 'NAICS OES crosswalk'!A:C, 3, FALSE))</f>
        <v>Waste handling, disposal, and treatment</v>
      </c>
      <c r="U223" s="188">
        <v>51100011004</v>
      </c>
      <c r="V223" s="11" t="s">
        <v>1121</v>
      </c>
      <c r="W223" s="11"/>
      <c r="X223" s="11">
        <v>40.754987499999999</v>
      </c>
      <c r="Y223" s="11" t="b">
        <f t="shared" si="4"/>
        <v>0</v>
      </c>
    </row>
    <row r="224" spans="1:25" ht="29" x14ac:dyDescent="0.35">
      <c r="A224" s="11">
        <v>2020</v>
      </c>
      <c r="B224" s="11" t="s">
        <v>1980</v>
      </c>
      <c r="C224" s="11" t="s">
        <v>1212</v>
      </c>
      <c r="D224" s="163">
        <v>110043734983</v>
      </c>
      <c r="E224" s="11" t="s">
        <v>120</v>
      </c>
      <c r="F224" s="11" t="s">
        <v>115</v>
      </c>
      <c r="G224" s="11" t="s">
        <v>1072</v>
      </c>
      <c r="H224" s="11" t="s">
        <v>108</v>
      </c>
      <c r="I224" s="11" t="s">
        <v>1981</v>
      </c>
      <c r="J224" s="11">
        <v>37.770769999999999</v>
      </c>
      <c r="K224" s="11">
        <v>-87.065669999999997</v>
      </c>
      <c r="L224" s="11">
        <v>4952</v>
      </c>
      <c r="M224" s="11">
        <v>4952</v>
      </c>
      <c r="N224" s="175" t="str">
        <f>VLOOKUP(M224, '2017 SIC to NAICS'!A:D, 2)</f>
        <v>Sewerage Systems</v>
      </c>
      <c r="O224" s="11">
        <v>221320</v>
      </c>
      <c r="P224" s="187" t="str">
        <f>VLOOKUP(M224, '2017 SIC to NAICS'!A:D, 4)</f>
        <v>Sewage Treatment Facilities</v>
      </c>
      <c r="Q224" s="176" t="str">
        <f>IFERROR(VLOOKUP(O224, 'NAICS OES crosswalk'!A:C, 3, FALSE), VLOOKUP(M224, 'NAICS OES crosswalk'!A:C, 3, FALSE))</f>
        <v>Waste handling, disposal, and treatment</v>
      </c>
      <c r="U224" s="188">
        <v>51402011201</v>
      </c>
      <c r="V224" s="11" t="s">
        <v>1213</v>
      </c>
      <c r="W224" s="11"/>
      <c r="X224" s="11">
        <v>29.9790925</v>
      </c>
      <c r="Y224" s="11" t="b">
        <f t="shared" si="4"/>
        <v>0</v>
      </c>
    </row>
    <row r="225" spans="1:25" x14ac:dyDescent="0.35">
      <c r="A225" s="11">
        <v>2020</v>
      </c>
      <c r="B225" s="11" t="s">
        <v>1980</v>
      </c>
      <c r="C225" s="11" t="s">
        <v>1027</v>
      </c>
      <c r="D225" s="163">
        <v>110000746211</v>
      </c>
      <c r="E225" s="11" t="s">
        <v>121</v>
      </c>
      <c r="F225" s="11" t="s">
        <v>122</v>
      </c>
      <c r="G225" s="11" t="s">
        <v>1028</v>
      </c>
      <c r="H225" s="11" t="s">
        <v>111</v>
      </c>
      <c r="I225" s="11" t="s">
        <v>1981</v>
      </c>
      <c r="J225" s="11">
        <v>39.795811999999998</v>
      </c>
      <c r="K225" s="11">
        <v>-88.347945999999993</v>
      </c>
      <c r="L225" s="11">
        <v>2869</v>
      </c>
      <c r="M225" s="11">
        <v>2869</v>
      </c>
      <c r="N225" s="175" t="str">
        <f>VLOOKUP(M225, '2017 SIC to NAICS'!A:D, 2)</f>
        <v>Industrial Organic Chemicals, Nec</v>
      </c>
      <c r="P225" s="187" t="str">
        <f>VLOOKUP(M225, '2017 SIC to NAICS'!A:D, 4)</f>
        <v>All Other Miscellaneous Chemical Product and Preparation Manufacturing</v>
      </c>
      <c r="Q225" s="176" t="str">
        <f>IFERROR(VLOOKUP(O225, 'NAICS OES crosswalk'!A:C, 3, FALSE), VLOOKUP(M225, 'NAICS OES crosswalk'!A:C, 3, FALSE))</f>
        <v>Manufacturing</v>
      </c>
      <c r="U225" s="188">
        <v>71402010206</v>
      </c>
      <c r="V225" s="11" t="s">
        <v>1029</v>
      </c>
      <c r="W225" s="11"/>
      <c r="X225" s="11">
        <v>28.0687246153846</v>
      </c>
      <c r="Y225" s="11" t="b">
        <f t="shared" si="4"/>
        <v>0</v>
      </c>
    </row>
    <row r="226" spans="1:25" x14ac:dyDescent="0.35">
      <c r="A226" s="11">
        <v>2020</v>
      </c>
      <c r="B226" s="11" t="s">
        <v>1980</v>
      </c>
      <c r="C226" s="11" t="s">
        <v>1043</v>
      </c>
      <c r="D226" s="163">
        <v>110041049950</v>
      </c>
      <c r="E226" s="11" t="s">
        <v>112</v>
      </c>
      <c r="F226" s="11" t="s">
        <v>113</v>
      </c>
      <c r="G226" s="11" t="s">
        <v>1044</v>
      </c>
      <c r="H226" s="11" t="s">
        <v>111</v>
      </c>
      <c r="I226" s="11" t="s">
        <v>1982</v>
      </c>
      <c r="J226" s="11">
        <v>42.437981999999998</v>
      </c>
      <c r="K226" s="11">
        <v>-88.253360999999998</v>
      </c>
      <c r="L226" s="11">
        <v>3873</v>
      </c>
      <c r="M226" s="11">
        <v>3873</v>
      </c>
      <c r="N226" s="175" t="str">
        <f>VLOOKUP(M226, '2017 SIC to NAICS'!A:D, 2)</f>
        <v>Watches, Clocks, Watchcases, and Parts</v>
      </c>
      <c r="P226" s="187" t="str">
        <f>VLOOKUP(M226, '2017 SIC to NAICS'!A:D, 4)</f>
        <v>Other Measuring and Controlling Device
Manufacturing</v>
      </c>
      <c r="Q226" s="176" t="e">
        <f>IFERROR(VLOOKUP(O226, 'NAICS OES crosswalk'!A:C, 3, FALSE), VLOOKUP(M226, 'NAICS OES crosswalk'!A:C, 3, FALSE))</f>
        <v>#N/A</v>
      </c>
      <c r="U226" s="188">
        <v>71200060907</v>
      </c>
      <c r="V226" s="11" t="s">
        <v>1047</v>
      </c>
      <c r="W226" s="11"/>
      <c r="X226" s="11">
        <v>27.956009999999999</v>
      </c>
      <c r="Y226" s="11" t="b">
        <f t="shared" si="4"/>
        <v>0</v>
      </c>
    </row>
    <row r="227" spans="1:25" ht="29" x14ac:dyDescent="0.35">
      <c r="A227" s="11">
        <v>2020</v>
      </c>
      <c r="B227" s="11" t="s">
        <v>1980</v>
      </c>
      <c r="C227" s="11" t="s">
        <v>1236</v>
      </c>
      <c r="D227" s="163">
        <v>110043485421</v>
      </c>
      <c r="E227" s="11" t="s">
        <v>123</v>
      </c>
      <c r="F227" s="11" t="s">
        <v>107</v>
      </c>
      <c r="G227" s="11" t="s">
        <v>782</v>
      </c>
      <c r="H227" s="11" t="s">
        <v>108</v>
      </c>
      <c r="I227" s="11" t="s">
        <v>1981</v>
      </c>
      <c r="J227" s="11">
        <v>38.122354000000001</v>
      </c>
      <c r="K227" s="11">
        <v>-85.587648000000002</v>
      </c>
      <c r="L227" s="11">
        <v>4952</v>
      </c>
      <c r="M227" s="11">
        <v>4952</v>
      </c>
      <c r="N227" s="175" t="str">
        <f>VLOOKUP(M227, '2017 SIC to NAICS'!A:D, 2)</f>
        <v>Sewerage Systems</v>
      </c>
      <c r="O227" s="11">
        <v>221320</v>
      </c>
      <c r="P227" s="187" t="str">
        <f>VLOOKUP(M227, '2017 SIC to NAICS'!A:D, 4)</f>
        <v>Sewage Treatment Facilities</v>
      </c>
      <c r="Q227" s="176" t="str">
        <f>IFERROR(VLOOKUP(O227, 'NAICS OES crosswalk'!A:C, 3, FALSE), VLOOKUP(M227, 'NAICS OES crosswalk'!A:C, 3, FALSE))</f>
        <v>Waste handling, disposal, and treatment</v>
      </c>
      <c r="U227" s="188">
        <v>51401021002</v>
      </c>
      <c r="V227" s="11" t="s">
        <v>1237</v>
      </c>
      <c r="W227" s="11"/>
      <c r="X227" s="11">
        <v>25.751626000000002</v>
      </c>
      <c r="Y227" s="11" t="b">
        <f t="shared" si="4"/>
        <v>0</v>
      </c>
    </row>
    <row r="228" spans="1:25" ht="29" x14ac:dyDescent="0.35">
      <c r="A228" s="11">
        <v>2020</v>
      </c>
      <c r="B228" s="11" t="s">
        <v>1980</v>
      </c>
      <c r="C228" s="11" t="s">
        <v>1128</v>
      </c>
      <c r="D228" s="163">
        <v>110000732271</v>
      </c>
      <c r="E228" s="11" t="s">
        <v>139</v>
      </c>
      <c r="F228" s="11" t="s">
        <v>107</v>
      </c>
      <c r="G228" s="11" t="s">
        <v>782</v>
      </c>
      <c r="H228" s="11" t="s">
        <v>108</v>
      </c>
      <c r="I228" s="11" t="s">
        <v>1981</v>
      </c>
      <c r="J228" s="11">
        <v>38.322221999999996</v>
      </c>
      <c r="K228" s="11">
        <v>-85.555000000000007</v>
      </c>
      <c r="L228" s="11">
        <v>4952</v>
      </c>
      <c r="M228" s="11">
        <v>4952</v>
      </c>
      <c r="N228" s="175" t="str">
        <f>VLOOKUP(M228, '2017 SIC to NAICS'!A:D, 2)</f>
        <v>Sewerage Systems</v>
      </c>
      <c r="O228" s="11">
        <v>221320</v>
      </c>
      <c r="P228" s="187" t="str">
        <f>VLOOKUP(M228, '2017 SIC to NAICS'!A:D, 4)</f>
        <v>Sewage Treatment Facilities</v>
      </c>
      <c r="Q228" s="176" t="str">
        <f>IFERROR(VLOOKUP(O228, 'NAICS OES crosswalk'!A:C, 3, FALSE), VLOOKUP(M228, 'NAICS OES crosswalk'!A:C, 3, FALSE))</f>
        <v>Waste handling, disposal, and treatment</v>
      </c>
      <c r="U228" s="188">
        <v>51401010504</v>
      </c>
      <c r="V228" s="11" t="s">
        <v>1129</v>
      </c>
      <c r="W228" s="11"/>
      <c r="X228" s="11">
        <v>14.022478749999999</v>
      </c>
      <c r="Y228" s="11" t="b">
        <f t="shared" si="4"/>
        <v>0</v>
      </c>
    </row>
    <row r="229" spans="1:25" ht="29" x14ac:dyDescent="0.35">
      <c r="A229" s="11">
        <v>2020</v>
      </c>
      <c r="B229" s="11" t="s">
        <v>1980</v>
      </c>
      <c r="C229" s="11" t="s">
        <v>1459</v>
      </c>
      <c r="D229" s="163">
        <v>110000737123</v>
      </c>
      <c r="E229" s="11" t="s">
        <v>127</v>
      </c>
      <c r="F229" s="11" t="s">
        <v>128</v>
      </c>
      <c r="G229" s="11" t="s">
        <v>1132</v>
      </c>
      <c r="H229" s="11" t="s">
        <v>129</v>
      </c>
      <c r="I229" s="11" t="s">
        <v>1981</v>
      </c>
      <c r="J229" s="11">
        <v>38.544123999999996</v>
      </c>
      <c r="K229" s="11">
        <v>-90.962633999999994</v>
      </c>
      <c r="L229" s="11">
        <v>4952</v>
      </c>
      <c r="M229" s="11">
        <v>4952</v>
      </c>
      <c r="N229" s="175" t="str">
        <f>VLOOKUP(M229, '2017 SIC to NAICS'!A:D, 2)</f>
        <v>Sewerage Systems</v>
      </c>
      <c r="P229" s="187" t="str">
        <f>VLOOKUP(M229, '2017 SIC to NAICS'!A:D, 4)</f>
        <v>Sewage Treatment Facilities</v>
      </c>
      <c r="Q229" s="176" t="str">
        <f>IFERROR(VLOOKUP(O229, 'NAICS OES crosswalk'!A:C, 3, FALSE), VLOOKUP(M229, 'NAICS OES crosswalk'!A:C, 3, FALSE))</f>
        <v>Waste handling, disposal, and treatment</v>
      </c>
      <c r="U229" s="188">
        <v>103002000601</v>
      </c>
      <c r="V229" s="11" t="s">
        <v>1460</v>
      </c>
      <c r="W229" s="11"/>
      <c r="X229" s="11">
        <v>13.5287255</v>
      </c>
      <c r="Y229" s="11" t="b">
        <f t="shared" si="4"/>
        <v>0</v>
      </c>
    </row>
    <row r="230" spans="1:25" ht="29" x14ac:dyDescent="0.35">
      <c r="A230" s="11">
        <v>2020</v>
      </c>
      <c r="B230" s="11" t="s">
        <v>1980</v>
      </c>
      <c r="C230" s="11" t="s">
        <v>1239</v>
      </c>
      <c r="D230" s="163">
        <v>110043486457</v>
      </c>
      <c r="E230" s="11" t="s">
        <v>138</v>
      </c>
      <c r="F230" s="11" t="s">
        <v>107</v>
      </c>
      <c r="G230" s="11" t="s">
        <v>782</v>
      </c>
      <c r="H230" s="11" t="s">
        <v>108</v>
      </c>
      <c r="I230" s="11" t="s">
        <v>1981</v>
      </c>
      <c r="J230" s="11">
        <v>38.236699999999999</v>
      </c>
      <c r="K230" s="11">
        <v>-85.466710000000006</v>
      </c>
      <c r="L230" s="11">
        <v>4952</v>
      </c>
      <c r="M230" s="11">
        <v>4952</v>
      </c>
      <c r="N230" s="175" t="str">
        <f>VLOOKUP(M230, '2017 SIC to NAICS'!A:D, 2)</f>
        <v>Sewerage Systems</v>
      </c>
      <c r="O230" s="11">
        <v>221320</v>
      </c>
      <c r="P230" s="187" t="str">
        <f>VLOOKUP(M230, '2017 SIC to NAICS'!A:D, 4)</f>
        <v>Sewage Treatment Facilities</v>
      </c>
      <c r="Q230" s="176" t="str">
        <f>IFERROR(VLOOKUP(O230, 'NAICS OES crosswalk'!A:C, 3, FALSE), VLOOKUP(M230, 'NAICS OES crosswalk'!A:C, 3, FALSE))</f>
        <v>Waste handling, disposal, and treatment</v>
      </c>
      <c r="U230" s="188">
        <v>51401020804</v>
      </c>
      <c r="V230" s="11" t="s">
        <v>1240</v>
      </c>
      <c r="W230" s="11"/>
      <c r="X230" s="11">
        <v>12.509708874999999</v>
      </c>
      <c r="Y230" s="11" t="b">
        <f t="shared" si="4"/>
        <v>0</v>
      </c>
    </row>
    <row r="231" spans="1:25" ht="29" x14ac:dyDescent="0.35">
      <c r="A231" s="11">
        <v>2020</v>
      </c>
      <c r="B231" s="11" t="s">
        <v>1980</v>
      </c>
      <c r="C231" s="11" t="s">
        <v>1112</v>
      </c>
      <c r="D231" s="163">
        <v>110064612557</v>
      </c>
      <c r="E231" s="11" t="s">
        <v>152</v>
      </c>
      <c r="F231" s="11" t="s">
        <v>153</v>
      </c>
      <c r="G231" s="11" t="s">
        <v>1113</v>
      </c>
      <c r="H231" s="11" t="s">
        <v>108</v>
      </c>
      <c r="I231" s="11" t="s">
        <v>1981</v>
      </c>
      <c r="J231" s="11">
        <v>37.671391</v>
      </c>
      <c r="K231" s="11">
        <v>-87.828888000000006</v>
      </c>
      <c r="L231" s="11">
        <v>4952</v>
      </c>
      <c r="M231" s="11">
        <v>4952</v>
      </c>
      <c r="N231" s="175" t="str">
        <f>VLOOKUP(M231, '2017 SIC to NAICS'!A:D, 2)</f>
        <v>Sewerage Systems</v>
      </c>
      <c r="O231" s="11">
        <v>221320</v>
      </c>
      <c r="P231" s="187" t="str">
        <f>VLOOKUP(M231, '2017 SIC to NAICS'!A:D, 4)</f>
        <v>Sewage Treatment Facilities</v>
      </c>
      <c r="Q231" s="176" t="str">
        <f>IFERROR(VLOOKUP(O231, 'NAICS OES crosswalk'!A:C, 3, FALSE), VLOOKUP(M231, 'NAICS OES crosswalk'!A:C, 3, FALSE))</f>
        <v>Waste handling, disposal, and treatment</v>
      </c>
      <c r="U231" s="188">
        <v>51402020504</v>
      </c>
      <c r="V231" s="11" t="s">
        <v>1114</v>
      </c>
      <c r="W231" s="11"/>
      <c r="X231" s="11">
        <v>10.492682374999999</v>
      </c>
      <c r="Y231" s="11" t="b">
        <f t="shared" si="4"/>
        <v>0</v>
      </c>
    </row>
    <row r="232" spans="1:25" ht="29" x14ac:dyDescent="0.35">
      <c r="A232" s="11">
        <v>2020</v>
      </c>
      <c r="B232" s="11" t="s">
        <v>1980</v>
      </c>
      <c r="C232" s="11" t="s">
        <v>1007</v>
      </c>
      <c r="D232" s="163">
        <v>110005726802</v>
      </c>
      <c r="E232" s="11" t="s">
        <v>154</v>
      </c>
      <c r="F232" s="11" t="s">
        <v>155</v>
      </c>
      <c r="G232" s="11" t="s">
        <v>1008</v>
      </c>
      <c r="H232" s="11" t="s">
        <v>156</v>
      </c>
      <c r="I232" s="11" t="s">
        <v>1981</v>
      </c>
      <c r="J232" s="11">
        <v>21.304500000000001</v>
      </c>
      <c r="K232" s="11">
        <v>-157.88205600000001</v>
      </c>
      <c r="L232" s="11">
        <v>4952</v>
      </c>
      <c r="M232" s="11">
        <v>4952</v>
      </c>
      <c r="N232" s="175" t="str">
        <f>VLOOKUP(M232, '2017 SIC to NAICS'!A:D, 2)</f>
        <v>Sewerage Systems</v>
      </c>
      <c r="P232" s="187" t="str">
        <f>VLOOKUP(M232, '2017 SIC to NAICS'!A:D, 4)</f>
        <v>Sewage Treatment Facilities</v>
      </c>
      <c r="Q232" s="176" t="str">
        <f>IFERROR(VLOOKUP(O232, 'NAICS OES crosswalk'!A:C, 3, FALSE), VLOOKUP(M232, 'NAICS OES crosswalk'!A:C, 3, FALSE))</f>
        <v>Waste handling, disposal, and treatment</v>
      </c>
      <c r="U232" s="188">
        <v>200600000304</v>
      </c>
      <c r="V232" s="11" t="s">
        <v>1009</v>
      </c>
      <c r="W232" s="11"/>
      <c r="X232" s="11">
        <v>10.42988544</v>
      </c>
      <c r="Y232" s="11" t="b">
        <f t="shared" si="4"/>
        <v>0</v>
      </c>
    </row>
    <row r="233" spans="1:25" x14ac:dyDescent="0.35">
      <c r="A233" s="11">
        <v>2020</v>
      </c>
      <c r="B233" s="11" t="s">
        <v>1980</v>
      </c>
      <c r="C233" s="11" t="s">
        <v>784</v>
      </c>
      <c r="D233" s="163">
        <v>110000460901</v>
      </c>
      <c r="E233" s="11" t="s">
        <v>146</v>
      </c>
      <c r="F233" s="11" t="s">
        <v>94</v>
      </c>
      <c r="G233" s="11" t="s">
        <v>747</v>
      </c>
      <c r="H233" s="11" t="s">
        <v>95</v>
      </c>
      <c r="I233" s="11" t="s">
        <v>1981</v>
      </c>
      <c r="J233" s="11">
        <v>29.718139000000001</v>
      </c>
      <c r="K233" s="11">
        <v>-95.268749999999997</v>
      </c>
      <c r="L233" s="11">
        <v>2819</v>
      </c>
      <c r="M233" s="11">
        <v>2819</v>
      </c>
      <c r="N233" s="175" t="str">
        <f>VLOOKUP(M233, '2017 SIC to NAICS'!A:D, 2)</f>
        <v>Industrial Inorganic Chemicals, Nec</v>
      </c>
      <c r="P233" s="187" t="str">
        <f>VLOOKUP(M233, '2017 SIC to NAICS'!A:D, 4)</f>
        <v>Alumina Refining and Primary Aluminum
Production</v>
      </c>
      <c r="Q233" s="176" t="str">
        <f>IFERROR(VLOOKUP(O233, 'NAICS OES crosswalk'!A:C, 3, FALSE), VLOOKUP(M233, 'NAICS OES crosswalk'!A:C, 3, FALSE))</f>
        <v>Processing as a reactant</v>
      </c>
      <c r="U233" s="188">
        <v>120401040502</v>
      </c>
      <c r="V233" s="11" t="s">
        <v>787</v>
      </c>
      <c r="W233" s="11"/>
      <c r="X233" s="11">
        <v>9.9426000000000005</v>
      </c>
      <c r="Y233" s="11" t="b">
        <f t="shared" si="4"/>
        <v>0</v>
      </c>
    </row>
    <row r="234" spans="1:25" ht="29" x14ac:dyDescent="0.35">
      <c r="A234" s="11">
        <v>2020</v>
      </c>
      <c r="B234" s="11" t="s">
        <v>1980</v>
      </c>
      <c r="C234" s="11" t="s">
        <v>1278</v>
      </c>
      <c r="D234" s="163">
        <v>110064596361</v>
      </c>
      <c r="E234" s="11" t="s">
        <v>162</v>
      </c>
      <c r="F234" s="11" t="s">
        <v>163</v>
      </c>
      <c r="G234" s="11" t="s">
        <v>823</v>
      </c>
      <c r="H234" s="11" t="s">
        <v>108</v>
      </c>
      <c r="I234" s="11" t="s">
        <v>1981</v>
      </c>
      <c r="J234" s="11">
        <v>37.915556000000002</v>
      </c>
      <c r="K234" s="11">
        <v>-84.268332999999998</v>
      </c>
      <c r="L234" s="11">
        <v>4952</v>
      </c>
      <c r="M234" s="11">
        <v>4952</v>
      </c>
      <c r="N234" s="175" t="str">
        <f>VLOOKUP(M234, '2017 SIC to NAICS'!A:D, 2)</f>
        <v>Sewerage Systems</v>
      </c>
      <c r="O234" s="11">
        <v>221320</v>
      </c>
      <c r="P234" s="187" t="str">
        <f>VLOOKUP(M234, '2017 SIC to NAICS'!A:D, 4)</f>
        <v>Sewage Treatment Facilities</v>
      </c>
      <c r="Q234" s="176" t="str">
        <f>IFERROR(VLOOKUP(O234, 'NAICS OES crosswalk'!A:C, 3, FALSE), VLOOKUP(M234, 'NAICS OES crosswalk'!A:C, 3, FALSE))</f>
        <v>Waste handling, disposal, and treatment</v>
      </c>
      <c r="U234" s="188">
        <v>51002050107</v>
      </c>
      <c r="V234" s="11" t="s">
        <v>1279</v>
      </c>
      <c r="W234" s="11"/>
      <c r="X234" s="11">
        <v>9.3943700000000003</v>
      </c>
      <c r="Y234" s="11" t="b">
        <f t="shared" si="4"/>
        <v>0</v>
      </c>
    </row>
    <row r="235" spans="1:25" ht="29" x14ac:dyDescent="0.35">
      <c r="A235" s="11">
        <v>2020</v>
      </c>
      <c r="B235" s="11" t="s">
        <v>1980</v>
      </c>
      <c r="C235" s="11" t="s">
        <v>1126</v>
      </c>
      <c r="D235" s="163">
        <v>110000732253</v>
      </c>
      <c r="E235" s="11" t="s">
        <v>140</v>
      </c>
      <c r="F235" s="11" t="s">
        <v>141</v>
      </c>
      <c r="G235" s="11" t="s">
        <v>1120</v>
      </c>
      <c r="H235" s="11" t="s">
        <v>108</v>
      </c>
      <c r="I235" s="11" t="s">
        <v>1981</v>
      </c>
      <c r="J235" s="11">
        <v>37.845027999999999</v>
      </c>
      <c r="K235" s="11">
        <v>-85.940962999999996</v>
      </c>
      <c r="L235" s="11">
        <v>4952</v>
      </c>
      <c r="M235" s="11">
        <v>4952</v>
      </c>
      <c r="N235" s="175" t="str">
        <f>VLOOKUP(M235, '2017 SIC to NAICS'!A:D, 2)</f>
        <v>Sewerage Systems</v>
      </c>
      <c r="O235" s="11">
        <v>221320</v>
      </c>
      <c r="P235" s="187" t="str">
        <f>VLOOKUP(M235, '2017 SIC to NAICS'!A:D, 4)</f>
        <v>Sewage Treatment Facilities</v>
      </c>
      <c r="Q235" s="176" t="str">
        <f>IFERROR(VLOOKUP(O235, 'NAICS OES crosswalk'!A:C, 3, FALSE), VLOOKUP(M235, 'NAICS OES crosswalk'!A:C, 3, FALSE))</f>
        <v>Waste handling, disposal, and treatment</v>
      </c>
      <c r="U235" s="188">
        <v>51401021302</v>
      </c>
      <c r="V235" s="11" t="s">
        <v>1127</v>
      </c>
      <c r="W235" s="11"/>
      <c r="X235" s="11">
        <v>8.2511580625000001</v>
      </c>
      <c r="Y235" s="11" t="b">
        <f t="shared" si="4"/>
        <v>0</v>
      </c>
    </row>
    <row r="236" spans="1:25" x14ac:dyDescent="0.35">
      <c r="A236" s="11">
        <v>2020</v>
      </c>
      <c r="B236" s="11" t="s">
        <v>1980</v>
      </c>
      <c r="C236" s="11" t="s">
        <v>837</v>
      </c>
      <c r="D236" s="163">
        <v>110011779147</v>
      </c>
      <c r="E236" s="11" t="s">
        <v>172</v>
      </c>
      <c r="F236" s="11" t="s">
        <v>173</v>
      </c>
      <c r="G236" s="11" t="s">
        <v>838</v>
      </c>
      <c r="H236" s="11" t="s">
        <v>126</v>
      </c>
      <c r="I236" s="11" t="s">
        <v>1982</v>
      </c>
      <c r="J236" s="11">
        <v>43.075907999999998</v>
      </c>
      <c r="K236" s="11">
        <v>-76.089072000000002</v>
      </c>
      <c r="L236" s="11">
        <v>3585</v>
      </c>
      <c r="M236" s="11">
        <v>3585</v>
      </c>
      <c r="N236" s="175" t="str">
        <f>VLOOKUP(M236, '2017 SIC to NAICS'!A:D, 2)</f>
        <v>Refrigeration and Heating Equipment</v>
      </c>
      <c r="P236" s="187" t="str">
        <f>VLOOKUP(M236, '2017 SIC to NAICS'!A:D, 4)</f>
        <v>Other Motor Vehicle Parts Manufacturing</v>
      </c>
      <c r="Q236" s="176" t="e">
        <f>IFERROR(VLOOKUP(O236, 'NAICS OES crosswalk'!A:C, 3, FALSE), VLOOKUP(M236, 'NAICS OES crosswalk'!A:C, 3, FALSE))</f>
        <v>#N/A</v>
      </c>
      <c r="U236" s="188">
        <v>41402011508</v>
      </c>
      <c r="V236" s="11" t="s">
        <v>839</v>
      </c>
      <c r="W236" s="11"/>
      <c r="X236" s="11">
        <v>7.5465803124999997</v>
      </c>
      <c r="Y236" s="11" t="b">
        <f t="shared" si="4"/>
        <v>0</v>
      </c>
    </row>
    <row r="237" spans="1:25" x14ac:dyDescent="0.35">
      <c r="A237" s="11">
        <v>2020</v>
      </c>
      <c r="B237" s="11" t="s">
        <v>1980</v>
      </c>
      <c r="C237" s="11" t="s">
        <v>1057</v>
      </c>
      <c r="D237" s="163">
        <v>110000403670</v>
      </c>
      <c r="E237" s="11" t="s">
        <v>149</v>
      </c>
      <c r="F237" s="11" t="s">
        <v>150</v>
      </c>
      <c r="G237" s="11" t="s">
        <v>1058</v>
      </c>
      <c r="H237" s="11" t="s">
        <v>151</v>
      </c>
      <c r="I237" s="11" t="s">
        <v>1981</v>
      </c>
      <c r="J237" s="11">
        <v>37.907200000000003</v>
      </c>
      <c r="K237" s="11">
        <v>-87.927099999999996</v>
      </c>
      <c r="L237" s="11">
        <v>2821</v>
      </c>
      <c r="M237" s="11">
        <v>2821</v>
      </c>
      <c r="N237" s="175" t="str">
        <f>VLOOKUP(M237, '2017 SIC to NAICS'!A:D, 2)</f>
        <v>Plastics Materials and Resins</v>
      </c>
      <c r="P237" s="187" t="str">
        <f>VLOOKUP(M237, '2017 SIC to NAICS'!A:D, 4)</f>
        <v>Plastics Material and Resin Manufacturing</v>
      </c>
      <c r="Q237" s="176" t="str">
        <f>IFERROR(VLOOKUP(O237, 'NAICS OES crosswalk'!A:C, 3, FALSE), VLOOKUP(M237, 'NAICS OES crosswalk'!A:C, 3, FALSE))</f>
        <v>Processing as a reactant</v>
      </c>
      <c r="U237" s="188">
        <v>51402020605</v>
      </c>
      <c r="V237" s="11" t="s">
        <v>1059</v>
      </c>
      <c r="W237" s="11"/>
      <c r="X237" s="11">
        <v>7.5182399999999996</v>
      </c>
      <c r="Y237" s="11" t="b">
        <f t="shared" si="4"/>
        <v>0</v>
      </c>
    </row>
    <row r="238" spans="1:25" ht="29" x14ac:dyDescent="0.35">
      <c r="A238" s="11">
        <v>2020</v>
      </c>
      <c r="B238" s="11" t="s">
        <v>1980</v>
      </c>
      <c r="C238" s="11" t="s">
        <v>1247</v>
      </c>
      <c r="D238" s="163">
        <v>110039705361</v>
      </c>
      <c r="E238" s="11" t="s">
        <v>147</v>
      </c>
      <c r="F238" s="11" t="s">
        <v>148</v>
      </c>
      <c r="G238" s="11" t="s">
        <v>862</v>
      </c>
      <c r="H238" s="11" t="s">
        <v>108</v>
      </c>
      <c r="I238" s="11" t="s">
        <v>1981</v>
      </c>
      <c r="J238" s="11">
        <v>38.101582000000001</v>
      </c>
      <c r="K238" s="11">
        <v>-83.919770999999997</v>
      </c>
      <c r="L238" s="11">
        <v>4952</v>
      </c>
      <c r="M238" s="11">
        <v>4952</v>
      </c>
      <c r="N238" s="175" t="str">
        <f>VLOOKUP(M238, '2017 SIC to NAICS'!A:D, 2)</f>
        <v>Sewerage Systems</v>
      </c>
      <c r="O238" s="11">
        <v>221320</v>
      </c>
      <c r="P238" s="187" t="str">
        <f>VLOOKUP(M238, '2017 SIC to NAICS'!A:D, 4)</f>
        <v>Sewage Treatment Facilities</v>
      </c>
      <c r="Q238" s="176" t="str">
        <f>IFERROR(VLOOKUP(O238, 'NAICS OES crosswalk'!A:C, 3, FALSE), VLOOKUP(M238, 'NAICS OES crosswalk'!A:C, 3, FALSE))</f>
        <v>Waste handling, disposal, and treatment</v>
      </c>
      <c r="U238" s="188">
        <v>51001020302</v>
      </c>
      <c r="V238" s="11" t="s">
        <v>1248</v>
      </c>
      <c r="W238" s="11"/>
      <c r="X238" s="11">
        <v>6.7349343749999999</v>
      </c>
      <c r="Y238" s="11" t="b">
        <f t="shared" si="4"/>
        <v>0</v>
      </c>
    </row>
    <row r="239" spans="1:25" ht="29" x14ac:dyDescent="0.35">
      <c r="A239" s="11">
        <v>2020</v>
      </c>
      <c r="B239" s="11" t="s">
        <v>1980</v>
      </c>
      <c r="C239" s="11" t="s">
        <v>1232</v>
      </c>
      <c r="D239" s="163">
        <v>110002041380</v>
      </c>
      <c r="E239" s="11" t="s">
        <v>136</v>
      </c>
      <c r="F239" s="11" t="s">
        <v>137</v>
      </c>
      <c r="G239" s="11" t="s">
        <v>1233</v>
      </c>
      <c r="H239" s="11" t="s">
        <v>108</v>
      </c>
      <c r="I239" s="11" t="s">
        <v>1981</v>
      </c>
      <c r="J239" s="11">
        <v>37.318492999999997</v>
      </c>
      <c r="K239" s="11">
        <v>-87.549857000000003</v>
      </c>
      <c r="L239" s="11">
        <v>4952</v>
      </c>
      <c r="M239" s="11">
        <v>4952</v>
      </c>
      <c r="N239" s="175" t="str">
        <f>VLOOKUP(M239, '2017 SIC to NAICS'!A:D, 2)</f>
        <v>Sewerage Systems</v>
      </c>
      <c r="O239" s="11">
        <v>221320</v>
      </c>
      <c r="P239" s="187" t="str">
        <f>VLOOKUP(M239, '2017 SIC to NAICS'!A:D, 4)</f>
        <v>Sewage Treatment Facilities</v>
      </c>
      <c r="Q239" s="176" t="str">
        <f>IFERROR(VLOOKUP(O239, 'NAICS OES crosswalk'!A:C, 3, FALSE), VLOOKUP(M239, 'NAICS OES crosswalk'!A:C, 3, FALSE))</f>
        <v>Waste handling, disposal, and treatment</v>
      </c>
      <c r="U239" s="188">
        <v>51402050202</v>
      </c>
      <c r="V239" s="11" t="s">
        <v>1234</v>
      </c>
      <c r="W239" s="11"/>
      <c r="X239" s="11">
        <v>6.6741472750000002</v>
      </c>
      <c r="Y239" s="11" t="b">
        <f t="shared" si="4"/>
        <v>0</v>
      </c>
    </row>
    <row r="240" spans="1:25" ht="29" x14ac:dyDescent="0.35">
      <c r="A240" s="11">
        <v>2020</v>
      </c>
      <c r="B240" s="11" t="s">
        <v>1980</v>
      </c>
      <c r="C240" s="11" t="s">
        <v>1101</v>
      </c>
      <c r="D240" s="163">
        <v>110001855635</v>
      </c>
      <c r="E240" s="11" t="s">
        <v>177</v>
      </c>
      <c r="F240" s="11" t="s">
        <v>178</v>
      </c>
      <c r="G240" s="11" t="s">
        <v>1077</v>
      </c>
      <c r="H240" s="11" t="s">
        <v>108</v>
      </c>
      <c r="I240" s="11" t="s">
        <v>1981</v>
      </c>
      <c r="J240" s="11">
        <v>36.866140000000001</v>
      </c>
      <c r="K240" s="11">
        <v>-88.342470000000006</v>
      </c>
      <c r="L240" s="11">
        <v>4952</v>
      </c>
      <c r="M240" s="11">
        <v>4952</v>
      </c>
      <c r="N240" s="175" t="str">
        <f>VLOOKUP(M240, '2017 SIC to NAICS'!A:D, 2)</f>
        <v>Sewerage Systems</v>
      </c>
      <c r="O240" s="11">
        <v>221320</v>
      </c>
      <c r="P240" s="187" t="str">
        <f>VLOOKUP(M240, '2017 SIC to NAICS'!A:D, 4)</f>
        <v>Sewage Treatment Facilities</v>
      </c>
      <c r="Q240" s="176" t="str">
        <f>IFERROR(VLOOKUP(O240, 'NAICS OES crosswalk'!A:C, 3, FALSE), VLOOKUP(M240, 'NAICS OES crosswalk'!A:C, 3, FALSE))</f>
        <v>Waste handling, disposal, and treatment</v>
      </c>
      <c r="U240" s="188">
        <v>60400060402</v>
      </c>
      <c r="V240" s="11" t="s">
        <v>1102</v>
      </c>
      <c r="W240" s="11"/>
      <c r="X240" s="11">
        <v>5.7747745000000004</v>
      </c>
      <c r="Y240" s="11" t="b">
        <f t="shared" si="4"/>
        <v>0</v>
      </c>
    </row>
    <row r="241" spans="1:25" ht="29" x14ac:dyDescent="0.35">
      <c r="A241" s="11">
        <v>2020</v>
      </c>
      <c r="B241" s="11" t="s">
        <v>1980</v>
      </c>
      <c r="C241" s="11" t="s">
        <v>1088</v>
      </c>
      <c r="D241" s="163">
        <v>110000732226</v>
      </c>
      <c r="E241" s="11" t="s">
        <v>184</v>
      </c>
      <c r="F241" s="11" t="s">
        <v>185</v>
      </c>
      <c r="G241" s="11" t="s">
        <v>1089</v>
      </c>
      <c r="H241" s="11" t="s">
        <v>108</v>
      </c>
      <c r="I241" s="11" t="s">
        <v>1981</v>
      </c>
      <c r="J241" s="11">
        <v>38.057777999999999</v>
      </c>
      <c r="K241" s="11">
        <v>-84.743888999999996</v>
      </c>
      <c r="L241" s="11">
        <v>4952</v>
      </c>
      <c r="M241" s="11">
        <v>4952</v>
      </c>
      <c r="N241" s="175" t="str">
        <f>VLOOKUP(M241, '2017 SIC to NAICS'!A:D, 2)</f>
        <v>Sewerage Systems</v>
      </c>
      <c r="O241" s="11">
        <v>221320</v>
      </c>
      <c r="P241" s="187" t="str">
        <f>VLOOKUP(M241, '2017 SIC to NAICS'!A:D, 4)</f>
        <v>Sewage Treatment Facilities</v>
      </c>
      <c r="Q241" s="176" t="str">
        <f>IFERROR(VLOOKUP(O241, 'NAICS OES crosswalk'!A:C, 3, FALSE), VLOOKUP(M241, 'NAICS OES crosswalk'!A:C, 3, FALSE))</f>
        <v>Waste handling, disposal, and treatment</v>
      </c>
      <c r="U241" s="188">
        <v>51002050709</v>
      </c>
      <c r="V241" s="11" t="s">
        <v>1090</v>
      </c>
      <c r="W241" s="11"/>
      <c r="X241" s="11">
        <v>5.636622</v>
      </c>
      <c r="Y241" s="11" t="b">
        <f t="shared" si="4"/>
        <v>0</v>
      </c>
    </row>
    <row r="242" spans="1:25" ht="29" x14ac:dyDescent="0.35">
      <c r="A242" s="11">
        <v>2020</v>
      </c>
      <c r="B242" s="11" t="s">
        <v>1980</v>
      </c>
      <c r="C242" s="11" t="s">
        <v>1171</v>
      </c>
      <c r="D242" s="163">
        <v>110006751737</v>
      </c>
      <c r="E242" s="11" t="s">
        <v>188</v>
      </c>
      <c r="F242" s="11" t="s">
        <v>189</v>
      </c>
      <c r="G242" s="11" t="s">
        <v>1172</v>
      </c>
      <c r="H242" s="11" t="s">
        <v>108</v>
      </c>
      <c r="I242" s="11" t="s">
        <v>1981</v>
      </c>
      <c r="J242" s="11">
        <v>36.747222000000001</v>
      </c>
      <c r="K242" s="11">
        <v>-84.171943999999996</v>
      </c>
      <c r="L242" s="11">
        <v>4952</v>
      </c>
      <c r="M242" s="11">
        <v>4952</v>
      </c>
      <c r="N242" s="175" t="str">
        <f>VLOOKUP(M242, '2017 SIC to NAICS'!A:D, 2)</f>
        <v>Sewerage Systems</v>
      </c>
      <c r="O242" s="11">
        <v>221320</v>
      </c>
      <c r="P242" s="187" t="str">
        <f>VLOOKUP(M242, '2017 SIC to NAICS'!A:D, 4)</f>
        <v>Sewage Treatment Facilities</v>
      </c>
      <c r="Q242" s="176" t="str">
        <f>IFERROR(VLOOKUP(O242, 'NAICS OES crosswalk'!A:C, 3, FALSE), VLOOKUP(M242, 'NAICS OES crosswalk'!A:C, 3, FALSE))</f>
        <v>Waste handling, disposal, and treatment</v>
      </c>
      <c r="U242" s="188">
        <v>51301010704</v>
      </c>
      <c r="V242" s="11" t="s">
        <v>1173</v>
      </c>
      <c r="W242" s="11"/>
      <c r="X242" s="11">
        <v>5.4673851874999997</v>
      </c>
      <c r="Y242" s="11" t="b">
        <f t="shared" si="4"/>
        <v>0</v>
      </c>
    </row>
    <row r="243" spans="1:25" x14ac:dyDescent="0.35">
      <c r="A243" s="11">
        <v>2020</v>
      </c>
      <c r="B243" s="11" t="s">
        <v>1980</v>
      </c>
      <c r="C243" s="11" t="s">
        <v>1076</v>
      </c>
      <c r="D243" s="163">
        <v>110000741608</v>
      </c>
      <c r="E243" s="11" t="s">
        <v>168</v>
      </c>
      <c r="F243" s="11" t="s">
        <v>169</v>
      </c>
      <c r="G243" s="11" t="s">
        <v>1077</v>
      </c>
      <c r="H243" s="11" t="s">
        <v>108</v>
      </c>
      <c r="I243" s="11" t="s">
        <v>1981</v>
      </c>
      <c r="J243" s="11">
        <v>37.047736999999998</v>
      </c>
      <c r="K243" s="11">
        <v>-88.35866</v>
      </c>
      <c r="L243" s="11">
        <v>2869</v>
      </c>
      <c r="M243" s="11">
        <v>2869</v>
      </c>
      <c r="N243" s="175" t="str">
        <f>VLOOKUP(M243, '2017 SIC to NAICS'!A:D, 2)</f>
        <v>Industrial Organic Chemicals, Nec</v>
      </c>
      <c r="O243" s="11">
        <v>325110</v>
      </c>
      <c r="P243" s="187" t="str">
        <f>VLOOKUP(M243, '2017 SIC to NAICS'!A:D, 4)</f>
        <v>All Other Miscellaneous Chemical Product and Preparation Manufacturing</v>
      </c>
      <c r="Q243" s="176" t="str">
        <f>IFERROR(VLOOKUP(O243, 'NAICS OES crosswalk'!A:C, 3, FALSE), VLOOKUP(M243, 'NAICS OES crosswalk'!A:C, 3, FALSE))</f>
        <v>Processing as a reactant</v>
      </c>
      <c r="U243" s="188">
        <v>60400060503</v>
      </c>
      <c r="V243" s="11" t="s">
        <v>1078</v>
      </c>
      <c r="W243" s="11"/>
      <c r="X243" s="11">
        <v>5.3027199999999999</v>
      </c>
      <c r="Y243" s="11" t="b">
        <f t="shared" si="4"/>
        <v>0</v>
      </c>
    </row>
    <row r="244" spans="1:25" ht="29" x14ac:dyDescent="0.35">
      <c r="A244" s="11">
        <v>2020</v>
      </c>
      <c r="B244" s="11" t="s">
        <v>1980</v>
      </c>
      <c r="C244" s="11" t="s">
        <v>1209</v>
      </c>
      <c r="D244" s="163">
        <v>110039994897</v>
      </c>
      <c r="E244" s="11" t="s">
        <v>144</v>
      </c>
      <c r="F244" s="11" t="s">
        <v>145</v>
      </c>
      <c r="G244" s="11" t="s">
        <v>1210</v>
      </c>
      <c r="H244" s="11" t="s">
        <v>108</v>
      </c>
      <c r="I244" s="11" t="s">
        <v>1981</v>
      </c>
      <c r="J244" s="11">
        <v>36.803610999999997</v>
      </c>
      <c r="K244" s="11">
        <v>-87.516389000000004</v>
      </c>
      <c r="L244" s="11">
        <v>4952</v>
      </c>
      <c r="M244" s="11">
        <v>4952</v>
      </c>
      <c r="N244" s="175" t="str">
        <f>VLOOKUP(M244, '2017 SIC to NAICS'!A:D, 2)</f>
        <v>Sewerage Systems</v>
      </c>
      <c r="O244" s="11">
        <v>221320</v>
      </c>
      <c r="P244" s="187" t="str">
        <f>VLOOKUP(M244, '2017 SIC to NAICS'!A:D, 4)</f>
        <v>Sewage Treatment Facilities</v>
      </c>
      <c r="Q244" s="176" t="str">
        <f>IFERROR(VLOOKUP(O244, 'NAICS OES crosswalk'!A:C, 3, FALSE), VLOOKUP(M244, 'NAICS OES crosswalk'!A:C, 3, FALSE))</f>
        <v>Waste handling, disposal, and treatment</v>
      </c>
      <c r="U244" s="188">
        <v>51302050503</v>
      </c>
      <c r="V244" s="11" t="s">
        <v>1211</v>
      </c>
      <c r="W244" s="11"/>
      <c r="X244" s="11">
        <v>4.1459565249999999</v>
      </c>
      <c r="Y244" s="11" t="b">
        <f t="shared" si="4"/>
        <v>0</v>
      </c>
    </row>
    <row r="245" spans="1:25" ht="29" x14ac:dyDescent="0.35">
      <c r="A245" s="11">
        <v>2020</v>
      </c>
      <c r="B245" s="11" t="s">
        <v>1980</v>
      </c>
      <c r="C245" s="11" t="s">
        <v>1280</v>
      </c>
      <c r="D245" s="163">
        <v>110045091379</v>
      </c>
      <c r="E245" s="11" t="s">
        <v>204</v>
      </c>
      <c r="F245" s="11" t="s">
        <v>205</v>
      </c>
      <c r="G245" s="11" t="s">
        <v>1281</v>
      </c>
      <c r="H245" s="11" t="s">
        <v>108</v>
      </c>
      <c r="I245" s="11" t="s">
        <v>1981</v>
      </c>
      <c r="J245" s="11">
        <v>38.631208000000001</v>
      </c>
      <c r="K245" s="11">
        <v>-84.618809999999996</v>
      </c>
      <c r="L245" s="11">
        <v>4952</v>
      </c>
      <c r="M245" s="11">
        <v>4952</v>
      </c>
      <c r="N245" s="175" t="str">
        <f>VLOOKUP(M245, '2017 SIC to NAICS'!A:D, 2)</f>
        <v>Sewerage Systems</v>
      </c>
      <c r="O245" s="11">
        <v>221320</v>
      </c>
      <c r="P245" s="187" t="str">
        <f>VLOOKUP(M245, '2017 SIC to NAICS'!A:D, 4)</f>
        <v>Sewage Treatment Facilities</v>
      </c>
      <c r="Q245" s="176" t="str">
        <f>IFERROR(VLOOKUP(O245, 'NAICS OES crosswalk'!A:C, 3, FALSE), VLOOKUP(M245, 'NAICS OES crosswalk'!A:C, 3, FALSE))</f>
        <v>Waste handling, disposal, and treatment</v>
      </c>
      <c r="U245" s="188">
        <v>51002051308</v>
      </c>
      <c r="V245" s="11" t="s">
        <v>1282</v>
      </c>
      <c r="W245" s="11"/>
      <c r="X245" s="11">
        <v>4.1445749999999997</v>
      </c>
      <c r="Y245" s="11" t="b">
        <f t="shared" si="4"/>
        <v>0</v>
      </c>
    </row>
    <row r="246" spans="1:25" ht="29" x14ac:dyDescent="0.35">
      <c r="A246" s="11">
        <v>2020</v>
      </c>
      <c r="B246" s="11" t="s">
        <v>1980</v>
      </c>
      <c r="C246" s="11" t="s">
        <v>1025</v>
      </c>
      <c r="D246" s="163">
        <v>110022302417</v>
      </c>
      <c r="E246" s="11" t="s">
        <v>214</v>
      </c>
      <c r="F246" s="11" t="s">
        <v>215</v>
      </c>
      <c r="G246" s="11" t="s">
        <v>155</v>
      </c>
      <c r="H246" s="11" t="s">
        <v>156</v>
      </c>
      <c r="I246" s="11" t="s">
        <v>1981</v>
      </c>
      <c r="J246" s="11">
        <v>21.348472000000001</v>
      </c>
      <c r="K246" s="11">
        <v>-157.94414699999999</v>
      </c>
      <c r="L246" s="11">
        <v>4952</v>
      </c>
      <c r="M246" s="11">
        <v>4952</v>
      </c>
      <c r="N246" s="175" t="str">
        <f>VLOOKUP(M246, '2017 SIC to NAICS'!A:D, 2)</f>
        <v>Sewerage Systems</v>
      </c>
      <c r="P246" s="187" t="str">
        <f>VLOOKUP(M246, '2017 SIC to NAICS'!A:D, 4)</f>
        <v>Sewage Treatment Facilities</v>
      </c>
      <c r="Q246" s="176" t="str">
        <f>IFERROR(VLOOKUP(O246, 'NAICS OES crosswalk'!A:C, 3, FALSE), VLOOKUP(M246, 'NAICS OES crosswalk'!A:C, 3, FALSE))</f>
        <v>Waste handling, disposal, and treatment</v>
      </c>
      <c r="U246" s="188">
        <v>200600000401</v>
      </c>
      <c r="V246" s="11" t="s">
        <v>1026</v>
      </c>
      <c r="W246" s="11"/>
      <c r="X246" s="11">
        <v>3.8682699999999999</v>
      </c>
      <c r="Y246" s="11" t="b">
        <f t="shared" si="4"/>
        <v>0</v>
      </c>
    </row>
    <row r="247" spans="1:25" ht="29" x14ac:dyDescent="0.35">
      <c r="A247" s="11">
        <v>2020</v>
      </c>
      <c r="B247" s="11" t="s">
        <v>1980</v>
      </c>
      <c r="C247" s="11" t="s">
        <v>1249</v>
      </c>
      <c r="D247" s="163">
        <v>110015632216</v>
      </c>
      <c r="E247" s="11" t="s">
        <v>175</v>
      </c>
      <c r="F247" s="11" t="s">
        <v>176</v>
      </c>
      <c r="G247" s="11" t="s">
        <v>1250</v>
      </c>
      <c r="H247" s="11" t="s">
        <v>108</v>
      </c>
      <c r="I247" s="11" t="s">
        <v>1981</v>
      </c>
      <c r="J247" s="11">
        <v>38.628056000000001</v>
      </c>
      <c r="K247" s="11">
        <v>-85.109722000000005</v>
      </c>
      <c r="L247" s="11">
        <v>4952</v>
      </c>
      <c r="M247" s="11">
        <v>4952</v>
      </c>
      <c r="N247" s="175" t="str">
        <f>VLOOKUP(M247, '2017 SIC to NAICS'!A:D, 2)</f>
        <v>Sewerage Systems</v>
      </c>
      <c r="O247" s="11">
        <v>221320</v>
      </c>
      <c r="P247" s="187" t="str">
        <f>VLOOKUP(M247, '2017 SIC to NAICS'!A:D, 4)</f>
        <v>Sewage Treatment Facilities</v>
      </c>
      <c r="Q247" s="176" t="str">
        <f>IFERROR(VLOOKUP(O247, 'NAICS OES crosswalk'!A:C, 3, FALSE), VLOOKUP(M247, 'NAICS OES crosswalk'!A:C, 3, FALSE))</f>
        <v>Waste handling, disposal, and treatment</v>
      </c>
      <c r="U247" s="188">
        <v>51002051510</v>
      </c>
      <c r="V247" s="11" t="s">
        <v>1251</v>
      </c>
      <c r="W247" s="11"/>
      <c r="X247" s="11">
        <v>3.557426875</v>
      </c>
      <c r="Y247" s="11" t="b">
        <f t="shared" si="4"/>
        <v>0</v>
      </c>
    </row>
    <row r="248" spans="1:25" ht="29" x14ac:dyDescent="0.35">
      <c r="A248" s="11">
        <v>2020</v>
      </c>
      <c r="B248" s="11" t="s">
        <v>1980</v>
      </c>
      <c r="C248" s="11" t="s">
        <v>1135</v>
      </c>
      <c r="D248" s="163">
        <v>110064265496</v>
      </c>
      <c r="E248" s="11" t="s">
        <v>182</v>
      </c>
      <c r="F248" s="11" t="s">
        <v>183</v>
      </c>
      <c r="G248" s="11" t="s">
        <v>1136</v>
      </c>
      <c r="H248" s="11" t="s">
        <v>108</v>
      </c>
      <c r="I248" s="11" t="s">
        <v>1981</v>
      </c>
      <c r="J248" s="11">
        <v>37.304611999999999</v>
      </c>
      <c r="K248" s="11">
        <v>-87.145292999999995</v>
      </c>
      <c r="L248" s="11">
        <v>4952</v>
      </c>
      <c r="M248" s="11">
        <v>4952</v>
      </c>
      <c r="N248" s="175" t="str">
        <f>VLOOKUP(M248, '2017 SIC to NAICS'!A:D, 2)</f>
        <v>Sewerage Systems</v>
      </c>
      <c r="O248" s="11">
        <v>221320</v>
      </c>
      <c r="P248" s="187" t="str">
        <f>VLOOKUP(M248, '2017 SIC to NAICS'!A:D, 4)</f>
        <v>Sewage Treatment Facilities</v>
      </c>
      <c r="Q248" s="176" t="str">
        <f>IFERROR(VLOOKUP(O248, 'NAICS OES crosswalk'!A:C, 3, FALSE), VLOOKUP(M248, 'NAICS OES crosswalk'!A:C, 3, FALSE))</f>
        <v>Waste handling, disposal, and treatment</v>
      </c>
      <c r="U248" s="188">
        <v>51100060401</v>
      </c>
      <c r="V248" s="11" t="s">
        <v>1137</v>
      </c>
      <c r="W248" s="11"/>
      <c r="X248" s="11">
        <v>3.5401578124999999</v>
      </c>
      <c r="Y248" s="11" t="b">
        <f t="shared" si="4"/>
        <v>0</v>
      </c>
    </row>
    <row r="249" spans="1:25" ht="29" x14ac:dyDescent="0.35">
      <c r="A249" s="11">
        <v>2020</v>
      </c>
      <c r="B249" s="11" t="s">
        <v>1980</v>
      </c>
      <c r="C249" s="11" t="s">
        <v>1098</v>
      </c>
      <c r="D249" s="163">
        <v>110001123276</v>
      </c>
      <c r="E249" s="11" t="s">
        <v>190</v>
      </c>
      <c r="F249" s="11" t="s">
        <v>191</v>
      </c>
      <c r="G249" s="11" t="s">
        <v>1099</v>
      </c>
      <c r="H249" s="11" t="s">
        <v>108</v>
      </c>
      <c r="I249" s="11" t="s">
        <v>1981</v>
      </c>
      <c r="J249" s="11">
        <v>36.983809999999998</v>
      </c>
      <c r="K249" s="11">
        <v>-85.957089999999994</v>
      </c>
      <c r="L249" s="11">
        <v>4952</v>
      </c>
      <c r="M249" s="11">
        <v>4952</v>
      </c>
      <c r="N249" s="175" t="str">
        <f>VLOOKUP(M249, '2017 SIC to NAICS'!A:D, 2)</f>
        <v>Sewerage Systems</v>
      </c>
      <c r="O249" s="11">
        <v>221320</v>
      </c>
      <c r="P249" s="187" t="str">
        <f>VLOOKUP(M249, '2017 SIC to NAICS'!A:D, 4)</f>
        <v>Sewage Treatment Facilities</v>
      </c>
      <c r="Q249" s="176" t="str">
        <f>IFERROR(VLOOKUP(O249, 'NAICS OES crosswalk'!A:C, 3, FALSE), VLOOKUP(M249, 'NAICS OES crosswalk'!A:C, 3, FALSE))</f>
        <v>Waste handling, disposal, and treatment</v>
      </c>
      <c r="U249" s="188">
        <v>51100020306</v>
      </c>
      <c r="V249" s="11" t="s">
        <v>1100</v>
      </c>
      <c r="W249" s="11"/>
      <c r="X249" s="11">
        <v>3.3446720249999999</v>
      </c>
      <c r="Y249" s="11" t="b">
        <f t="shared" si="4"/>
        <v>0</v>
      </c>
    </row>
    <row r="250" spans="1:25" ht="29" x14ac:dyDescent="0.35">
      <c r="A250" s="11">
        <v>2020</v>
      </c>
      <c r="B250" s="11" t="s">
        <v>1980</v>
      </c>
      <c r="C250" s="11" t="s">
        <v>1174</v>
      </c>
      <c r="D250" s="163">
        <v>110009938808</v>
      </c>
      <c r="E250" s="11" t="s">
        <v>222</v>
      </c>
      <c r="F250" s="11" t="s">
        <v>223</v>
      </c>
      <c r="G250" s="11" t="s">
        <v>1175</v>
      </c>
      <c r="H250" s="11" t="s">
        <v>108</v>
      </c>
      <c r="I250" s="11" t="s">
        <v>1981</v>
      </c>
      <c r="J250" s="11">
        <v>37.177222</v>
      </c>
      <c r="K250" s="11">
        <v>-83.761388999999994</v>
      </c>
      <c r="L250" s="11">
        <v>4952</v>
      </c>
      <c r="M250" s="11">
        <v>4952</v>
      </c>
      <c r="N250" s="175" t="str">
        <f>VLOOKUP(M250, '2017 SIC to NAICS'!A:D, 2)</f>
        <v>Sewerage Systems</v>
      </c>
      <c r="O250" s="11">
        <v>221320</v>
      </c>
      <c r="P250" s="187" t="str">
        <f>VLOOKUP(M250, '2017 SIC to NAICS'!A:D, 4)</f>
        <v>Sewage Treatment Facilities</v>
      </c>
      <c r="Q250" s="176" t="str">
        <f>IFERROR(VLOOKUP(O250, 'NAICS OES crosswalk'!A:C, 3, FALSE), VLOOKUP(M250, 'NAICS OES crosswalk'!A:C, 3, FALSE))</f>
        <v>Waste handling, disposal, and treatment</v>
      </c>
      <c r="U250" s="188">
        <v>51002030303</v>
      </c>
      <c r="V250" s="11" t="s">
        <v>1176</v>
      </c>
      <c r="W250" s="11"/>
      <c r="X250" s="11">
        <v>3.336382875</v>
      </c>
      <c r="Y250" s="11" t="b">
        <f t="shared" si="4"/>
        <v>0</v>
      </c>
    </row>
    <row r="251" spans="1:25" x14ac:dyDescent="0.35">
      <c r="A251" s="11">
        <v>2020</v>
      </c>
      <c r="B251" s="11" t="s">
        <v>1980</v>
      </c>
      <c r="C251" s="11" t="s">
        <v>1454</v>
      </c>
      <c r="D251" s="163">
        <v>110000443226</v>
      </c>
      <c r="E251" s="11" t="s">
        <v>157</v>
      </c>
      <c r="F251" s="11" t="s">
        <v>158</v>
      </c>
      <c r="G251" s="11" t="s">
        <v>434</v>
      </c>
      <c r="H251" s="11" t="s">
        <v>129</v>
      </c>
      <c r="I251" s="11" t="s">
        <v>1981</v>
      </c>
      <c r="J251" s="11">
        <v>38.969749999999998</v>
      </c>
      <c r="K251" s="11">
        <v>-94.465860000000006</v>
      </c>
      <c r="L251" s="11">
        <v>2879</v>
      </c>
      <c r="M251" s="11">
        <v>2879</v>
      </c>
      <c r="N251" s="175" t="str">
        <f>VLOOKUP(M251, '2017 SIC to NAICS'!A:D, 2)</f>
        <v>Agricultural Chemicals, Nec</v>
      </c>
      <c r="P251" s="187" t="str">
        <f>VLOOKUP(M251, '2017 SIC to NAICS'!A:D, 4)</f>
        <v>Pesticide and Other Agricultural Chemical
Manufacturing</v>
      </c>
      <c r="Q251" s="176" t="e">
        <f>IFERROR(VLOOKUP(O251, 'NAICS OES crosswalk'!A:C, 3, FALSE), VLOOKUP(M251, 'NAICS OES crosswalk'!A:C, 3, FALSE))</f>
        <v>#N/A</v>
      </c>
      <c r="U251" s="188">
        <v>103001010204</v>
      </c>
      <c r="V251" s="11" t="s">
        <v>1457</v>
      </c>
      <c r="W251" s="11"/>
      <c r="X251" s="11">
        <v>3.3142</v>
      </c>
      <c r="Y251" s="11" t="b">
        <f t="shared" si="4"/>
        <v>0</v>
      </c>
    </row>
    <row r="252" spans="1:25" x14ac:dyDescent="0.35">
      <c r="A252" s="11">
        <v>2020</v>
      </c>
      <c r="B252" s="11" t="s">
        <v>1980</v>
      </c>
      <c r="C252" s="11" t="s">
        <v>1298</v>
      </c>
      <c r="D252" s="163">
        <v>110033659878</v>
      </c>
      <c r="E252" s="11" t="s">
        <v>208</v>
      </c>
      <c r="F252" s="11" t="s">
        <v>209</v>
      </c>
      <c r="G252" s="11" t="s">
        <v>1299</v>
      </c>
      <c r="H252" s="11" t="s">
        <v>91</v>
      </c>
      <c r="I252" s="11" t="s">
        <v>1981</v>
      </c>
      <c r="J252" s="11">
        <v>30.221900000000002</v>
      </c>
      <c r="K252" s="11">
        <v>-91.051500000000004</v>
      </c>
      <c r="L252" s="11">
        <v>2869</v>
      </c>
      <c r="M252" s="11">
        <v>2869</v>
      </c>
      <c r="N252" s="175" t="str">
        <f>VLOOKUP(M252, '2017 SIC to NAICS'!A:D, 2)</f>
        <v>Industrial Organic Chemicals, Nec</v>
      </c>
      <c r="P252" s="187" t="str">
        <f>VLOOKUP(M252, '2017 SIC to NAICS'!A:D, 4)</f>
        <v>All Other Miscellaneous Chemical Product and Preparation Manufacturing</v>
      </c>
      <c r="Q252" s="176" t="str">
        <f>IFERROR(VLOOKUP(O252, 'NAICS OES crosswalk'!A:C, 3, FALSE), VLOOKUP(M252, 'NAICS OES crosswalk'!A:C, 3, FALSE))</f>
        <v>Manufacturing</v>
      </c>
      <c r="U252" s="188">
        <v>80702040103</v>
      </c>
      <c r="V252" s="11" t="s">
        <v>1300</v>
      </c>
      <c r="W252" s="11"/>
      <c r="X252" s="11">
        <v>3.1484899999999998</v>
      </c>
      <c r="Y252" s="11" t="b">
        <f t="shared" si="4"/>
        <v>0</v>
      </c>
    </row>
    <row r="253" spans="1:25" ht="29" x14ac:dyDescent="0.35">
      <c r="A253" s="11">
        <v>2020</v>
      </c>
      <c r="B253" s="11" t="s">
        <v>1980</v>
      </c>
      <c r="C253" s="11" t="s">
        <v>1218</v>
      </c>
      <c r="D253" s="163">
        <v>110040000398</v>
      </c>
      <c r="E253" s="11" t="s">
        <v>232</v>
      </c>
      <c r="F253" s="11" t="s">
        <v>227</v>
      </c>
      <c r="G253" s="11" t="s">
        <v>1219</v>
      </c>
      <c r="H253" s="11" t="s">
        <v>108</v>
      </c>
      <c r="I253" s="11" t="s">
        <v>1981</v>
      </c>
      <c r="J253" s="11">
        <v>37.608496000000002</v>
      </c>
      <c r="K253" s="11">
        <v>-84.287074000000004</v>
      </c>
      <c r="L253" s="11">
        <v>4952</v>
      </c>
      <c r="M253" s="11">
        <v>4952</v>
      </c>
      <c r="N253" s="175" t="str">
        <f>VLOOKUP(M253, '2017 SIC to NAICS'!A:D, 2)</f>
        <v>Sewerage Systems</v>
      </c>
      <c r="O253" s="11">
        <v>221320</v>
      </c>
      <c r="P253" s="187" t="str">
        <f>VLOOKUP(M253, '2017 SIC to NAICS'!A:D, 4)</f>
        <v>Sewage Treatment Facilities</v>
      </c>
      <c r="Q253" s="176" t="str">
        <f>IFERROR(VLOOKUP(O253, 'NAICS OES crosswalk'!A:C, 3, FALSE), VLOOKUP(M253, 'NAICS OES crosswalk'!A:C, 3, FALSE))</f>
        <v>Waste handling, disposal, and treatment</v>
      </c>
      <c r="U253" s="188">
        <v>51002050202</v>
      </c>
      <c r="V253" s="11" t="s">
        <v>1220</v>
      </c>
      <c r="W253" s="11"/>
      <c r="X253" s="11">
        <v>2.8480137874999998</v>
      </c>
      <c r="Y253" s="11" t="b">
        <f t="shared" si="4"/>
        <v>0</v>
      </c>
    </row>
    <row r="254" spans="1:25" ht="29" x14ac:dyDescent="0.35">
      <c r="A254" s="11">
        <v>2020</v>
      </c>
      <c r="B254" s="11" t="s">
        <v>1980</v>
      </c>
      <c r="C254" s="11" t="s">
        <v>1109</v>
      </c>
      <c r="D254" s="163">
        <v>110000557013</v>
      </c>
      <c r="E254" s="11" t="s">
        <v>233</v>
      </c>
      <c r="F254" s="11" t="s">
        <v>234</v>
      </c>
      <c r="G254" s="11" t="s">
        <v>1110</v>
      </c>
      <c r="H254" s="11" t="s">
        <v>108</v>
      </c>
      <c r="I254" s="11" t="s">
        <v>1981</v>
      </c>
      <c r="J254" s="11">
        <v>37.106380000000001</v>
      </c>
      <c r="K254" s="11">
        <v>-84.066829999999996</v>
      </c>
      <c r="L254" s="11">
        <v>4952</v>
      </c>
      <c r="M254" s="11">
        <v>4952</v>
      </c>
      <c r="N254" s="175" t="str">
        <f>VLOOKUP(M254, '2017 SIC to NAICS'!A:D, 2)</f>
        <v>Sewerage Systems</v>
      </c>
      <c r="O254" s="11">
        <v>221320</v>
      </c>
      <c r="P254" s="187" t="str">
        <f>VLOOKUP(M254, '2017 SIC to NAICS'!A:D, 4)</f>
        <v>Sewage Treatment Facilities</v>
      </c>
      <c r="Q254" s="176" t="str">
        <f>IFERROR(VLOOKUP(O254, 'NAICS OES crosswalk'!A:C, 3, FALSE), VLOOKUP(M254, 'NAICS OES crosswalk'!A:C, 3, FALSE))</f>
        <v>Waste handling, disposal, and treatment</v>
      </c>
      <c r="U254" s="188">
        <v>51301010802</v>
      </c>
      <c r="V254" s="11" t="s">
        <v>1111</v>
      </c>
      <c r="W254" s="11"/>
      <c r="X254" s="11">
        <v>2.8348892999999999</v>
      </c>
      <c r="Y254" s="11" t="b">
        <f t="shared" si="4"/>
        <v>0</v>
      </c>
    </row>
    <row r="255" spans="1:25" x14ac:dyDescent="0.35">
      <c r="A255" s="11">
        <v>2020</v>
      </c>
      <c r="B255" s="11" t="s">
        <v>1980</v>
      </c>
      <c r="C255" s="11" t="s">
        <v>781</v>
      </c>
      <c r="D255" s="163">
        <v>110000440416</v>
      </c>
      <c r="E255" s="11" t="s">
        <v>198</v>
      </c>
      <c r="F255" s="11" t="s">
        <v>199</v>
      </c>
      <c r="G255" s="11" t="s">
        <v>782</v>
      </c>
      <c r="H255" s="11" t="s">
        <v>129</v>
      </c>
      <c r="I255" s="11" t="s">
        <v>1982</v>
      </c>
      <c r="J255" s="11">
        <v>38.209220000000002</v>
      </c>
      <c r="K255" s="11">
        <v>-90.476910000000004</v>
      </c>
      <c r="L255" s="11">
        <v>1795</v>
      </c>
      <c r="M255" s="11">
        <v>1795</v>
      </c>
      <c r="N255" s="175" t="str">
        <f>VLOOKUP(M255, '2017 SIC to NAICS'!A:D, 2)</f>
        <v>Wrecking and Demolition Work</v>
      </c>
      <c r="P255" s="187" t="str">
        <f>VLOOKUP(M255, '2017 SIC to NAICS'!A:D, 4)</f>
        <v>Site Preparation Contractors</v>
      </c>
      <c r="Q255" s="176" t="e">
        <f>IFERROR(VLOOKUP(O255, 'NAICS OES crosswalk'!A:C, 3, FALSE), VLOOKUP(M255, 'NAICS OES crosswalk'!A:C, 3, FALSE))</f>
        <v>#N/A</v>
      </c>
      <c r="U255" s="188">
        <v>71401010802</v>
      </c>
      <c r="V255" s="11" t="s">
        <v>783</v>
      </c>
      <c r="W255" s="11"/>
      <c r="X255" s="11">
        <v>2.6998377066699999</v>
      </c>
      <c r="Y255" s="11" t="b">
        <f t="shared" si="4"/>
        <v>0</v>
      </c>
    </row>
    <row r="256" spans="1:25" ht="29" x14ac:dyDescent="0.35">
      <c r="A256" s="11">
        <v>2020</v>
      </c>
      <c r="B256" s="11" t="s">
        <v>1980</v>
      </c>
      <c r="C256" s="11" t="s">
        <v>1193</v>
      </c>
      <c r="D256" s="163">
        <v>110045085457</v>
      </c>
      <c r="E256" s="11" t="s">
        <v>237</v>
      </c>
      <c r="F256" s="11" t="s">
        <v>238</v>
      </c>
      <c r="G256" s="11" t="s">
        <v>1194</v>
      </c>
      <c r="H256" s="11" t="s">
        <v>108</v>
      </c>
      <c r="I256" s="11" t="s">
        <v>1981</v>
      </c>
      <c r="J256" s="11">
        <v>38.151904999999999</v>
      </c>
      <c r="K256" s="11">
        <v>-83.513848999999993</v>
      </c>
      <c r="L256" s="11">
        <v>4952</v>
      </c>
      <c r="M256" s="11">
        <v>4952</v>
      </c>
      <c r="N256" s="175" t="str">
        <f>VLOOKUP(M256, '2017 SIC to NAICS'!A:D, 2)</f>
        <v>Sewerage Systems</v>
      </c>
      <c r="O256" s="11">
        <v>221320</v>
      </c>
      <c r="P256" s="187" t="str">
        <f>VLOOKUP(M256, '2017 SIC to NAICS'!A:D, 4)</f>
        <v>Sewage Treatment Facilities</v>
      </c>
      <c r="Q256" s="176" t="str">
        <f>IFERROR(VLOOKUP(O256, 'NAICS OES crosswalk'!A:C, 3, FALSE), VLOOKUP(M256, 'NAICS OES crosswalk'!A:C, 3, FALSE))</f>
        <v>Waste handling, disposal, and treatment</v>
      </c>
      <c r="U256" s="188">
        <v>51001010603</v>
      </c>
      <c r="V256" s="11" t="s">
        <v>1195</v>
      </c>
      <c r="W256" s="11"/>
      <c r="X256" s="11">
        <v>2.6352589375000002</v>
      </c>
      <c r="Y256" s="11" t="b">
        <f t="shared" si="4"/>
        <v>0</v>
      </c>
    </row>
    <row r="257" spans="1:25" ht="29" x14ac:dyDescent="0.35">
      <c r="A257" s="11">
        <v>2020</v>
      </c>
      <c r="B257" s="11" t="s">
        <v>1980</v>
      </c>
      <c r="C257" s="11" t="s">
        <v>1242</v>
      </c>
      <c r="D257" s="163">
        <v>110009933484</v>
      </c>
      <c r="E257" s="11" t="s">
        <v>226</v>
      </c>
      <c r="F257" s="11" t="s">
        <v>227</v>
      </c>
      <c r="G257" s="11" t="s">
        <v>1219</v>
      </c>
      <c r="H257" s="11" t="s">
        <v>108</v>
      </c>
      <c r="I257" s="11" t="s">
        <v>1981</v>
      </c>
      <c r="J257" s="11">
        <v>37.640973000000002</v>
      </c>
      <c r="K257" s="11">
        <v>-84.312661000000006</v>
      </c>
      <c r="L257" s="11">
        <v>4952</v>
      </c>
      <c r="M257" s="11">
        <v>4952</v>
      </c>
      <c r="N257" s="175" t="str">
        <f>VLOOKUP(M257, '2017 SIC to NAICS'!A:D, 2)</f>
        <v>Sewerage Systems</v>
      </c>
      <c r="O257" s="11">
        <v>221320</v>
      </c>
      <c r="P257" s="187" t="str">
        <f>VLOOKUP(M257, '2017 SIC to NAICS'!A:D, 4)</f>
        <v>Sewage Treatment Facilities</v>
      </c>
      <c r="Q257" s="176" t="str">
        <f>IFERROR(VLOOKUP(O257, 'NAICS OES crosswalk'!A:C, 3, FALSE), VLOOKUP(M257, 'NAICS OES crosswalk'!A:C, 3, FALSE))</f>
        <v>Waste handling, disposal, and treatment</v>
      </c>
      <c r="U257" s="188">
        <v>51002050204</v>
      </c>
      <c r="V257" s="11" t="s">
        <v>1243</v>
      </c>
      <c r="W257" s="11"/>
      <c r="X257" s="11">
        <v>2.5420060000000002</v>
      </c>
      <c r="Y257" s="11" t="b">
        <f t="shared" si="4"/>
        <v>0</v>
      </c>
    </row>
    <row r="258" spans="1:25" ht="29" x14ac:dyDescent="0.35">
      <c r="A258" s="11">
        <v>2020</v>
      </c>
      <c r="B258" s="11" t="s">
        <v>1980</v>
      </c>
      <c r="C258" s="11" t="s">
        <v>975</v>
      </c>
      <c r="D258" s="163">
        <v>110000525842</v>
      </c>
      <c r="E258" s="11" t="s">
        <v>242</v>
      </c>
      <c r="F258" s="11" t="s">
        <v>243</v>
      </c>
      <c r="G258" s="11" t="s">
        <v>964</v>
      </c>
      <c r="H258" s="11" t="s">
        <v>102</v>
      </c>
      <c r="I258" s="11" t="s">
        <v>1981</v>
      </c>
      <c r="J258" s="11">
        <v>34.055900000000001</v>
      </c>
      <c r="K258" s="11">
        <v>-117.36134</v>
      </c>
      <c r="L258" s="11">
        <v>4952</v>
      </c>
      <c r="M258" s="11">
        <v>4952</v>
      </c>
      <c r="N258" s="175" t="str">
        <f>VLOOKUP(M258, '2017 SIC to NAICS'!A:D, 2)</f>
        <v>Sewerage Systems</v>
      </c>
      <c r="P258" s="187" t="str">
        <f>VLOOKUP(M258, '2017 SIC to NAICS'!A:D, 4)</f>
        <v>Sewage Treatment Facilities</v>
      </c>
      <c r="Q258" s="176" t="str">
        <f>IFERROR(VLOOKUP(O258, 'NAICS OES crosswalk'!A:C, 3, FALSE), VLOOKUP(M258, 'NAICS OES crosswalk'!A:C, 3, FALSE))</f>
        <v>Waste handling, disposal, and treatment</v>
      </c>
      <c r="U258" s="188">
        <v>180702030804</v>
      </c>
      <c r="V258" s="11" t="s">
        <v>976</v>
      </c>
      <c r="W258" s="11"/>
      <c r="X258" s="11">
        <v>2.38767924875</v>
      </c>
      <c r="Y258" s="11" t="b">
        <f t="shared" si="4"/>
        <v>0</v>
      </c>
    </row>
    <row r="259" spans="1:25" x14ac:dyDescent="0.35">
      <c r="A259" s="11">
        <v>2020</v>
      </c>
      <c r="B259" s="11" t="s">
        <v>1980</v>
      </c>
      <c r="C259" s="11" t="s">
        <v>1477</v>
      </c>
      <c r="D259" s="163">
        <v>110041133163</v>
      </c>
      <c r="E259" s="11" t="s">
        <v>252</v>
      </c>
      <c r="F259" s="11" t="s">
        <v>253</v>
      </c>
      <c r="G259" s="11" t="s">
        <v>1113</v>
      </c>
      <c r="H259" s="11" t="s">
        <v>254</v>
      </c>
      <c r="I259" s="11" t="s">
        <v>1981</v>
      </c>
      <c r="J259" s="11">
        <v>40.640135000000001</v>
      </c>
      <c r="K259" s="11">
        <v>-74.218879999999999</v>
      </c>
      <c r="L259" s="11">
        <v>2911</v>
      </c>
      <c r="M259" s="11">
        <v>2911</v>
      </c>
      <c r="N259" s="175" t="str">
        <f>VLOOKUP(M259, '2017 SIC to NAICS'!A:D, 2)</f>
        <v>Petroleum Refining</v>
      </c>
      <c r="O259" s="11">
        <v>324110</v>
      </c>
      <c r="P259" s="187" t="str">
        <f>VLOOKUP(M259, '2017 SIC to NAICS'!A:D, 4)</f>
        <v>Petroleum Refineries</v>
      </c>
      <c r="Q259" s="176" t="e">
        <f>IFERROR(VLOOKUP(O259, 'NAICS OES crosswalk'!A:C, 3, FALSE), VLOOKUP(M259, 'NAICS OES crosswalk'!A:C, 3, FALSE))</f>
        <v>#N/A</v>
      </c>
      <c r="U259" s="188">
        <v>20301040204</v>
      </c>
      <c r="V259" s="11" t="s">
        <v>1478</v>
      </c>
      <c r="W259" s="11"/>
      <c r="X259" s="11">
        <v>2.3050000000000002</v>
      </c>
      <c r="Y259" s="11" t="b">
        <f t="shared" si="4"/>
        <v>0</v>
      </c>
    </row>
    <row r="260" spans="1:25" ht="29" x14ac:dyDescent="0.35">
      <c r="A260" s="11">
        <v>2020</v>
      </c>
      <c r="B260" s="11" t="s">
        <v>1980</v>
      </c>
      <c r="C260" s="11" t="s">
        <v>1262</v>
      </c>
      <c r="D260" s="163">
        <v>110022905588</v>
      </c>
      <c r="E260" s="11" t="s">
        <v>235</v>
      </c>
      <c r="F260" s="11" t="s">
        <v>236</v>
      </c>
      <c r="G260" s="11" t="s">
        <v>1190</v>
      </c>
      <c r="H260" s="11" t="s">
        <v>108</v>
      </c>
      <c r="I260" s="11" t="s">
        <v>1981</v>
      </c>
      <c r="J260" s="11">
        <v>38.417499999999997</v>
      </c>
      <c r="K260" s="11">
        <v>-85.611109999999996</v>
      </c>
      <c r="L260" s="11">
        <v>4952</v>
      </c>
      <c r="M260" s="11">
        <v>4952</v>
      </c>
      <c r="N260" s="175" t="str">
        <f>VLOOKUP(M260, '2017 SIC to NAICS'!A:D, 2)</f>
        <v>Sewerage Systems</v>
      </c>
      <c r="O260" s="11">
        <v>221320</v>
      </c>
      <c r="P260" s="187" t="str">
        <f>VLOOKUP(M260, '2017 SIC to NAICS'!A:D, 4)</f>
        <v>Sewage Treatment Facilities</v>
      </c>
      <c r="Q260" s="176" t="str">
        <f>IFERROR(VLOOKUP(O260, 'NAICS OES crosswalk'!A:C, 3, FALSE), VLOOKUP(M260, 'NAICS OES crosswalk'!A:C, 3, FALSE))</f>
        <v>Waste handling, disposal, and treatment</v>
      </c>
      <c r="U260" s="188">
        <v>51401010604</v>
      </c>
      <c r="V260" s="11" t="s">
        <v>1263</v>
      </c>
      <c r="W260" s="11"/>
      <c r="X260" s="11">
        <v>2.1310023125000002</v>
      </c>
      <c r="Y260" s="11" t="b">
        <f t="shared" si="4"/>
        <v>0</v>
      </c>
    </row>
    <row r="261" spans="1:25" x14ac:dyDescent="0.35">
      <c r="A261" s="11">
        <v>2020</v>
      </c>
      <c r="B261" s="11" t="s">
        <v>1980</v>
      </c>
      <c r="C261" s="11" t="s">
        <v>1189</v>
      </c>
      <c r="D261" s="163">
        <v>110002108059</v>
      </c>
      <c r="E261" s="11" t="s">
        <v>257</v>
      </c>
      <c r="F261" s="11" t="s">
        <v>258</v>
      </c>
      <c r="G261" s="11" t="s">
        <v>1190</v>
      </c>
      <c r="H261" s="11" t="s">
        <v>108</v>
      </c>
      <c r="I261" s="11" t="s">
        <v>1981</v>
      </c>
      <c r="J261" s="11">
        <v>38.391995999999999</v>
      </c>
      <c r="K261" s="11">
        <v>-85.416021999999998</v>
      </c>
      <c r="L261" s="11">
        <v>9223</v>
      </c>
      <c r="M261" s="11">
        <v>9223</v>
      </c>
      <c r="N261" s="175" t="str">
        <f>VLOOKUP(M261, '2017 SIC to NAICS'!A:D, 2)</f>
        <v>Correctional Institutions</v>
      </c>
      <c r="O261" s="11">
        <v>922140</v>
      </c>
      <c r="P261" s="187" t="str">
        <f>VLOOKUP(M261, '2017 SIC to NAICS'!A:D, 4)</f>
        <v>Correctional Institutions</v>
      </c>
      <c r="Q261" s="176" t="e">
        <f>IFERROR(VLOOKUP(O261, 'NAICS OES crosswalk'!A:C, 3, FALSE), VLOOKUP(M261, 'NAICS OES crosswalk'!A:C, 3, FALSE))</f>
        <v>#N/A</v>
      </c>
      <c r="U261" s="188">
        <v>51401010502</v>
      </c>
      <c r="V261" s="11" t="s">
        <v>1191</v>
      </c>
      <c r="W261" s="11"/>
      <c r="X261" s="11">
        <v>2.1137332500000001</v>
      </c>
      <c r="Y261" s="11" t="b">
        <f t="shared" si="4"/>
        <v>0</v>
      </c>
    </row>
    <row r="262" spans="1:25" x14ac:dyDescent="0.35">
      <c r="A262" s="11">
        <v>2020</v>
      </c>
      <c r="B262" s="11" t="s">
        <v>1980</v>
      </c>
      <c r="C262" s="11" t="s">
        <v>870</v>
      </c>
      <c r="D262" s="163">
        <v>110017432937</v>
      </c>
      <c r="E262" s="11" t="s">
        <v>200</v>
      </c>
      <c r="F262" s="11" t="s">
        <v>201</v>
      </c>
      <c r="G262" s="11" t="s">
        <v>871</v>
      </c>
      <c r="H262" s="11" t="s">
        <v>202</v>
      </c>
      <c r="I262" s="11" t="s">
        <v>1981</v>
      </c>
      <c r="J262" s="11">
        <v>35.722341999999998</v>
      </c>
      <c r="K262" s="11">
        <v>-91.524983000000006</v>
      </c>
      <c r="L262" s="11">
        <v>2865</v>
      </c>
      <c r="M262" s="11">
        <v>2865</v>
      </c>
      <c r="N262" s="175" t="str">
        <f>VLOOKUP(M262, '2017 SIC to NAICS'!A:D, 2)</f>
        <v>Cyclic Crudes and Intermediates</v>
      </c>
      <c r="O262" s="11">
        <v>325199</v>
      </c>
      <c r="P262" s="187" t="str">
        <f>VLOOKUP(M262, '2017 SIC to NAICS'!A:D, 4)</f>
        <v>Cyclic Crude, Intermediate, and Gum and
Wood Chemical Manufacturing</v>
      </c>
      <c r="Q262" s="176" t="str">
        <f>IFERROR(VLOOKUP(O262, 'NAICS OES crosswalk'!A:C, 3, FALSE), VLOOKUP(M262, 'NAICS OES crosswalk'!A:C, 3, FALSE))</f>
        <v>Manufacturing</v>
      </c>
      <c r="U262" s="188">
        <v>110100040704</v>
      </c>
      <c r="V262" s="11" t="s">
        <v>874</v>
      </c>
      <c r="W262" s="11"/>
      <c r="X262" s="11">
        <v>2.0679699999999999</v>
      </c>
      <c r="Y262" s="11" t="b">
        <f t="shared" si="4"/>
        <v>0</v>
      </c>
    </row>
    <row r="263" spans="1:25" x14ac:dyDescent="0.35">
      <c r="A263" s="11">
        <v>2020</v>
      </c>
      <c r="B263" s="11" t="s">
        <v>1980</v>
      </c>
      <c r="C263" s="11" t="s">
        <v>1051</v>
      </c>
      <c r="D263" s="163">
        <v>110044852068</v>
      </c>
      <c r="E263" s="11" t="s">
        <v>244</v>
      </c>
      <c r="F263" s="11" t="s">
        <v>245</v>
      </c>
      <c r="G263" s="11" t="s">
        <v>128</v>
      </c>
      <c r="H263" s="11" t="s">
        <v>111</v>
      </c>
      <c r="I263" s="11" t="s">
        <v>1982</v>
      </c>
      <c r="J263" s="11">
        <v>38.2774</v>
      </c>
      <c r="K263" s="11">
        <v>-89.666899999999998</v>
      </c>
      <c r="L263" s="11">
        <v>4911</v>
      </c>
      <c r="M263" s="11">
        <v>4911</v>
      </c>
      <c r="N263" s="175" t="str">
        <f>VLOOKUP(M263, '2017 SIC to NAICS'!A:D, 2)</f>
        <v>Electric Services</v>
      </c>
      <c r="P263" s="187" t="str">
        <f>VLOOKUP(M263, '2017 SIC to NAICS'!A:D, 4)</f>
        <v>Electric Power Distribution</v>
      </c>
      <c r="Q263" s="176" t="e">
        <f>IFERROR(VLOOKUP(O263, 'NAICS OES crosswalk'!A:C, 3, FALSE), VLOOKUP(M263, 'NAICS OES crosswalk'!A:C, 3, FALSE))</f>
        <v>#N/A</v>
      </c>
      <c r="U263" s="188">
        <v>71402040302</v>
      </c>
      <c r="V263" s="11" t="s">
        <v>1052</v>
      </c>
      <c r="W263" s="11"/>
      <c r="X263" s="11">
        <v>2.0337429524999999</v>
      </c>
      <c r="Y263" s="11" t="b">
        <f t="shared" si="4"/>
        <v>0</v>
      </c>
    </row>
    <row r="264" spans="1:25" ht="29" x14ac:dyDescent="0.35">
      <c r="A264" s="11">
        <v>2020</v>
      </c>
      <c r="B264" s="11" t="s">
        <v>1980</v>
      </c>
      <c r="C264" s="11" t="s">
        <v>1196</v>
      </c>
      <c r="D264" s="163">
        <v>110000736776</v>
      </c>
      <c r="E264" s="11" t="s">
        <v>261</v>
      </c>
      <c r="F264" s="11" t="s">
        <v>262</v>
      </c>
      <c r="G264" s="11" t="s">
        <v>1197</v>
      </c>
      <c r="H264" s="11" t="s">
        <v>108</v>
      </c>
      <c r="I264" s="11" t="s">
        <v>1981</v>
      </c>
      <c r="J264" s="11">
        <v>37.349167000000001</v>
      </c>
      <c r="K264" s="11">
        <v>-85.379444000000007</v>
      </c>
      <c r="L264" s="11">
        <v>4952</v>
      </c>
      <c r="M264" s="11">
        <v>4952</v>
      </c>
      <c r="N264" s="175" t="str">
        <f>VLOOKUP(M264, '2017 SIC to NAICS'!A:D, 2)</f>
        <v>Sewerage Systems</v>
      </c>
      <c r="O264" s="11">
        <v>221320</v>
      </c>
      <c r="P264" s="187" t="str">
        <f>VLOOKUP(M264, '2017 SIC to NAICS'!A:D, 4)</f>
        <v>Sewage Treatment Facilities</v>
      </c>
      <c r="Q264" s="176" t="str">
        <f>IFERROR(VLOOKUP(O264, 'NAICS OES crosswalk'!A:C, 3, FALSE), VLOOKUP(M264, 'NAICS OES crosswalk'!A:C, 3, FALSE))</f>
        <v>Waste handling, disposal, and treatment</v>
      </c>
      <c r="U264" s="188">
        <v>51100010504</v>
      </c>
      <c r="V264" s="11" t="s">
        <v>1198</v>
      </c>
      <c r="W264" s="11"/>
      <c r="X264" s="11">
        <v>2.0066650625000002</v>
      </c>
      <c r="Y264" s="11" t="b">
        <f t="shared" si="4"/>
        <v>0</v>
      </c>
    </row>
    <row r="265" spans="1:25" ht="29" x14ac:dyDescent="0.35">
      <c r="A265" s="11">
        <v>2020</v>
      </c>
      <c r="B265" s="11" t="s">
        <v>1980</v>
      </c>
      <c r="C265" s="11" t="s">
        <v>1159</v>
      </c>
      <c r="D265" s="163">
        <v>110020941383</v>
      </c>
      <c r="E265" s="11" t="s">
        <v>248</v>
      </c>
      <c r="F265" s="11" t="s">
        <v>249</v>
      </c>
      <c r="G265" s="11" t="s">
        <v>1160</v>
      </c>
      <c r="H265" s="11" t="s">
        <v>108</v>
      </c>
      <c r="I265" s="11" t="s">
        <v>1981</v>
      </c>
      <c r="J265" s="11">
        <v>37.983888999999998</v>
      </c>
      <c r="K265" s="11">
        <v>-85.722778000000005</v>
      </c>
      <c r="L265" s="11">
        <v>4952</v>
      </c>
      <c r="M265" s="11">
        <v>4952</v>
      </c>
      <c r="N265" s="175" t="str">
        <f>VLOOKUP(M265, '2017 SIC to NAICS'!A:D, 2)</f>
        <v>Sewerage Systems</v>
      </c>
      <c r="O265" s="11">
        <v>221320</v>
      </c>
      <c r="P265" s="187" t="str">
        <f>VLOOKUP(M265, '2017 SIC to NAICS'!A:D, 4)</f>
        <v>Sewage Treatment Facilities</v>
      </c>
      <c r="Q265" s="176" t="str">
        <f>IFERROR(VLOOKUP(O265, 'NAICS OES crosswalk'!A:C, 3, FALSE), VLOOKUP(M265, 'NAICS OES crosswalk'!A:C, 3, FALSE))</f>
        <v>Waste handling, disposal, and treatment</v>
      </c>
      <c r="U265" s="188">
        <v>51401021103</v>
      </c>
      <c r="V265" s="11" t="s">
        <v>1161</v>
      </c>
      <c r="W265" s="11"/>
      <c r="X265" s="11">
        <v>1.58875375</v>
      </c>
      <c r="Y265" s="11" t="b">
        <f t="shared" si="4"/>
        <v>0</v>
      </c>
    </row>
    <row r="266" spans="1:25" x14ac:dyDescent="0.35">
      <c r="A266" s="11">
        <v>2020</v>
      </c>
      <c r="B266" s="11" t="s">
        <v>1980</v>
      </c>
      <c r="C266" s="11" t="s">
        <v>1677</v>
      </c>
      <c r="D266" s="163">
        <v>110070828339</v>
      </c>
      <c r="E266" s="11" t="s">
        <v>281</v>
      </c>
      <c r="F266" s="11" t="s">
        <v>160</v>
      </c>
      <c r="G266" s="11" t="s">
        <v>1678</v>
      </c>
      <c r="H266" s="11" t="s">
        <v>161</v>
      </c>
      <c r="I266" s="11" t="s">
        <v>1981</v>
      </c>
      <c r="J266" s="11">
        <v>36.550454999999999</v>
      </c>
      <c r="K266" s="11">
        <v>-82.634793999999999</v>
      </c>
      <c r="L266" s="11">
        <v>2892</v>
      </c>
      <c r="M266" s="11">
        <v>2892</v>
      </c>
      <c r="N266" s="175" t="str">
        <f>VLOOKUP(M266, '2017 SIC to NAICS'!A:D, 2)</f>
        <v>Explosives</v>
      </c>
      <c r="O266" s="11">
        <v>325920</v>
      </c>
      <c r="P266" s="187" t="str">
        <f>VLOOKUP(M266, '2017 SIC to NAICS'!A:D, 4)</f>
        <v>Explosives Manufacturing</v>
      </c>
      <c r="Q266" s="176" t="e">
        <f>IFERROR(VLOOKUP(O266, 'NAICS OES crosswalk'!A:C, 3, FALSE), VLOOKUP(M266, 'NAICS OES crosswalk'!A:C, 3, FALSE))</f>
        <v>#N/A</v>
      </c>
      <c r="U266" s="188">
        <v>60101040101</v>
      </c>
      <c r="V266" s="11" t="s">
        <v>1681</v>
      </c>
      <c r="W266" s="11"/>
      <c r="X266" s="11">
        <v>1.4085350000000001</v>
      </c>
      <c r="Y266" s="11" t="b">
        <f t="shared" si="4"/>
        <v>0</v>
      </c>
    </row>
    <row r="267" spans="1:25" ht="29" x14ac:dyDescent="0.35">
      <c r="A267" s="11">
        <v>2020</v>
      </c>
      <c r="B267" s="11" t="s">
        <v>1980</v>
      </c>
      <c r="C267" s="11" t="s">
        <v>1177</v>
      </c>
      <c r="D267" s="163">
        <v>110000759723</v>
      </c>
      <c r="E267" s="11" t="s">
        <v>284</v>
      </c>
      <c r="F267" s="11" t="s">
        <v>285</v>
      </c>
      <c r="G267" s="11" t="s">
        <v>1178</v>
      </c>
      <c r="H267" s="11" t="s">
        <v>108</v>
      </c>
      <c r="I267" s="11" t="s">
        <v>1981</v>
      </c>
      <c r="J267" s="11">
        <v>38.551630000000003</v>
      </c>
      <c r="K267" s="11">
        <v>-82.778199999999998</v>
      </c>
      <c r="L267" s="11">
        <v>4952</v>
      </c>
      <c r="M267" s="11">
        <v>4952</v>
      </c>
      <c r="N267" s="175" t="str">
        <f>VLOOKUP(M267, '2017 SIC to NAICS'!A:D, 2)</f>
        <v>Sewerage Systems</v>
      </c>
      <c r="O267" s="11">
        <v>221320</v>
      </c>
      <c r="P267" s="187" t="str">
        <f>VLOOKUP(M267, '2017 SIC to NAICS'!A:D, 4)</f>
        <v>Sewage Treatment Facilities</v>
      </c>
      <c r="Q267" s="176" t="str">
        <f>IFERROR(VLOOKUP(O267, 'NAICS OES crosswalk'!A:C, 3, FALSE), VLOOKUP(M267, 'NAICS OES crosswalk'!A:C, 3, FALSE))</f>
        <v>Waste handling, disposal, and treatment</v>
      </c>
      <c r="U267" s="188">
        <v>50901030105</v>
      </c>
      <c r="V267" s="11" t="s">
        <v>1179</v>
      </c>
      <c r="W267" s="11"/>
      <c r="X267" s="11">
        <v>1.3815249999999999</v>
      </c>
      <c r="Y267" s="11" t="b">
        <f t="shared" si="4"/>
        <v>0</v>
      </c>
    </row>
    <row r="268" spans="1:25" ht="29" x14ac:dyDescent="0.35">
      <c r="A268" s="11">
        <v>2020</v>
      </c>
      <c r="B268" s="11" t="s">
        <v>1980</v>
      </c>
      <c r="C268" s="11" t="s">
        <v>1143</v>
      </c>
      <c r="D268" s="163">
        <v>110006644872</v>
      </c>
      <c r="E268" s="11" t="s">
        <v>170</v>
      </c>
      <c r="F268" s="11" t="s">
        <v>171</v>
      </c>
      <c r="G268" s="11" t="s">
        <v>1144</v>
      </c>
      <c r="H268" s="11" t="s">
        <v>108</v>
      </c>
      <c r="I268" s="11" t="s">
        <v>1981</v>
      </c>
      <c r="J268" s="11">
        <v>37.491857000000003</v>
      </c>
      <c r="K268" s="11">
        <v>-82.539703000000003</v>
      </c>
      <c r="L268" s="11">
        <v>4952</v>
      </c>
      <c r="M268" s="11">
        <v>4952</v>
      </c>
      <c r="N268" s="175" t="str">
        <f>VLOOKUP(M268, '2017 SIC to NAICS'!A:D, 2)</f>
        <v>Sewerage Systems</v>
      </c>
      <c r="O268" s="11">
        <v>221320</v>
      </c>
      <c r="P268" s="187" t="str">
        <f>VLOOKUP(M268, '2017 SIC to NAICS'!A:D, 4)</f>
        <v>Sewage Treatment Facilities</v>
      </c>
      <c r="Q268" s="176" t="str">
        <f>IFERROR(VLOOKUP(O268, 'NAICS OES crosswalk'!A:C, 3, FALSE), VLOOKUP(M268, 'NAICS OES crosswalk'!A:C, 3, FALSE))</f>
        <v>Waste handling, disposal, and treatment</v>
      </c>
      <c r="U268" s="188">
        <v>50702030202</v>
      </c>
      <c r="V268" s="11" t="s">
        <v>1145</v>
      </c>
      <c r="W268" s="11"/>
      <c r="X268" s="11">
        <v>1.3628744125000001</v>
      </c>
      <c r="Y268" s="11" t="b">
        <f t="shared" si="4"/>
        <v>0</v>
      </c>
    </row>
    <row r="269" spans="1:25" x14ac:dyDescent="0.35">
      <c r="A269" s="11">
        <v>2020</v>
      </c>
      <c r="B269" s="11" t="s">
        <v>1980</v>
      </c>
      <c r="C269" s="11" t="s">
        <v>861</v>
      </c>
      <c r="D269" s="163">
        <v>110000748095</v>
      </c>
      <c r="E269" s="11" t="s">
        <v>282</v>
      </c>
      <c r="F269" s="11" t="s">
        <v>283</v>
      </c>
      <c r="G269" s="11" t="s">
        <v>862</v>
      </c>
      <c r="H269" s="11" t="s">
        <v>95</v>
      </c>
      <c r="I269" s="11" t="s">
        <v>1981</v>
      </c>
      <c r="J269" s="11">
        <v>30.311361000000002</v>
      </c>
      <c r="K269" s="11">
        <v>-95.387083000000004</v>
      </c>
      <c r="L269" s="11">
        <v>2869</v>
      </c>
      <c r="M269" s="11">
        <v>2869</v>
      </c>
      <c r="N269" s="175" t="str">
        <f>VLOOKUP(M269, '2017 SIC to NAICS'!A:D, 2)</f>
        <v>Industrial Organic Chemicals, Nec</v>
      </c>
      <c r="P269" s="187" t="str">
        <f>VLOOKUP(M269, '2017 SIC to NAICS'!A:D, 4)</f>
        <v>All Other Miscellaneous Chemical Product and Preparation Manufacturing</v>
      </c>
      <c r="Q269" s="176" t="str">
        <f>IFERROR(VLOOKUP(O269, 'NAICS OES crosswalk'!A:C, 3, FALSE), VLOOKUP(M269, 'NAICS OES crosswalk'!A:C, 3, FALSE))</f>
        <v>Manufacturing</v>
      </c>
      <c r="U269" s="188">
        <v>120401010403</v>
      </c>
      <c r="V269" s="11" t="s">
        <v>863</v>
      </c>
      <c r="W269" s="11"/>
      <c r="X269" s="11">
        <v>1.259396</v>
      </c>
      <c r="Y269" s="11" t="b">
        <f t="shared" si="4"/>
        <v>0</v>
      </c>
    </row>
    <row r="270" spans="1:25" ht="29" x14ac:dyDescent="0.35">
      <c r="A270" s="11">
        <v>2020</v>
      </c>
      <c r="B270" s="11" t="s">
        <v>1980</v>
      </c>
      <c r="C270" s="11" t="s">
        <v>1162</v>
      </c>
      <c r="D270" s="163">
        <v>110000732324</v>
      </c>
      <c r="E270" s="11" t="s">
        <v>265</v>
      </c>
      <c r="F270" s="11" t="s">
        <v>266</v>
      </c>
      <c r="G270" s="11" t="s">
        <v>1163</v>
      </c>
      <c r="H270" s="11" t="s">
        <v>108</v>
      </c>
      <c r="I270" s="11" t="s">
        <v>1981</v>
      </c>
      <c r="J270" s="11">
        <v>37.776316000000001</v>
      </c>
      <c r="K270" s="11">
        <v>-84.867384999999999</v>
      </c>
      <c r="L270" s="11">
        <v>4952</v>
      </c>
      <c r="M270" s="11">
        <v>4952</v>
      </c>
      <c r="N270" s="175" t="str">
        <f>VLOOKUP(M270, '2017 SIC to NAICS'!A:D, 2)</f>
        <v>Sewerage Systems</v>
      </c>
      <c r="O270" s="11">
        <v>221320</v>
      </c>
      <c r="P270" s="187" t="str">
        <f>VLOOKUP(M270, '2017 SIC to NAICS'!A:D, 4)</f>
        <v>Sewage Treatment Facilities</v>
      </c>
      <c r="Q270" s="176" t="str">
        <f>IFERROR(VLOOKUP(O270, 'NAICS OES crosswalk'!A:C, 3, FALSE), VLOOKUP(M270, 'NAICS OES crosswalk'!A:C, 3, FALSE))</f>
        <v>Waste handling, disposal, and treatment</v>
      </c>
      <c r="U270" s="188">
        <v>51401020102</v>
      </c>
      <c r="V270" s="11" t="s">
        <v>1164</v>
      </c>
      <c r="W270" s="11"/>
      <c r="X270" s="11">
        <v>1.24613555</v>
      </c>
      <c r="Y270" s="11" t="b">
        <f t="shared" si="4"/>
        <v>0</v>
      </c>
    </row>
    <row r="271" spans="1:25" ht="29" x14ac:dyDescent="0.35">
      <c r="A271" s="11">
        <v>2020</v>
      </c>
      <c r="B271" s="11" t="s">
        <v>1980</v>
      </c>
      <c r="C271" s="11" t="s">
        <v>1244</v>
      </c>
      <c r="D271" s="163">
        <v>110009933402</v>
      </c>
      <c r="E271" s="11" t="s">
        <v>269</v>
      </c>
      <c r="F271" s="11" t="s">
        <v>270</v>
      </c>
      <c r="G271" s="11" t="s">
        <v>1245</v>
      </c>
      <c r="H271" s="11" t="s">
        <v>108</v>
      </c>
      <c r="I271" s="11" t="s">
        <v>1981</v>
      </c>
      <c r="J271" s="11">
        <v>37.780760000000001</v>
      </c>
      <c r="K271" s="11">
        <v>-85.510740999999996</v>
      </c>
      <c r="L271" s="11">
        <v>4952</v>
      </c>
      <c r="M271" s="11">
        <v>4952</v>
      </c>
      <c r="N271" s="175" t="str">
        <f>VLOOKUP(M271, '2017 SIC to NAICS'!A:D, 2)</f>
        <v>Sewerage Systems</v>
      </c>
      <c r="O271" s="11">
        <v>221320</v>
      </c>
      <c r="P271" s="187" t="str">
        <f>VLOOKUP(M271, '2017 SIC to NAICS'!A:D, 4)</f>
        <v>Sewage Treatment Facilities</v>
      </c>
      <c r="Q271" s="176" t="str">
        <f>IFERROR(VLOOKUP(O271, 'NAICS OES crosswalk'!A:C, 3, FALSE), VLOOKUP(M271, 'NAICS OES crosswalk'!A:C, 3, FALSE))</f>
        <v>Waste handling, disposal, and treatment</v>
      </c>
      <c r="U271" s="188">
        <v>51401030306</v>
      </c>
      <c r="V271" s="11" t="s">
        <v>1246</v>
      </c>
      <c r="W271" s="11"/>
      <c r="X271" s="11">
        <v>1.2212681000000001</v>
      </c>
      <c r="Y271" s="11" t="b">
        <f t="shared" si="4"/>
        <v>0</v>
      </c>
    </row>
    <row r="272" spans="1:25" ht="29" x14ac:dyDescent="0.35">
      <c r="A272" s="11">
        <v>2020</v>
      </c>
      <c r="B272" s="11" t="s">
        <v>1980</v>
      </c>
      <c r="C272" s="11" t="s">
        <v>1023</v>
      </c>
      <c r="D272" s="163">
        <v>110041973460</v>
      </c>
      <c r="E272" s="11" t="s">
        <v>267</v>
      </c>
      <c r="F272" s="11" t="s">
        <v>268</v>
      </c>
      <c r="G272" s="11" t="s">
        <v>155</v>
      </c>
      <c r="H272" s="11" t="s">
        <v>156</v>
      </c>
      <c r="I272" s="11" t="s">
        <v>1981</v>
      </c>
      <c r="J272" s="11">
        <v>21.438638999999998</v>
      </c>
      <c r="K272" s="11">
        <v>-157.75847200000001</v>
      </c>
      <c r="L272" s="11">
        <v>4952</v>
      </c>
      <c r="M272" s="11">
        <v>4952</v>
      </c>
      <c r="N272" s="175" t="str">
        <f>VLOOKUP(M272, '2017 SIC to NAICS'!A:D, 2)</f>
        <v>Sewerage Systems</v>
      </c>
      <c r="P272" s="187" t="str">
        <f>VLOOKUP(M272, '2017 SIC to NAICS'!A:D, 4)</f>
        <v>Sewage Treatment Facilities</v>
      </c>
      <c r="Q272" s="176" t="str">
        <f>IFERROR(VLOOKUP(O272, 'NAICS OES crosswalk'!A:C, 3, FALSE), VLOOKUP(M272, 'NAICS OES crosswalk'!A:C, 3, FALSE))</f>
        <v>Waste handling, disposal, and treatment</v>
      </c>
      <c r="U272" s="188">
        <v>200600000205</v>
      </c>
      <c r="V272" s="11" t="s">
        <v>1024</v>
      </c>
      <c r="W272" s="11"/>
      <c r="X272" s="11">
        <v>0.99055342499999999</v>
      </c>
      <c r="Y272" s="11" t="b">
        <f t="shared" si="4"/>
        <v>0</v>
      </c>
    </row>
    <row r="273" spans="1:25" x14ac:dyDescent="0.35">
      <c r="A273" s="11">
        <v>2020</v>
      </c>
      <c r="B273" s="11" t="s">
        <v>1980</v>
      </c>
      <c r="C273" s="11" t="s">
        <v>781</v>
      </c>
      <c r="D273" s="163">
        <v>110000440416</v>
      </c>
      <c r="E273" s="11" t="s">
        <v>198</v>
      </c>
      <c r="F273" s="11" t="s">
        <v>199</v>
      </c>
      <c r="G273" s="11" t="s">
        <v>782</v>
      </c>
      <c r="H273" s="11" t="s">
        <v>129</v>
      </c>
      <c r="I273" s="11" t="s">
        <v>1982</v>
      </c>
      <c r="J273" s="11">
        <v>38.209220000000002</v>
      </c>
      <c r="K273" s="11">
        <v>-90.476910000000004</v>
      </c>
      <c r="L273" s="11">
        <v>1795</v>
      </c>
      <c r="M273" s="11">
        <v>1795</v>
      </c>
      <c r="N273" s="175" t="str">
        <f>VLOOKUP(M273, '2017 SIC to NAICS'!A:D, 2)</f>
        <v>Wrecking and Demolition Work</v>
      </c>
      <c r="P273" s="187" t="str">
        <f>VLOOKUP(M273, '2017 SIC to NAICS'!A:D, 4)</f>
        <v>Site Preparation Contractors</v>
      </c>
      <c r="Q273" s="176" t="e">
        <f>IFERROR(VLOOKUP(O273, 'NAICS OES crosswalk'!A:C, 3, FALSE), VLOOKUP(M273, 'NAICS OES crosswalk'!A:C, 3, FALSE))</f>
        <v>#N/A</v>
      </c>
      <c r="U273" s="188">
        <v>71401010802</v>
      </c>
      <c r="V273" s="11" t="s">
        <v>783</v>
      </c>
      <c r="W273" s="11"/>
      <c r="X273" s="11">
        <v>0.96301982100000005</v>
      </c>
      <c r="Y273" s="11" t="b">
        <f t="shared" si="4"/>
        <v>0</v>
      </c>
    </row>
    <row r="274" spans="1:25" ht="29" x14ac:dyDescent="0.35">
      <c r="A274" s="11">
        <v>2020</v>
      </c>
      <c r="B274" s="11" t="s">
        <v>1980</v>
      </c>
      <c r="C274" s="11" t="s">
        <v>1545</v>
      </c>
      <c r="D274" s="163">
        <v>110024409433</v>
      </c>
      <c r="E274" s="11" t="s">
        <v>295</v>
      </c>
      <c r="F274" s="11" t="s">
        <v>296</v>
      </c>
      <c r="G274" s="11" t="s">
        <v>1546</v>
      </c>
      <c r="H274" s="11" t="s">
        <v>288</v>
      </c>
      <c r="I274" s="11" t="s">
        <v>1981</v>
      </c>
      <c r="J274" s="11">
        <v>35.639485000000001</v>
      </c>
      <c r="K274" s="11">
        <v>-109.080939</v>
      </c>
      <c r="L274" s="11">
        <v>4952</v>
      </c>
      <c r="M274" s="11">
        <v>4952</v>
      </c>
      <c r="N274" s="175" t="str">
        <f>VLOOKUP(M274, '2017 SIC to NAICS'!A:D, 2)</f>
        <v>Sewerage Systems</v>
      </c>
      <c r="P274" s="187" t="str">
        <f>VLOOKUP(M274, '2017 SIC to NAICS'!A:D, 4)</f>
        <v>Sewage Treatment Facilities</v>
      </c>
      <c r="Q274" s="176" t="str">
        <f>IFERROR(VLOOKUP(O274, 'NAICS OES crosswalk'!A:C, 3, FALSE), VLOOKUP(M274, 'NAICS OES crosswalk'!A:C, 3, FALSE))</f>
        <v>Waste handling, disposal, and treatment</v>
      </c>
      <c r="U274" s="188">
        <v>150200060604</v>
      </c>
      <c r="V274" s="11" t="s">
        <v>1547</v>
      </c>
      <c r="W274" s="11"/>
      <c r="X274" s="11">
        <v>0.899316</v>
      </c>
      <c r="Y274" s="11" t="b">
        <f t="shared" si="4"/>
        <v>0</v>
      </c>
    </row>
    <row r="275" spans="1:25" x14ac:dyDescent="0.35">
      <c r="A275" s="11">
        <v>2020</v>
      </c>
      <c r="B275" s="11" t="s">
        <v>1980</v>
      </c>
      <c r="C275" s="11" t="s">
        <v>794</v>
      </c>
      <c r="D275" s="163">
        <v>110000433013</v>
      </c>
      <c r="E275" s="11" t="s">
        <v>259</v>
      </c>
      <c r="F275" s="11" t="s">
        <v>260</v>
      </c>
      <c r="G275" s="11" t="s">
        <v>795</v>
      </c>
      <c r="H275" s="11" t="s">
        <v>111</v>
      </c>
      <c r="I275" s="11" t="s">
        <v>1981</v>
      </c>
      <c r="J275" s="11">
        <v>41.412897000000001</v>
      </c>
      <c r="K275" s="11">
        <v>-88.329773000000003</v>
      </c>
      <c r="L275" s="11">
        <v>2821</v>
      </c>
      <c r="M275" s="11">
        <v>2821</v>
      </c>
      <c r="N275" s="175" t="str">
        <f>VLOOKUP(M275, '2017 SIC to NAICS'!A:D, 2)</f>
        <v>Plastics Materials and Resins</v>
      </c>
      <c r="P275" s="187" t="str">
        <f>VLOOKUP(M275, '2017 SIC to NAICS'!A:D, 4)</f>
        <v>Plastics Material and Resin Manufacturing</v>
      </c>
      <c r="Q275" s="176" t="str">
        <f>IFERROR(VLOOKUP(O275, 'NAICS OES crosswalk'!A:C, 3, FALSE), VLOOKUP(M275, 'NAICS OES crosswalk'!A:C, 3, FALSE))</f>
        <v>Processing as a reactant</v>
      </c>
      <c r="U275" s="188">
        <v>71200050106</v>
      </c>
      <c r="V275" s="11" t="s">
        <v>798</v>
      </c>
      <c r="W275" s="11"/>
      <c r="X275" s="11">
        <v>0.83082</v>
      </c>
      <c r="Y275" s="11" t="b">
        <f t="shared" si="4"/>
        <v>0</v>
      </c>
    </row>
    <row r="276" spans="1:25" x14ac:dyDescent="0.35">
      <c r="A276" s="11">
        <v>2020</v>
      </c>
      <c r="B276" s="11" t="s">
        <v>1980</v>
      </c>
      <c r="C276" s="11" t="s">
        <v>1290</v>
      </c>
      <c r="D276" s="163">
        <v>110000597426</v>
      </c>
      <c r="E276" s="11" t="s">
        <v>318</v>
      </c>
      <c r="F276" s="11" t="s">
        <v>319</v>
      </c>
      <c r="G276" s="11" t="s">
        <v>1291</v>
      </c>
      <c r="H276" s="11" t="s">
        <v>91</v>
      </c>
      <c r="I276" s="11" t="s">
        <v>1981</v>
      </c>
      <c r="J276" s="11">
        <v>30.241299999999999</v>
      </c>
      <c r="K276" s="11">
        <v>-91.100899999999996</v>
      </c>
      <c r="L276" s="11">
        <v>2819</v>
      </c>
      <c r="M276" s="11">
        <v>2819</v>
      </c>
      <c r="N276" s="175" t="str">
        <f>VLOOKUP(M276, '2017 SIC to NAICS'!A:D, 2)</f>
        <v>Industrial Inorganic Chemicals, Nec</v>
      </c>
      <c r="P276" s="187" t="str">
        <f>VLOOKUP(M276, '2017 SIC to NAICS'!A:D, 4)</f>
        <v>Alumina Refining and Primary Aluminum
Production</v>
      </c>
      <c r="Q276" s="176" t="str">
        <f>IFERROR(VLOOKUP(O276, 'NAICS OES crosswalk'!A:C, 3, FALSE), VLOOKUP(M276, 'NAICS OES crosswalk'!A:C, 3, FALSE))</f>
        <v>Processing as a reactant</v>
      </c>
      <c r="U276" s="188">
        <v>80702020801</v>
      </c>
      <c r="V276" s="11" t="s">
        <v>1292</v>
      </c>
      <c r="W276" s="11"/>
      <c r="X276" s="11">
        <v>0.82855000000000001</v>
      </c>
      <c r="Y276" s="11" t="b">
        <f t="shared" si="4"/>
        <v>0</v>
      </c>
    </row>
    <row r="277" spans="1:25" x14ac:dyDescent="0.35">
      <c r="A277" s="11">
        <v>2020</v>
      </c>
      <c r="B277" s="11" t="s">
        <v>1980</v>
      </c>
      <c r="C277" s="11" t="s">
        <v>841</v>
      </c>
      <c r="D277" s="163">
        <v>110000324391</v>
      </c>
      <c r="E277" s="11" t="s">
        <v>315</v>
      </c>
      <c r="F277" s="11" t="s">
        <v>316</v>
      </c>
      <c r="G277" s="11" t="s">
        <v>842</v>
      </c>
      <c r="H277" s="11" t="s">
        <v>126</v>
      </c>
      <c r="I277" s="11" t="s">
        <v>1981</v>
      </c>
      <c r="J277" s="11">
        <v>42.575806</v>
      </c>
      <c r="K277" s="11">
        <v>-73.859943999999999</v>
      </c>
      <c r="L277" s="11">
        <v>2821</v>
      </c>
      <c r="M277" s="11">
        <v>2821</v>
      </c>
      <c r="N277" s="175" t="str">
        <f>VLOOKUP(M277, '2017 SIC to NAICS'!A:D, 2)</f>
        <v>Plastics Materials and Resins</v>
      </c>
      <c r="P277" s="187" t="str">
        <f>VLOOKUP(M277, '2017 SIC to NAICS'!A:D, 4)</f>
        <v>Plastics Material and Resin Manufacturing</v>
      </c>
      <c r="Q277" s="176" t="str">
        <f>IFERROR(VLOOKUP(O277, 'NAICS OES crosswalk'!A:C, 3, FALSE), VLOOKUP(M277, 'NAICS OES crosswalk'!A:C, 3, FALSE))</f>
        <v>Processing as a reactant</v>
      </c>
      <c r="U277" s="188">
        <v>20200060402</v>
      </c>
      <c r="V277" s="11" t="s">
        <v>843</v>
      </c>
      <c r="W277" s="11"/>
      <c r="X277" s="11">
        <v>0.82855000000000001</v>
      </c>
      <c r="Y277" s="11" t="b">
        <f t="shared" si="4"/>
        <v>0</v>
      </c>
    </row>
    <row r="278" spans="1:25" x14ac:dyDescent="0.35">
      <c r="A278" s="11">
        <v>2020</v>
      </c>
      <c r="B278" s="11" t="s">
        <v>1980</v>
      </c>
      <c r="C278" s="11" t="s">
        <v>1709</v>
      </c>
      <c r="D278" s="163">
        <v>110060340162</v>
      </c>
      <c r="E278" s="11" t="s">
        <v>313</v>
      </c>
      <c r="F278" s="11" t="s">
        <v>314</v>
      </c>
      <c r="G278" s="11" t="s">
        <v>747</v>
      </c>
      <c r="H278" s="11" t="s">
        <v>95</v>
      </c>
      <c r="I278" s="11" t="s">
        <v>1982</v>
      </c>
      <c r="J278" s="11">
        <v>29.738610999999999</v>
      </c>
      <c r="K278" s="11">
        <v>-95.166944000000001</v>
      </c>
      <c r="L278" s="11">
        <v>2869</v>
      </c>
      <c r="M278" s="11">
        <v>2869</v>
      </c>
      <c r="N278" s="175" t="str">
        <f>VLOOKUP(M278, '2017 SIC to NAICS'!A:D, 2)</f>
        <v>Industrial Organic Chemicals, Nec</v>
      </c>
      <c r="P278" s="187" t="str">
        <f>VLOOKUP(M278, '2017 SIC to NAICS'!A:D, 4)</f>
        <v>All Other Miscellaneous Chemical Product and Preparation Manufacturing</v>
      </c>
      <c r="Q278" s="176" t="str">
        <f>IFERROR(VLOOKUP(O278, 'NAICS OES crosswalk'!A:C, 3, FALSE), VLOOKUP(M278, 'NAICS OES crosswalk'!A:C, 3, FALSE))</f>
        <v>Manufacturing</v>
      </c>
      <c r="U278" s="188">
        <v>120401040703</v>
      </c>
      <c r="V278" s="11" t="s">
        <v>1688</v>
      </c>
      <c r="W278" s="11"/>
      <c r="X278" s="11">
        <v>0.75983875000000001</v>
      </c>
      <c r="Y278" s="11" t="b">
        <f t="shared" si="4"/>
        <v>0</v>
      </c>
    </row>
    <row r="279" spans="1:25" ht="29" x14ac:dyDescent="0.35">
      <c r="A279" s="11">
        <v>2020</v>
      </c>
      <c r="B279" s="11" t="s">
        <v>1980</v>
      </c>
      <c r="C279" s="11" t="s">
        <v>1540</v>
      </c>
      <c r="D279" s="163">
        <v>110024409344</v>
      </c>
      <c r="E279" s="11" t="s">
        <v>286</v>
      </c>
      <c r="F279" s="11" t="s">
        <v>287</v>
      </c>
      <c r="G279" s="11" t="s">
        <v>1541</v>
      </c>
      <c r="H279" s="11" t="s">
        <v>288</v>
      </c>
      <c r="I279" s="11" t="s">
        <v>1981</v>
      </c>
      <c r="J279" s="11">
        <v>36.091380999999998</v>
      </c>
      <c r="K279" s="11">
        <v>-111.289585</v>
      </c>
      <c r="L279" s="11">
        <v>4952</v>
      </c>
      <c r="M279" s="11">
        <v>4952</v>
      </c>
      <c r="N279" s="175" t="str">
        <f>VLOOKUP(M279, '2017 SIC to NAICS'!A:D, 2)</f>
        <v>Sewerage Systems</v>
      </c>
      <c r="P279" s="187" t="str">
        <f>VLOOKUP(M279, '2017 SIC to NAICS'!A:D, 4)</f>
        <v>Sewage Treatment Facilities</v>
      </c>
      <c r="Q279" s="176" t="str">
        <f>IFERROR(VLOOKUP(O279, 'NAICS OES crosswalk'!A:C, 3, FALSE), VLOOKUP(M279, 'NAICS OES crosswalk'!A:C, 3, FALSE))</f>
        <v>Waste handling, disposal, and treatment</v>
      </c>
      <c r="U279" s="188">
        <v>150200181004</v>
      </c>
      <c r="V279" s="11" t="s">
        <v>1542</v>
      </c>
      <c r="W279" s="11"/>
      <c r="X279" s="11">
        <v>0.75772671999999996</v>
      </c>
      <c r="Y279" s="11" t="b">
        <f t="shared" si="4"/>
        <v>0</v>
      </c>
    </row>
    <row r="280" spans="1:25" x14ac:dyDescent="0.35">
      <c r="A280" s="11">
        <v>2020</v>
      </c>
      <c r="B280" s="11" t="s">
        <v>1980</v>
      </c>
      <c r="C280" s="11" t="s">
        <v>837</v>
      </c>
      <c r="D280" s="163">
        <v>110011779147</v>
      </c>
      <c r="E280" s="11" t="s">
        <v>172</v>
      </c>
      <c r="F280" s="11" t="s">
        <v>173</v>
      </c>
      <c r="G280" s="11" t="s">
        <v>838</v>
      </c>
      <c r="H280" s="11" t="s">
        <v>126</v>
      </c>
      <c r="I280" s="11" t="s">
        <v>1982</v>
      </c>
      <c r="J280" s="11">
        <v>43.075907999999998</v>
      </c>
      <c r="K280" s="11">
        <v>-76.089072000000002</v>
      </c>
      <c r="L280" s="11">
        <v>3585</v>
      </c>
      <c r="M280" s="11">
        <v>3585</v>
      </c>
      <c r="N280" s="175" t="str">
        <f>VLOOKUP(M280, '2017 SIC to NAICS'!A:D, 2)</f>
        <v>Refrigeration and Heating Equipment</v>
      </c>
      <c r="P280" s="187" t="str">
        <f>VLOOKUP(M280, '2017 SIC to NAICS'!A:D, 4)</f>
        <v>Other Motor Vehicle Parts Manufacturing</v>
      </c>
      <c r="Q280" s="176" t="e">
        <f>IFERROR(VLOOKUP(O280, 'NAICS OES crosswalk'!A:C, 3, FALSE), VLOOKUP(M280, 'NAICS OES crosswalk'!A:C, 3, FALSE))</f>
        <v>#N/A</v>
      </c>
      <c r="U280" s="188">
        <v>41402011508</v>
      </c>
      <c r="V280" s="11" t="s">
        <v>839</v>
      </c>
      <c r="W280" s="11"/>
      <c r="X280" s="11">
        <v>0.75537244999999997</v>
      </c>
      <c r="Y280" s="11" t="b">
        <f t="shared" si="4"/>
        <v>0</v>
      </c>
    </row>
    <row r="281" spans="1:25" x14ac:dyDescent="0.35">
      <c r="A281" s="11">
        <v>2020</v>
      </c>
      <c r="B281" s="11" t="s">
        <v>1980</v>
      </c>
      <c r="C281" s="11" t="s">
        <v>1071</v>
      </c>
      <c r="D281" s="163">
        <v>110000747835</v>
      </c>
      <c r="E281" s="11" t="s">
        <v>312</v>
      </c>
      <c r="F281" s="11" t="s">
        <v>115</v>
      </c>
      <c r="G281" s="11" t="s">
        <v>1072</v>
      </c>
      <c r="H281" s="11" t="s">
        <v>108</v>
      </c>
      <c r="I281" s="11" t="s">
        <v>1981</v>
      </c>
      <c r="J281" s="11">
        <v>37.8125</v>
      </c>
      <c r="K281" s="11">
        <v>-87.05</v>
      </c>
      <c r="L281" s="11">
        <v>2821</v>
      </c>
      <c r="M281" s="11">
        <v>2821</v>
      </c>
      <c r="N281" s="175" t="str">
        <f>VLOOKUP(M281, '2017 SIC to NAICS'!A:D, 2)</f>
        <v>Plastics Materials and Resins</v>
      </c>
      <c r="O281" s="11">
        <v>325211</v>
      </c>
      <c r="P281" s="187" t="str">
        <f>VLOOKUP(M281, '2017 SIC to NAICS'!A:D, 4)</f>
        <v>Plastics Material and Resin Manufacturing</v>
      </c>
      <c r="Q281" s="176" t="str">
        <f>IFERROR(VLOOKUP(O281, 'NAICS OES crosswalk'!A:C, 3, FALSE), VLOOKUP(M281, 'NAICS OES crosswalk'!A:C, 3, FALSE))</f>
        <v>Processing as a reactant</v>
      </c>
      <c r="U281" s="188">
        <v>51402011202</v>
      </c>
      <c r="V281" s="11" t="s">
        <v>1073</v>
      </c>
      <c r="W281" s="11"/>
      <c r="X281" s="11">
        <v>0.67941099999999999</v>
      </c>
      <c r="Y281" s="11" t="b">
        <f t="shared" si="4"/>
        <v>0</v>
      </c>
    </row>
    <row r="282" spans="1:25" ht="29" x14ac:dyDescent="0.35">
      <c r="A282" s="11">
        <v>2020</v>
      </c>
      <c r="B282" s="11" t="s">
        <v>1980</v>
      </c>
      <c r="C282" s="11" t="s">
        <v>1091</v>
      </c>
      <c r="D282" s="163">
        <v>110000736730</v>
      </c>
      <c r="E282" s="11" t="s">
        <v>277</v>
      </c>
      <c r="F282" s="11" t="s">
        <v>278</v>
      </c>
      <c r="G282" s="11" t="s">
        <v>1092</v>
      </c>
      <c r="H282" s="11" t="s">
        <v>108</v>
      </c>
      <c r="I282" s="11" t="s">
        <v>1981</v>
      </c>
      <c r="J282" s="11">
        <v>36.856732000000001</v>
      </c>
      <c r="K282" s="11">
        <v>-86.889048000000003</v>
      </c>
      <c r="L282" s="11">
        <v>4952</v>
      </c>
      <c r="M282" s="11">
        <v>4952</v>
      </c>
      <c r="N282" s="175" t="str">
        <f>VLOOKUP(M282, '2017 SIC to NAICS'!A:D, 2)</f>
        <v>Sewerage Systems</v>
      </c>
      <c r="O282" s="11">
        <v>221320</v>
      </c>
      <c r="P282" s="187" t="str">
        <f>VLOOKUP(M282, '2017 SIC to NAICS'!A:D, 4)</f>
        <v>Sewage Treatment Facilities</v>
      </c>
      <c r="Q282" s="176" t="str">
        <f>IFERROR(VLOOKUP(O282, 'NAICS OES crosswalk'!A:C, 3, FALSE), VLOOKUP(M282, 'NAICS OES crosswalk'!A:C, 3, FALSE))</f>
        <v>Waste handling, disposal, and treatment</v>
      </c>
      <c r="U282" s="188">
        <v>51100030204</v>
      </c>
      <c r="V282" s="11" t="s">
        <v>1093</v>
      </c>
      <c r="W282" s="11"/>
      <c r="X282" s="11">
        <v>0.6762564875</v>
      </c>
      <c r="Y282" s="11" t="b">
        <f t="shared" si="4"/>
        <v>0</v>
      </c>
    </row>
    <row r="283" spans="1:25" x14ac:dyDescent="0.35">
      <c r="A283" s="11">
        <v>2020</v>
      </c>
      <c r="B283" s="11" t="s">
        <v>1980</v>
      </c>
      <c r="C283" s="11" t="s">
        <v>1151</v>
      </c>
      <c r="D283" s="163">
        <v>110006749162</v>
      </c>
      <c r="E283" s="11" t="s">
        <v>344</v>
      </c>
      <c r="F283" s="11" t="s">
        <v>345</v>
      </c>
      <c r="G283" s="11" t="s">
        <v>1152</v>
      </c>
      <c r="H283" s="11" t="s">
        <v>108</v>
      </c>
      <c r="I283" s="11" t="s">
        <v>1981</v>
      </c>
      <c r="J283" s="11">
        <v>37.700833000000003</v>
      </c>
      <c r="K283" s="11">
        <v>-83.984443999999996</v>
      </c>
      <c r="L283" s="11">
        <v>8711</v>
      </c>
      <c r="M283" s="11">
        <v>8711</v>
      </c>
      <c r="N283" s="175" t="str">
        <f>VLOOKUP(M283, '2017 SIC to NAICS'!A:D, 2)</f>
        <v>Engineering Services</v>
      </c>
      <c r="O283" s="11">
        <v>541330</v>
      </c>
      <c r="P283" s="187" t="str">
        <f>VLOOKUP(M283, '2017 SIC to NAICS'!A:D, 4)</f>
        <v>Engineering Services</v>
      </c>
      <c r="Q283" s="176" t="e">
        <f>IFERROR(VLOOKUP(O283, 'NAICS OES crosswalk'!A:C, 3, FALSE), VLOOKUP(M283, 'NAICS OES crosswalk'!A:C, 3, FALSE))</f>
        <v>#N/A</v>
      </c>
      <c r="U283" s="188">
        <v>51002040505</v>
      </c>
      <c r="V283" s="11" t="s">
        <v>1153</v>
      </c>
      <c r="W283" s="11"/>
      <c r="X283" s="11">
        <v>0.63481073750000006</v>
      </c>
      <c r="Y283" s="11" t="b">
        <f t="shared" si="4"/>
        <v>0</v>
      </c>
    </row>
    <row r="284" spans="1:25" x14ac:dyDescent="0.35">
      <c r="A284" s="11">
        <v>2020</v>
      </c>
      <c r="B284" s="11" t="s">
        <v>1980</v>
      </c>
      <c r="C284" s="11" t="s">
        <v>804</v>
      </c>
      <c r="D284" s="163">
        <v>110000378467</v>
      </c>
      <c r="E284" s="11" t="s">
        <v>306</v>
      </c>
      <c r="F284" s="11" t="s">
        <v>107</v>
      </c>
      <c r="G284" s="11" t="s">
        <v>782</v>
      </c>
      <c r="H284" s="11" t="s">
        <v>108</v>
      </c>
      <c r="I284" s="11" t="s">
        <v>1981</v>
      </c>
      <c r="J284" s="11">
        <v>38.195278000000002</v>
      </c>
      <c r="K284" s="11">
        <v>-85.872221999999994</v>
      </c>
      <c r="L284" s="11">
        <v>2869</v>
      </c>
      <c r="M284" s="11">
        <v>2869</v>
      </c>
      <c r="N284" s="175" t="str">
        <f>VLOOKUP(M284, '2017 SIC to NAICS'!A:D, 2)</f>
        <v>Industrial Organic Chemicals, Nec</v>
      </c>
      <c r="O284" s="11">
        <v>325110</v>
      </c>
      <c r="P284" s="187" t="str">
        <f>VLOOKUP(M284, '2017 SIC to NAICS'!A:D, 4)</f>
        <v>All Other Miscellaneous Chemical Product and Preparation Manufacturing</v>
      </c>
      <c r="Q284" s="176" t="str">
        <f>IFERROR(VLOOKUP(O284, 'NAICS OES crosswalk'!A:C, 3, FALSE), VLOOKUP(M284, 'NAICS OES crosswalk'!A:C, 3, FALSE))</f>
        <v>Processing as a reactant</v>
      </c>
      <c r="U284" s="188">
        <v>51401010903</v>
      </c>
      <c r="V284" s="11" t="s">
        <v>805</v>
      </c>
      <c r="W284" s="11"/>
      <c r="X284" s="11">
        <v>0.57998499999999997</v>
      </c>
      <c r="Y284" s="11" t="b">
        <f t="shared" si="4"/>
        <v>0</v>
      </c>
    </row>
    <row r="285" spans="1:25" x14ac:dyDescent="0.35">
      <c r="A285" s="11">
        <v>2020</v>
      </c>
      <c r="B285" s="11" t="s">
        <v>1980</v>
      </c>
      <c r="C285" s="11" t="s">
        <v>1032</v>
      </c>
      <c r="D285" s="163">
        <v>110000432504</v>
      </c>
      <c r="E285" s="11" t="s">
        <v>351</v>
      </c>
      <c r="F285" s="11" t="s">
        <v>352</v>
      </c>
      <c r="G285" s="11" t="s">
        <v>1033</v>
      </c>
      <c r="H285" s="11" t="s">
        <v>111</v>
      </c>
      <c r="I285" s="11" t="s">
        <v>1981</v>
      </c>
      <c r="J285" s="11">
        <v>41.441667000000002</v>
      </c>
      <c r="K285" s="11">
        <v>-88.159719999999993</v>
      </c>
      <c r="L285" s="11">
        <v>2843</v>
      </c>
      <c r="M285" s="11">
        <v>2843</v>
      </c>
      <c r="N285" s="175" t="str">
        <f>VLOOKUP(M285, '2017 SIC to NAICS'!A:D, 2)</f>
        <v>Surface Active Agents</v>
      </c>
      <c r="P285" s="187" t="str">
        <f>VLOOKUP(M285, '2017 SIC to NAICS'!A:D, 4)</f>
        <v>Surface Active Agent Manufacturing</v>
      </c>
      <c r="Q285" s="176" t="str">
        <f>IFERROR(VLOOKUP(O285, 'NAICS OES crosswalk'!A:C, 3, FALSE), VLOOKUP(M285, 'NAICS OES crosswalk'!A:C, 3, FALSE))</f>
        <v>Processing as a reactant</v>
      </c>
      <c r="U285" s="188">
        <v>71200040905</v>
      </c>
      <c r="V285" s="11" t="s">
        <v>1036</v>
      </c>
      <c r="W285" s="11"/>
      <c r="X285" s="11">
        <v>0.57930400000000004</v>
      </c>
      <c r="Y285" s="11" t="b">
        <f t="shared" ref="Y285:Y348" si="5" xml:space="preserve"> X285 &lt;= _xlfn.PERCENTILE.INC($X$219:$X$458, 0.1)</f>
        <v>0</v>
      </c>
    </row>
    <row r="286" spans="1:25" ht="29" x14ac:dyDescent="0.35">
      <c r="A286" s="11">
        <v>2020</v>
      </c>
      <c r="B286" s="11" t="s">
        <v>1980</v>
      </c>
      <c r="C286" s="11" t="s">
        <v>1203</v>
      </c>
      <c r="D286" s="163">
        <v>110000719045</v>
      </c>
      <c r="E286" s="11" t="s">
        <v>332</v>
      </c>
      <c r="F286" s="11" t="s">
        <v>333</v>
      </c>
      <c r="G286" s="11" t="s">
        <v>1204</v>
      </c>
      <c r="H286" s="11" t="s">
        <v>108</v>
      </c>
      <c r="I286" s="11" t="s">
        <v>1981</v>
      </c>
      <c r="J286" s="11">
        <v>36.946111000000002</v>
      </c>
      <c r="K286" s="11">
        <v>-85.020832999999996</v>
      </c>
      <c r="L286" s="11">
        <v>4952</v>
      </c>
      <c r="M286" s="11">
        <v>4952</v>
      </c>
      <c r="N286" s="175" t="str">
        <f>VLOOKUP(M286, '2017 SIC to NAICS'!A:D, 2)</f>
        <v>Sewerage Systems</v>
      </c>
      <c r="O286" s="11">
        <v>221320</v>
      </c>
      <c r="P286" s="187" t="str">
        <f>VLOOKUP(M286, '2017 SIC to NAICS'!A:D, 4)</f>
        <v>Sewage Treatment Facilities</v>
      </c>
      <c r="Q286" s="176" t="str">
        <f>IFERROR(VLOOKUP(O286, 'NAICS OES crosswalk'!A:C, 3, FALSE), VLOOKUP(M286, 'NAICS OES crosswalk'!A:C, 3, FALSE))</f>
        <v>Waste handling, disposal, and treatment</v>
      </c>
      <c r="U286" s="188">
        <v>51301030602</v>
      </c>
      <c r="V286" s="11" t="s">
        <v>1205</v>
      </c>
      <c r="W286" s="11"/>
      <c r="X286" s="11">
        <v>0.5353409375</v>
      </c>
      <c r="Y286" s="11" t="b">
        <f t="shared" si="5"/>
        <v>0</v>
      </c>
    </row>
    <row r="287" spans="1:25" ht="29" x14ac:dyDescent="0.35">
      <c r="A287" s="11">
        <v>2020</v>
      </c>
      <c r="B287" s="11" t="s">
        <v>1980</v>
      </c>
      <c r="C287" s="11" t="s">
        <v>770</v>
      </c>
      <c r="D287" s="163">
        <v>110000613685</v>
      </c>
      <c r="E287" s="11" t="s">
        <v>355</v>
      </c>
      <c r="F287" s="11" t="s">
        <v>90</v>
      </c>
      <c r="G287" s="11" t="s">
        <v>771</v>
      </c>
      <c r="H287" s="11" t="s">
        <v>91</v>
      </c>
      <c r="I287" s="11" t="s">
        <v>1982</v>
      </c>
      <c r="J287" s="11">
        <v>30.321895000000001</v>
      </c>
      <c r="K287" s="11">
        <v>-93.300735000000003</v>
      </c>
      <c r="L287" s="11">
        <v>4953</v>
      </c>
      <c r="M287" s="11">
        <v>4953</v>
      </c>
      <c r="N287" s="175" t="str">
        <f>VLOOKUP(M287, '2017 SIC to NAICS'!A:D, 2)</f>
        <v>Refuse Systems</v>
      </c>
      <c r="P287" s="187" t="str">
        <f>VLOOKUP(M287, '2017 SIC to NAICS'!A:D, 4)</f>
        <v>Materials Recovery Facilities</v>
      </c>
      <c r="Q287" s="176" t="str">
        <f>IFERROR(VLOOKUP(O287, 'NAICS OES crosswalk'!A:C, 3, FALSE), VLOOKUP(M287, 'NAICS OES crosswalk'!A:C, 3, FALSE))</f>
        <v>Waste handling, disposal, and treatment</v>
      </c>
      <c r="U287" s="188">
        <v>80802050501</v>
      </c>
      <c r="V287" s="11" t="s">
        <v>772</v>
      </c>
      <c r="W287" s="11"/>
      <c r="X287" s="11">
        <v>0.52152568749999995</v>
      </c>
      <c r="Y287" s="11" t="b">
        <f t="shared" si="5"/>
        <v>0</v>
      </c>
    </row>
    <row r="288" spans="1:25" ht="29" x14ac:dyDescent="0.35">
      <c r="A288" s="11">
        <v>2020</v>
      </c>
      <c r="B288" s="11" t="s">
        <v>1980</v>
      </c>
      <c r="C288" s="11" t="s">
        <v>1585</v>
      </c>
      <c r="D288" s="163">
        <v>110009827143</v>
      </c>
      <c r="E288" s="11" t="s">
        <v>310</v>
      </c>
      <c r="F288" s="11" t="s">
        <v>311</v>
      </c>
      <c r="G288" s="11" t="s">
        <v>311</v>
      </c>
      <c r="H288" s="11" t="s">
        <v>126</v>
      </c>
      <c r="I288" s="11" t="s">
        <v>1982</v>
      </c>
      <c r="J288" s="11">
        <v>42.593527999999999</v>
      </c>
      <c r="K288" s="11">
        <v>-76.155360999999999</v>
      </c>
      <c r="L288" s="11">
        <v>9999</v>
      </c>
      <c r="M288" s="11">
        <v>9999</v>
      </c>
      <c r="N288" s="175" t="str">
        <f>VLOOKUP(M288, '2017 SIC to NAICS'!A:D, 2)</f>
        <v>Nonclassifiable Establishments</v>
      </c>
      <c r="P288" s="187">
        <f>VLOOKUP(M288, '2017 SIC to NAICS'!A:D, 4)</f>
        <v>0</v>
      </c>
      <c r="Q288" s="176" t="str">
        <f>IFERROR(VLOOKUP(O288, 'NAICS OES crosswalk'!A:C, 3, FALSE), VLOOKUP(M288, 'NAICS OES crosswalk'!A:C, 3, FALSE))</f>
        <v>Uncertain, possibly a remediation site</v>
      </c>
      <c r="U288" s="188">
        <v>20501020403</v>
      </c>
      <c r="V288" s="11" t="s">
        <v>1586</v>
      </c>
      <c r="W288" s="11"/>
      <c r="X288" s="11">
        <v>0.50757200000000002</v>
      </c>
      <c r="Y288" s="11" t="b">
        <f t="shared" si="5"/>
        <v>0</v>
      </c>
    </row>
    <row r="289" spans="1:25" ht="29" x14ac:dyDescent="0.35">
      <c r="A289" s="11">
        <v>2020</v>
      </c>
      <c r="B289" s="11" t="s">
        <v>1980</v>
      </c>
      <c r="C289" s="11" t="s">
        <v>918</v>
      </c>
      <c r="D289" s="163">
        <v>110013848453</v>
      </c>
      <c r="E289" s="11" t="s">
        <v>239</v>
      </c>
      <c r="F289" s="11" t="s">
        <v>240</v>
      </c>
      <c r="G289" s="11" t="s">
        <v>240</v>
      </c>
      <c r="H289" s="11" t="s">
        <v>102</v>
      </c>
      <c r="I289" s="11" t="s">
        <v>1981</v>
      </c>
      <c r="J289" s="11">
        <v>36.963245999999998</v>
      </c>
      <c r="K289" s="11">
        <v>-122.034009</v>
      </c>
      <c r="L289" s="11">
        <v>4952</v>
      </c>
      <c r="M289" s="11">
        <v>4952</v>
      </c>
      <c r="N289" s="175" t="str">
        <f>VLOOKUP(M289, '2017 SIC to NAICS'!A:D, 2)</f>
        <v>Sewerage Systems</v>
      </c>
      <c r="P289" s="187" t="str">
        <f>VLOOKUP(M289, '2017 SIC to NAICS'!A:D, 4)</f>
        <v>Sewage Treatment Facilities</v>
      </c>
      <c r="Q289" s="176" t="str">
        <f>IFERROR(VLOOKUP(O289, 'NAICS OES crosswalk'!A:C, 3, FALSE), VLOOKUP(M289, 'NAICS OES crosswalk'!A:C, 3, FALSE))</f>
        <v>Waste handling, disposal, and treatment</v>
      </c>
      <c r="U289" s="188">
        <v>180600150305</v>
      </c>
      <c r="V289" s="11" t="s">
        <v>919</v>
      </c>
      <c r="W289" s="11"/>
      <c r="X289" s="11">
        <v>0.50034673892500003</v>
      </c>
      <c r="Y289" s="11" t="b">
        <f t="shared" si="5"/>
        <v>0</v>
      </c>
    </row>
    <row r="290" spans="1:25" ht="29" x14ac:dyDescent="0.35">
      <c r="A290" s="11">
        <v>2020</v>
      </c>
      <c r="B290" s="11" t="s">
        <v>1980</v>
      </c>
      <c r="C290" s="11" t="s">
        <v>1147</v>
      </c>
      <c r="D290" s="163">
        <v>110006367136</v>
      </c>
      <c r="E290" s="11" t="s">
        <v>320</v>
      </c>
      <c r="F290" s="11" t="s">
        <v>321</v>
      </c>
      <c r="G290" s="11" t="s">
        <v>1148</v>
      </c>
      <c r="H290" s="11" t="s">
        <v>108</v>
      </c>
      <c r="I290" s="11" t="s">
        <v>1981</v>
      </c>
      <c r="J290" s="11">
        <v>37.021974</v>
      </c>
      <c r="K290" s="11">
        <v>-88.512833000000001</v>
      </c>
      <c r="L290" s="11">
        <v>4952</v>
      </c>
      <c r="M290" s="11">
        <v>4952</v>
      </c>
      <c r="N290" s="175" t="str">
        <f>VLOOKUP(M290, '2017 SIC to NAICS'!A:D, 2)</f>
        <v>Sewerage Systems</v>
      </c>
      <c r="O290" s="11">
        <v>221320</v>
      </c>
      <c r="P290" s="187" t="str">
        <f>VLOOKUP(M290, '2017 SIC to NAICS'!A:D, 4)</f>
        <v>Sewage Treatment Facilities</v>
      </c>
      <c r="Q290" s="176" t="str">
        <f>IFERROR(VLOOKUP(O290, 'NAICS OES crosswalk'!A:C, 3, FALSE), VLOOKUP(M290, 'NAICS OES crosswalk'!A:C, 3, FALSE))</f>
        <v>Waste handling, disposal, and treatment</v>
      </c>
      <c r="U290" s="188">
        <v>60400060505</v>
      </c>
      <c r="V290" s="11" t="s">
        <v>1149</v>
      </c>
      <c r="W290" s="11"/>
      <c r="X290" s="11">
        <v>0.49734899999999999</v>
      </c>
      <c r="Y290" s="11" t="b">
        <f t="shared" si="5"/>
        <v>0</v>
      </c>
    </row>
    <row r="291" spans="1:25" x14ac:dyDescent="0.35">
      <c r="A291" s="11">
        <v>2020</v>
      </c>
      <c r="B291" s="11" t="s">
        <v>1980</v>
      </c>
      <c r="C291" s="11" t="s">
        <v>1619</v>
      </c>
      <c r="D291" s="163">
        <v>110059344473</v>
      </c>
      <c r="E291" s="11" t="s">
        <v>338</v>
      </c>
      <c r="F291" s="11" t="s">
        <v>339</v>
      </c>
      <c r="G291" s="11" t="s">
        <v>1616</v>
      </c>
      <c r="H291" s="11" t="s">
        <v>340</v>
      </c>
      <c r="I291" s="11" t="s">
        <v>1981</v>
      </c>
      <c r="J291" s="11">
        <v>40.655278000000003</v>
      </c>
      <c r="K291" s="11">
        <v>-80.356388999999993</v>
      </c>
      <c r="L291" s="11">
        <v>2821</v>
      </c>
      <c r="M291" s="11">
        <v>2821</v>
      </c>
      <c r="N291" s="175" t="str">
        <f>VLOOKUP(M291, '2017 SIC to NAICS'!A:D, 2)</f>
        <v>Plastics Materials and Resins</v>
      </c>
      <c r="O291" s="11">
        <v>325211</v>
      </c>
      <c r="P291" s="187" t="str">
        <f>VLOOKUP(M291, '2017 SIC to NAICS'!A:D, 4)</f>
        <v>Plastics Material and Resin Manufacturing</v>
      </c>
      <c r="Q291" s="176" t="str">
        <f>IFERROR(VLOOKUP(O291, 'NAICS OES crosswalk'!A:C, 3, FALSE), VLOOKUP(M291, 'NAICS OES crosswalk'!A:C, 3, FALSE))</f>
        <v>Processing as a reactant</v>
      </c>
      <c r="U291" s="188">
        <v>50301010310</v>
      </c>
      <c r="V291" s="11" t="s">
        <v>1617</v>
      </c>
      <c r="W291" s="11"/>
      <c r="X291" s="11">
        <v>0.49713000000000002</v>
      </c>
      <c r="Y291" s="11" t="b">
        <f t="shared" si="5"/>
        <v>0</v>
      </c>
    </row>
    <row r="292" spans="1:25" x14ac:dyDescent="0.35">
      <c r="A292" s="11">
        <v>2020</v>
      </c>
      <c r="B292" s="11" t="s">
        <v>1980</v>
      </c>
      <c r="C292" s="11" t="s">
        <v>804</v>
      </c>
      <c r="D292" s="163">
        <v>110000378467</v>
      </c>
      <c r="E292" s="11" t="s">
        <v>306</v>
      </c>
      <c r="F292" s="11" t="s">
        <v>107</v>
      </c>
      <c r="G292" s="11" t="s">
        <v>782</v>
      </c>
      <c r="H292" s="11" t="s">
        <v>108</v>
      </c>
      <c r="I292" s="11" t="s">
        <v>1981</v>
      </c>
      <c r="J292" s="11">
        <v>38.195278000000002</v>
      </c>
      <c r="K292" s="11">
        <v>-85.872221999999994</v>
      </c>
      <c r="L292" s="11">
        <v>2869</v>
      </c>
      <c r="M292" s="11">
        <v>2869</v>
      </c>
      <c r="N292" s="175" t="str">
        <f>VLOOKUP(M292, '2017 SIC to NAICS'!A:D, 2)</f>
        <v>Industrial Organic Chemicals, Nec</v>
      </c>
      <c r="O292" s="11">
        <v>325110</v>
      </c>
      <c r="P292" s="187" t="str">
        <f>VLOOKUP(M292, '2017 SIC to NAICS'!A:D, 4)</f>
        <v>All Other Miscellaneous Chemical Product and Preparation Manufacturing</v>
      </c>
      <c r="Q292" s="176" t="str">
        <f>IFERROR(VLOOKUP(O292, 'NAICS OES crosswalk'!A:C, 3, FALSE), VLOOKUP(M292, 'NAICS OES crosswalk'!A:C, 3, FALSE))</f>
        <v>Processing as a reactant</v>
      </c>
      <c r="U292" s="188">
        <v>51401010903</v>
      </c>
      <c r="V292" s="11" t="s">
        <v>805</v>
      </c>
      <c r="W292" s="11"/>
      <c r="X292" s="11">
        <v>0.49031999999999998</v>
      </c>
      <c r="Y292" s="11" t="b">
        <f t="shared" si="5"/>
        <v>0</v>
      </c>
    </row>
    <row r="293" spans="1:25" x14ac:dyDescent="0.35">
      <c r="A293" s="11">
        <v>2020</v>
      </c>
      <c r="B293" s="11" t="s">
        <v>1980</v>
      </c>
      <c r="C293" s="11" t="s">
        <v>1284</v>
      </c>
      <c r="D293" s="163">
        <v>110000494894</v>
      </c>
      <c r="E293" s="11" t="s">
        <v>89</v>
      </c>
      <c r="F293" s="11" t="s">
        <v>90</v>
      </c>
      <c r="G293" s="11" t="s">
        <v>771</v>
      </c>
      <c r="H293" s="11" t="s">
        <v>91</v>
      </c>
      <c r="I293" s="11" t="s">
        <v>1981</v>
      </c>
      <c r="J293" s="11">
        <v>30.223500000000001</v>
      </c>
      <c r="K293" s="11">
        <v>-93.286900000000003</v>
      </c>
      <c r="L293" s="11">
        <v>2869</v>
      </c>
      <c r="M293" s="11">
        <v>2869</v>
      </c>
      <c r="N293" s="175" t="str">
        <f>VLOOKUP(M293, '2017 SIC to NAICS'!A:D, 2)</f>
        <v>Industrial Organic Chemicals, Nec</v>
      </c>
      <c r="P293" s="187" t="str">
        <f>VLOOKUP(M293, '2017 SIC to NAICS'!A:D, 4)</f>
        <v>All Other Miscellaneous Chemical Product and Preparation Manufacturing</v>
      </c>
      <c r="Q293" s="176" t="str">
        <f>IFERROR(VLOOKUP(O293, 'NAICS OES crosswalk'!A:C, 3, FALSE), VLOOKUP(M293, 'NAICS OES crosswalk'!A:C, 3, FALSE))</f>
        <v>Manufacturing</v>
      </c>
      <c r="U293" s="188">
        <v>80802060301</v>
      </c>
      <c r="V293" s="11" t="s">
        <v>1286</v>
      </c>
      <c r="W293" s="11"/>
      <c r="X293" s="11">
        <v>0.46269354000000001</v>
      </c>
      <c r="Y293" s="11" t="b">
        <f t="shared" si="5"/>
        <v>0</v>
      </c>
    </row>
    <row r="294" spans="1:25" x14ac:dyDescent="0.35">
      <c r="A294" s="11">
        <v>2020</v>
      </c>
      <c r="B294" s="11" t="s">
        <v>1980</v>
      </c>
      <c r="C294" s="11" t="s">
        <v>1463</v>
      </c>
      <c r="D294" s="163">
        <v>110000595981</v>
      </c>
      <c r="E294" s="11" t="s">
        <v>217</v>
      </c>
      <c r="F294" s="11" t="s">
        <v>218</v>
      </c>
      <c r="G294" s="11" t="s">
        <v>1464</v>
      </c>
      <c r="H294" s="11" t="s">
        <v>129</v>
      </c>
      <c r="I294" s="11" t="s">
        <v>1982</v>
      </c>
      <c r="J294" s="11">
        <v>39.662540999999997</v>
      </c>
      <c r="K294" s="11">
        <v>-91.301670000000001</v>
      </c>
      <c r="L294" s="11">
        <v>3241</v>
      </c>
      <c r="M294" s="11">
        <v>3241</v>
      </c>
      <c r="N294" s="175" t="str">
        <f>VLOOKUP(M294, '2017 SIC to NAICS'!A:D, 2)</f>
        <v>Cement, Hydraulic</v>
      </c>
      <c r="P294" s="187" t="str">
        <f>VLOOKUP(M294, '2017 SIC to NAICS'!A:D, 4)</f>
        <v>Cement Manufacturing</v>
      </c>
      <c r="Q294" s="176" t="e">
        <f>IFERROR(VLOOKUP(O294, 'NAICS OES crosswalk'!A:C, 3, FALSE), VLOOKUP(M294, 'NAICS OES crosswalk'!A:C, 3, FALSE))</f>
        <v>#N/A</v>
      </c>
      <c r="U294" s="188">
        <v>71100040504</v>
      </c>
      <c r="V294" s="11" t="s">
        <v>1465</v>
      </c>
      <c r="W294" s="11"/>
      <c r="X294" s="11">
        <v>0.41445749999999998</v>
      </c>
      <c r="Y294" s="11" t="b">
        <f t="shared" si="5"/>
        <v>0</v>
      </c>
    </row>
    <row r="295" spans="1:25" x14ac:dyDescent="0.35">
      <c r="A295" s="11">
        <v>2020</v>
      </c>
      <c r="B295" s="11" t="s">
        <v>1980</v>
      </c>
      <c r="C295" s="11" t="s">
        <v>1308</v>
      </c>
      <c r="D295" s="163">
        <v>110056972432</v>
      </c>
      <c r="E295" s="11" t="s">
        <v>364</v>
      </c>
      <c r="F295" s="11" t="s">
        <v>319</v>
      </c>
      <c r="G295" s="11" t="s">
        <v>1291</v>
      </c>
      <c r="H295" s="11" t="s">
        <v>91</v>
      </c>
      <c r="I295" s="11" t="s">
        <v>1981</v>
      </c>
      <c r="J295" s="11">
        <v>30.250833</v>
      </c>
      <c r="K295" s="11">
        <v>-91.092277999999993</v>
      </c>
      <c r="L295" s="11">
        <v>2869</v>
      </c>
      <c r="M295" s="11">
        <v>2869</v>
      </c>
      <c r="N295" s="175" t="str">
        <f>VLOOKUP(M295, '2017 SIC to NAICS'!A:D, 2)</f>
        <v>Industrial Organic Chemicals, Nec</v>
      </c>
      <c r="P295" s="187" t="str">
        <f>VLOOKUP(M295, '2017 SIC to NAICS'!A:D, 4)</f>
        <v>All Other Miscellaneous Chemical Product and Preparation Manufacturing</v>
      </c>
      <c r="Q295" s="176" t="str">
        <f>IFERROR(VLOOKUP(O295, 'NAICS OES crosswalk'!A:C, 3, FALSE), VLOOKUP(M295, 'NAICS OES crosswalk'!A:C, 3, FALSE))</f>
        <v>Manufacturing</v>
      </c>
      <c r="U295" s="188">
        <v>80702020801</v>
      </c>
      <c r="V295" s="11" t="s">
        <v>1292</v>
      </c>
      <c r="W295" s="11"/>
      <c r="X295" s="11">
        <v>0.414275</v>
      </c>
      <c r="Y295" s="11" t="b">
        <f t="shared" si="5"/>
        <v>0</v>
      </c>
    </row>
    <row r="296" spans="1:25" x14ac:dyDescent="0.35">
      <c r="A296" s="11">
        <v>2020</v>
      </c>
      <c r="B296" s="11" t="s">
        <v>1980</v>
      </c>
      <c r="C296" s="11" t="s">
        <v>1289</v>
      </c>
      <c r="D296" s="163">
        <v>110000597266</v>
      </c>
      <c r="E296" s="11" t="s">
        <v>317</v>
      </c>
      <c r="F296" s="11" t="s">
        <v>90</v>
      </c>
      <c r="G296" s="11" t="s">
        <v>771</v>
      </c>
      <c r="H296" s="11" t="s">
        <v>91</v>
      </c>
      <c r="I296" s="11" t="s">
        <v>1981</v>
      </c>
      <c r="J296" s="11">
        <v>30.193916000000002</v>
      </c>
      <c r="K296" s="11">
        <v>-93.321347000000003</v>
      </c>
      <c r="L296" s="11">
        <v>2821</v>
      </c>
      <c r="M296" s="11">
        <v>2821</v>
      </c>
      <c r="N296" s="175" t="str">
        <f>VLOOKUP(M296, '2017 SIC to NAICS'!A:D, 2)</f>
        <v>Plastics Materials and Resins</v>
      </c>
      <c r="P296" s="187" t="str">
        <f>VLOOKUP(M296, '2017 SIC to NAICS'!A:D, 4)</f>
        <v>Plastics Material and Resin Manufacturing</v>
      </c>
      <c r="Q296" s="176" t="str">
        <f>IFERROR(VLOOKUP(O296, 'NAICS OES crosswalk'!A:C, 3, FALSE), VLOOKUP(M296, 'NAICS OES crosswalk'!A:C, 3, FALSE))</f>
        <v>Processing as a reactant</v>
      </c>
      <c r="U296" s="188">
        <v>80802060301</v>
      </c>
      <c r="V296" s="11" t="s">
        <v>1286</v>
      </c>
      <c r="W296" s="11"/>
      <c r="X296" s="11">
        <v>0.414275</v>
      </c>
      <c r="Y296" s="11" t="b">
        <f t="shared" si="5"/>
        <v>0</v>
      </c>
    </row>
    <row r="297" spans="1:25" ht="29" x14ac:dyDescent="0.35">
      <c r="A297" s="11">
        <v>2020</v>
      </c>
      <c r="B297" s="11" t="s">
        <v>1980</v>
      </c>
      <c r="C297" s="11" t="s">
        <v>770</v>
      </c>
      <c r="D297" s="163">
        <v>110000613685</v>
      </c>
      <c r="E297" s="11" t="s">
        <v>355</v>
      </c>
      <c r="F297" s="11" t="s">
        <v>90</v>
      </c>
      <c r="G297" s="11" t="s">
        <v>771</v>
      </c>
      <c r="H297" s="11" t="s">
        <v>91</v>
      </c>
      <c r="I297" s="11" t="s">
        <v>1982</v>
      </c>
      <c r="J297" s="11">
        <v>30.321895000000001</v>
      </c>
      <c r="K297" s="11">
        <v>-93.300735000000003</v>
      </c>
      <c r="L297" s="11">
        <v>4953</v>
      </c>
      <c r="M297" s="11">
        <v>4953</v>
      </c>
      <c r="N297" s="175" t="str">
        <f>VLOOKUP(M297, '2017 SIC to NAICS'!A:D, 2)</f>
        <v>Refuse Systems</v>
      </c>
      <c r="P297" s="187" t="str">
        <f>VLOOKUP(M297, '2017 SIC to NAICS'!A:D, 4)</f>
        <v>Materials Recovery Facilities</v>
      </c>
      <c r="Q297" s="176" t="str">
        <f>IFERROR(VLOOKUP(O297, 'NAICS OES crosswalk'!A:C, 3, FALSE), VLOOKUP(M297, 'NAICS OES crosswalk'!A:C, 3, FALSE))</f>
        <v>Waste handling, disposal, and treatment</v>
      </c>
      <c r="U297" s="188">
        <v>80802050501</v>
      </c>
      <c r="V297" s="11" t="s">
        <v>772</v>
      </c>
      <c r="W297" s="11"/>
      <c r="X297" s="11">
        <v>0.38682699999999998</v>
      </c>
      <c r="Y297" s="11" t="b">
        <f t="shared" si="5"/>
        <v>0</v>
      </c>
    </row>
    <row r="298" spans="1:25" x14ac:dyDescent="0.35">
      <c r="A298" s="11">
        <v>2020</v>
      </c>
      <c r="B298" s="11" t="s">
        <v>1980</v>
      </c>
      <c r="C298" s="11" t="s">
        <v>861</v>
      </c>
      <c r="D298" s="163">
        <v>110000748095</v>
      </c>
      <c r="E298" s="11" t="s">
        <v>282</v>
      </c>
      <c r="F298" s="11" t="s">
        <v>283</v>
      </c>
      <c r="G298" s="11" t="s">
        <v>862</v>
      </c>
      <c r="H298" s="11" t="s">
        <v>95</v>
      </c>
      <c r="I298" s="11" t="s">
        <v>1981</v>
      </c>
      <c r="J298" s="11">
        <v>30.311361000000002</v>
      </c>
      <c r="K298" s="11">
        <v>-95.387083000000004</v>
      </c>
      <c r="L298" s="11">
        <v>2869</v>
      </c>
      <c r="M298" s="11">
        <v>2869</v>
      </c>
      <c r="N298" s="175" t="str">
        <f>VLOOKUP(M298, '2017 SIC to NAICS'!A:D, 2)</f>
        <v>Industrial Organic Chemicals, Nec</v>
      </c>
      <c r="P298" s="187" t="str">
        <f>VLOOKUP(M298, '2017 SIC to NAICS'!A:D, 4)</f>
        <v>All Other Miscellaneous Chemical Product and Preparation Manufacturing</v>
      </c>
      <c r="Q298" s="176" t="str">
        <f>IFERROR(VLOOKUP(O298, 'NAICS OES crosswalk'!A:C, 3, FALSE), VLOOKUP(M298, 'NAICS OES crosswalk'!A:C, 3, FALSE))</f>
        <v>Manufacturing</v>
      </c>
      <c r="U298" s="188">
        <v>120401010403</v>
      </c>
      <c r="V298" s="11" t="s">
        <v>863</v>
      </c>
      <c r="W298" s="11"/>
      <c r="X298" s="11">
        <v>0.381133</v>
      </c>
      <c r="Y298" s="11" t="b">
        <f t="shared" si="5"/>
        <v>0</v>
      </c>
    </row>
    <row r="299" spans="1:25" x14ac:dyDescent="0.35">
      <c r="A299" s="11">
        <v>2020</v>
      </c>
      <c r="B299" s="11" t="s">
        <v>1980</v>
      </c>
      <c r="C299" s="11" t="s">
        <v>794</v>
      </c>
      <c r="D299" s="163">
        <v>110000433013</v>
      </c>
      <c r="E299" s="11" t="s">
        <v>259</v>
      </c>
      <c r="F299" s="11" t="s">
        <v>260</v>
      </c>
      <c r="G299" s="11" t="s">
        <v>795</v>
      </c>
      <c r="H299" s="11" t="s">
        <v>111</v>
      </c>
      <c r="I299" s="11" t="s">
        <v>1981</v>
      </c>
      <c r="J299" s="11">
        <v>41.412897000000001</v>
      </c>
      <c r="K299" s="11">
        <v>-88.329773000000003</v>
      </c>
      <c r="L299" s="11">
        <v>2821</v>
      </c>
      <c r="M299" s="11">
        <v>2821</v>
      </c>
      <c r="N299" s="175" t="str">
        <f>VLOOKUP(M299, '2017 SIC to NAICS'!A:D, 2)</f>
        <v>Plastics Materials and Resins</v>
      </c>
      <c r="P299" s="187" t="str">
        <f>VLOOKUP(M299, '2017 SIC to NAICS'!A:D, 4)</f>
        <v>Plastics Material and Resin Manufacturing</v>
      </c>
      <c r="Q299" s="176" t="str">
        <f>IFERROR(VLOOKUP(O299, 'NAICS OES crosswalk'!A:C, 3, FALSE), VLOOKUP(M299, 'NAICS OES crosswalk'!A:C, 3, FALSE))</f>
        <v>Processing as a reactant</v>
      </c>
      <c r="U299" s="188">
        <v>71200050106</v>
      </c>
      <c r="V299" s="11" t="s">
        <v>798</v>
      </c>
      <c r="W299" s="11"/>
      <c r="X299" s="11">
        <v>0.37182599999999999</v>
      </c>
      <c r="Y299" s="11" t="b">
        <f t="shared" si="5"/>
        <v>0</v>
      </c>
    </row>
    <row r="300" spans="1:25" x14ac:dyDescent="0.35">
      <c r="A300" s="11">
        <v>2020</v>
      </c>
      <c r="B300" s="11" t="s">
        <v>1980</v>
      </c>
      <c r="C300" s="11" t="s">
        <v>1496</v>
      </c>
      <c r="D300" s="163">
        <v>110007970142</v>
      </c>
      <c r="E300" s="11" t="s">
        <v>293</v>
      </c>
      <c r="F300" s="11" t="s">
        <v>294</v>
      </c>
      <c r="G300" s="11" t="s">
        <v>1487</v>
      </c>
      <c r="H300" s="11" t="s">
        <v>254</v>
      </c>
      <c r="I300" s="11" t="s">
        <v>1981</v>
      </c>
      <c r="J300" s="11">
        <v>39.698279999999997</v>
      </c>
      <c r="K300" s="11">
        <v>-75.503974999999997</v>
      </c>
      <c r="L300" s="11">
        <v>2869</v>
      </c>
      <c r="M300" s="11">
        <v>2869</v>
      </c>
      <c r="N300" s="175" t="str">
        <f>VLOOKUP(M300, '2017 SIC to NAICS'!A:D, 2)</f>
        <v>Industrial Organic Chemicals, Nec</v>
      </c>
      <c r="P300" s="187" t="str">
        <f>VLOOKUP(M300, '2017 SIC to NAICS'!A:D, 4)</f>
        <v>All Other Miscellaneous Chemical Product and Preparation Manufacturing</v>
      </c>
      <c r="Q300" s="176" t="str">
        <f>IFERROR(VLOOKUP(O300, 'NAICS OES crosswalk'!A:C, 3, FALSE), VLOOKUP(M300, 'NAICS OES crosswalk'!A:C, 3, FALSE))</f>
        <v>Manufacturing</v>
      </c>
      <c r="U300" s="188">
        <v>20402060103</v>
      </c>
      <c r="V300" s="11" t="s">
        <v>1488</v>
      </c>
      <c r="W300" s="11"/>
      <c r="X300" s="11">
        <v>0.36499999999999999</v>
      </c>
      <c r="Y300" s="11" t="b">
        <f t="shared" si="5"/>
        <v>0</v>
      </c>
    </row>
    <row r="301" spans="1:25" x14ac:dyDescent="0.35">
      <c r="A301" s="11">
        <v>2020</v>
      </c>
      <c r="B301" s="11" t="s">
        <v>1980</v>
      </c>
      <c r="C301" s="11" t="s">
        <v>1555</v>
      </c>
      <c r="D301" s="163">
        <v>110043808467</v>
      </c>
      <c r="E301" s="11" t="s">
        <v>346</v>
      </c>
      <c r="F301" s="11" t="s">
        <v>347</v>
      </c>
      <c r="G301" s="11" t="s">
        <v>823</v>
      </c>
      <c r="H301" s="11" t="s">
        <v>221</v>
      </c>
      <c r="I301" s="11" t="s">
        <v>1982</v>
      </c>
      <c r="J301" s="11">
        <v>36.035440000000001</v>
      </c>
      <c r="K301" s="11">
        <v>-114.99994</v>
      </c>
      <c r="L301" s="11">
        <v>1799</v>
      </c>
      <c r="M301" s="11">
        <v>1799</v>
      </c>
      <c r="N301" s="175" t="str">
        <f>VLOOKUP(M301, '2017 SIC to NAICS'!A:D, 2)</f>
        <v>Special Trade Contractors, Nec</v>
      </c>
      <c r="O301" s="11">
        <v>541990</v>
      </c>
      <c r="P301" s="187" t="str">
        <f>VLOOKUP(M301, '2017 SIC to NAICS'!A:D, 4)</f>
        <v>Remediation Services</v>
      </c>
      <c r="Q301" s="176" t="e">
        <f>IFERROR(VLOOKUP(O301, 'NAICS OES crosswalk'!A:C, 3, FALSE), VLOOKUP(M301, 'NAICS OES crosswalk'!A:C, 3, FALSE))</f>
        <v>#N/A</v>
      </c>
      <c r="U301" s="188">
        <v>150100150708</v>
      </c>
      <c r="V301" s="11" t="s">
        <v>1556</v>
      </c>
      <c r="W301" s="11"/>
      <c r="X301" s="11">
        <v>0.34280347574999998</v>
      </c>
      <c r="Y301" s="11" t="b">
        <f t="shared" si="5"/>
        <v>0</v>
      </c>
    </row>
    <row r="302" spans="1:25" x14ac:dyDescent="0.35">
      <c r="A302" s="11">
        <v>2020</v>
      </c>
      <c r="B302" s="11" t="s">
        <v>1980</v>
      </c>
      <c r="C302" s="11" t="s">
        <v>763</v>
      </c>
      <c r="D302" s="163">
        <v>110018199377</v>
      </c>
      <c r="E302" s="11" t="s">
        <v>109</v>
      </c>
      <c r="F302" s="11" t="s">
        <v>110</v>
      </c>
      <c r="G302" s="11" t="s">
        <v>764</v>
      </c>
      <c r="H302" s="11" t="s">
        <v>111</v>
      </c>
      <c r="I302" s="11" t="s">
        <v>1982</v>
      </c>
      <c r="J302" s="11">
        <v>41.692782000000001</v>
      </c>
      <c r="K302" s="11">
        <v>-87.951100999999994</v>
      </c>
      <c r="L302" s="11">
        <v>4226</v>
      </c>
      <c r="M302" s="11">
        <v>4226</v>
      </c>
      <c r="N302" s="175" t="str">
        <f>VLOOKUP(M302, '2017 SIC to NAICS'!A:D, 2)</f>
        <v>Special Warehousing and Storage, Nec</v>
      </c>
      <c r="P302" s="187" t="str">
        <f>VLOOKUP(M302, '2017 SIC to NAICS'!A:D, 4)</f>
        <v>Other Warehousing and Storage</v>
      </c>
      <c r="Q302" s="176" t="e">
        <f>IFERROR(VLOOKUP(O302, 'NAICS OES crosswalk'!A:C, 3, FALSE), VLOOKUP(M302, 'NAICS OES crosswalk'!A:C, 3, FALSE))</f>
        <v>#N/A</v>
      </c>
      <c r="U302" s="188">
        <v>71200040705</v>
      </c>
      <c r="V302" s="11" t="s">
        <v>767</v>
      </c>
      <c r="W302" s="11"/>
      <c r="X302" s="11">
        <v>0.33559324000000001</v>
      </c>
      <c r="Y302" s="11" t="b">
        <f t="shared" si="5"/>
        <v>0</v>
      </c>
    </row>
    <row r="303" spans="1:25" x14ac:dyDescent="0.35">
      <c r="A303" s="11">
        <v>2020</v>
      </c>
      <c r="B303" s="11" t="s">
        <v>1980</v>
      </c>
      <c r="C303" s="11" t="s">
        <v>1768</v>
      </c>
      <c r="D303" s="163">
        <v>110000608030</v>
      </c>
      <c r="E303" s="11" t="s">
        <v>348</v>
      </c>
      <c r="F303" s="11" t="s">
        <v>349</v>
      </c>
      <c r="G303" s="11" t="s">
        <v>1769</v>
      </c>
      <c r="H303" s="11" t="s">
        <v>350</v>
      </c>
      <c r="I303" s="11" t="s">
        <v>1981</v>
      </c>
      <c r="J303" s="11">
        <v>39.719476999999998</v>
      </c>
      <c r="K303" s="11">
        <v>-80.827316999999994</v>
      </c>
      <c r="L303" s="11">
        <v>2869</v>
      </c>
      <c r="M303" s="11">
        <v>2869</v>
      </c>
      <c r="N303" s="175" t="str">
        <f>VLOOKUP(M303, '2017 SIC to NAICS'!A:D, 2)</f>
        <v>Industrial Organic Chemicals, Nec</v>
      </c>
      <c r="P303" s="187" t="str">
        <f>VLOOKUP(M303, '2017 SIC to NAICS'!A:D, 4)</f>
        <v>All Other Miscellaneous Chemical Product and Preparation Manufacturing</v>
      </c>
      <c r="Q303" s="176" t="str">
        <f>IFERROR(VLOOKUP(O303, 'NAICS OES crosswalk'!A:C, 3, FALSE), VLOOKUP(M303, 'NAICS OES crosswalk'!A:C, 3, FALSE))</f>
        <v>Manufacturing</v>
      </c>
      <c r="U303" s="188">
        <v>50302011004</v>
      </c>
      <c r="V303" s="11" t="s">
        <v>1770</v>
      </c>
      <c r="W303" s="11"/>
      <c r="X303" s="11">
        <v>0.33210099999999998</v>
      </c>
      <c r="Y303" s="11" t="b">
        <f t="shared" si="5"/>
        <v>0</v>
      </c>
    </row>
    <row r="304" spans="1:25" x14ac:dyDescent="0.35">
      <c r="A304" s="11">
        <v>2020</v>
      </c>
      <c r="B304" s="11" t="s">
        <v>1980</v>
      </c>
      <c r="C304" s="11" t="s">
        <v>1323</v>
      </c>
      <c r="D304" s="163">
        <v>110000834688</v>
      </c>
      <c r="E304" s="11" t="s">
        <v>368</v>
      </c>
      <c r="F304" s="11" t="s">
        <v>369</v>
      </c>
      <c r="G304" s="11" t="s">
        <v>1324</v>
      </c>
      <c r="H304" s="11" t="s">
        <v>91</v>
      </c>
      <c r="I304" s="11" t="s">
        <v>1982</v>
      </c>
      <c r="J304" s="11">
        <v>29.924576999999999</v>
      </c>
      <c r="K304" s="11">
        <v>-90.145308</v>
      </c>
      <c r="L304" s="11">
        <v>4226</v>
      </c>
      <c r="M304" s="11">
        <v>4226</v>
      </c>
      <c r="N304" s="175" t="str">
        <f>VLOOKUP(M304, '2017 SIC to NAICS'!A:D, 2)</f>
        <v>Special Warehousing and Storage, Nec</v>
      </c>
      <c r="P304" s="187" t="str">
        <f>VLOOKUP(M304, '2017 SIC to NAICS'!A:D, 4)</f>
        <v>Other Warehousing and Storage</v>
      </c>
      <c r="Q304" s="176" t="e">
        <f>IFERROR(VLOOKUP(O304, 'NAICS OES crosswalk'!A:C, 3, FALSE), VLOOKUP(M304, 'NAICS OES crosswalk'!A:C, 3, FALSE))</f>
        <v>#N/A</v>
      </c>
      <c r="U304" s="188">
        <v>80903010307</v>
      </c>
      <c r="V304" s="11" t="s">
        <v>1325</v>
      </c>
      <c r="W304" s="11"/>
      <c r="X304" s="11">
        <v>0.31542411050000002</v>
      </c>
      <c r="Y304" s="11" t="b">
        <f t="shared" si="5"/>
        <v>0</v>
      </c>
    </row>
    <row r="305" spans="1:25" ht="29" x14ac:dyDescent="0.35">
      <c r="A305" s="11">
        <v>2020</v>
      </c>
      <c r="B305" s="11" t="s">
        <v>1980</v>
      </c>
      <c r="C305" s="11" t="s">
        <v>1183</v>
      </c>
      <c r="D305" s="163">
        <v>110009938265</v>
      </c>
      <c r="E305" s="11" t="s">
        <v>379</v>
      </c>
      <c r="F305" s="11" t="s">
        <v>380</v>
      </c>
      <c r="G305" s="11" t="s">
        <v>1184</v>
      </c>
      <c r="H305" s="11" t="s">
        <v>108</v>
      </c>
      <c r="I305" s="11" t="s">
        <v>1982</v>
      </c>
      <c r="J305" s="11">
        <v>36.787260000000003</v>
      </c>
      <c r="K305" s="11">
        <v>-85.369240000000005</v>
      </c>
      <c r="L305" s="11">
        <v>4952</v>
      </c>
      <c r="M305" s="11">
        <v>4952</v>
      </c>
      <c r="N305" s="175" t="str">
        <f>VLOOKUP(M305, '2017 SIC to NAICS'!A:D, 2)</f>
        <v>Sewerage Systems</v>
      </c>
      <c r="O305" s="11">
        <v>221320</v>
      </c>
      <c r="P305" s="187" t="str">
        <f>VLOOKUP(M305, '2017 SIC to NAICS'!A:D, 4)</f>
        <v>Sewage Treatment Facilities</v>
      </c>
      <c r="Q305" s="176" t="str">
        <f>IFERROR(VLOOKUP(O305, 'NAICS OES crosswalk'!A:C, 3, FALSE), VLOOKUP(M305, 'NAICS OES crosswalk'!A:C, 3, FALSE))</f>
        <v>Waste handling, disposal, and treatment</v>
      </c>
      <c r="U305" s="188">
        <v>51301030701</v>
      </c>
      <c r="V305" s="11" t="s">
        <v>1185</v>
      </c>
      <c r="W305" s="11"/>
      <c r="X305" s="11">
        <v>0.29253791875000001</v>
      </c>
      <c r="Y305" s="11" t="b">
        <f t="shared" si="5"/>
        <v>0</v>
      </c>
    </row>
    <row r="306" spans="1:25" x14ac:dyDescent="0.35">
      <c r="A306" s="11">
        <v>2020</v>
      </c>
      <c r="B306" s="11" t="s">
        <v>1980</v>
      </c>
      <c r="C306" s="11" t="s">
        <v>822</v>
      </c>
      <c r="D306" s="163">
        <v>110015972562</v>
      </c>
      <c r="E306" s="11" t="s">
        <v>381</v>
      </c>
      <c r="F306" s="11" t="s">
        <v>337</v>
      </c>
      <c r="G306" s="11" t="s">
        <v>823</v>
      </c>
      <c r="H306" s="11" t="s">
        <v>221</v>
      </c>
      <c r="I306" s="11" t="s">
        <v>1982</v>
      </c>
      <c r="J306" s="11">
        <v>36.116160999999998</v>
      </c>
      <c r="K306" s="11">
        <v>-115.172741</v>
      </c>
      <c r="L306" s="11">
        <v>7011</v>
      </c>
      <c r="M306" s="11">
        <v>7011</v>
      </c>
      <c r="N306" s="175" t="str">
        <f>VLOOKUP(M306, '2017 SIC to NAICS'!A:D, 2)</f>
        <v>Hotels and Motels</v>
      </c>
      <c r="O306" s="11">
        <v>721120</v>
      </c>
      <c r="P306" s="187" t="str">
        <f>VLOOKUP(M306, '2017 SIC to NAICS'!A:D, 4)</f>
        <v>All Other Traveler Accommodation</v>
      </c>
      <c r="Q306" s="176" t="e">
        <f>IFERROR(VLOOKUP(O306, 'NAICS OES crosswalk'!A:C, 3, FALSE), VLOOKUP(M306, 'NAICS OES crosswalk'!A:C, 3, FALSE))</f>
        <v>#N/A</v>
      </c>
      <c r="U306" s="188">
        <v>150100150604</v>
      </c>
      <c r="V306" s="11" t="s">
        <v>738</v>
      </c>
      <c r="W306" s="11"/>
      <c r="X306" s="11">
        <v>0.28724449216249998</v>
      </c>
      <c r="Y306" s="11" t="b">
        <f t="shared" si="5"/>
        <v>0</v>
      </c>
    </row>
    <row r="307" spans="1:25" ht="29" x14ac:dyDescent="0.35">
      <c r="A307" s="11">
        <v>2020</v>
      </c>
      <c r="B307" s="11" t="s">
        <v>1980</v>
      </c>
      <c r="C307" s="11" t="s">
        <v>1256</v>
      </c>
      <c r="D307" s="163">
        <v>110016759444</v>
      </c>
      <c r="E307" s="11" t="s">
        <v>305</v>
      </c>
      <c r="F307" s="11" t="s">
        <v>119</v>
      </c>
      <c r="G307" s="11" t="s">
        <v>1219</v>
      </c>
      <c r="H307" s="11" t="s">
        <v>108</v>
      </c>
      <c r="I307" s="11" t="s">
        <v>1981</v>
      </c>
      <c r="J307" s="11">
        <v>37.852220000000003</v>
      </c>
      <c r="K307" s="11">
        <v>-84.363079999999997</v>
      </c>
      <c r="L307" s="11">
        <v>4952</v>
      </c>
      <c r="M307" s="11">
        <v>4952</v>
      </c>
      <c r="N307" s="175" t="str">
        <f>VLOOKUP(M307, '2017 SIC to NAICS'!A:D, 2)</f>
        <v>Sewerage Systems</v>
      </c>
      <c r="O307" s="11">
        <v>221320</v>
      </c>
      <c r="P307" s="187" t="str">
        <f>VLOOKUP(M307, '2017 SIC to NAICS'!A:D, 4)</f>
        <v>Sewage Treatment Facilities</v>
      </c>
      <c r="Q307" s="176" t="str">
        <f>IFERROR(VLOOKUP(O307, 'NAICS OES crosswalk'!A:C, 3, FALSE), VLOOKUP(M307, 'NAICS OES crosswalk'!A:C, 3, FALSE))</f>
        <v>Waste handling, disposal, and treatment</v>
      </c>
      <c r="U307" s="188">
        <v>51002050308</v>
      </c>
      <c r="V307" s="11" t="s">
        <v>1257</v>
      </c>
      <c r="W307" s="11"/>
      <c r="X307" s="11">
        <v>0.28597567499999998</v>
      </c>
      <c r="Y307" s="11" t="b">
        <f t="shared" si="5"/>
        <v>0</v>
      </c>
    </row>
    <row r="308" spans="1:25" x14ac:dyDescent="0.35">
      <c r="A308" s="11">
        <v>2020</v>
      </c>
      <c r="B308" s="11" t="s">
        <v>1980</v>
      </c>
      <c r="C308" s="11" t="s">
        <v>881</v>
      </c>
      <c r="D308" s="163">
        <v>110012330520</v>
      </c>
      <c r="E308" s="11" t="s">
        <v>384</v>
      </c>
      <c r="F308" s="11" t="s">
        <v>385</v>
      </c>
      <c r="G308" s="11" t="s">
        <v>882</v>
      </c>
      <c r="H308" s="11" t="s">
        <v>288</v>
      </c>
      <c r="I308" s="11" t="s">
        <v>1981</v>
      </c>
      <c r="J308" s="11">
        <v>32.802</v>
      </c>
      <c r="K308" s="11">
        <v>-109.711</v>
      </c>
      <c r="M308" s="11"/>
      <c r="N308" s="175" t="e">
        <f>VLOOKUP(M308, '2017 SIC to NAICS'!A:D, 2)</f>
        <v>#N/A</v>
      </c>
      <c r="P308" s="187" t="e">
        <f>VLOOKUP(M308, '2017 SIC to NAICS'!A:D, 4)</f>
        <v>#N/A</v>
      </c>
      <c r="Q308" s="176" t="e">
        <f>IFERROR(VLOOKUP(O308, 'NAICS OES crosswalk'!A:C, 3, FALSE), VLOOKUP(M308, 'NAICS OES crosswalk'!A:C, 3, FALSE))</f>
        <v>#N/A</v>
      </c>
      <c r="U308" s="188">
        <v>150400050705</v>
      </c>
      <c r="V308" s="11" t="s">
        <v>883</v>
      </c>
      <c r="W308" s="11"/>
      <c r="X308" s="11">
        <v>0.283212625</v>
      </c>
      <c r="Y308" s="11" t="b">
        <f t="shared" si="5"/>
        <v>0</v>
      </c>
    </row>
    <row r="309" spans="1:25" ht="29" x14ac:dyDescent="0.35">
      <c r="A309" s="11">
        <v>2020</v>
      </c>
      <c r="B309" s="11" t="s">
        <v>1980</v>
      </c>
      <c r="C309" s="11" t="s">
        <v>1106</v>
      </c>
      <c r="D309" s="163">
        <v>110003251427</v>
      </c>
      <c r="E309" s="11" t="s">
        <v>360</v>
      </c>
      <c r="F309" s="11" t="s">
        <v>361</v>
      </c>
      <c r="G309" s="11" t="s">
        <v>1107</v>
      </c>
      <c r="H309" s="11" t="s">
        <v>108</v>
      </c>
      <c r="I309" s="11" t="s">
        <v>1981</v>
      </c>
      <c r="J309" s="11">
        <v>38.421495999999998</v>
      </c>
      <c r="K309" s="11">
        <v>-83.734424000000004</v>
      </c>
      <c r="L309" s="11">
        <v>4952</v>
      </c>
      <c r="M309" s="11">
        <v>4952</v>
      </c>
      <c r="N309" s="175" t="str">
        <f>VLOOKUP(M309, '2017 SIC to NAICS'!A:D, 2)</f>
        <v>Sewerage Systems</v>
      </c>
      <c r="O309" s="11">
        <v>221320</v>
      </c>
      <c r="P309" s="187" t="str">
        <f>VLOOKUP(M309, '2017 SIC to NAICS'!A:D, 4)</f>
        <v>Sewage Treatment Facilities</v>
      </c>
      <c r="Q309" s="176" t="str">
        <f>IFERROR(VLOOKUP(O309, 'NAICS OES crosswalk'!A:C, 3, FALSE), VLOOKUP(M309, 'NAICS OES crosswalk'!A:C, 3, FALSE))</f>
        <v>Waste handling, disposal, and treatment</v>
      </c>
      <c r="U309" s="188">
        <v>51001010903</v>
      </c>
      <c r="V309" s="11" t="s">
        <v>1108</v>
      </c>
      <c r="W309" s="11"/>
      <c r="X309" s="11">
        <v>0.27008813749999999</v>
      </c>
      <c r="Y309" s="11" t="b">
        <f t="shared" si="5"/>
        <v>0</v>
      </c>
    </row>
    <row r="310" spans="1:25" ht="29" x14ac:dyDescent="0.35">
      <c r="A310" s="11">
        <v>2020</v>
      </c>
      <c r="B310" s="11" t="s">
        <v>1980</v>
      </c>
      <c r="C310" s="11" t="s">
        <v>977</v>
      </c>
      <c r="D310" s="163">
        <v>110055992993</v>
      </c>
      <c r="E310" s="11" t="s">
        <v>291</v>
      </c>
      <c r="F310" s="11" t="s">
        <v>292</v>
      </c>
      <c r="G310" s="11" t="s">
        <v>978</v>
      </c>
      <c r="H310" s="11" t="s">
        <v>102</v>
      </c>
      <c r="I310" s="11" t="s">
        <v>1981</v>
      </c>
      <c r="J310" s="11">
        <v>33.926245999999999</v>
      </c>
      <c r="K310" s="11">
        <v>-116.992552</v>
      </c>
      <c r="L310" s="11">
        <v>4952</v>
      </c>
      <c r="M310" s="11">
        <v>4952</v>
      </c>
      <c r="N310" s="175" t="str">
        <f>VLOOKUP(M310, '2017 SIC to NAICS'!A:D, 2)</f>
        <v>Sewerage Systems</v>
      </c>
      <c r="P310" s="187" t="str">
        <f>VLOOKUP(M310, '2017 SIC to NAICS'!A:D, 4)</f>
        <v>Sewage Treatment Facilities</v>
      </c>
      <c r="Q310" s="176" t="str">
        <f>IFERROR(VLOOKUP(O310, 'NAICS OES crosswalk'!A:C, 3, FALSE), VLOOKUP(M310, 'NAICS OES crosswalk'!A:C, 3, FALSE))</f>
        <v>Waste handling, disposal, and treatment</v>
      </c>
      <c r="U310" s="188">
        <v>180702030401</v>
      </c>
      <c r="V310" s="11" t="s">
        <v>979</v>
      </c>
      <c r="W310" s="11"/>
      <c r="X310" s="11">
        <v>0.26313215912499999</v>
      </c>
      <c r="Y310" s="11" t="b">
        <f t="shared" si="5"/>
        <v>0</v>
      </c>
    </row>
    <row r="311" spans="1:25" x14ac:dyDescent="0.35">
      <c r="A311" s="11">
        <v>2020</v>
      </c>
      <c r="B311" s="11" t="s">
        <v>1980</v>
      </c>
      <c r="C311" s="11" t="s">
        <v>1392</v>
      </c>
      <c r="D311" s="163">
        <v>110000412296</v>
      </c>
      <c r="E311" s="11" t="s">
        <v>390</v>
      </c>
      <c r="F311" s="11" t="s">
        <v>391</v>
      </c>
      <c r="G311" s="11" t="s">
        <v>1393</v>
      </c>
      <c r="H311" s="11" t="s">
        <v>181</v>
      </c>
      <c r="I311" s="11" t="s">
        <v>1982</v>
      </c>
      <c r="J311" s="11">
        <v>45.145420000000001</v>
      </c>
      <c r="K311" s="11">
        <v>-84.660679999999999</v>
      </c>
      <c r="L311" s="11">
        <v>1799</v>
      </c>
      <c r="M311" s="11">
        <v>1799</v>
      </c>
      <c r="N311" s="175" t="str">
        <f>VLOOKUP(M311, '2017 SIC to NAICS'!A:D, 2)</f>
        <v>Special Trade Contractors, Nec</v>
      </c>
      <c r="O311" s="11">
        <v>331420</v>
      </c>
      <c r="P311" s="187" t="str">
        <f>VLOOKUP(M311, '2017 SIC to NAICS'!A:D, 4)</f>
        <v>Remediation Services</v>
      </c>
      <c r="Q311" s="176" t="e">
        <f>IFERROR(VLOOKUP(O311, 'NAICS OES crosswalk'!A:C, 3, FALSE), VLOOKUP(M311, 'NAICS OES crosswalk'!A:C, 3, FALSE))</f>
        <v>#N/A</v>
      </c>
      <c r="U311" s="188">
        <v>40700040102</v>
      </c>
      <c r="V311" s="11" t="s">
        <v>1394</v>
      </c>
      <c r="W311" s="11"/>
      <c r="X311" s="11">
        <v>0.24757781345454499</v>
      </c>
      <c r="Y311" s="11" t="b">
        <f t="shared" si="5"/>
        <v>0</v>
      </c>
    </row>
    <row r="312" spans="1:25" x14ac:dyDescent="0.35">
      <c r="A312" s="11">
        <v>2020</v>
      </c>
      <c r="B312" s="11" t="s">
        <v>1980</v>
      </c>
      <c r="C312" s="11" t="s">
        <v>1737</v>
      </c>
      <c r="D312" s="163">
        <v>110070885683</v>
      </c>
      <c r="E312" s="11" t="s">
        <v>395</v>
      </c>
      <c r="F312" s="11" t="s">
        <v>396</v>
      </c>
      <c r="G312" s="11" t="s">
        <v>1733</v>
      </c>
      <c r="H312" s="11" t="s">
        <v>276</v>
      </c>
      <c r="I312" s="11" t="s">
        <v>1982</v>
      </c>
      <c r="J312" s="11">
        <v>38.810879999999997</v>
      </c>
      <c r="K312" s="11">
        <v>-77.042289999999994</v>
      </c>
      <c r="L312" s="11">
        <v>1794</v>
      </c>
      <c r="M312" s="11">
        <v>1794</v>
      </c>
      <c r="N312" s="175" t="str">
        <f>VLOOKUP(M312, '2017 SIC to NAICS'!A:D, 2)</f>
        <v>Excavation Work</v>
      </c>
      <c r="P312" s="187" t="str">
        <f>VLOOKUP(M312, '2017 SIC to NAICS'!A:D, 4)</f>
        <v>Site Preparation Contractors</v>
      </c>
      <c r="Q312" s="176" t="e">
        <f>IFERROR(VLOOKUP(O312, 'NAICS OES crosswalk'!A:C, 3, FALSE), VLOOKUP(M312, 'NAICS OES crosswalk'!A:C, 3, FALSE))</f>
        <v>#N/A</v>
      </c>
      <c r="U312" s="188">
        <v>20700100301</v>
      </c>
      <c r="V312" s="11" t="s">
        <v>1711</v>
      </c>
      <c r="W312" s="11"/>
      <c r="X312" s="11">
        <v>0.24413116692299999</v>
      </c>
      <c r="Y312" s="11" t="b">
        <f t="shared" si="5"/>
        <v>0</v>
      </c>
    </row>
    <row r="313" spans="1:25" x14ac:dyDescent="0.35">
      <c r="A313" s="11">
        <v>2020</v>
      </c>
      <c r="B313" s="11" t="s">
        <v>1980</v>
      </c>
      <c r="C313" s="11" t="s">
        <v>1746</v>
      </c>
      <c r="D313" s="163">
        <v>110070884091</v>
      </c>
      <c r="E313" s="11" t="s">
        <v>397</v>
      </c>
      <c r="F313" s="11" t="s">
        <v>396</v>
      </c>
      <c r="G313" s="11" t="s">
        <v>1733</v>
      </c>
      <c r="H313" s="11" t="s">
        <v>276</v>
      </c>
      <c r="I313" s="11" t="s">
        <v>1982</v>
      </c>
      <c r="J313" s="11">
        <v>38.828830000000004</v>
      </c>
      <c r="K313" s="11">
        <v>-77.049679999999995</v>
      </c>
      <c r="L313" s="11">
        <v>1794</v>
      </c>
      <c r="M313" s="11">
        <v>1794</v>
      </c>
      <c r="N313" s="175" t="str">
        <f>VLOOKUP(M313, '2017 SIC to NAICS'!A:D, 2)</f>
        <v>Excavation Work</v>
      </c>
      <c r="P313" s="187" t="str">
        <f>VLOOKUP(M313, '2017 SIC to NAICS'!A:D, 4)</f>
        <v>Site Preparation Contractors</v>
      </c>
      <c r="Q313" s="176" t="e">
        <f>IFERROR(VLOOKUP(O313, 'NAICS OES crosswalk'!A:C, 3, FALSE), VLOOKUP(M313, 'NAICS OES crosswalk'!A:C, 3, FALSE))</f>
        <v>#N/A</v>
      </c>
      <c r="U313" s="188">
        <v>20700100301</v>
      </c>
      <c r="V313" s="11" t="s">
        <v>1711</v>
      </c>
      <c r="W313" s="11"/>
      <c r="X313" s="11">
        <v>0.24077142000000001</v>
      </c>
      <c r="Y313" s="11" t="b">
        <f t="shared" si="5"/>
        <v>0</v>
      </c>
    </row>
    <row r="314" spans="1:25" x14ac:dyDescent="0.35">
      <c r="A314" s="11">
        <v>2020</v>
      </c>
      <c r="B314" s="11" t="s">
        <v>1980</v>
      </c>
      <c r="C314" s="11" t="s">
        <v>1491</v>
      </c>
      <c r="D314" s="163">
        <v>110000582003</v>
      </c>
      <c r="E314" s="11" t="s">
        <v>299</v>
      </c>
      <c r="F314" s="11" t="s">
        <v>300</v>
      </c>
      <c r="G314" s="11" t="s">
        <v>1492</v>
      </c>
      <c r="H314" s="11" t="s">
        <v>254</v>
      </c>
      <c r="I314" s="11" t="s">
        <v>1981</v>
      </c>
      <c r="J314" s="11">
        <v>39.80142</v>
      </c>
      <c r="K314" s="11">
        <v>-75.354990000000001</v>
      </c>
      <c r="L314" s="11">
        <v>2869</v>
      </c>
      <c r="M314" s="11">
        <v>2869</v>
      </c>
      <c r="N314" s="175" t="str">
        <f>VLOOKUP(M314, '2017 SIC to NAICS'!A:D, 2)</f>
        <v>Industrial Organic Chemicals, Nec</v>
      </c>
      <c r="O314" s="11">
        <v>325199</v>
      </c>
      <c r="P314" s="187" t="str">
        <f>VLOOKUP(M314, '2017 SIC to NAICS'!A:D, 4)</f>
        <v>All Other Miscellaneous Chemical Product and Preparation Manufacturing</v>
      </c>
      <c r="Q314" s="176" t="str">
        <f>IFERROR(VLOOKUP(O314, 'NAICS OES crosswalk'!A:C, 3, FALSE), VLOOKUP(M314, 'NAICS OES crosswalk'!A:C, 3, FALSE))</f>
        <v>Manufacturing</v>
      </c>
      <c r="U314" s="188">
        <v>20402020606</v>
      </c>
      <c r="V314" s="11" t="s">
        <v>1493</v>
      </c>
      <c r="W314" s="11"/>
      <c r="X314" s="11">
        <v>0.22059999999999999</v>
      </c>
      <c r="Y314" s="11" t="b">
        <f t="shared" si="5"/>
        <v>0</v>
      </c>
    </row>
    <row r="315" spans="1:25" x14ac:dyDescent="0.35">
      <c r="A315" s="11">
        <v>2020</v>
      </c>
      <c r="B315" s="11" t="s">
        <v>1980</v>
      </c>
      <c r="C315" s="11" t="s">
        <v>841</v>
      </c>
      <c r="D315" s="163">
        <v>110000324391</v>
      </c>
      <c r="E315" s="11" t="s">
        <v>315</v>
      </c>
      <c r="F315" s="11" t="s">
        <v>316</v>
      </c>
      <c r="G315" s="11" t="s">
        <v>842</v>
      </c>
      <c r="H315" s="11" t="s">
        <v>126</v>
      </c>
      <c r="I315" s="11" t="s">
        <v>1981</v>
      </c>
      <c r="J315" s="11">
        <v>42.575806</v>
      </c>
      <c r="K315" s="11">
        <v>-73.859943999999999</v>
      </c>
      <c r="L315" s="11">
        <v>2821</v>
      </c>
      <c r="M315" s="11">
        <v>2821</v>
      </c>
      <c r="N315" s="175" t="str">
        <f>VLOOKUP(M315, '2017 SIC to NAICS'!A:D, 2)</f>
        <v>Plastics Materials and Resins</v>
      </c>
      <c r="P315" s="187" t="str">
        <f>VLOOKUP(M315, '2017 SIC to NAICS'!A:D, 4)</f>
        <v>Plastics Material and Resin Manufacturing</v>
      </c>
      <c r="Q315" s="176" t="str">
        <f>IFERROR(VLOOKUP(O315, 'NAICS OES crosswalk'!A:C, 3, FALSE), VLOOKUP(M315, 'NAICS OES crosswalk'!A:C, 3, FALSE))</f>
        <v>Processing as a reactant</v>
      </c>
      <c r="U315" s="188">
        <v>20200060402</v>
      </c>
      <c r="V315" s="11" t="s">
        <v>843</v>
      </c>
      <c r="W315" s="11"/>
      <c r="X315" s="11">
        <v>0.20679700000000001</v>
      </c>
      <c r="Y315" s="11" t="b">
        <f t="shared" si="5"/>
        <v>0</v>
      </c>
    </row>
    <row r="316" spans="1:25" x14ac:dyDescent="0.35">
      <c r="A316" s="11">
        <v>2020</v>
      </c>
      <c r="B316" s="11" t="s">
        <v>1980</v>
      </c>
      <c r="C316" s="11" t="s">
        <v>1355</v>
      </c>
      <c r="D316" s="163">
        <v>110009291872</v>
      </c>
      <c r="E316" s="11" t="s">
        <v>428</v>
      </c>
      <c r="F316" s="11" t="s">
        <v>429</v>
      </c>
      <c r="G316" s="11" t="s">
        <v>406</v>
      </c>
      <c r="H316" s="11" t="s">
        <v>181</v>
      </c>
      <c r="I316" s="11" t="s">
        <v>1982</v>
      </c>
      <c r="J316" s="11">
        <v>43.394015000000003</v>
      </c>
      <c r="K316" s="11">
        <v>-86.397982999999996</v>
      </c>
      <c r="L316" s="11">
        <v>2869</v>
      </c>
      <c r="M316" s="11">
        <v>2869</v>
      </c>
      <c r="N316" s="175" t="str">
        <f>VLOOKUP(M316, '2017 SIC to NAICS'!A:D, 2)</f>
        <v>Industrial Organic Chemicals, Nec</v>
      </c>
      <c r="P316" s="187" t="str">
        <f>VLOOKUP(M316, '2017 SIC to NAICS'!A:D, 4)</f>
        <v>All Other Miscellaneous Chemical Product and Preparation Manufacturing</v>
      </c>
      <c r="Q316" s="176" t="str">
        <f>IFERROR(VLOOKUP(O316, 'NAICS OES crosswalk'!A:C, 3, FALSE), VLOOKUP(M316, 'NAICS OES crosswalk'!A:C, 3, FALSE))</f>
        <v>Manufacturing</v>
      </c>
      <c r="U316" s="188">
        <v>40601010904</v>
      </c>
      <c r="V316" s="11" t="s">
        <v>1356</v>
      </c>
      <c r="W316" s="11"/>
      <c r="X316" s="11">
        <v>4.2771730124999997E-2</v>
      </c>
      <c r="Y316" s="11" t="b">
        <f t="shared" si="5"/>
        <v>0</v>
      </c>
    </row>
    <row r="317" spans="1:25" ht="29" x14ac:dyDescent="0.35">
      <c r="A317" s="11">
        <v>2020</v>
      </c>
      <c r="B317" s="11" t="s">
        <v>1980</v>
      </c>
      <c r="C317" s="11" t="s">
        <v>1010</v>
      </c>
      <c r="D317" s="163">
        <v>110010731262</v>
      </c>
      <c r="E317" s="11" t="s">
        <v>365</v>
      </c>
      <c r="F317" s="11" t="s">
        <v>366</v>
      </c>
      <c r="G317" s="11" t="s">
        <v>1011</v>
      </c>
      <c r="H317" s="11" t="s">
        <v>156</v>
      </c>
      <c r="I317" s="11" t="s">
        <v>1981</v>
      </c>
      <c r="J317" s="11">
        <v>22.079093</v>
      </c>
      <c r="K317" s="11">
        <v>-159.35138900000001</v>
      </c>
      <c r="L317" s="11">
        <v>4952</v>
      </c>
      <c r="M317" s="11">
        <v>4952</v>
      </c>
      <c r="N317" s="175" t="str">
        <f>VLOOKUP(M317, '2017 SIC to NAICS'!A:D, 2)</f>
        <v>Sewerage Systems</v>
      </c>
      <c r="P317" s="187" t="str">
        <f>VLOOKUP(M317, '2017 SIC to NAICS'!A:D, 4)</f>
        <v>Sewage Treatment Facilities</v>
      </c>
      <c r="Q317" s="176" t="str">
        <f>IFERROR(VLOOKUP(O317, 'NAICS OES crosswalk'!A:C, 3, FALSE), VLOOKUP(M317, 'NAICS OES crosswalk'!A:C, 3, FALSE))</f>
        <v>Waste handling, disposal, and treatment</v>
      </c>
      <c r="U317" s="188">
        <v>200700000202</v>
      </c>
      <c r="V317" s="11" t="s">
        <v>1012</v>
      </c>
      <c r="W317" s="11"/>
      <c r="X317" s="11">
        <v>0.1692368125</v>
      </c>
      <c r="Y317" s="11" t="b">
        <f t="shared" si="5"/>
        <v>0</v>
      </c>
    </row>
    <row r="318" spans="1:25" x14ac:dyDescent="0.35">
      <c r="A318" s="11">
        <v>2020</v>
      </c>
      <c r="B318" s="11" t="s">
        <v>1980</v>
      </c>
      <c r="C318" s="11" t="s">
        <v>1714</v>
      </c>
      <c r="D318" s="163">
        <v>110010912281</v>
      </c>
      <c r="E318" s="11" t="s">
        <v>701</v>
      </c>
      <c r="F318" s="11" t="s">
        <v>702</v>
      </c>
      <c r="G318" s="11" t="s">
        <v>1715</v>
      </c>
      <c r="H318" s="11" t="s">
        <v>276</v>
      </c>
      <c r="I318" s="11" t="s">
        <v>1982</v>
      </c>
      <c r="J318" s="11">
        <v>38.92286</v>
      </c>
      <c r="K318" s="11">
        <v>-77.23057</v>
      </c>
      <c r="L318" s="11">
        <v>6512</v>
      </c>
      <c r="M318" s="11">
        <v>6512</v>
      </c>
      <c r="N318" s="175" t="str">
        <f>VLOOKUP(M318, '2017 SIC to NAICS'!A:D, 2)</f>
        <v>Nonresidential Building Operators</v>
      </c>
      <c r="O318" s="11">
        <v>531120</v>
      </c>
      <c r="P318" s="187" t="str">
        <f>VLOOKUP(M318, '2017 SIC to NAICS'!A:D, 4)</f>
        <v>Promoters of Performing Arts, Sports, and
Similar Events with Facilities</v>
      </c>
      <c r="Q318" s="176" t="e">
        <f>IFERROR(VLOOKUP(O318, 'NAICS OES crosswalk'!A:C, 3, FALSE), VLOOKUP(M318, 'NAICS OES crosswalk'!A:C, 3, FALSE))</f>
        <v>#N/A</v>
      </c>
      <c r="U318" s="188">
        <v>20700081004</v>
      </c>
      <c r="V318" s="11" t="s">
        <v>1716</v>
      </c>
      <c r="W318" s="11"/>
      <c r="X318" s="11">
        <v>5.1381375000000001E-6</v>
      </c>
      <c r="Y318" s="11" t="b">
        <f t="shared" si="5"/>
        <v>1</v>
      </c>
    </row>
    <row r="319" spans="1:25" x14ac:dyDescent="0.35">
      <c r="A319" s="11">
        <v>2020</v>
      </c>
      <c r="B319" s="11" t="s">
        <v>1980</v>
      </c>
      <c r="C319" s="11" t="s">
        <v>1409</v>
      </c>
      <c r="D319" s="163">
        <v>110009899967</v>
      </c>
      <c r="E319" s="11" t="s">
        <v>526</v>
      </c>
      <c r="F319" s="11" t="s">
        <v>527</v>
      </c>
      <c r="G319" s="11" t="s">
        <v>1410</v>
      </c>
      <c r="H319" s="11" t="s">
        <v>181</v>
      </c>
      <c r="I319" s="11" t="s">
        <v>1982</v>
      </c>
      <c r="J319" s="11">
        <v>43.905769999999997</v>
      </c>
      <c r="K319" s="11">
        <v>-85.801850000000002</v>
      </c>
      <c r="L319" s="11">
        <v>3317</v>
      </c>
      <c r="M319" s="11">
        <v>3317</v>
      </c>
      <c r="N319" s="175" t="str">
        <f>VLOOKUP(M319, '2017 SIC to NAICS'!A:D, 2)</f>
        <v>Steel Pipe and Tubes</v>
      </c>
      <c r="O319" s="11">
        <v>331210</v>
      </c>
      <c r="P319" s="187" t="str">
        <f>VLOOKUP(M319, '2017 SIC to NAICS'!A:D, 4)</f>
        <v>Iron and Steel Pipe and Tube
Manufacturing from Purchased Steel</v>
      </c>
      <c r="Q319" s="176" t="e">
        <f>IFERROR(VLOOKUP(O319, 'NAICS OES crosswalk'!A:C, 3, FALSE), VLOOKUP(M319, 'NAICS OES crosswalk'!A:C, 3, FALSE))</f>
        <v>#N/A</v>
      </c>
      <c r="U319" s="188">
        <v>40601010502</v>
      </c>
      <c r="V319" s="11" t="s">
        <v>1411</v>
      </c>
      <c r="W319" s="11"/>
      <c r="X319" s="11">
        <v>3.5863631999999999E-2</v>
      </c>
      <c r="Y319" s="11" t="b">
        <f t="shared" si="5"/>
        <v>0</v>
      </c>
    </row>
    <row r="320" spans="1:25" x14ac:dyDescent="0.35">
      <c r="A320" s="11">
        <v>2020</v>
      </c>
      <c r="B320" s="11" t="s">
        <v>1980</v>
      </c>
      <c r="C320" s="11" t="s">
        <v>830</v>
      </c>
      <c r="D320" s="163">
        <v>110000326521</v>
      </c>
      <c r="E320" s="11" t="s">
        <v>124</v>
      </c>
      <c r="F320" s="11" t="s">
        <v>125</v>
      </c>
      <c r="G320" s="11" t="s">
        <v>831</v>
      </c>
      <c r="H320" s="11" t="s">
        <v>126</v>
      </c>
      <c r="I320" s="11" t="s">
        <v>1981</v>
      </c>
      <c r="J320" s="11">
        <v>43.165965999999997</v>
      </c>
      <c r="K320" s="11">
        <v>-78.740509000000003</v>
      </c>
      <c r="L320" s="11">
        <v>3714</v>
      </c>
      <c r="M320" s="11">
        <v>3714</v>
      </c>
      <c r="N320" s="175" t="str">
        <f>VLOOKUP(M320, '2017 SIC to NAICS'!A:D, 2)</f>
        <v>Motor Vehicle Parts and Accessories</v>
      </c>
      <c r="P320" s="187" t="str">
        <f>VLOOKUP(M320, '2017 SIC to NAICS'!A:D, 4)</f>
        <v>Other Motor Vehicle Parts Manufacturing</v>
      </c>
      <c r="Q320" s="176" t="e">
        <f>IFERROR(VLOOKUP(O320, 'NAICS OES crosswalk'!A:C, 3, FALSE), VLOOKUP(M320, 'NAICS OES crosswalk'!A:C, 3, FALSE))</f>
        <v>#N/A</v>
      </c>
      <c r="U320" s="188">
        <v>41300010703</v>
      </c>
      <c r="V320" s="11" t="s">
        <v>834</v>
      </c>
      <c r="W320" s="11"/>
      <c r="X320" s="11">
        <v>0.15890376249999999</v>
      </c>
      <c r="Y320" s="11" t="b">
        <f t="shared" si="5"/>
        <v>0</v>
      </c>
    </row>
    <row r="321" spans="1:25" ht="29" x14ac:dyDescent="0.35">
      <c r="A321" s="11">
        <v>2020</v>
      </c>
      <c r="B321" s="11" t="s">
        <v>1980</v>
      </c>
      <c r="C321" s="11" t="s">
        <v>1206</v>
      </c>
      <c r="D321" s="163">
        <v>110009937499</v>
      </c>
      <c r="E321" s="11" t="s">
        <v>297</v>
      </c>
      <c r="F321" s="11" t="s">
        <v>298</v>
      </c>
      <c r="G321" s="11" t="s">
        <v>1207</v>
      </c>
      <c r="H321" s="11" t="s">
        <v>108</v>
      </c>
      <c r="I321" s="11" t="s">
        <v>1982</v>
      </c>
      <c r="J321" s="11">
        <v>36.644849999999998</v>
      </c>
      <c r="K321" s="11">
        <v>-87.187950000000001</v>
      </c>
      <c r="L321" s="11">
        <v>4952</v>
      </c>
      <c r="M321" s="11">
        <v>4952</v>
      </c>
      <c r="N321" s="175" t="str">
        <f>VLOOKUP(M321, '2017 SIC to NAICS'!A:D, 2)</f>
        <v>Sewerage Systems</v>
      </c>
      <c r="O321" s="11">
        <v>221320</v>
      </c>
      <c r="P321" s="187" t="str">
        <f>VLOOKUP(M321, '2017 SIC to NAICS'!A:D, 4)</f>
        <v>Sewage Treatment Facilities</v>
      </c>
      <c r="Q321" s="176" t="str">
        <f>IFERROR(VLOOKUP(O321, 'NAICS OES crosswalk'!A:C, 3, FALSE), VLOOKUP(M321, 'NAICS OES crosswalk'!A:C, 3, FALSE))</f>
        <v>Waste handling, disposal, and treatment</v>
      </c>
      <c r="U321" s="188">
        <v>51302060603</v>
      </c>
      <c r="V321" s="11" t="s">
        <v>1208</v>
      </c>
      <c r="W321" s="11"/>
      <c r="X321" s="11">
        <v>0.1540400375</v>
      </c>
      <c r="Y321" s="11" t="b">
        <f t="shared" si="5"/>
        <v>0</v>
      </c>
    </row>
    <row r="322" spans="1:25" ht="29" x14ac:dyDescent="0.35">
      <c r="A322" s="11">
        <v>2020</v>
      </c>
      <c r="B322" s="11" t="s">
        <v>1980</v>
      </c>
      <c r="C322" s="11" t="s">
        <v>1629</v>
      </c>
      <c r="D322" s="163">
        <v>110000817439</v>
      </c>
      <c r="E322" s="11" t="s">
        <v>435</v>
      </c>
      <c r="F322" s="11" t="s">
        <v>436</v>
      </c>
      <c r="G322" s="11" t="s">
        <v>1626</v>
      </c>
      <c r="H322" s="11" t="s">
        <v>340</v>
      </c>
      <c r="I322" s="11" t="s">
        <v>1982</v>
      </c>
      <c r="J322" s="11">
        <v>40.159343999999997</v>
      </c>
      <c r="K322" s="11">
        <v>-74.776695000000004</v>
      </c>
      <c r="L322" s="11">
        <v>4953</v>
      </c>
      <c r="M322" s="11">
        <v>4953</v>
      </c>
      <c r="N322" s="175" t="str">
        <f>VLOOKUP(M322, '2017 SIC to NAICS'!A:D, 2)</f>
        <v>Refuse Systems</v>
      </c>
      <c r="P322" s="187" t="str">
        <f>VLOOKUP(M322, '2017 SIC to NAICS'!A:D, 4)</f>
        <v>Materials Recovery Facilities</v>
      </c>
      <c r="Q322" s="176" t="str">
        <f>IFERROR(VLOOKUP(O322, 'NAICS OES crosswalk'!A:C, 3, FALSE), VLOOKUP(M322, 'NAICS OES crosswalk'!A:C, 3, FALSE))</f>
        <v>Waste handling, disposal, and treatment</v>
      </c>
      <c r="U322" s="188">
        <v>20402010404</v>
      </c>
      <c r="V322" s="11" t="s">
        <v>1630</v>
      </c>
      <c r="W322" s="11"/>
      <c r="X322" s="11">
        <v>0.14482600000000001</v>
      </c>
      <c r="Y322" s="11" t="b">
        <f t="shared" si="5"/>
        <v>0</v>
      </c>
    </row>
    <row r="323" spans="1:25" ht="29" x14ac:dyDescent="0.35">
      <c r="A323" s="11">
        <v>2020</v>
      </c>
      <c r="B323" s="11" t="s">
        <v>1980</v>
      </c>
      <c r="C323" s="11" t="s">
        <v>770</v>
      </c>
      <c r="D323" s="163">
        <v>110000613685</v>
      </c>
      <c r="E323" s="11" t="s">
        <v>355</v>
      </c>
      <c r="F323" s="11" t="s">
        <v>90</v>
      </c>
      <c r="G323" s="11" t="s">
        <v>771</v>
      </c>
      <c r="H323" s="11" t="s">
        <v>91</v>
      </c>
      <c r="I323" s="11" t="s">
        <v>1982</v>
      </c>
      <c r="J323" s="11">
        <v>30.321895000000001</v>
      </c>
      <c r="K323" s="11">
        <v>-93.300735000000003</v>
      </c>
      <c r="L323" s="11">
        <v>4953</v>
      </c>
      <c r="M323" s="11">
        <v>4953</v>
      </c>
      <c r="N323" s="175" t="str">
        <f>VLOOKUP(M323, '2017 SIC to NAICS'!A:D, 2)</f>
        <v>Refuse Systems</v>
      </c>
      <c r="P323" s="187" t="str">
        <f>VLOOKUP(M323, '2017 SIC to NAICS'!A:D, 4)</f>
        <v>Materials Recovery Facilities</v>
      </c>
      <c r="Q323" s="176" t="str">
        <f>IFERROR(VLOOKUP(O323, 'NAICS OES crosswalk'!A:C, 3, FALSE), VLOOKUP(M323, 'NAICS OES crosswalk'!A:C, 3, FALSE))</f>
        <v>Waste handling, disposal, and treatment</v>
      </c>
      <c r="U323" s="188">
        <v>80802050501</v>
      </c>
      <c r="V323" s="11" t="s">
        <v>772</v>
      </c>
      <c r="W323" s="11"/>
      <c r="X323" s="11">
        <v>0.1346986875</v>
      </c>
      <c r="Y323" s="11" t="b">
        <f t="shared" si="5"/>
        <v>0</v>
      </c>
    </row>
    <row r="324" spans="1:25" x14ac:dyDescent="0.35">
      <c r="A324" s="11">
        <v>2020</v>
      </c>
      <c r="B324" s="11" t="s">
        <v>1980</v>
      </c>
      <c r="C324" s="11" t="s">
        <v>1560</v>
      </c>
      <c r="D324" s="163">
        <v>110041253256</v>
      </c>
      <c r="E324" s="11" t="s">
        <v>444</v>
      </c>
      <c r="F324" s="11" t="s">
        <v>337</v>
      </c>
      <c r="G324" s="11" t="s">
        <v>823</v>
      </c>
      <c r="H324" s="11" t="s">
        <v>221</v>
      </c>
      <c r="I324" s="11" t="s">
        <v>1982</v>
      </c>
      <c r="J324" s="11">
        <v>36.132570000000001</v>
      </c>
      <c r="K324" s="11">
        <v>-115.16477</v>
      </c>
      <c r="L324" s="11">
        <v>7011</v>
      </c>
      <c r="M324" s="11">
        <v>7011</v>
      </c>
      <c r="N324" s="175" t="str">
        <f>VLOOKUP(M324, '2017 SIC to NAICS'!A:D, 2)</f>
        <v>Hotels and Motels</v>
      </c>
      <c r="O324" s="11">
        <v>721120</v>
      </c>
      <c r="P324" s="187" t="str">
        <f>VLOOKUP(M324, '2017 SIC to NAICS'!A:D, 4)</f>
        <v>All Other Traveler Accommodation</v>
      </c>
      <c r="Q324" s="176" t="e">
        <f>IFERROR(VLOOKUP(O324, 'NAICS OES crosswalk'!A:C, 3, FALSE), VLOOKUP(M324, 'NAICS OES crosswalk'!A:C, 3, FALSE))</f>
        <v>#N/A</v>
      </c>
      <c r="U324" s="188">
        <v>150100150604</v>
      </c>
      <c r="V324" s="11" t="s">
        <v>738</v>
      </c>
      <c r="W324" s="11"/>
      <c r="X324" s="11">
        <v>0.1222649625</v>
      </c>
      <c r="Y324" s="11" t="b">
        <f t="shared" si="5"/>
        <v>0</v>
      </c>
    </row>
    <row r="325" spans="1:25" x14ac:dyDescent="0.35">
      <c r="A325" s="11">
        <v>2020</v>
      </c>
      <c r="B325" s="11" t="s">
        <v>1980</v>
      </c>
      <c r="C325" s="11" t="s">
        <v>789</v>
      </c>
      <c r="D325" s="163">
        <v>110002672484</v>
      </c>
      <c r="E325" s="11" t="s">
        <v>503</v>
      </c>
      <c r="F325" s="11" t="s">
        <v>504</v>
      </c>
      <c r="G325" s="11" t="s">
        <v>790</v>
      </c>
      <c r="H325" s="11" t="s">
        <v>102</v>
      </c>
      <c r="I325" s="11" t="s">
        <v>1982</v>
      </c>
      <c r="J325" s="11">
        <v>32.803809999999999</v>
      </c>
      <c r="K325" s="11">
        <v>-115.53973999999999</v>
      </c>
      <c r="L325" s="11">
        <v>921</v>
      </c>
      <c r="M325" s="11">
        <v>921</v>
      </c>
      <c r="N325" s="175" t="str">
        <f>VLOOKUP(M325, '2017 SIC to NAICS'!A:D, 2)</f>
        <v>Fish Hatcheries and Preserves</v>
      </c>
      <c r="P325" s="187" t="str">
        <f>VLOOKUP(M325, '2017 SIC to NAICS'!A:D, 4)</f>
        <v>Shellfish Farming</v>
      </c>
      <c r="Q325" s="176" t="e">
        <f>IFERROR(VLOOKUP(O325, 'NAICS OES crosswalk'!A:C, 3, FALSE), VLOOKUP(M325, 'NAICS OES crosswalk'!A:C, 3, FALSE))</f>
        <v>#N/A</v>
      </c>
      <c r="U325" s="188">
        <v>181002040701</v>
      </c>
      <c r="V325" s="11" t="s">
        <v>791</v>
      </c>
      <c r="W325" s="11"/>
      <c r="X325" s="11">
        <v>5.636622E-3</v>
      </c>
      <c r="Y325" s="11" t="b">
        <f t="shared" si="5"/>
        <v>0</v>
      </c>
    </row>
    <row r="326" spans="1:25" x14ac:dyDescent="0.35">
      <c r="A326" s="11">
        <v>2020</v>
      </c>
      <c r="B326" s="11" t="s">
        <v>1980</v>
      </c>
      <c r="C326" s="11" t="s">
        <v>1700</v>
      </c>
      <c r="D326" s="163">
        <v>110000460983</v>
      </c>
      <c r="E326" s="11" t="s">
        <v>367</v>
      </c>
      <c r="F326" s="11" t="s">
        <v>94</v>
      </c>
      <c r="G326" s="11" t="s">
        <v>747</v>
      </c>
      <c r="H326" s="11" t="s">
        <v>95</v>
      </c>
      <c r="I326" s="11" t="s">
        <v>1982</v>
      </c>
      <c r="J326" s="11">
        <v>29.75487</v>
      </c>
      <c r="K326" s="11">
        <v>-95.103269999999995</v>
      </c>
      <c r="L326" s="11">
        <v>2869</v>
      </c>
      <c r="M326" s="11">
        <v>2869</v>
      </c>
      <c r="N326" s="175" t="str">
        <f>VLOOKUP(M326, '2017 SIC to NAICS'!A:D, 2)</f>
        <v>Industrial Organic Chemicals, Nec</v>
      </c>
      <c r="P326" s="187" t="str">
        <f>VLOOKUP(M326, '2017 SIC to NAICS'!A:D, 4)</f>
        <v>All Other Miscellaneous Chemical Product and Preparation Manufacturing</v>
      </c>
      <c r="Q326" s="176" t="str">
        <f>IFERROR(VLOOKUP(O326, 'NAICS OES crosswalk'!A:C, 3, FALSE), VLOOKUP(M326, 'NAICS OES crosswalk'!A:C, 3, FALSE))</f>
        <v>Manufacturing</v>
      </c>
      <c r="U326" s="188">
        <v>120401040702</v>
      </c>
      <c r="V326" s="11" t="s">
        <v>1701</v>
      </c>
      <c r="W326" s="11"/>
      <c r="X326" s="11">
        <v>0.1110257</v>
      </c>
      <c r="Y326" s="11" t="b">
        <f t="shared" si="5"/>
        <v>0</v>
      </c>
    </row>
    <row r="327" spans="1:25" x14ac:dyDescent="0.35">
      <c r="A327" s="11">
        <v>2020</v>
      </c>
      <c r="B327" s="11" t="s">
        <v>1980</v>
      </c>
      <c r="C327" s="11" t="s">
        <v>1697</v>
      </c>
      <c r="D327" s="163">
        <v>110000463631</v>
      </c>
      <c r="E327" s="11" t="s">
        <v>453</v>
      </c>
      <c r="F327" s="11" t="s">
        <v>421</v>
      </c>
      <c r="G327" s="11" t="s">
        <v>747</v>
      </c>
      <c r="H327" s="11" t="s">
        <v>95</v>
      </c>
      <c r="I327" s="11" t="s">
        <v>1981</v>
      </c>
      <c r="J327" s="11">
        <v>29.704027</v>
      </c>
      <c r="K327" s="11">
        <v>-95.079931999999999</v>
      </c>
      <c r="L327" s="11">
        <v>2821</v>
      </c>
      <c r="M327" s="11">
        <v>2821</v>
      </c>
      <c r="N327" s="175" t="str">
        <f>VLOOKUP(M327, '2017 SIC to NAICS'!A:D, 2)</f>
        <v>Plastics Materials and Resins</v>
      </c>
      <c r="P327" s="187" t="str">
        <f>VLOOKUP(M327, '2017 SIC to NAICS'!A:D, 4)</f>
        <v>Plastics Material and Resin Manufacturing</v>
      </c>
      <c r="Q327" s="176" t="str">
        <f>IFERROR(VLOOKUP(O327, 'NAICS OES crosswalk'!A:C, 3, FALSE), VLOOKUP(M327, 'NAICS OES crosswalk'!A:C, 3, FALSE))</f>
        <v>Processing as a reactant</v>
      </c>
      <c r="U327" s="188">
        <v>120401040706</v>
      </c>
      <c r="V327" s="11" t="s">
        <v>750</v>
      </c>
      <c r="W327" s="11"/>
      <c r="X327" s="11">
        <v>0.1110257</v>
      </c>
      <c r="Y327" s="11" t="b">
        <f t="shared" si="5"/>
        <v>0</v>
      </c>
    </row>
    <row r="328" spans="1:25" x14ac:dyDescent="0.35">
      <c r="A328" s="11">
        <v>2020</v>
      </c>
      <c r="B328" s="11" t="s">
        <v>1980</v>
      </c>
      <c r="C328" s="11" t="s">
        <v>1048</v>
      </c>
      <c r="D328" s="163">
        <v>110000500459</v>
      </c>
      <c r="E328" s="11" t="s">
        <v>454</v>
      </c>
      <c r="F328" s="11" t="s">
        <v>455</v>
      </c>
      <c r="G328" s="11" t="s">
        <v>801</v>
      </c>
      <c r="H328" s="11" t="s">
        <v>111</v>
      </c>
      <c r="I328" s="11" t="s">
        <v>1982</v>
      </c>
      <c r="J328" s="11">
        <v>42.468611000000003</v>
      </c>
      <c r="K328" s="11">
        <v>-89.065550000000002</v>
      </c>
      <c r="L328" s="11">
        <v>4225</v>
      </c>
      <c r="M328" s="11">
        <v>4225</v>
      </c>
      <c r="N328" s="175" t="str">
        <f>VLOOKUP(M328, '2017 SIC to NAICS'!A:D, 2)</f>
        <v>General Warehousing and Storage</v>
      </c>
      <c r="P328" s="187" t="str">
        <f>VLOOKUP(M328, '2017 SIC to NAICS'!A:D, 4)</f>
        <v>Lessors of Miniwarehouses and Self-
Storage Units</v>
      </c>
      <c r="Q328" s="176" t="e">
        <f>IFERROR(VLOOKUP(O328, 'NAICS OES crosswalk'!A:C, 3, FALSE), VLOOKUP(M328, 'NAICS OES crosswalk'!A:C, 3, FALSE))</f>
        <v>#N/A</v>
      </c>
      <c r="U328" s="188">
        <v>70900021502</v>
      </c>
      <c r="V328" s="11" t="s">
        <v>1049</v>
      </c>
      <c r="W328" s="11"/>
      <c r="X328" s="11">
        <v>0.1101226825</v>
      </c>
      <c r="Y328" s="11" t="b">
        <f t="shared" si="5"/>
        <v>0</v>
      </c>
    </row>
    <row r="329" spans="1:25" x14ac:dyDescent="0.35">
      <c r="A329" s="11">
        <v>2020</v>
      </c>
      <c r="B329" s="11" t="s">
        <v>1980</v>
      </c>
      <c r="C329" s="11" t="s">
        <v>789</v>
      </c>
      <c r="D329" s="163">
        <v>110002672484</v>
      </c>
      <c r="E329" s="11" t="s">
        <v>503</v>
      </c>
      <c r="F329" s="11" t="s">
        <v>504</v>
      </c>
      <c r="G329" s="11" t="s">
        <v>790</v>
      </c>
      <c r="H329" s="11" t="s">
        <v>102</v>
      </c>
      <c r="I329" s="11" t="s">
        <v>1982</v>
      </c>
      <c r="J329" s="11">
        <v>32.803809999999999</v>
      </c>
      <c r="K329" s="11">
        <v>-115.53973999999999</v>
      </c>
      <c r="L329" s="11">
        <v>921</v>
      </c>
      <c r="M329" s="11">
        <v>921</v>
      </c>
      <c r="N329" s="175" t="str">
        <f>VLOOKUP(M329, '2017 SIC to NAICS'!A:D, 2)</f>
        <v>Fish Hatcheries and Preserves</v>
      </c>
      <c r="P329" s="187" t="str">
        <f>VLOOKUP(M329, '2017 SIC to NAICS'!A:D, 4)</f>
        <v>Shellfish Farming</v>
      </c>
      <c r="Q329" s="176" t="e">
        <f>IFERROR(VLOOKUP(O329, 'NAICS OES crosswalk'!A:C, 3, FALSE), VLOOKUP(M329, 'NAICS OES crosswalk'!A:C, 3, FALSE))</f>
        <v>#N/A</v>
      </c>
      <c r="U329" s="188">
        <v>181002040701</v>
      </c>
      <c r="V329" s="11" t="s">
        <v>791</v>
      </c>
      <c r="W329" s="11"/>
      <c r="X329" s="11">
        <v>2.9012025E-3</v>
      </c>
      <c r="Y329" s="11" t="b">
        <f t="shared" si="5"/>
        <v>0</v>
      </c>
    </row>
    <row r="330" spans="1:25" x14ac:dyDescent="0.35">
      <c r="A330" s="11">
        <v>2020</v>
      </c>
      <c r="B330" s="11" t="s">
        <v>1980</v>
      </c>
      <c r="C330" s="11" t="s">
        <v>1471</v>
      </c>
      <c r="D330" s="163">
        <v>110054612558</v>
      </c>
      <c r="E330" s="11" t="s">
        <v>426</v>
      </c>
      <c r="F330" s="11" t="s">
        <v>427</v>
      </c>
      <c r="G330" s="11" t="s">
        <v>1144</v>
      </c>
      <c r="H330" s="11" t="s">
        <v>129</v>
      </c>
      <c r="I330" s="11" t="s">
        <v>1981</v>
      </c>
      <c r="J330" s="11">
        <v>39.423425000000002</v>
      </c>
      <c r="K330" s="11">
        <v>-91.025666000000001</v>
      </c>
      <c r="L330" s="11">
        <v>2869</v>
      </c>
      <c r="M330" s="11">
        <v>2869</v>
      </c>
      <c r="N330" s="175" t="str">
        <f>VLOOKUP(M330, '2017 SIC to NAICS'!A:D, 2)</f>
        <v>Industrial Organic Chemicals, Nec</v>
      </c>
      <c r="P330" s="187" t="str">
        <f>VLOOKUP(M330, '2017 SIC to NAICS'!A:D, 4)</f>
        <v>All Other Miscellaneous Chemical Product and Preparation Manufacturing</v>
      </c>
      <c r="Q330" s="176" t="str">
        <f>IFERROR(VLOOKUP(O330, 'NAICS OES crosswalk'!A:C, 3, FALSE), VLOOKUP(M330, 'NAICS OES crosswalk'!A:C, 3, FALSE))</f>
        <v>Manufacturing</v>
      </c>
      <c r="U330" s="188">
        <v>71100040702</v>
      </c>
      <c r="V330" s="11" t="s">
        <v>1472</v>
      </c>
      <c r="W330" s="11"/>
      <c r="X330" s="11">
        <v>0.1031942</v>
      </c>
      <c r="Y330" s="11" t="b">
        <f t="shared" si="5"/>
        <v>0</v>
      </c>
    </row>
    <row r="331" spans="1:25" x14ac:dyDescent="0.35">
      <c r="A331" s="11">
        <v>2020</v>
      </c>
      <c r="B331" s="11" t="s">
        <v>1980</v>
      </c>
      <c r="C331" s="11" t="s">
        <v>1522</v>
      </c>
      <c r="D331" s="163">
        <v>110070219521</v>
      </c>
      <c r="E331" s="11" t="s">
        <v>471</v>
      </c>
      <c r="F331" s="11" t="s">
        <v>472</v>
      </c>
      <c r="G331" s="11" t="s">
        <v>1163</v>
      </c>
      <c r="H331" s="11" t="s">
        <v>254</v>
      </c>
      <c r="I331" s="11" t="s">
        <v>1982</v>
      </c>
      <c r="J331" s="11">
        <v>40.393389999999997</v>
      </c>
      <c r="K331" s="11">
        <v>-74.758080000000007</v>
      </c>
      <c r="M331" s="11"/>
      <c r="N331" s="175" t="e">
        <f>VLOOKUP(M331, '2017 SIC to NAICS'!A:D, 2)</f>
        <v>#N/A</v>
      </c>
      <c r="P331" s="187" t="e">
        <f>VLOOKUP(M331, '2017 SIC to NAICS'!A:D, 4)</f>
        <v>#N/A</v>
      </c>
      <c r="Q331" s="176" t="e">
        <f>IFERROR(VLOOKUP(O331, 'NAICS OES crosswalk'!A:C, 3, FALSE), VLOOKUP(M331, 'NAICS OES crosswalk'!A:C, 3, FALSE))</f>
        <v>#N/A</v>
      </c>
      <c r="U331" s="188">
        <v>20301050309</v>
      </c>
      <c r="V331" s="11" t="s">
        <v>1523</v>
      </c>
      <c r="W331" s="11"/>
      <c r="X331" s="11">
        <v>9.6145983325000003E-2</v>
      </c>
      <c r="Y331" s="11" t="b">
        <f t="shared" si="5"/>
        <v>0</v>
      </c>
    </row>
    <row r="332" spans="1:25" x14ac:dyDescent="0.35">
      <c r="A332" s="11">
        <v>2020</v>
      </c>
      <c r="B332" s="11" t="s">
        <v>1980</v>
      </c>
      <c r="C332" s="11" t="s">
        <v>1332</v>
      </c>
      <c r="D332" s="163">
        <v>110064621805</v>
      </c>
      <c r="E332" s="11" t="s">
        <v>449</v>
      </c>
      <c r="F332" s="11" t="s">
        <v>450</v>
      </c>
      <c r="G332" s="11" t="s">
        <v>1333</v>
      </c>
      <c r="H332" s="11" t="s">
        <v>451</v>
      </c>
      <c r="I332" s="11" t="s">
        <v>1981</v>
      </c>
      <c r="J332" s="11">
        <v>41.952649999999998</v>
      </c>
      <c r="K332" s="11">
        <v>-71.269720000000007</v>
      </c>
      <c r="L332" s="11">
        <v>3356</v>
      </c>
      <c r="M332" s="11">
        <v>3356</v>
      </c>
      <c r="N332" s="175" t="str">
        <f>VLOOKUP(M332, '2017 SIC to NAICS'!A:D, 2)</f>
        <v>Nonferrous Rolling and Drawing, Nec</v>
      </c>
      <c r="P332" s="187" t="str">
        <f>VLOOKUP(M332, '2017 SIC to NAICS'!A:D, 4)</f>
        <v>Nonferrous Metal (except Copper and Aluminum) Rolling, Drawing, and Extruding</v>
      </c>
      <c r="Q332" s="176" t="e">
        <f>IFERROR(VLOOKUP(O332, 'NAICS OES crosswalk'!A:C, 3, FALSE), VLOOKUP(M332, 'NAICS OES crosswalk'!A:C, 3, FALSE))</f>
        <v>#N/A</v>
      </c>
      <c r="U332" s="188">
        <v>10900040401</v>
      </c>
      <c r="V332" s="11" t="s">
        <v>1334</v>
      </c>
      <c r="W332" s="11"/>
      <c r="X332" s="11">
        <v>9.5464871628750003E-2</v>
      </c>
      <c r="Y332" s="11" t="b">
        <f t="shared" si="5"/>
        <v>0</v>
      </c>
    </row>
    <row r="333" spans="1:25" x14ac:dyDescent="0.35">
      <c r="A333" s="11">
        <v>2020</v>
      </c>
      <c r="B333" s="11" t="s">
        <v>1980</v>
      </c>
      <c r="C333" s="11" t="s">
        <v>1422</v>
      </c>
      <c r="D333" s="163">
        <v>110003597395</v>
      </c>
      <c r="E333" s="11" t="s">
        <v>386</v>
      </c>
      <c r="F333" s="11" t="s">
        <v>387</v>
      </c>
      <c r="G333" s="11" t="s">
        <v>1423</v>
      </c>
      <c r="H333" s="11" t="s">
        <v>181</v>
      </c>
      <c r="I333" s="11" t="s">
        <v>1982</v>
      </c>
      <c r="J333" s="11">
        <v>42.591610000000003</v>
      </c>
      <c r="K333" s="11">
        <v>-83.602609999999999</v>
      </c>
      <c r="L333" s="11">
        <v>1799</v>
      </c>
      <c r="M333" s="11">
        <v>1799</v>
      </c>
      <c r="N333" s="175" t="str">
        <f>VLOOKUP(M333, '2017 SIC to NAICS'!A:D, 2)</f>
        <v>Special Trade Contractors, Nec</v>
      </c>
      <c r="O333" s="11">
        <v>562910</v>
      </c>
      <c r="P333" s="187" t="str">
        <f>VLOOKUP(M333, '2017 SIC to NAICS'!A:D, 4)</f>
        <v>Remediation Services</v>
      </c>
      <c r="Q333" s="176" t="e">
        <f>IFERROR(VLOOKUP(O333, 'NAICS OES crosswalk'!A:C, 3, FALSE), VLOOKUP(M333, 'NAICS OES crosswalk'!A:C, 3, FALSE))</f>
        <v>#N/A</v>
      </c>
      <c r="U333" s="188">
        <v>40900050104</v>
      </c>
      <c r="V333" s="11" t="s">
        <v>1424</v>
      </c>
      <c r="W333" s="11"/>
      <c r="X333" s="11">
        <v>9.5096610999999998E-2</v>
      </c>
      <c r="Y333" s="11" t="b">
        <f t="shared" si="5"/>
        <v>0</v>
      </c>
    </row>
    <row r="334" spans="1:25" x14ac:dyDescent="0.35">
      <c r="A334" s="11">
        <v>2020</v>
      </c>
      <c r="B334" s="11" t="s">
        <v>1980</v>
      </c>
      <c r="C334" s="11" t="s">
        <v>1571</v>
      </c>
      <c r="D334" s="163">
        <v>110000326193</v>
      </c>
      <c r="E334" s="11" t="s">
        <v>459</v>
      </c>
      <c r="F334" s="11" t="s">
        <v>460</v>
      </c>
      <c r="G334" s="11" t="s">
        <v>1572</v>
      </c>
      <c r="H334" s="11" t="s">
        <v>126</v>
      </c>
      <c r="I334" s="11" t="s">
        <v>1981</v>
      </c>
      <c r="J334" s="11">
        <v>42.308895999999997</v>
      </c>
      <c r="K334" s="11">
        <v>-75.397531999999998</v>
      </c>
      <c r="L334" s="11">
        <v>3471</v>
      </c>
      <c r="M334" s="11">
        <v>3471</v>
      </c>
      <c r="N334" s="175" t="str">
        <f>VLOOKUP(M334, '2017 SIC to NAICS'!A:D, 2)</f>
        <v>Plating and Polishing</v>
      </c>
      <c r="P334" s="187" t="str">
        <f>VLOOKUP(M334, '2017 SIC to NAICS'!A:D, 4)</f>
        <v>Electroplating, Plating, Polishing,
Anodizing, and Coloring</v>
      </c>
      <c r="Q334" s="176" t="e">
        <f>IFERROR(VLOOKUP(O334, 'NAICS OES crosswalk'!A:C, 3, FALSE), VLOOKUP(M334, 'NAICS OES crosswalk'!A:C, 3, FALSE))</f>
        <v>#N/A</v>
      </c>
      <c r="U334" s="188">
        <v>20501011105</v>
      </c>
      <c r="V334" s="11" t="s">
        <v>1573</v>
      </c>
      <c r="W334" s="11"/>
      <c r="X334" s="11">
        <v>9.1623317105000004E-2</v>
      </c>
      <c r="Y334" s="11" t="b">
        <f t="shared" si="5"/>
        <v>0</v>
      </c>
    </row>
    <row r="335" spans="1:25" x14ac:dyDescent="0.35">
      <c r="A335" s="11">
        <v>2020</v>
      </c>
      <c r="B335" s="11" t="s">
        <v>1980</v>
      </c>
      <c r="C335" s="11" t="s">
        <v>1597</v>
      </c>
      <c r="D335" s="163">
        <v>110015744024</v>
      </c>
      <c r="E335" s="11" t="s">
        <v>469</v>
      </c>
      <c r="F335" s="11" t="s">
        <v>470</v>
      </c>
      <c r="G335" s="11" t="s">
        <v>1598</v>
      </c>
      <c r="H335" s="11" t="s">
        <v>126</v>
      </c>
      <c r="I335" s="11" t="s">
        <v>1982</v>
      </c>
      <c r="J335" s="11">
        <v>42.025620000000004</v>
      </c>
      <c r="K335" s="11">
        <v>-74.099329999999995</v>
      </c>
      <c r="L335" s="11">
        <v>9511</v>
      </c>
      <c r="M335" s="11">
        <v>9511</v>
      </c>
      <c r="N335" s="175" t="str">
        <f>VLOOKUP(M335, '2017 SIC to NAICS'!A:D, 2)</f>
        <v>Air, Water, and Solid Waste Management</v>
      </c>
      <c r="P335" s="187" t="str">
        <f>VLOOKUP(M335, '2017 SIC to NAICS'!A:D, 4)</f>
        <v>Administration of Air and Water Resource
and Solid Waste Management Programs</v>
      </c>
      <c r="Q335" s="176" t="e">
        <f>IFERROR(VLOOKUP(O335, 'NAICS OES crosswalk'!A:C, 3, FALSE), VLOOKUP(M335, 'NAICS OES crosswalk'!A:C, 3, FALSE))</f>
        <v>#N/A</v>
      </c>
      <c r="U335" s="188">
        <v>20200060907</v>
      </c>
      <c r="V335" s="11" t="s">
        <v>1599</v>
      </c>
      <c r="W335" s="11"/>
      <c r="X335" s="11">
        <v>8.7018947875000002E-2</v>
      </c>
      <c r="Y335" s="11" t="b">
        <f t="shared" si="5"/>
        <v>0</v>
      </c>
    </row>
    <row r="336" spans="1:25" ht="29" x14ac:dyDescent="0.35">
      <c r="A336" s="11">
        <v>2020</v>
      </c>
      <c r="B336" s="11" t="s">
        <v>1980</v>
      </c>
      <c r="C336" s="11" t="s">
        <v>1269</v>
      </c>
      <c r="D336" s="163">
        <v>110030443544</v>
      </c>
      <c r="E336" s="11" t="s">
        <v>473</v>
      </c>
      <c r="F336" s="11" t="s">
        <v>474</v>
      </c>
      <c r="G336" s="11" t="s">
        <v>1270</v>
      </c>
      <c r="H336" s="11" t="s">
        <v>108</v>
      </c>
      <c r="I336" s="11" t="s">
        <v>1982</v>
      </c>
      <c r="J336" s="11">
        <v>38.127222000000003</v>
      </c>
      <c r="K336" s="11">
        <v>-83.769443999999993</v>
      </c>
      <c r="L336" s="11">
        <v>4952</v>
      </c>
      <c r="M336" s="11">
        <v>4952</v>
      </c>
      <c r="N336" s="175" t="str">
        <f>VLOOKUP(M336, '2017 SIC to NAICS'!A:D, 2)</f>
        <v>Sewerage Systems</v>
      </c>
      <c r="O336" s="11">
        <v>221320</v>
      </c>
      <c r="P336" s="187" t="str">
        <f>VLOOKUP(M336, '2017 SIC to NAICS'!A:D, 4)</f>
        <v>Sewage Treatment Facilities</v>
      </c>
      <c r="Q336" s="176" t="str">
        <f>IFERROR(VLOOKUP(O336, 'NAICS OES crosswalk'!A:C, 3, FALSE), VLOOKUP(M336, 'NAICS OES crosswalk'!A:C, 3, FALSE))</f>
        <v>Waste handling, disposal, and treatment</v>
      </c>
      <c r="U336" s="188">
        <v>51001010704</v>
      </c>
      <c r="V336" s="11" t="s">
        <v>1271</v>
      </c>
      <c r="W336" s="11"/>
      <c r="X336" s="11">
        <v>8.6345312499999993E-2</v>
      </c>
      <c r="Y336" s="11" t="b">
        <f t="shared" si="5"/>
        <v>0</v>
      </c>
    </row>
    <row r="337" spans="1:25" x14ac:dyDescent="0.35">
      <c r="A337" s="11">
        <v>2020</v>
      </c>
      <c r="B337" s="11" t="s">
        <v>1980</v>
      </c>
      <c r="C337" s="11" t="s">
        <v>1625</v>
      </c>
      <c r="D337" s="163">
        <v>110064634686</v>
      </c>
      <c r="E337" s="11" t="s">
        <v>461</v>
      </c>
      <c r="F337" s="11" t="s">
        <v>462</v>
      </c>
      <c r="G337" s="11" t="s">
        <v>1626</v>
      </c>
      <c r="H337" s="11" t="s">
        <v>340</v>
      </c>
      <c r="I337" s="11" t="s">
        <v>1981</v>
      </c>
      <c r="J337" s="11">
        <v>40.095258000000001</v>
      </c>
      <c r="K337" s="11">
        <v>-74.877359999999996</v>
      </c>
      <c r="L337" s="11">
        <v>2821</v>
      </c>
      <c r="M337" s="11">
        <v>2821</v>
      </c>
      <c r="N337" s="175" t="str">
        <f>VLOOKUP(M337, '2017 SIC to NAICS'!A:D, 2)</f>
        <v>Plastics Materials and Resins</v>
      </c>
      <c r="P337" s="187" t="str">
        <f>VLOOKUP(M337, '2017 SIC to NAICS'!A:D, 4)</f>
        <v>Plastics Material and Resin Manufacturing</v>
      </c>
      <c r="Q337" s="176" t="str">
        <f>IFERROR(VLOOKUP(O337, 'NAICS OES crosswalk'!A:C, 3, FALSE), VLOOKUP(M337, 'NAICS OES crosswalk'!A:C, 3, FALSE))</f>
        <v>Processing as a reactant</v>
      </c>
      <c r="U337" s="188">
        <v>20402010405</v>
      </c>
      <c r="V337" s="11" t="s">
        <v>1627</v>
      </c>
      <c r="W337" s="11"/>
      <c r="X337" s="11">
        <v>8.4943400000000002E-2</v>
      </c>
      <c r="Y337" s="11" t="b">
        <f t="shared" si="5"/>
        <v>0</v>
      </c>
    </row>
    <row r="338" spans="1:25" x14ac:dyDescent="0.35">
      <c r="A338" s="11">
        <v>2020</v>
      </c>
      <c r="B338" s="11" t="s">
        <v>1980</v>
      </c>
      <c r="C338" s="11" t="s">
        <v>763</v>
      </c>
      <c r="D338" s="163">
        <v>110018199377</v>
      </c>
      <c r="E338" s="11" t="s">
        <v>109</v>
      </c>
      <c r="F338" s="11" t="s">
        <v>110</v>
      </c>
      <c r="G338" s="11" t="s">
        <v>764</v>
      </c>
      <c r="H338" s="11" t="s">
        <v>111</v>
      </c>
      <c r="I338" s="11" t="s">
        <v>1982</v>
      </c>
      <c r="J338" s="11">
        <v>41.692782000000001</v>
      </c>
      <c r="K338" s="11">
        <v>-87.951100999999994</v>
      </c>
      <c r="L338" s="11">
        <v>4226</v>
      </c>
      <c r="M338" s="11">
        <v>4226</v>
      </c>
      <c r="N338" s="175" t="str">
        <f>VLOOKUP(M338, '2017 SIC to NAICS'!A:D, 2)</f>
        <v>Special Warehousing and Storage, Nec</v>
      </c>
      <c r="P338" s="187" t="str">
        <f>VLOOKUP(M338, '2017 SIC to NAICS'!A:D, 4)</f>
        <v>Other Warehousing and Storage</v>
      </c>
      <c r="Q338" s="176" t="e">
        <f>IFERROR(VLOOKUP(O338, 'NAICS OES crosswalk'!A:C, 3, FALSE), VLOOKUP(M338, 'NAICS OES crosswalk'!A:C, 3, FALSE))</f>
        <v>#N/A</v>
      </c>
      <c r="U338" s="188">
        <v>71200040705</v>
      </c>
      <c r="V338" s="11" t="s">
        <v>767</v>
      </c>
      <c r="W338" s="11"/>
      <c r="X338" s="11">
        <v>8.4761290000000003E-2</v>
      </c>
      <c r="Y338" s="11" t="b">
        <f t="shared" si="5"/>
        <v>0</v>
      </c>
    </row>
    <row r="339" spans="1:25" x14ac:dyDescent="0.35">
      <c r="A339" s="11">
        <v>2020</v>
      </c>
      <c r="B339" s="11" t="s">
        <v>1980</v>
      </c>
      <c r="C339" s="11" t="s">
        <v>1728</v>
      </c>
      <c r="D339" s="163">
        <v>110070548118</v>
      </c>
      <c r="E339" s="11" t="s">
        <v>401</v>
      </c>
      <c r="F339" s="11" t="s">
        <v>402</v>
      </c>
      <c r="G339" s="11" t="s">
        <v>1729</v>
      </c>
      <c r="H339" s="11" t="s">
        <v>276</v>
      </c>
      <c r="I339" s="11" t="s">
        <v>1982</v>
      </c>
      <c r="J339" s="11">
        <v>38.890925000000003</v>
      </c>
      <c r="K339" s="11">
        <v>-77.184034999999994</v>
      </c>
      <c r="L339" s="11">
        <v>1794</v>
      </c>
      <c r="M339" s="11">
        <v>1794</v>
      </c>
      <c r="N339" s="175" t="str">
        <f>VLOOKUP(M339, '2017 SIC to NAICS'!A:D, 2)</f>
        <v>Excavation Work</v>
      </c>
      <c r="P339" s="187" t="str">
        <f>VLOOKUP(M339, '2017 SIC to NAICS'!A:D, 4)</f>
        <v>Site Preparation Contractors</v>
      </c>
      <c r="Q339" s="176" t="e">
        <f>IFERROR(VLOOKUP(O339, 'NAICS OES crosswalk'!A:C, 3, FALSE), VLOOKUP(M339, 'NAICS OES crosswalk'!A:C, 3, FALSE))</f>
        <v>#N/A</v>
      </c>
      <c r="U339" s="188">
        <v>20700100302</v>
      </c>
      <c r="V339" s="11" t="s">
        <v>1730</v>
      </c>
      <c r="W339" s="11"/>
      <c r="X339" s="11">
        <v>8.4481200000000006E-2</v>
      </c>
      <c r="Y339" s="11" t="b">
        <f t="shared" si="5"/>
        <v>0</v>
      </c>
    </row>
    <row r="340" spans="1:25" x14ac:dyDescent="0.35">
      <c r="A340" s="11">
        <v>2020</v>
      </c>
      <c r="B340" s="11" t="s">
        <v>1980</v>
      </c>
      <c r="C340" s="11" t="s">
        <v>1631</v>
      </c>
      <c r="D340" s="163">
        <v>110000772628</v>
      </c>
      <c r="E340" s="11" t="s">
        <v>416</v>
      </c>
      <c r="F340" s="11" t="s">
        <v>417</v>
      </c>
      <c r="G340" s="11" t="s">
        <v>1626</v>
      </c>
      <c r="H340" s="11" t="s">
        <v>340</v>
      </c>
      <c r="I340" s="11" t="s">
        <v>1982</v>
      </c>
      <c r="J340" s="11">
        <v>40.177332</v>
      </c>
      <c r="K340" s="11">
        <v>-74.800439999999995</v>
      </c>
      <c r="L340" s="11">
        <v>2819</v>
      </c>
      <c r="M340" s="11">
        <v>2819</v>
      </c>
      <c r="N340" s="175" t="str">
        <f>VLOOKUP(M340, '2017 SIC to NAICS'!A:D, 2)</f>
        <v>Industrial Inorganic Chemicals, Nec</v>
      </c>
      <c r="P340" s="187" t="str">
        <f>VLOOKUP(M340, '2017 SIC to NAICS'!A:D, 4)</f>
        <v>Alumina Refining and Primary Aluminum
Production</v>
      </c>
      <c r="Q340" s="176" t="str">
        <f>IFERROR(VLOOKUP(O340, 'NAICS OES crosswalk'!A:C, 3, FALSE), VLOOKUP(M340, 'NAICS OES crosswalk'!A:C, 3, FALSE))</f>
        <v>Processing as a reactant</v>
      </c>
      <c r="U340" s="188">
        <v>20402010403</v>
      </c>
      <c r="V340" s="11" t="s">
        <v>1632</v>
      </c>
      <c r="W340" s="11"/>
      <c r="X340" s="11">
        <v>8.2891500000000007E-2</v>
      </c>
      <c r="Y340" s="11" t="b">
        <f t="shared" si="5"/>
        <v>0</v>
      </c>
    </row>
    <row r="341" spans="1:25" x14ac:dyDescent="0.35">
      <c r="A341" s="11">
        <v>2020</v>
      </c>
      <c r="B341" s="11" t="s">
        <v>1980</v>
      </c>
      <c r="C341" s="11" t="s">
        <v>1358</v>
      </c>
      <c r="D341" s="163">
        <v>110000408238</v>
      </c>
      <c r="E341" s="11" t="s">
        <v>499</v>
      </c>
      <c r="F341" s="11" t="s">
        <v>500</v>
      </c>
      <c r="G341" s="11" t="s">
        <v>1359</v>
      </c>
      <c r="H341" s="11" t="s">
        <v>181</v>
      </c>
      <c r="I341" s="11" t="s">
        <v>1982</v>
      </c>
      <c r="J341" s="11">
        <v>43.185969999999998</v>
      </c>
      <c r="K341" s="11">
        <v>-85.256680000000003</v>
      </c>
      <c r="L341" s="11">
        <v>3632</v>
      </c>
      <c r="M341" s="11">
        <v>3632</v>
      </c>
      <c r="N341" s="175" t="str">
        <f>VLOOKUP(M341, '2017 SIC to NAICS'!A:D, 2)</f>
        <v>Household Refrigerators and Freezers</v>
      </c>
      <c r="O341" s="11">
        <v>333415</v>
      </c>
      <c r="P341" s="187" t="str">
        <f>VLOOKUP(M341, '2017 SIC to NAICS'!A:D, 4)</f>
        <v>Major Household Appliance Manufacturing</v>
      </c>
      <c r="Q341" s="176" t="e">
        <f>IFERROR(VLOOKUP(O341, 'NAICS OES crosswalk'!A:C, 3, FALSE), VLOOKUP(M341, 'NAICS OES crosswalk'!A:C, 3, FALSE))</f>
        <v>#N/A</v>
      </c>
      <c r="U341" s="188">
        <v>40500060206</v>
      </c>
      <c r="V341" s="11" t="s">
        <v>1362</v>
      </c>
      <c r="W341" s="11"/>
      <c r="X341" s="11">
        <v>1.3346273360000001E-2</v>
      </c>
      <c r="Y341" s="11" t="b">
        <f t="shared" si="5"/>
        <v>0</v>
      </c>
    </row>
    <row r="342" spans="1:25" ht="29" x14ac:dyDescent="0.35">
      <c r="A342" s="11">
        <v>2020</v>
      </c>
      <c r="B342" s="11" t="s">
        <v>1980</v>
      </c>
      <c r="C342" s="11" t="s">
        <v>980</v>
      </c>
      <c r="D342" s="163">
        <v>110000730825</v>
      </c>
      <c r="E342" s="11" t="s">
        <v>412</v>
      </c>
      <c r="F342" s="11" t="s">
        <v>413</v>
      </c>
      <c r="G342" s="11" t="s">
        <v>790</v>
      </c>
      <c r="H342" s="11" t="s">
        <v>102</v>
      </c>
      <c r="I342" s="11" t="s">
        <v>1981</v>
      </c>
      <c r="J342" s="11">
        <v>32.664450000000002</v>
      </c>
      <c r="K342" s="11">
        <v>-115.55970499999999</v>
      </c>
      <c r="L342" s="11">
        <v>4952</v>
      </c>
      <c r="M342" s="11">
        <v>4952</v>
      </c>
      <c r="N342" s="175" t="str">
        <f>VLOOKUP(M342, '2017 SIC to NAICS'!A:D, 2)</f>
        <v>Sewerage Systems</v>
      </c>
      <c r="P342" s="187" t="str">
        <f>VLOOKUP(M342, '2017 SIC to NAICS'!A:D, 4)</f>
        <v>Sewage Treatment Facilities</v>
      </c>
      <c r="Q342" s="176" t="str">
        <f>IFERROR(VLOOKUP(O342, 'NAICS OES crosswalk'!A:C, 3, FALSE), VLOOKUP(M342, 'NAICS OES crosswalk'!A:C, 3, FALSE))</f>
        <v>Waste handling, disposal, and treatment</v>
      </c>
      <c r="U342" s="188">
        <v>181002040902</v>
      </c>
      <c r="V342" s="11" t="s">
        <v>972</v>
      </c>
      <c r="W342" s="11"/>
      <c r="X342" s="11">
        <v>8.1958970625000002E-2</v>
      </c>
      <c r="Y342" s="11" t="b">
        <f t="shared" si="5"/>
        <v>0</v>
      </c>
    </row>
    <row r="343" spans="1:25" x14ac:dyDescent="0.35">
      <c r="A343" s="11">
        <v>2020</v>
      </c>
      <c r="B343" s="11" t="s">
        <v>1980</v>
      </c>
      <c r="C343" s="11" t="s">
        <v>1568</v>
      </c>
      <c r="D343" s="163">
        <v>110000737365</v>
      </c>
      <c r="E343" s="11" t="s">
        <v>588</v>
      </c>
      <c r="F343" s="11" t="s">
        <v>589</v>
      </c>
      <c r="G343" s="11" t="s">
        <v>831</v>
      </c>
      <c r="H343" s="11" t="s">
        <v>126</v>
      </c>
      <c r="I343" s="11" t="s">
        <v>1981</v>
      </c>
      <c r="J343" s="11">
        <v>43.129750000000001</v>
      </c>
      <c r="K343" s="11">
        <v>-78.939679999999996</v>
      </c>
      <c r="L343" s="11">
        <v>9511</v>
      </c>
      <c r="M343" s="11">
        <v>9511</v>
      </c>
      <c r="N343" s="175" t="str">
        <f>VLOOKUP(M343, '2017 SIC to NAICS'!A:D, 2)</f>
        <v>Air, Water, and Solid Waste Management</v>
      </c>
      <c r="P343" s="187" t="str">
        <f>VLOOKUP(M343, '2017 SIC to NAICS'!A:D, 4)</f>
        <v>Administration of Air and Water Resource
and Solid Waste Management Programs</v>
      </c>
      <c r="Q343" s="176" t="e">
        <f>IFERROR(VLOOKUP(O343, 'NAICS OES crosswalk'!A:C, 3, FALSE), VLOOKUP(M343, 'NAICS OES crosswalk'!A:C, 3, FALSE))</f>
        <v>#N/A</v>
      </c>
      <c r="U343" s="188">
        <v>41201040603</v>
      </c>
      <c r="V343" s="11" t="s">
        <v>1569</v>
      </c>
      <c r="W343" s="11"/>
      <c r="X343" s="11">
        <v>7.7042270954249996E-3</v>
      </c>
      <c r="Y343" s="11" t="b">
        <f t="shared" si="5"/>
        <v>0</v>
      </c>
    </row>
    <row r="344" spans="1:25" x14ac:dyDescent="0.35">
      <c r="A344" s="11">
        <v>2020</v>
      </c>
      <c r="B344" s="11" t="s">
        <v>1980</v>
      </c>
      <c r="C344" s="11" t="s">
        <v>1040</v>
      </c>
      <c r="D344" s="163">
        <v>110000547196</v>
      </c>
      <c r="E344" s="11" t="s">
        <v>468</v>
      </c>
      <c r="F344" s="11" t="s">
        <v>260</v>
      </c>
      <c r="G344" s="11" t="s">
        <v>1041</v>
      </c>
      <c r="H344" s="11" t="s">
        <v>111</v>
      </c>
      <c r="I344" s="11" t="s">
        <v>1982</v>
      </c>
      <c r="J344" s="11">
        <v>41.405655000000003</v>
      </c>
      <c r="K344" s="11">
        <v>-88.335212999999996</v>
      </c>
      <c r="L344" s="11">
        <v>2869</v>
      </c>
      <c r="M344" s="11">
        <v>2869</v>
      </c>
      <c r="N344" s="175" t="str">
        <f>VLOOKUP(M344, '2017 SIC to NAICS'!A:D, 2)</f>
        <v>Industrial Organic Chemicals, Nec</v>
      </c>
      <c r="P344" s="187" t="str">
        <f>VLOOKUP(M344, '2017 SIC to NAICS'!A:D, 4)</f>
        <v>All Other Miscellaneous Chemical Product and Preparation Manufacturing</v>
      </c>
      <c r="Q344" s="176" t="str">
        <f>IFERROR(VLOOKUP(O344, 'NAICS OES crosswalk'!A:C, 3, FALSE), VLOOKUP(M344, 'NAICS OES crosswalk'!A:C, 3, FALSE))</f>
        <v>Manufacturing</v>
      </c>
      <c r="U344" s="188">
        <v>71200050106</v>
      </c>
      <c r="V344" s="11" t="s">
        <v>798</v>
      </c>
      <c r="W344" s="11"/>
      <c r="X344" s="11">
        <v>6.2107200000000001E-2</v>
      </c>
      <c r="Y344" s="11" t="b">
        <f t="shared" si="5"/>
        <v>0</v>
      </c>
    </row>
    <row r="345" spans="1:25" ht="29" x14ac:dyDescent="0.35">
      <c r="A345" s="11">
        <v>2020</v>
      </c>
      <c r="B345" s="11" t="s">
        <v>1980</v>
      </c>
      <c r="C345" s="11" t="s">
        <v>1400</v>
      </c>
      <c r="D345" s="163">
        <v>110001847761</v>
      </c>
      <c r="E345" s="11" t="s">
        <v>497</v>
      </c>
      <c r="F345" s="11" t="s">
        <v>498</v>
      </c>
      <c r="G345" s="11" t="s">
        <v>1401</v>
      </c>
      <c r="H345" s="11" t="s">
        <v>181</v>
      </c>
      <c r="I345" s="11" t="s">
        <v>1982</v>
      </c>
      <c r="J345" s="11">
        <v>41.775967999999999</v>
      </c>
      <c r="K345" s="11">
        <v>-86.654864000000003</v>
      </c>
      <c r="L345" s="11">
        <v>4953</v>
      </c>
      <c r="M345" s="11">
        <v>4953</v>
      </c>
      <c r="N345" s="175" t="str">
        <f>VLOOKUP(M345, '2017 SIC to NAICS'!A:D, 2)</f>
        <v>Refuse Systems</v>
      </c>
      <c r="O345" s="11">
        <v>562212</v>
      </c>
      <c r="P345" s="187" t="str">
        <f>VLOOKUP(M345, '2017 SIC to NAICS'!A:D, 4)</f>
        <v>Materials Recovery Facilities</v>
      </c>
      <c r="Q345" s="176" t="str">
        <f>IFERROR(VLOOKUP(O345, 'NAICS OES crosswalk'!A:C, 3, FALSE), VLOOKUP(M345, 'NAICS OES crosswalk'!A:C, 3, FALSE))</f>
        <v>Waste handling, disposal, and treatment</v>
      </c>
      <c r="U345" s="188">
        <v>40400010206</v>
      </c>
      <c r="V345" s="11" t="s">
        <v>1402</v>
      </c>
      <c r="W345" s="11"/>
      <c r="X345" s="11">
        <v>5.5975608000000003E-2</v>
      </c>
      <c r="Y345" s="11" t="b">
        <f t="shared" si="5"/>
        <v>0</v>
      </c>
    </row>
    <row r="346" spans="1:25" x14ac:dyDescent="0.35">
      <c r="A346" s="11">
        <v>2020</v>
      </c>
      <c r="B346" s="11" t="s">
        <v>1980</v>
      </c>
      <c r="C346" s="11" t="s">
        <v>1388</v>
      </c>
      <c r="D346" s="163">
        <v>110001301074</v>
      </c>
      <c r="E346" s="11" t="s">
        <v>441</v>
      </c>
      <c r="F346" s="11" t="s">
        <v>357</v>
      </c>
      <c r="G346" s="11" t="s">
        <v>1389</v>
      </c>
      <c r="H346" s="11" t="s">
        <v>181</v>
      </c>
      <c r="I346" s="11" t="s">
        <v>1982</v>
      </c>
      <c r="J346" s="11">
        <v>44.260753000000001</v>
      </c>
      <c r="K346" s="11">
        <v>-85.408919999999995</v>
      </c>
      <c r="L346" s="11">
        <v>3635</v>
      </c>
      <c r="M346" s="11">
        <v>3635</v>
      </c>
      <c r="N346" s="175" t="str">
        <f>VLOOKUP(M346, '2017 SIC to NAICS'!A:D, 2)</f>
        <v>Household Vacuum Cleaners</v>
      </c>
      <c r="O346" s="11">
        <v>335210</v>
      </c>
      <c r="P346" s="187" t="str">
        <f>VLOOKUP(M346, '2017 SIC to NAICS'!A:D, 4)</f>
        <v>Small Electrical Appliance Manufacturing</v>
      </c>
      <c r="Q346" s="176" t="e">
        <f>IFERROR(VLOOKUP(O346, 'NAICS OES crosswalk'!A:C, 3, FALSE), VLOOKUP(M346, 'NAICS OES crosswalk'!A:C, 3, FALSE))</f>
        <v>#N/A</v>
      </c>
      <c r="U346" s="188">
        <v>40601020303</v>
      </c>
      <c r="V346" s="11" t="s">
        <v>1390</v>
      </c>
      <c r="W346" s="11"/>
      <c r="X346" s="11">
        <v>5.4623743636363603E-2</v>
      </c>
      <c r="Y346" s="11" t="b">
        <f t="shared" si="5"/>
        <v>0</v>
      </c>
    </row>
    <row r="347" spans="1:25" ht="29" x14ac:dyDescent="0.35">
      <c r="A347" s="11">
        <v>2020</v>
      </c>
      <c r="B347" s="11" t="s">
        <v>1980</v>
      </c>
      <c r="C347" s="11" t="s">
        <v>981</v>
      </c>
      <c r="D347" s="163">
        <v>110070619860</v>
      </c>
      <c r="E347" s="11" t="s">
        <v>442</v>
      </c>
      <c r="F347" s="11" t="s">
        <v>443</v>
      </c>
      <c r="G347" s="11" t="s">
        <v>982</v>
      </c>
      <c r="H347" s="11" t="s">
        <v>102</v>
      </c>
      <c r="I347" s="11" t="s">
        <v>1981</v>
      </c>
      <c r="J347" s="11">
        <v>38.627777999999999</v>
      </c>
      <c r="K347" s="11">
        <v>-120.984167</v>
      </c>
      <c r="L347" s="11">
        <v>4952</v>
      </c>
      <c r="M347" s="11">
        <v>4952</v>
      </c>
      <c r="N347" s="175" t="str">
        <f>VLOOKUP(M347, '2017 SIC to NAICS'!A:D, 2)</f>
        <v>Sewerage Systems</v>
      </c>
      <c r="P347" s="187" t="str">
        <f>VLOOKUP(M347, '2017 SIC to NAICS'!A:D, 4)</f>
        <v>Sewage Treatment Facilities</v>
      </c>
      <c r="Q347" s="176" t="str">
        <f>IFERROR(VLOOKUP(O347, 'NAICS OES crosswalk'!A:C, 3, FALSE), VLOOKUP(M347, 'NAICS OES crosswalk'!A:C, 3, FALSE))</f>
        <v>Waste handling, disposal, and treatment</v>
      </c>
      <c r="U347" s="188">
        <v>180400130502</v>
      </c>
      <c r="V347" s="11" t="s">
        <v>983</v>
      </c>
      <c r="W347" s="11"/>
      <c r="X347" s="11">
        <v>5.2668275000000001E-2</v>
      </c>
      <c r="Y347" s="11" t="b">
        <f t="shared" si="5"/>
        <v>0</v>
      </c>
    </row>
    <row r="348" spans="1:25" x14ac:dyDescent="0.35">
      <c r="A348" s="11">
        <v>2020</v>
      </c>
      <c r="B348" s="11" t="s">
        <v>1980</v>
      </c>
      <c r="C348" s="11" t="s">
        <v>1501</v>
      </c>
      <c r="D348" s="163">
        <v>110000321651</v>
      </c>
      <c r="E348" s="11" t="s">
        <v>541</v>
      </c>
      <c r="F348" s="11" t="s">
        <v>542</v>
      </c>
      <c r="G348" s="11" t="s">
        <v>818</v>
      </c>
      <c r="H348" s="11" t="s">
        <v>254</v>
      </c>
      <c r="I348" s="11" t="s">
        <v>1981</v>
      </c>
      <c r="J348" s="11">
        <v>40.331944</v>
      </c>
      <c r="K348" s="11">
        <v>-74.619721999999996</v>
      </c>
      <c r="L348" s="11">
        <v>2869</v>
      </c>
      <c r="M348" s="11">
        <v>2869</v>
      </c>
      <c r="N348" s="175" t="str">
        <f>VLOOKUP(M348, '2017 SIC to NAICS'!A:D, 2)</f>
        <v>Industrial Organic Chemicals, Nec</v>
      </c>
      <c r="O348" s="11">
        <v>325199</v>
      </c>
      <c r="P348" s="187" t="str">
        <f>VLOOKUP(M348, '2017 SIC to NAICS'!A:D, 4)</f>
        <v>All Other Miscellaneous Chemical Product and Preparation Manufacturing</v>
      </c>
      <c r="Q348" s="176" t="str">
        <f>IFERROR(VLOOKUP(O348, 'NAICS OES crosswalk'!A:C, 3, FALSE), VLOOKUP(M348, 'NAICS OES crosswalk'!A:C, 3, FALSE))</f>
        <v>Manufacturing</v>
      </c>
      <c r="U348" s="188">
        <v>20301050306</v>
      </c>
      <c r="V348" s="11" t="s">
        <v>1502</v>
      </c>
      <c r="W348" s="11"/>
      <c r="X348" s="11">
        <v>8.6149999999999994E-3</v>
      </c>
      <c r="Y348" s="11" t="b">
        <f t="shared" si="5"/>
        <v>0</v>
      </c>
    </row>
    <row r="349" spans="1:25" x14ac:dyDescent="0.35">
      <c r="A349" s="11">
        <v>2020</v>
      </c>
      <c r="B349" s="11" t="s">
        <v>1980</v>
      </c>
      <c r="C349" s="11" t="s">
        <v>829</v>
      </c>
      <c r="D349" s="163">
        <v>110059844156</v>
      </c>
      <c r="E349" s="11" t="s">
        <v>512</v>
      </c>
      <c r="F349" s="11" t="s">
        <v>337</v>
      </c>
      <c r="G349" s="11" t="s">
        <v>823</v>
      </c>
      <c r="H349" s="11" t="s">
        <v>221</v>
      </c>
      <c r="I349" s="11" t="s">
        <v>1982</v>
      </c>
      <c r="J349" s="11">
        <v>36.131489999999999</v>
      </c>
      <c r="K349" s="11">
        <v>-115.15483</v>
      </c>
      <c r="L349" s="11">
        <v>1799</v>
      </c>
      <c r="M349" s="11">
        <v>1799</v>
      </c>
      <c r="N349" s="175" t="str">
        <f>VLOOKUP(M349, '2017 SIC to NAICS'!A:D, 2)</f>
        <v>Special Trade Contractors, Nec</v>
      </c>
      <c r="O349" s="11">
        <v>562910</v>
      </c>
      <c r="P349" s="187" t="str">
        <f>VLOOKUP(M349, '2017 SIC to NAICS'!A:D, 4)</f>
        <v>Remediation Services</v>
      </c>
      <c r="Q349" s="176" t="e">
        <f>IFERROR(VLOOKUP(O349, 'NAICS OES crosswalk'!A:C, 3, FALSE), VLOOKUP(M349, 'NAICS OES crosswalk'!A:C, 3, FALSE))</f>
        <v>#N/A</v>
      </c>
      <c r="U349" s="188">
        <v>150100150604</v>
      </c>
      <c r="V349" s="11" t="s">
        <v>738</v>
      </c>
      <c r="W349" s="11"/>
      <c r="X349" s="11">
        <v>4.5219040156250001E-2</v>
      </c>
      <c r="Y349" s="11" t="b">
        <f t="shared" ref="Y349:Y412" si="6" xml:space="preserve"> X349 &lt;= _xlfn.PERCENTILE.INC($X$219:$X$458, 0.1)</f>
        <v>0</v>
      </c>
    </row>
    <row r="350" spans="1:25" x14ac:dyDescent="0.35">
      <c r="A350" s="11">
        <v>2020</v>
      </c>
      <c r="B350" s="11" t="s">
        <v>1980</v>
      </c>
      <c r="C350" s="11" t="s">
        <v>735</v>
      </c>
      <c r="D350" s="163">
        <v>110004306938</v>
      </c>
      <c r="E350" s="11" t="s">
        <v>336</v>
      </c>
      <c r="F350" s="11" t="s">
        <v>337</v>
      </c>
      <c r="G350" s="11" t="s">
        <v>736</v>
      </c>
      <c r="H350" s="11" t="s">
        <v>221</v>
      </c>
      <c r="I350" s="11" t="s">
        <v>1982</v>
      </c>
      <c r="J350" s="11">
        <v>36.122100000000003</v>
      </c>
      <c r="K350" s="11">
        <v>-115.17139</v>
      </c>
      <c r="L350" s="11">
        <v>7011</v>
      </c>
      <c r="M350" s="11">
        <v>7011</v>
      </c>
      <c r="N350" s="175" t="str">
        <f>VLOOKUP(M350, '2017 SIC to NAICS'!A:D, 2)</f>
        <v>Hotels and Motels</v>
      </c>
      <c r="P350" s="187" t="str">
        <f>VLOOKUP(M350, '2017 SIC to NAICS'!A:D, 4)</f>
        <v>All Other Traveler Accommodation</v>
      </c>
      <c r="Q350" s="176" t="e">
        <f>IFERROR(VLOOKUP(O350, 'NAICS OES crosswalk'!A:C, 3, FALSE), VLOOKUP(M350, 'NAICS OES crosswalk'!A:C, 3, FALSE))</f>
        <v>#N/A</v>
      </c>
      <c r="U350" s="188">
        <v>150100150604</v>
      </c>
      <c r="V350" s="11" t="s">
        <v>738</v>
      </c>
      <c r="W350" s="11"/>
      <c r="X350" s="11">
        <v>4.2388640812500003E-2</v>
      </c>
      <c r="Y350" s="11" t="b">
        <f t="shared" si="6"/>
        <v>0</v>
      </c>
    </row>
    <row r="351" spans="1:25" x14ac:dyDescent="0.35">
      <c r="A351" s="11">
        <v>2020</v>
      </c>
      <c r="B351" s="11" t="s">
        <v>1980</v>
      </c>
      <c r="C351" s="11" t="s">
        <v>876</v>
      </c>
      <c r="D351" s="163">
        <v>110000452082</v>
      </c>
      <c r="E351" s="11" t="s">
        <v>488</v>
      </c>
      <c r="F351" s="11" t="s">
        <v>489</v>
      </c>
      <c r="G351" s="11" t="s">
        <v>877</v>
      </c>
      <c r="H351" s="11" t="s">
        <v>202</v>
      </c>
      <c r="I351" s="11" t="s">
        <v>1981</v>
      </c>
      <c r="J351" s="11">
        <v>35.136057000000001</v>
      </c>
      <c r="K351" s="11">
        <v>-90.096892999999994</v>
      </c>
      <c r="L351" s="11">
        <v>2869</v>
      </c>
      <c r="M351" s="11">
        <v>2869</v>
      </c>
      <c r="N351" s="175" t="str">
        <f>VLOOKUP(M351, '2017 SIC to NAICS'!A:D, 2)</f>
        <v>Industrial Organic Chemicals, Nec</v>
      </c>
      <c r="O351" s="11">
        <v>325199</v>
      </c>
      <c r="P351" s="187" t="str">
        <f>VLOOKUP(M351, '2017 SIC to NAICS'!A:D, 4)</f>
        <v>All Other Miscellaneous Chemical Product and Preparation Manufacturing</v>
      </c>
      <c r="Q351" s="176" t="str">
        <f>IFERROR(VLOOKUP(O351, 'NAICS OES crosswalk'!A:C, 3, FALSE), VLOOKUP(M351, 'NAICS OES crosswalk'!A:C, 3, FALSE))</f>
        <v>Manufacturing</v>
      </c>
      <c r="U351" s="188">
        <v>80101000703</v>
      </c>
      <c r="V351" s="11" t="s">
        <v>878</v>
      </c>
      <c r="W351" s="11"/>
      <c r="X351" s="11">
        <v>4.1563700000000002E-2</v>
      </c>
      <c r="Y351" s="11" t="b">
        <f t="shared" si="6"/>
        <v>0</v>
      </c>
    </row>
    <row r="352" spans="1:25" x14ac:dyDescent="0.35">
      <c r="A352" s="11">
        <v>2020</v>
      </c>
      <c r="B352" s="11" t="s">
        <v>1980</v>
      </c>
      <c r="C352" s="11" t="s">
        <v>817</v>
      </c>
      <c r="D352" s="163">
        <v>110070215141</v>
      </c>
      <c r="E352" s="11" t="s">
        <v>627</v>
      </c>
      <c r="F352" s="11" t="s">
        <v>628</v>
      </c>
      <c r="G352" s="11" t="s">
        <v>818</v>
      </c>
      <c r="H352" s="11" t="s">
        <v>254</v>
      </c>
      <c r="I352" s="11" t="s">
        <v>1982</v>
      </c>
      <c r="J352" s="11">
        <v>40.515906999999999</v>
      </c>
      <c r="K352" s="11">
        <v>-74.325175999999999</v>
      </c>
      <c r="M352" s="11"/>
      <c r="N352" s="175" t="e">
        <f>VLOOKUP(M352, '2017 SIC to NAICS'!A:D, 2)</f>
        <v>#N/A</v>
      </c>
      <c r="P352" s="187" t="e">
        <f>VLOOKUP(M352, '2017 SIC to NAICS'!A:D, 4)</f>
        <v>#N/A</v>
      </c>
      <c r="Q352" s="176" t="e">
        <f>IFERROR(VLOOKUP(O352, 'NAICS OES crosswalk'!A:C, 3, FALSE), VLOOKUP(M352, 'NAICS OES crosswalk'!A:C, 3, FALSE))</f>
        <v>#N/A</v>
      </c>
      <c r="U352" s="188">
        <v>20301050507</v>
      </c>
      <c r="V352" s="11" t="s">
        <v>819</v>
      </c>
      <c r="W352" s="11"/>
      <c r="X352" s="11">
        <v>3.27622787E-3</v>
      </c>
      <c r="Y352" s="11" t="b">
        <f t="shared" si="6"/>
        <v>0</v>
      </c>
    </row>
    <row r="353" spans="1:25" x14ac:dyDescent="0.35">
      <c r="A353" s="11">
        <v>2020</v>
      </c>
      <c r="B353" s="11" t="s">
        <v>1980</v>
      </c>
      <c r="C353" s="11" t="s">
        <v>1371</v>
      </c>
      <c r="D353" s="163">
        <v>110000410190</v>
      </c>
      <c r="E353" s="11" t="s">
        <v>179</v>
      </c>
      <c r="F353" s="11" t="s">
        <v>180</v>
      </c>
      <c r="G353" s="11" t="s">
        <v>1372</v>
      </c>
      <c r="H353" s="11" t="s">
        <v>181</v>
      </c>
      <c r="I353" s="11" t="s">
        <v>1982</v>
      </c>
      <c r="J353" s="11">
        <v>42.718290000000003</v>
      </c>
      <c r="K353" s="11">
        <v>-85.463239999999999</v>
      </c>
      <c r="L353" s="11">
        <v>3639</v>
      </c>
      <c r="M353" s="11">
        <v>3639</v>
      </c>
      <c r="N353" s="175" t="str">
        <f>VLOOKUP(M353, '2017 SIC to NAICS'!A:D, 2)</f>
        <v>Household Appliances, Nec</v>
      </c>
      <c r="O353" s="11">
        <v>335220</v>
      </c>
      <c r="P353" s="187" t="str">
        <f>VLOOKUP(M353, '2017 SIC to NAICS'!A:D, 4)</f>
        <v>Major Household Appliance Manufacturing</v>
      </c>
      <c r="Q353" s="176" t="e">
        <f>IFERROR(VLOOKUP(O353, 'NAICS OES crosswalk'!A:C, 3, FALSE), VLOOKUP(M353, 'NAICS OES crosswalk'!A:C, 3, FALSE))</f>
        <v>#N/A</v>
      </c>
      <c r="U353" s="188">
        <v>40500070406</v>
      </c>
      <c r="V353" s="11" t="s">
        <v>1373</v>
      </c>
      <c r="W353" s="11"/>
      <c r="X353" s="11">
        <v>3.7397692500000003E-2</v>
      </c>
      <c r="Y353" s="11" t="b">
        <f t="shared" si="6"/>
        <v>0</v>
      </c>
    </row>
    <row r="354" spans="1:25" ht="29" x14ac:dyDescent="0.35">
      <c r="A354" s="11">
        <v>2020</v>
      </c>
      <c r="B354" s="11" t="s">
        <v>1980</v>
      </c>
      <c r="C354" s="11" t="s">
        <v>1719</v>
      </c>
      <c r="D354" s="163">
        <v>110070544905</v>
      </c>
      <c r="E354" s="11" t="s">
        <v>501</v>
      </c>
      <c r="F354" s="11" t="s">
        <v>502</v>
      </c>
      <c r="G354" s="11" t="s">
        <v>1720</v>
      </c>
      <c r="H354" s="11" t="s">
        <v>276</v>
      </c>
      <c r="I354" s="11" t="s">
        <v>1982</v>
      </c>
      <c r="J354" s="11">
        <v>38.400409000000003</v>
      </c>
      <c r="K354" s="11">
        <v>-78.895222000000004</v>
      </c>
      <c r="L354" s="11">
        <v>4953</v>
      </c>
      <c r="M354" s="11">
        <v>4953</v>
      </c>
      <c r="N354" s="175" t="str">
        <f>VLOOKUP(M354, '2017 SIC to NAICS'!A:D, 2)</f>
        <v>Refuse Systems</v>
      </c>
      <c r="P354" s="187" t="str">
        <f>VLOOKUP(M354, '2017 SIC to NAICS'!A:D, 4)</f>
        <v>Materials Recovery Facilities</v>
      </c>
      <c r="Q354" s="176" t="str">
        <f>IFERROR(VLOOKUP(O354, 'NAICS OES crosswalk'!A:C, 3, FALSE), VLOOKUP(M354, 'NAICS OES crosswalk'!A:C, 3, FALSE))</f>
        <v>Waste handling, disposal, and treatment</v>
      </c>
      <c r="U354" s="188">
        <v>20700050602</v>
      </c>
      <c r="V354" s="11" t="s">
        <v>1721</v>
      </c>
      <c r="W354" s="11"/>
      <c r="X354" s="11">
        <v>3.4539836577000001E-2</v>
      </c>
      <c r="Y354" s="11" t="b">
        <f t="shared" si="6"/>
        <v>0</v>
      </c>
    </row>
    <row r="355" spans="1:25" x14ac:dyDescent="0.35">
      <c r="A355" s="11">
        <v>2020</v>
      </c>
      <c r="B355" s="11" t="s">
        <v>1980</v>
      </c>
      <c r="C355" s="11" t="s">
        <v>1634</v>
      </c>
      <c r="D355" s="163">
        <v>110071151044</v>
      </c>
      <c r="E355" s="11" t="s">
        <v>630</v>
      </c>
      <c r="F355" s="11" t="s">
        <v>631</v>
      </c>
      <c r="G355" s="11" t="s">
        <v>1635</v>
      </c>
      <c r="H355" s="11" t="s">
        <v>340</v>
      </c>
      <c r="I355" s="11" t="s">
        <v>1982</v>
      </c>
      <c r="J355" s="11">
        <v>39.859110000000001</v>
      </c>
      <c r="K355" s="11">
        <v>-77.236620000000002</v>
      </c>
      <c r="L355" s="11">
        <v>4959</v>
      </c>
      <c r="M355" s="11">
        <v>4959</v>
      </c>
      <c r="N355" s="175" t="str">
        <f>VLOOKUP(M355, '2017 SIC to NAICS'!A:D, 2)</f>
        <v>Sanitary Services, Nec</v>
      </c>
      <c r="O355" s="11">
        <v>562910</v>
      </c>
      <c r="P355" s="187" t="str">
        <f>VLOOKUP(M355, '2017 SIC to NAICS'!A:D, 4)</f>
        <v>All Other Miscellaneous Waste
Management Services</v>
      </c>
      <c r="Q355" s="176" t="e">
        <f>IFERROR(VLOOKUP(O355, 'NAICS OES crosswalk'!A:C, 3, FALSE), VLOOKUP(M355, 'NAICS OES crosswalk'!A:C, 3, FALSE))</f>
        <v>#N/A</v>
      </c>
      <c r="U355" s="188">
        <v>20700090101</v>
      </c>
      <c r="V355" s="11" t="s">
        <v>1636</v>
      </c>
      <c r="W355" s="11"/>
      <c r="X355" s="11">
        <v>6.5149789410000004E-3</v>
      </c>
      <c r="Y355" s="11" t="b">
        <f t="shared" si="6"/>
        <v>0</v>
      </c>
    </row>
    <row r="356" spans="1:25" x14ac:dyDescent="0.35">
      <c r="A356" s="11">
        <v>2020</v>
      </c>
      <c r="B356" s="11" t="s">
        <v>1980</v>
      </c>
      <c r="C356" s="11" t="s">
        <v>1309</v>
      </c>
      <c r="D356" s="163">
        <v>110000597355</v>
      </c>
      <c r="E356" s="11" t="s">
        <v>533</v>
      </c>
      <c r="F356" s="11" t="s">
        <v>534</v>
      </c>
      <c r="G356" s="11" t="s">
        <v>1310</v>
      </c>
      <c r="H356" s="11" t="s">
        <v>91</v>
      </c>
      <c r="I356" s="11" t="s">
        <v>1982</v>
      </c>
      <c r="J356" s="11">
        <v>30.486767</v>
      </c>
      <c r="K356" s="11">
        <v>-90.925479999999993</v>
      </c>
      <c r="L356" s="11">
        <v>2899</v>
      </c>
      <c r="M356" s="11">
        <v>2899</v>
      </c>
      <c r="N356" s="175" t="str">
        <f>VLOOKUP(M356, '2017 SIC to NAICS'!A:D, 2)</f>
        <v>Chemical Preparations, Nec</v>
      </c>
      <c r="P356" s="187" t="str">
        <f>VLOOKUP(M356, '2017 SIC to NAICS'!A:D, 4)</f>
        <v>All Other Miscellaneous Chemical Product and Preparation Manufacturing</v>
      </c>
      <c r="Q356" s="176" t="e">
        <f>IFERROR(VLOOKUP(O356, 'NAICS OES crosswalk'!A:C, 3, FALSE), VLOOKUP(M356, 'NAICS OES crosswalk'!A:C, 3, FALSE))</f>
        <v>#N/A</v>
      </c>
      <c r="U356" s="188">
        <v>80702020903</v>
      </c>
      <c r="V356" s="11" t="s">
        <v>1311</v>
      </c>
      <c r="W356" s="11"/>
      <c r="X356" s="11">
        <v>3.3141999999999998E-2</v>
      </c>
      <c r="Y356" s="11" t="b">
        <f t="shared" si="6"/>
        <v>0</v>
      </c>
    </row>
    <row r="357" spans="1:25" x14ac:dyDescent="0.35">
      <c r="A357" s="11">
        <v>2020</v>
      </c>
      <c r="B357" s="11" t="s">
        <v>1980</v>
      </c>
      <c r="C357" s="11" t="s">
        <v>822</v>
      </c>
      <c r="D357" s="163">
        <v>110015972562</v>
      </c>
      <c r="E357" s="11" t="s">
        <v>381</v>
      </c>
      <c r="F357" s="11" t="s">
        <v>337</v>
      </c>
      <c r="G357" s="11" t="s">
        <v>823</v>
      </c>
      <c r="H357" s="11" t="s">
        <v>221</v>
      </c>
      <c r="I357" s="11" t="s">
        <v>1982</v>
      </c>
      <c r="J357" s="11">
        <v>36.116160999999998</v>
      </c>
      <c r="K357" s="11">
        <v>-115.172741</v>
      </c>
      <c r="L357" s="11">
        <v>7011</v>
      </c>
      <c r="M357" s="11">
        <v>7011</v>
      </c>
      <c r="N357" s="175" t="str">
        <f>VLOOKUP(M357, '2017 SIC to NAICS'!A:D, 2)</f>
        <v>Hotels and Motels</v>
      </c>
      <c r="O357" s="11">
        <v>721120</v>
      </c>
      <c r="P357" s="187" t="str">
        <f>VLOOKUP(M357, '2017 SIC to NAICS'!A:D, 4)</f>
        <v>All Other Traveler Accommodation</v>
      </c>
      <c r="Q357" s="176" t="e">
        <f>IFERROR(VLOOKUP(O357, 'NAICS OES crosswalk'!A:C, 3, FALSE), VLOOKUP(M357, 'NAICS OES crosswalk'!A:C, 3, FALSE))</f>
        <v>#N/A</v>
      </c>
      <c r="U357" s="188">
        <v>150100150604</v>
      </c>
      <c r="V357" s="11" t="s">
        <v>738</v>
      </c>
      <c r="W357" s="11"/>
      <c r="X357" s="11">
        <v>3.1545571525000003E-2</v>
      </c>
      <c r="Y357" s="11" t="b">
        <f t="shared" si="6"/>
        <v>0</v>
      </c>
    </row>
    <row r="358" spans="1:25" x14ac:dyDescent="0.35">
      <c r="A358" s="11">
        <v>2020</v>
      </c>
      <c r="B358" s="11" t="s">
        <v>1980</v>
      </c>
      <c r="C358" s="11" t="s">
        <v>1295</v>
      </c>
      <c r="D358" s="163">
        <v>110000575244</v>
      </c>
      <c r="E358" s="11" t="s">
        <v>539</v>
      </c>
      <c r="F358" s="11" t="s">
        <v>540</v>
      </c>
      <c r="G358" s="11" t="s">
        <v>1296</v>
      </c>
      <c r="H358" s="11" t="s">
        <v>91</v>
      </c>
      <c r="I358" s="11" t="s">
        <v>1981</v>
      </c>
      <c r="J358" s="11">
        <v>29.808250000000001</v>
      </c>
      <c r="K358" s="11">
        <v>-90.01</v>
      </c>
      <c r="L358" s="11">
        <v>2869</v>
      </c>
      <c r="M358" s="11">
        <v>2869</v>
      </c>
      <c r="N358" s="175" t="str">
        <f>VLOOKUP(M358, '2017 SIC to NAICS'!A:D, 2)</f>
        <v>Industrial Organic Chemicals, Nec</v>
      </c>
      <c r="P358" s="187" t="str">
        <f>VLOOKUP(M358, '2017 SIC to NAICS'!A:D, 4)</f>
        <v>All Other Miscellaneous Chemical Product and Preparation Manufacturing</v>
      </c>
      <c r="Q358" s="176" t="str">
        <f>IFERROR(VLOOKUP(O358, 'NAICS OES crosswalk'!A:C, 3, FALSE), VLOOKUP(M358, 'NAICS OES crosswalk'!A:C, 3, FALSE))</f>
        <v>Manufacturing</v>
      </c>
      <c r="U358" s="188">
        <v>80903010404</v>
      </c>
      <c r="V358" s="11" t="s">
        <v>1297</v>
      </c>
      <c r="W358" s="11"/>
      <c r="X358" s="11">
        <v>3.1064280387500001E-2</v>
      </c>
      <c r="Y358" s="11" t="b">
        <f t="shared" si="6"/>
        <v>0</v>
      </c>
    </row>
    <row r="359" spans="1:25" x14ac:dyDescent="0.35">
      <c r="A359" s="11">
        <v>2020</v>
      </c>
      <c r="B359" s="11" t="s">
        <v>1980</v>
      </c>
      <c r="C359" s="11" t="s">
        <v>1000</v>
      </c>
      <c r="D359" s="163">
        <v>110000338536</v>
      </c>
      <c r="E359" s="11" t="s">
        <v>513</v>
      </c>
      <c r="F359" s="11" t="s">
        <v>514</v>
      </c>
      <c r="G359" s="11" t="s">
        <v>1001</v>
      </c>
      <c r="H359" s="11" t="s">
        <v>515</v>
      </c>
      <c r="I359" s="11" t="s">
        <v>1981</v>
      </c>
      <c r="J359" s="11">
        <v>39.585099999999997</v>
      </c>
      <c r="K359" s="11">
        <v>-75.649199999999993</v>
      </c>
      <c r="L359" s="11">
        <v>2821</v>
      </c>
      <c r="M359" s="11">
        <v>2821</v>
      </c>
      <c r="N359" s="175" t="str">
        <f>VLOOKUP(M359, '2017 SIC to NAICS'!A:D, 2)</f>
        <v>Plastics Materials and Resins</v>
      </c>
      <c r="P359" s="187" t="str">
        <f>VLOOKUP(M359, '2017 SIC to NAICS'!A:D, 4)</f>
        <v>Plastics Material and Resin Manufacturing</v>
      </c>
      <c r="Q359" s="176" t="str">
        <f>IFERROR(VLOOKUP(O359, 'NAICS OES crosswalk'!A:C, 3, FALSE), VLOOKUP(M359, 'NAICS OES crosswalk'!A:C, 3, FALSE))</f>
        <v>Processing as a reactant</v>
      </c>
      <c r="U359" s="188">
        <v>20402050704</v>
      </c>
      <c r="V359" s="11" t="s">
        <v>1002</v>
      </c>
      <c r="W359" s="11"/>
      <c r="X359" s="11">
        <v>1.0555500000000001E-2</v>
      </c>
      <c r="Y359" s="11" t="b">
        <f t="shared" si="6"/>
        <v>0</v>
      </c>
    </row>
    <row r="360" spans="1:25" x14ac:dyDescent="0.35">
      <c r="A360" s="11">
        <v>2020</v>
      </c>
      <c r="B360" s="11" t="s">
        <v>1980</v>
      </c>
      <c r="C360" s="11" t="s">
        <v>1434</v>
      </c>
      <c r="D360" s="163">
        <v>110003614358</v>
      </c>
      <c r="E360" s="11" t="s">
        <v>520</v>
      </c>
      <c r="F360" s="11" t="s">
        <v>521</v>
      </c>
      <c r="G360" s="11" t="s">
        <v>1310</v>
      </c>
      <c r="H360" s="11" t="s">
        <v>181</v>
      </c>
      <c r="I360" s="11" t="s">
        <v>1982</v>
      </c>
      <c r="J360" s="11">
        <v>42.606527</v>
      </c>
      <c r="K360" s="11">
        <v>-83.921477999999993</v>
      </c>
      <c r="L360" s="11">
        <v>4959</v>
      </c>
      <c r="M360" s="11">
        <v>4959</v>
      </c>
      <c r="N360" s="175" t="str">
        <f>VLOOKUP(M360, '2017 SIC to NAICS'!A:D, 2)</f>
        <v>Sanitary Services, Nec</v>
      </c>
      <c r="O360" s="11">
        <v>562910</v>
      </c>
      <c r="P360" s="187" t="str">
        <f>VLOOKUP(M360, '2017 SIC to NAICS'!A:D, 4)</f>
        <v>All Other Miscellaneous Waste
Management Services</v>
      </c>
      <c r="Q360" s="176" t="e">
        <f>IFERROR(VLOOKUP(O360, 'NAICS OES crosswalk'!A:C, 3, FALSE), VLOOKUP(M360, 'NAICS OES crosswalk'!A:C, 3, FALSE))</f>
        <v>#N/A</v>
      </c>
      <c r="U360" s="188">
        <v>40802030104</v>
      </c>
      <c r="V360" s="11" t="s">
        <v>1435</v>
      </c>
      <c r="W360" s="11"/>
      <c r="X360" s="11">
        <v>2.9413234999999999E-2</v>
      </c>
      <c r="Y360" s="11" t="b">
        <f t="shared" si="6"/>
        <v>0</v>
      </c>
    </row>
    <row r="361" spans="1:25" x14ac:dyDescent="0.35">
      <c r="A361" s="11">
        <v>2020</v>
      </c>
      <c r="B361" s="11" t="s">
        <v>1980</v>
      </c>
      <c r="C361" s="11" t="s">
        <v>990</v>
      </c>
      <c r="D361" s="163">
        <v>110070053140</v>
      </c>
      <c r="E361" s="11" t="s">
        <v>490</v>
      </c>
      <c r="F361" s="11" t="s">
        <v>491</v>
      </c>
      <c r="G361" s="11" t="s">
        <v>991</v>
      </c>
      <c r="H361" s="11" t="s">
        <v>492</v>
      </c>
      <c r="I361" s="11" t="s">
        <v>1982</v>
      </c>
      <c r="J361" s="11">
        <v>40.393799999999999</v>
      </c>
      <c r="K361" s="11">
        <v>-105.074</v>
      </c>
      <c r="L361" s="11">
        <v>7521</v>
      </c>
      <c r="M361" s="11">
        <v>7521</v>
      </c>
      <c r="N361" s="175" t="str">
        <f>VLOOKUP(M361, '2017 SIC to NAICS'!A:D, 2)</f>
        <v>Automobile Parking</v>
      </c>
      <c r="P361" s="187" t="str">
        <f>VLOOKUP(M361, '2017 SIC to NAICS'!A:D, 4)</f>
        <v>Parking Lots and Garages</v>
      </c>
      <c r="Q361" s="176" t="e">
        <f>IFERROR(VLOOKUP(O361, 'NAICS OES crosswalk'!A:C, 3, FALSE), VLOOKUP(M361, 'NAICS OES crosswalk'!A:C, 3, FALSE))</f>
        <v>#N/A</v>
      </c>
      <c r="U361" s="188">
        <v>101900060605</v>
      </c>
      <c r="V361" s="11" t="s">
        <v>992</v>
      </c>
      <c r="W361" s="11"/>
      <c r="X361" s="11">
        <v>5.4609980000000002E-2</v>
      </c>
      <c r="Y361" s="11" t="b">
        <f t="shared" si="6"/>
        <v>0</v>
      </c>
    </row>
    <row r="362" spans="1:25" ht="29" x14ac:dyDescent="0.35">
      <c r="A362" s="11">
        <v>2020</v>
      </c>
      <c r="B362" s="11" t="s">
        <v>1980</v>
      </c>
      <c r="C362" s="11" t="s">
        <v>1461</v>
      </c>
      <c r="D362" s="163">
        <v>110000614746</v>
      </c>
      <c r="E362" s="11" t="s">
        <v>508</v>
      </c>
      <c r="F362" s="11" t="s">
        <v>509</v>
      </c>
      <c r="G362" s="11" t="s">
        <v>1175</v>
      </c>
      <c r="H362" s="11" t="s">
        <v>129</v>
      </c>
      <c r="I362" s="11" t="s">
        <v>1982</v>
      </c>
      <c r="J362" s="11">
        <v>39.248446999999999</v>
      </c>
      <c r="K362" s="11">
        <v>-94.293233000000001</v>
      </c>
      <c r="L362" s="11">
        <v>4953</v>
      </c>
      <c r="M362" s="11">
        <v>4953</v>
      </c>
      <c r="N362" s="175" t="str">
        <f>VLOOKUP(M362, '2017 SIC to NAICS'!A:D, 2)</f>
        <v>Refuse Systems</v>
      </c>
      <c r="P362" s="187" t="str">
        <f>VLOOKUP(M362, '2017 SIC to NAICS'!A:D, 4)</f>
        <v>Materials Recovery Facilities</v>
      </c>
      <c r="Q362" s="176" t="str">
        <f>IFERROR(VLOOKUP(O362, 'NAICS OES crosswalk'!A:C, 3, FALSE), VLOOKUP(M362, 'NAICS OES crosswalk'!A:C, 3, FALSE))</f>
        <v>Waste handling, disposal, and treatment</v>
      </c>
      <c r="U362" s="188">
        <v>103001010307</v>
      </c>
      <c r="V362" s="11" t="s">
        <v>1462</v>
      </c>
      <c r="W362" s="11"/>
      <c r="X362" s="11">
        <v>2.663415230775E-2</v>
      </c>
      <c r="Y362" s="11" t="b">
        <f t="shared" si="6"/>
        <v>0</v>
      </c>
    </row>
    <row r="363" spans="1:25" x14ac:dyDescent="0.35">
      <c r="A363" s="11">
        <v>2020</v>
      </c>
      <c r="B363" s="11" t="s">
        <v>1980</v>
      </c>
      <c r="C363" s="11" t="s">
        <v>730</v>
      </c>
      <c r="D363" s="163">
        <v>110017979810</v>
      </c>
      <c r="E363" s="11" t="s">
        <v>309</v>
      </c>
      <c r="F363" s="11" t="s">
        <v>158</v>
      </c>
      <c r="G363" s="11" t="s">
        <v>434</v>
      </c>
      <c r="H363" s="11" t="s">
        <v>129</v>
      </c>
      <c r="I363" s="11" t="s">
        <v>1982</v>
      </c>
      <c r="J363" s="11">
        <v>38.959018999999998</v>
      </c>
      <c r="K363" s="11">
        <v>-94.576569000000006</v>
      </c>
      <c r="L363" s="11">
        <v>6552</v>
      </c>
      <c r="M363" s="11">
        <v>6552</v>
      </c>
      <c r="N363" s="175" t="str">
        <f>VLOOKUP(M363, '2017 SIC to NAICS'!A:D, 2)</f>
        <v>Subdividers and Developers, Nec</v>
      </c>
      <c r="P363" s="187" t="str">
        <f>VLOOKUP(M363, '2017 SIC to NAICS'!A:D, 4)</f>
        <v>Land Subdivision</v>
      </c>
      <c r="Q363" s="176" t="e">
        <f>IFERROR(VLOOKUP(O363, 'NAICS OES crosswalk'!A:C, 3, FALSE), VLOOKUP(M363, 'NAICS OES crosswalk'!A:C, 3, FALSE))</f>
        <v>#N/A</v>
      </c>
      <c r="U363" s="188">
        <v>103001010105</v>
      </c>
      <c r="V363" s="11" t="s">
        <v>733</v>
      </c>
      <c r="W363" s="11"/>
      <c r="X363" s="11">
        <v>2.4463401249999999E-2</v>
      </c>
      <c r="Y363" s="11" t="b">
        <f t="shared" si="6"/>
        <v>0</v>
      </c>
    </row>
    <row r="364" spans="1:25" x14ac:dyDescent="0.35">
      <c r="A364" s="11">
        <v>2020</v>
      </c>
      <c r="B364" s="11" t="s">
        <v>1980</v>
      </c>
      <c r="C364" s="11" t="s">
        <v>923</v>
      </c>
      <c r="D364" s="163">
        <v>110037256867</v>
      </c>
      <c r="E364" s="11" t="s">
        <v>424</v>
      </c>
      <c r="F364" s="11" t="s">
        <v>425</v>
      </c>
      <c r="G364" s="11" t="s">
        <v>924</v>
      </c>
      <c r="H364" s="11" t="s">
        <v>102</v>
      </c>
      <c r="I364" s="11" t="s">
        <v>1982</v>
      </c>
      <c r="J364" s="11">
        <v>35.178620000000002</v>
      </c>
      <c r="K364" s="11">
        <v>-120.62067500000001</v>
      </c>
      <c r="L364" s="11">
        <v>2911</v>
      </c>
      <c r="M364" s="11">
        <v>2911</v>
      </c>
      <c r="N364" s="175" t="str">
        <f>VLOOKUP(M364, '2017 SIC to NAICS'!A:D, 2)</f>
        <v>Petroleum Refining</v>
      </c>
      <c r="P364" s="187" t="str">
        <f>VLOOKUP(M364, '2017 SIC to NAICS'!A:D, 4)</f>
        <v>Petroleum Refineries</v>
      </c>
      <c r="Q364" s="176" t="e">
        <f>IFERROR(VLOOKUP(O364, 'NAICS OES crosswalk'!A:C, 3, FALSE), VLOOKUP(M364, 'NAICS OES crosswalk'!A:C, 3, FALSE))</f>
        <v>#N/A</v>
      </c>
      <c r="U364" s="188">
        <v>180600060703</v>
      </c>
      <c r="V364" s="11" t="s">
        <v>925</v>
      </c>
      <c r="W364" s="11"/>
      <c r="X364" s="11">
        <v>2.401470369375E-2</v>
      </c>
      <c r="Y364" s="11" t="b">
        <f t="shared" si="6"/>
        <v>0</v>
      </c>
    </row>
    <row r="365" spans="1:25" x14ac:dyDescent="0.35">
      <c r="A365" s="11">
        <v>2020</v>
      </c>
      <c r="B365" s="11" t="s">
        <v>1980</v>
      </c>
      <c r="C365" s="11" t="s">
        <v>1513</v>
      </c>
      <c r="D365" s="163">
        <v>110070220772</v>
      </c>
      <c r="E365" s="11" t="s">
        <v>556</v>
      </c>
      <c r="F365" s="11" t="s">
        <v>557</v>
      </c>
      <c r="G365" s="11" t="s">
        <v>818</v>
      </c>
      <c r="H365" s="11" t="s">
        <v>254</v>
      </c>
      <c r="I365" s="11" t="s">
        <v>1982</v>
      </c>
      <c r="J365" s="11">
        <v>40.382820000000002</v>
      </c>
      <c r="K365" s="11">
        <v>-74.501608000000004</v>
      </c>
      <c r="L365" s="11">
        <v>3492</v>
      </c>
      <c r="M365" s="11">
        <v>3492</v>
      </c>
      <c r="N365" s="175" t="str">
        <f>VLOOKUP(M365, '2017 SIC to NAICS'!A:D, 2)</f>
        <v>Fluid Power Valves and Hose Fittings</v>
      </c>
      <c r="P365" s="187" t="str">
        <f>VLOOKUP(M365, '2017 SIC to NAICS'!A:D, 4)</f>
        <v>Fluid Power Valve and Hose Fitting
Manufacturing</v>
      </c>
      <c r="Q365" s="176" t="e">
        <f>IFERROR(VLOOKUP(O365, 'NAICS OES crosswalk'!A:C, 3, FALSE), VLOOKUP(M365, 'NAICS OES crosswalk'!A:C, 3, FALSE))</f>
        <v>#N/A</v>
      </c>
      <c r="U365" s="188">
        <v>20301050505</v>
      </c>
      <c r="V365" s="11" t="s">
        <v>1510</v>
      </c>
      <c r="W365" s="11"/>
      <c r="X365" s="11">
        <v>2.1941722592500001E-2</v>
      </c>
      <c r="Y365" s="11" t="b">
        <f t="shared" si="6"/>
        <v>0</v>
      </c>
    </row>
    <row r="366" spans="1:25" x14ac:dyDescent="0.35">
      <c r="A366" s="11">
        <v>2020</v>
      </c>
      <c r="B366" s="11" t="s">
        <v>1980</v>
      </c>
      <c r="C366" s="11" t="s">
        <v>730</v>
      </c>
      <c r="D366" s="163">
        <v>110017979810</v>
      </c>
      <c r="E366" s="11" t="s">
        <v>309</v>
      </c>
      <c r="F366" s="11" t="s">
        <v>158</v>
      </c>
      <c r="G366" s="11" t="s">
        <v>434</v>
      </c>
      <c r="H366" s="11" t="s">
        <v>129</v>
      </c>
      <c r="I366" s="11" t="s">
        <v>1982</v>
      </c>
      <c r="J366" s="11">
        <v>38.959018999999998</v>
      </c>
      <c r="K366" s="11">
        <v>-94.576569000000006</v>
      </c>
      <c r="L366" s="11">
        <v>6552</v>
      </c>
      <c r="M366" s="11">
        <v>6552</v>
      </c>
      <c r="N366" s="175" t="str">
        <f>VLOOKUP(M366, '2017 SIC to NAICS'!A:D, 2)</f>
        <v>Subdividers and Developers, Nec</v>
      </c>
      <c r="P366" s="187" t="str">
        <f>VLOOKUP(M366, '2017 SIC to NAICS'!A:D, 4)</f>
        <v>Land Subdivision</v>
      </c>
      <c r="Q366" s="176" t="e">
        <f>IFERROR(VLOOKUP(O366, 'NAICS OES crosswalk'!A:C, 3, FALSE), VLOOKUP(M366, 'NAICS OES crosswalk'!A:C, 3, FALSE))</f>
        <v>#N/A</v>
      </c>
      <c r="U366" s="188">
        <v>103001010105</v>
      </c>
      <c r="V366" s="11" t="s">
        <v>733</v>
      </c>
      <c r="W366" s="11"/>
      <c r="X366" s="11">
        <v>2.1644522499999999E-2</v>
      </c>
      <c r="Y366" s="11" t="b">
        <f t="shared" si="6"/>
        <v>0</v>
      </c>
    </row>
    <row r="367" spans="1:25" x14ac:dyDescent="0.35">
      <c r="A367" s="11">
        <v>2020</v>
      </c>
      <c r="B367" s="11" t="s">
        <v>1980</v>
      </c>
      <c r="C367" s="11" t="s">
        <v>1610</v>
      </c>
      <c r="D367" s="163">
        <v>110000701973</v>
      </c>
      <c r="E367" s="11" t="s">
        <v>550</v>
      </c>
      <c r="F367" s="11" t="s">
        <v>551</v>
      </c>
      <c r="G367" s="11" t="s">
        <v>1611</v>
      </c>
      <c r="H367" s="11" t="s">
        <v>340</v>
      </c>
      <c r="I367" s="11" t="s">
        <v>1982</v>
      </c>
      <c r="J367" s="11">
        <v>40.359177000000003</v>
      </c>
      <c r="K367" s="11">
        <v>-79.902659999999997</v>
      </c>
      <c r="L367" s="11">
        <v>8733</v>
      </c>
      <c r="M367" s="11">
        <v>8733</v>
      </c>
      <c r="N367" s="175" t="str">
        <f>VLOOKUP(M367, '2017 SIC to NAICS'!A:D, 2)</f>
        <v>Noncommercial Research Organizations</v>
      </c>
      <c r="P367" s="187" t="str">
        <f>VLOOKUP(M367, '2017 SIC to NAICS'!A:D, 4)</f>
        <v>Research and Development in the Social
Sciences and Humanities</v>
      </c>
      <c r="Q367" s="176" t="e">
        <f>IFERROR(VLOOKUP(O367, 'NAICS OES crosswalk'!A:C, 3, FALSE), VLOOKUP(M367, 'NAICS OES crosswalk'!A:C, 3, FALSE))</f>
        <v>#N/A</v>
      </c>
      <c r="U367" s="188">
        <v>50200050808</v>
      </c>
      <c r="V367" s="11" t="s">
        <v>1612</v>
      </c>
      <c r="W367" s="11"/>
      <c r="X367" s="11">
        <v>2.077965E-2</v>
      </c>
      <c r="Y367" s="11" t="b">
        <f t="shared" si="6"/>
        <v>0</v>
      </c>
    </row>
    <row r="368" spans="1:25" x14ac:dyDescent="0.35">
      <c r="A368" s="11">
        <v>2020</v>
      </c>
      <c r="B368" s="11" t="s">
        <v>1980</v>
      </c>
      <c r="C368" s="11" t="s">
        <v>730</v>
      </c>
      <c r="D368" s="163">
        <v>110017979810</v>
      </c>
      <c r="E368" s="11" t="s">
        <v>309</v>
      </c>
      <c r="F368" s="11" t="s">
        <v>158</v>
      </c>
      <c r="G368" s="11" t="s">
        <v>434</v>
      </c>
      <c r="H368" s="11" t="s">
        <v>129</v>
      </c>
      <c r="I368" s="11" t="s">
        <v>1982</v>
      </c>
      <c r="J368" s="11">
        <v>38.959018999999998</v>
      </c>
      <c r="K368" s="11">
        <v>-94.576569000000006</v>
      </c>
      <c r="L368" s="11">
        <v>6552</v>
      </c>
      <c r="M368" s="11">
        <v>6552</v>
      </c>
      <c r="N368" s="175" t="str">
        <f>VLOOKUP(M368, '2017 SIC to NAICS'!A:D, 2)</f>
        <v>Subdividers and Developers, Nec</v>
      </c>
      <c r="P368" s="187" t="str">
        <f>VLOOKUP(M368, '2017 SIC to NAICS'!A:D, 4)</f>
        <v>Land Subdivision</v>
      </c>
      <c r="Q368" s="176" t="e">
        <f>IFERROR(VLOOKUP(O368, 'NAICS OES crosswalk'!A:C, 3, FALSE), VLOOKUP(M368, 'NAICS OES crosswalk'!A:C, 3, FALSE))</f>
        <v>#N/A</v>
      </c>
      <c r="U368" s="188">
        <v>103001010105</v>
      </c>
      <c r="V368" s="11" t="s">
        <v>733</v>
      </c>
      <c r="W368" s="11"/>
      <c r="X368" s="11">
        <v>2.0196760000000001E-2</v>
      </c>
      <c r="Y368" s="11" t="b">
        <f t="shared" si="6"/>
        <v>0</v>
      </c>
    </row>
    <row r="369" spans="1:25" x14ac:dyDescent="0.35">
      <c r="A369" s="11">
        <v>2020</v>
      </c>
      <c r="B369" s="11" t="s">
        <v>1980</v>
      </c>
      <c r="C369" s="11" t="s">
        <v>1581</v>
      </c>
      <c r="D369" s="163">
        <v>110019560722</v>
      </c>
      <c r="E369" s="11" t="s">
        <v>528</v>
      </c>
      <c r="F369" s="11" t="s">
        <v>143</v>
      </c>
      <c r="G369" s="11" t="s">
        <v>1582</v>
      </c>
      <c r="H369" s="11" t="s">
        <v>126</v>
      </c>
      <c r="I369" s="11" t="s">
        <v>1982</v>
      </c>
      <c r="J369" s="11">
        <v>43.087819000000003</v>
      </c>
      <c r="K369" s="11">
        <v>-75.182382000000004</v>
      </c>
      <c r="L369" s="11">
        <v>9511</v>
      </c>
      <c r="M369" s="11">
        <v>9511</v>
      </c>
      <c r="N369" s="175" t="str">
        <f>VLOOKUP(M369, '2017 SIC to NAICS'!A:D, 2)</f>
        <v>Air, Water, and Solid Waste Management</v>
      </c>
      <c r="P369" s="187" t="str">
        <f>VLOOKUP(M369, '2017 SIC to NAICS'!A:D, 4)</f>
        <v>Administration of Air and Water Resource
and Solid Waste Management Programs</v>
      </c>
      <c r="Q369" s="176" t="e">
        <f>IFERROR(VLOOKUP(O369, 'NAICS OES crosswalk'!A:C, 3, FALSE), VLOOKUP(M369, 'NAICS OES crosswalk'!A:C, 3, FALSE))</f>
        <v>#N/A</v>
      </c>
      <c r="U369" s="188">
        <v>20200040311</v>
      </c>
      <c r="V369" s="11" t="s">
        <v>1583</v>
      </c>
      <c r="W369" s="11"/>
      <c r="X369" s="11">
        <v>2.0186900075E-2</v>
      </c>
      <c r="Y369" s="11" t="b">
        <f t="shared" si="6"/>
        <v>0</v>
      </c>
    </row>
    <row r="370" spans="1:25" x14ac:dyDescent="0.35">
      <c r="A370" s="11">
        <v>2020</v>
      </c>
      <c r="B370" s="11" t="s">
        <v>1980</v>
      </c>
      <c r="C370" s="11" t="s">
        <v>1579</v>
      </c>
      <c r="D370" s="163">
        <v>110000324569</v>
      </c>
      <c r="E370" s="11" t="s">
        <v>375</v>
      </c>
      <c r="F370" s="11" t="s">
        <v>376</v>
      </c>
      <c r="G370" s="11" t="s">
        <v>128</v>
      </c>
      <c r="H370" s="11" t="s">
        <v>126</v>
      </c>
      <c r="I370" s="11" t="s">
        <v>1981</v>
      </c>
      <c r="J370" s="11">
        <v>43.285654999999998</v>
      </c>
      <c r="K370" s="11">
        <v>-73.589192999999995</v>
      </c>
      <c r="L370" s="11">
        <v>3612</v>
      </c>
      <c r="M370" s="11">
        <v>3612</v>
      </c>
      <c r="N370" s="175" t="str">
        <f>VLOOKUP(M370, '2017 SIC to NAICS'!A:D, 2)</f>
        <v>Power, Distribution and Specialty
Transformers</v>
      </c>
      <c r="P370" s="187" t="str">
        <f>VLOOKUP(M370, '2017 SIC to NAICS'!A:D, 4)</f>
        <v>Power, Distribution, and Specialty
Transformer Manufacturing</v>
      </c>
      <c r="Q370" s="176" t="e">
        <f>IFERROR(VLOOKUP(O370, 'NAICS OES crosswalk'!A:C, 3, FALSE), VLOOKUP(M370, 'NAICS OES crosswalk'!A:C, 3, FALSE))</f>
        <v>#N/A</v>
      </c>
      <c r="U370" s="188">
        <v>20200030506</v>
      </c>
      <c r="V370" s="11" t="s">
        <v>1580</v>
      </c>
      <c r="W370" s="11"/>
      <c r="X370" s="11">
        <v>0.32688</v>
      </c>
      <c r="Y370" s="11" t="b">
        <f t="shared" si="6"/>
        <v>0</v>
      </c>
    </row>
    <row r="371" spans="1:25" x14ac:dyDescent="0.35">
      <c r="A371" s="11">
        <v>2020</v>
      </c>
      <c r="B371" s="11" t="s">
        <v>1980</v>
      </c>
      <c r="C371" s="11" t="s">
        <v>830</v>
      </c>
      <c r="D371" s="163">
        <v>110000326521</v>
      </c>
      <c r="E371" s="11" t="s">
        <v>124</v>
      </c>
      <c r="F371" s="11" t="s">
        <v>125</v>
      </c>
      <c r="G371" s="11" t="s">
        <v>831</v>
      </c>
      <c r="H371" s="11" t="s">
        <v>126</v>
      </c>
      <c r="I371" s="11" t="s">
        <v>1981</v>
      </c>
      <c r="J371" s="11">
        <v>43.165965999999997</v>
      </c>
      <c r="K371" s="11">
        <v>-78.740509000000003</v>
      </c>
      <c r="L371" s="11">
        <v>3714</v>
      </c>
      <c r="M371" s="11">
        <v>3714</v>
      </c>
      <c r="N371" s="175" t="str">
        <f>VLOOKUP(M371, '2017 SIC to NAICS'!A:D, 2)</f>
        <v>Motor Vehicle Parts and Accessories</v>
      </c>
      <c r="P371" s="187" t="str">
        <f>VLOOKUP(M371, '2017 SIC to NAICS'!A:D, 4)</f>
        <v>Other Motor Vehicle Parts Manufacturing</v>
      </c>
      <c r="Q371" s="176" t="e">
        <f>IFERROR(VLOOKUP(O371, 'NAICS OES crosswalk'!A:C, 3, FALSE), VLOOKUP(M371, 'NAICS OES crosswalk'!A:C, 3, FALSE))</f>
        <v>#N/A</v>
      </c>
      <c r="U371" s="188">
        <v>41300010703</v>
      </c>
      <c r="V371" s="11" t="s">
        <v>834</v>
      </c>
      <c r="W371" s="11"/>
      <c r="X371" s="11">
        <v>2.0075639999999999E-2</v>
      </c>
      <c r="Y371" s="11" t="b">
        <f t="shared" si="6"/>
        <v>0</v>
      </c>
    </row>
    <row r="372" spans="1:25" ht="29" x14ac:dyDescent="0.35">
      <c r="A372" s="11">
        <v>2020</v>
      </c>
      <c r="B372" s="11" t="s">
        <v>1980</v>
      </c>
      <c r="C372" s="11" t="s">
        <v>1637</v>
      </c>
      <c r="D372" s="163">
        <v>110001057533</v>
      </c>
      <c r="E372" s="11" t="s">
        <v>382</v>
      </c>
      <c r="F372" s="11" t="s">
        <v>383</v>
      </c>
      <c r="G372" s="11" t="s">
        <v>1517</v>
      </c>
      <c r="H372" s="11" t="s">
        <v>340</v>
      </c>
      <c r="I372" s="11" t="s">
        <v>1982</v>
      </c>
      <c r="J372" s="11">
        <v>40.231741999999997</v>
      </c>
      <c r="K372" s="11">
        <v>-78.917860000000005</v>
      </c>
      <c r="L372" s="11">
        <v>4952</v>
      </c>
      <c r="M372" s="11">
        <v>4952</v>
      </c>
      <c r="N372" s="175" t="str">
        <f>VLOOKUP(M372, '2017 SIC to NAICS'!A:D, 2)</f>
        <v>Sewerage Systems</v>
      </c>
      <c r="P372" s="187" t="str">
        <f>VLOOKUP(M372, '2017 SIC to NAICS'!A:D, 4)</f>
        <v>Sewage Treatment Facilities</v>
      </c>
      <c r="Q372" s="176" t="str">
        <f>IFERROR(VLOOKUP(O372, 'NAICS OES crosswalk'!A:C, 3, FALSE), VLOOKUP(M372, 'NAICS OES crosswalk'!A:C, 3, FALSE))</f>
        <v>Waste handling, disposal, and treatment</v>
      </c>
      <c r="U372" s="188">
        <v>50100070310</v>
      </c>
      <c r="V372" s="11" t="s">
        <v>1638</v>
      </c>
      <c r="W372" s="11"/>
      <c r="X372" s="11">
        <v>1.998514065E-2</v>
      </c>
      <c r="Y372" s="11" t="b">
        <f t="shared" si="6"/>
        <v>0</v>
      </c>
    </row>
    <row r="373" spans="1:25" x14ac:dyDescent="0.35">
      <c r="A373" s="11">
        <v>2020</v>
      </c>
      <c r="B373" s="11" t="s">
        <v>1980</v>
      </c>
      <c r="C373" s="11" t="s">
        <v>1734</v>
      </c>
      <c r="D373" s="163">
        <v>110070684897</v>
      </c>
      <c r="E373" s="11" t="s">
        <v>571</v>
      </c>
      <c r="F373" s="11" t="s">
        <v>572</v>
      </c>
      <c r="G373" s="11" t="s">
        <v>1735</v>
      </c>
      <c r="H373" s="11" t="s">
        <v>276</v>
      </c>
      <c r="I373" s="11" t="s">
        <v>1982</v>
      </c>
      <c r="J373" s="11">
        <v>38.920251999999998</v>
      </c>
      <c r="K373" s="11">
        <v>-77.231944999999996</v>
      </c>
      <c r="L373" s="11">
        <v>1794</v>
      </c>
      <c r="M373" s="11">
        <v>1794</v>
      </c>
      <c r="N373" s="175" t="str">
        <f>VLOOKUP(M373, '2017 SIC to NAICS'!A:D, 2)</f>
        <v>Excavation Work</v>
      </c>
      <c r="P373" s="187" t="str">
        <f>VLOOKUP(M373, '2017 SIC to NAICS'!A:D, 4)</f>
        <v>Site Preparation Contractors</v>
      </c>
      <c r="Q373" s="176" t="e">
        <f>IFERROR(VLOOKUP(O373, 'NAICS OES crosswalk'!A:C, 3, FALSE), VLOOKUP(M373, 'NAICS OES crosswalk'!A:C, 3, FALSE))</f>
        <v>#N/A</v>
      </c>
      <c r="U373" s="188">
        <v>20700081004</v>
      </c>
      <c r="V373" s="11" t="s">
        <v>1716</v>
      </c>
      <c r="W373" s="11"/>
      <c r="X373" s="11">
        <v>1.9963328727272699E-2</v>
      </c>
      <c r="Y373" s="11" t="b">
        <f t="shared" si="6"/>
        <v>0</v>
      </c>
    </row>
    <row r="374" spans="1:25" x14ac:dyDescent="0.35">
      <c r="A374" s="11">
        <v>2020</v>
      </c>
      <c r="B374" s="11" t="s">
        <v>1980</v>
      </c>
      <c r="C374" s="11" t="s">
        <v>1320</v>
      </c>
      <c r="D374" s="163">
        <v>110012254363</v>
      </c>
      <c r="E374" s="11" t="s">
        <v>686</v>
      </c>
      <c r="F374" s="11" t="s">
        <v>304</v>
      </c>
      <c r="G374" s="11" t="s">
        <v>779</v>
      </c>
      <c r="H374" s="11" t="s">
        <v>91</v>
      </c>
      <c r="I374" s="11" t="s">
        <v>1982</v>
      </c>
      <c r="J374" s="11">
        <v>30.563776000000001</v>
      </c>
      <c r="K374" s="11">
        <v>-91.212565999999995</v>
      </c>
      <c r="L374" s="11">
        <v>4491</v>
      </c>
      <c r="M374" s="11">
        <v>4491</v>
      </c>
      <c r="N374" s="175" t="str">
        <f>VLOOKUP(M374, '2017 SIC to NAICS'!A:D, 2)</f>
        <v>Marine Cargo Handling</v>
      </c>
      <c r="P374" s="187" t="str">
        <f>VLOOKUP(M374, '2017 SIC to NAICS'!A:D, 4)</f>
        <v>Marine Cargo Handling</v>
      </c>
      <c r="Q374" s="176" t="e">
        <f>IFERROR(VLOOKUP(O374, 'NAICS OES crosswalk'!A:C, 3, FALSE), VLOOKUP(M374, 'NAICS OES crosswalk'!A:C, 3, FALSE))</f>
        <v>#N/A</v>
      </c>
      <c r="U374" s="188">
        <v>80702010402</v>
      </c>
      <c r="V374" s="11" t="s">
        <v>1321</v>
      </c>
      <c r="W374" s="11"/>
      <c r="X374" s="11">
        <v>1.478364225E-4</v>
      </c>
      <c r="Y374" s="11" t="b">
        <f t="shared" si="6"/>
        <v>1</v>
      </c>
    </row>
    <row r="375" spans="1:25" x14ac:dyDescent="0.35">
      <c r="A375" s="11">
        <v>2020</v>
      </c>
      <c r="B375" s="11" t="s">
        <v>1980</v>
      </c>
      <c r="C375" s="11" t="s">
        <v>1316</v>
      </c>
      <c r="D375" s="163">
        <v>110000911309</v>
      </c>
      <c r="E375" s="11" t="s">
        <v>573</v>
      </c>
      <c r="F375" s="11" t="s">
        <v>209</v>
      </c>
      <c r="G375" s="11" t="s">
        <v>1299</v>
      </c>
      <c r="H375" s="11" t="s">
        <v>91</v>
      </c>
      <c r="I375" s="11" t="s">
        <v>1982</v>
      </c>
      <c r="J375" s="11">
        <v>30.233011999999999</v>
      </c>
      <c r="K375" s="11">
        <v>-91.022057000000004</v>
      </c>
      <c r="L375" s="11">
        <v>4789</v>
      </c>
      <c r="M375" s="11">
        <v>4789</v>
      </c>
      <c r="N375" s="175" t="str">
        <f>VLOOKUP(M375, '2017 SIC to NAICS'!A:D, 2)</f>
        <v>Transportation Services, Nec</v>
      </c>
      <c r="P375" s="187" t="str">
        <f>VLOOKUP(M375, '2017 SIC to NAICS'!A:D, 4)</f>
        <v>Food Service Contractors</v>
      </c>
      <c r="Q375" s="176" t="e">
        <f>IFERROR(VLOOKUP(O375, 'NAICS OES crosswalk'!A:C, 3, FALSE), VLOOKUP(M375, 'NAICS OES crosswalk'!A:C, 3, FALSE))</f>
        <v>#N/A</v>
      </c>
      <c r="U375" s="188">
        <v>80702040103</v>
      </c>
      <c r="V375" s="11" t="s">
        <v>1300</v>
      </c>
      <c r="W375" s="11"/>
      <c r="X375" s="11">
        <v>1.9371630000000001E-2</v>
      </c>
      <c r="Y375" s="11" t="b">
        <f t="shared" si="6"/>
        <v>0</v>
      </c>
    </row>
    <row r="376" spans="1:25" x14ac:dyDescent="0.35">
      <c r="A376" s="11">
        <v>2020</v>
      </c>
      <c r="B376" s="11" t="s">
        <v>1980</v>
      </c>
      <c r="C376" s="11" t="s">
        <v>730</v>
      </c>
      <c r="D376" s="163">
        <v>110017979810</v>
      </c>
      <c r="E376" s="11" t="s">
        <v>309</v>
      </c>
      <c r="F376" s="11" t="s">
        <v>158</v>
      </c>
      <c r="G376" s="11" t="s">
        <v>434</v>
      </c>
      <c r="H376" s="11" t="s">
        <v>129</v>
      </c>
      <c r="I376" s="11" t="s">
        <v>1982</v>
      </c>
      <c r="J376" s="11">
        <v>38.959018999999998</v>
      </c>
      <c r="K376" s="11">
        <v>-94.576569000000006</v>
      </c>
      <c r="L376" s="11">
        <v>6552</v>
      </c>
      <c r="M376" s="11">
        <v>6552</v>
      </c>
      <c r="N376" s="175" t="str">
        <f>VLOOKUP(M376, '2017 SIC to NAICS'!A:D, 2)</f>
        <v>Subdividers and Developers, Nec</v>
      </c>
      <c r="P376" s="187" t="str">
        <f>VLOOKUP(M376, '2017 SIC to NAICS'!A:D, 4)</f>
        <v>Land Subdivision</v>
      </c>
      <c r="Q376" s="176" t="e">
        <f>IFERROR(VLOOKUP(O376, 'NAICS OES crosswalk'!A:C, 3, FALSE), VLOOKUP(M376, 'NAICS OES crosswalk'!A:C, 3, FALSE))</f>
        <v>#N/A</v>
      </c>
      <c r="U376" s="188">
        <v>103001010105</v>
      </c>
      <c r="V376" s="11" t="s">
        <v>733</v>
      </c>
      <c r="W376" s="11"/>
      <c r="X376" s="11">
        <v>1.8455659999999999E-2</v>
      </c>
      <c r="Y376" s="11" t="b">
        <f t="shared" si="6"/>
        <v>0</v>
      </c>
    </row>
    <row r="377" spans="1:25" x14ac:dyDescent="0.35">
      <c r="A377" s="11">
        <v>2020</v>
      </c>
      <c r="B377" s="11" t="s">
        <v>1980</v>
      </c>
      <c r="C377" s="11" t="s">
        <v>829</v>
      </c>
      <c r="D377" s="163">
        <v>110059844156</v>
      </c>
      <c r="E377" s="11" t="s">
        <v>512</v>
      </c>
      <c r="F377" s="11" t="s">
        <v>337</v>
      </c>
      <c r="G377" s="11" t="s">
        <v>823</v>
      </c>
      <c r="H377" s="11" t="s">
        <v>221</v>
      </c>
      <c r="I377" s="11" t="s">
        <v>1982</v>
      </c>
      <c r="J377" s="11">
        <v>36.131489999999999</v>
      </c>
      <c r="K377" s="11">
        <v>-115.15483</v>
      </c>
      <c r="L377" s="11">
        <v>1799</v>
      </c>
      <c r="M377" s="11">
        <v>1799</v>
      </c>
      <c r="N377" s="175" t="str">
        <f>VLOOKUP(M377, '2017 SIC to NAICS'!A:D, 2)</f>
        <v>Special Trade Contractors, Nec</v>
      </c>
      <c r="O377" s="11">
        <v>562910</v>
      </c>
      <c r="P377" s="187" t="str">
        <f>VLOOKUP(M377, '2017 SIC to NAICS'!A:D, 4)</f>
        <v>Remediation Services</v>
      </c>
      <c r="Q377" s="176" t="e">
        <f>IFERROR(VLOOKUP(O377, 'NAICS OES crosswalk'!A:C, 3, FALSE), VLOOKUP(M377, 'NAICS OES crosswalk'!A:C, 3, FALSE))</f>
        <v>#N/A</v>
      </c>
      <c r="U377" s="188">
        <v>150100150604</v>
      </c>
      <c r="V377" s="11" t="s">
        <v>738</v>
      </c>
      <c r="W377" s="11"/>
      <c r="X377" s="11">
        <v>1.8325238362499999E-2</v>
      </c>
      <c r="Y377" s="11" t="b">
        <f t="shared" si="6"/>
        <v>0</v>
      </c>
    </row>
    <row r="378" spans="1:25" x14ac:dyDescent="0.35">
      <c r="A378" s="11">
        <v>2020</v>
      </c>
      <c r="B378" s="11" t="s">
        <v>1980</v>
      </c>
      <c r="C378" s="11" t="s">
        <v>1731</v>
      </c>
      <c r="D378" s="163">
        <v>110070545578</v>
      </c>
      <c r="E378" s="11" t="s">
        <v>274</v>
      </c>
      <c r="F378" s="11" t="s">
        <v>275</v>
      </c>
      <c r="G378" s="11" t="s">
        <v>1718</v>
      </c>
      <c r="H378" s="11" t="s">
        <v>276</v>
      </c>
      <c r="I378" s="11" t="s">
        <v>1982</v>
      </c>
      <c r="J378" s="11">
        <v>38.845162999999999</v>
      </c>
      <c r="K378" s="11">
        <v>-77.050687999999994</v>
      </c>
      <c r="L378" s="11">
        <v>1794</v>
      </c>
      <c r="M378" s="11">
        <v>1794</v>
      </c>
      <c r="N378" s="175" t="str">
        <f>VLOOKUP(M378, '2017 SIC to NAICS'!A:D, 2)</f>
        <v>Excavation Work</v>
      </c>
      <c r="P378" s="187" t="str">
        <f>VLOOKUP(M378, '2017 SIC to NAICS'!A:D, 4)</f>
        <v>Site Preparation Contractors</v>
      </c>
      <c r="Q378" s="176" t="e">
        <f>IFERROR(VLOOKUP(O378, 'NAICS OES crosswalk'!A:C, 3, FALSE), VLOOKUP(M378, 'NAICS OES crosswalk'!A:C, 3, FALSE))</f>
        <v>#N/A</v>
      </c>
      <c r="U378" s="188">
        <v>20700100301</v>
      </c>
      <c r="V378" s="11" t="s">
        <v>1711</v>
      </c>
      <c r="W378" s="11"/>
      <c r="X378" s="11">
        <v>1.8057090037500001E-2</v>
      </c>
      <c r="Y378" s="11" t="b">
        <f t="shared" si="6"/>
        <v>0</v>
      </c>
    </row>
    <row r="379" spans="1:25" ht="29" x14ac:dyDescent="0.35">
      <c r="A379" s="11">
        <v>2020</v>
      </c>
      <c r="B379" s="11" t="s">
        <v>1980</v>
      </c>
      <c r="C379" s="11" t="s">
        <v>1403</v>
      </c>
      <c r="D379" s="163">
        <v>110034151450</v>
      </c>
      <c r="E379" s="11" t="s">
        <v>584</v>
      </c>
      <c r="F379" s="11" t="s">
        <v>585</v>
      </c>
      <c r="G379" s="11" t="s">
        <v>1372</v>
      </c>
      <c r="H379" s="11" t="s">
        <v>181</v>
      </c>
      <c r="I379" s="11" t="s">
        <v>1982</v>
      </c>
      <c r="J379" s="11">
        <v>42.665671000000003</v>
      </c>
      <c r="K379" s="11">
        <v>-85.290707999999995</v>
      </c>
      <c r="L379" s="11">
        <v>4953</v>
      </c>
      <c r="M379" s="11">
        <v>4953</v>
      </c>
      <c r="N379" s="175" t="str">
        <f>VLOOKUP(M379, '2017 SIC to NAICS'!A:D, 2)</f>
        <v>Refuse Systems</v>
      </c>
      <c r="O379" s="11">
        <v>562212</v>
      </c>
      <c r="P379" s="187" t="str">
        <f>VLOOKUP(M379, '2017 SIC to NAICS'!A:D, 4)</f>
        <v>Materials Recovery Facilities</v>
      </c>
      <c r="Q379" s="176" t="str">
        <f>IFERROR(VLOOKUP(O379, 'NAICS OES crosswalk'!A:C, 3, FALSE), VLOOKUP(M379, 'NAICS OES crosswalk'!A:C, 3, FALSE))</f>
        <v>Waste handling, disposal, and treatment</v>
      </c>
      <c r="U379" s="188">
        <v>40500070402</v>
      </c>
      <c r="V379" s="11" t="s">
        <v>1404</v>
      </c>
      <c r="W379" s="11"/>
      <c r="X379" s="11">
        <v>1.71933625E-2</v>
      </c>
      <c r="Y379" s="11" t="b">
        <f t="shared" si="6"/>
        <v>0</v>
      </c>
    </row>
    <row r="380" spans="1:25" ht="29" x14ac:dyDescent="0.35">
      <c r="A380" s="11">
        <v>2020</v>
      </c>
      <c r="B380" s="11" t="s">
        <v>1980</v>
      </c>
      <c r="C380" s="11" t="s">
        <v>1116</v>
      </c>
      <c r="D380" s="163">
        <v>110039639736</v>
      </c>
      <c r="E380" s="11" t="s">
        <v>134</v>
      </c>
      <c r="F380" s="11" t="s">
        <v>135</v>
      </c>
      <c r="G380" s="11" t="s">
        <v>1117</v>
      </c>
      <c r="H380" s="11" t="s">
        <v>108</v>
      </c>
      <c r="I380" s="11" t="s">
        <v>1981</v>
      </c>
      <c r="J380" s="11">
        <v>39.058610999999999</v>
      </c>
      <c r="K380" s="11">
        <v>-84.618055999999996</v>
      </c>
      <c r="L380" s="11">
        <v>4952</v>
      </c>
      <c r="M380" s="11">
        <v>4952</v>
      </c>
      <c r="N380" s="175" t="str">
        <f>VLOOKUP(M380, '2017 SIC to NAICS'!A:D, 2)</f>
        <v>Sewerage Systems</v>
      </c>
      <c r="O380" s="11">
        <v>221320</v>
      </c>
      <c r="P380" s="187" t="str">
        <f>VLOOKUP(M380, '2017 SIC to NAICS'!A:D, 4)</f>
        <v>Sewage Treatment Facilities</v>
      </c>
      <c r="Q380" s="176" t="str">
        <f>IFERROR(VLOOKUP(O380, 'NAICS OES crosswalk'!A:C, 3, FALSE), VLOOKUP(M380, 'NAICS OES crosswalk'!A:C, 3, FALSE))</f>
        <v>Waste handling, disposal, and treatment</v>
      </c>
      <c r="U380" s="188">
        <v>50902030202</v>
      </c>
      <c r="V380" s="11" t="s">
        <v>1118</v>
      </c>
      <c r="W380" s="11"/>
      <c r="X380" s="11">
        <v>1.6944404125E-2</v>
      </c>
      <c r="Y380" s="11" t="b">
        <f t="shared" si="6"/>
        <v>0</v>
      </c>
    </row>
    <row r="381" spans="1:25" x14ac:dyDescent="0.35">
      <c r="A381" s="11">
        <v>2020</v>
      </c>
      <c r="B381" s="11" t="s">
        <v>1980</v>
      </c>
      <c r="C381" s="11" t="s">
        <v>1054</v>
      </c>
      <c r="D381" s="163">
        <v>110000433022</v>
      </c>
      <c r="E381" s="11" t="s">
        <v>407</v>
      </c>
      <c r="F381" s="11" t="s">
        <v>260</v>
      </c>
      <c r="G381" s="11" t="s">
        <v>795</v>
      </c>
      <c r="H381" s="11" t="s">
        <v>111</v>
      </c>
      <c r="I381" s="11" t="s">
        <v>1982</v>
      </c>
      <c r="J381" s="11">
        <v>41.305320000000002</v>
      </c>
      <c r="K381" s="11">
        <v>-88.561769999999996</v>
      </c>
      <c r="L381" s="11">
        <v>2821</v>
      </c>
      <c r="M381" s="11">
        <v>2821</v>
      </c>
      <c r="N381" s="175" t="str">
        <f>VLOOKUP(M381, '2017 SIC to NAICS'!A:D, 2)</f>
        <v>Plastics Materials and Resins</v>
      </c>
      <c r="P381" s="187" t="str">
        <f>VLOOKUP(M381, '2017 SIC to NAICS'!A:D, 4)</f>
        <v>Plastics Material and Resin Manufacturing</v>
      </c>
      <c r="Q381" s="176" t="str">
        <f>IFERROR(VLOOKUP(O381, 'NAICS OES crosswalk'!A:C, 3, FALSE), VLOOKUP(M381, 'NAICS OES crosswalk'!A:C, 3, FALSE))</f>
        <v>Processing as a reactant</v>
      </c>
      <c r="U381" s="188">
        <v>71200050705</v>
      </c>
      <c r="V381" s="11" t="s">
        <v>1055</v>
      </c>
      <c r="W381" s="11"/>
      <c r="X381" s="11">
        <v>0.20465185</v>
      </c>
      <c r="Y381" s="11" t="b">
        <f t="shared" si="6"/>
        <v>0</v>
      </c>
    </row>
    <row r="382" spans="1:25" ht="29" x14ac:dyDescent="0.35">
      <c r="A382" s="11">
        <v>2020</v>
      </c>
      <c r="B382" s="11" t="s">
        <v>1980</v>
      </c>
      <c r="C382" s="11" t="s">
        <v>1649</v>
      </c>
      <c r="D382" s="163">
        <v>110020036209</v>
      </c>
      <c r="E382" s="11" t="s">
        <v>563</v>
      </c>
      <c r="F382" s="11" t="s">
        <v>564</v>
      </c>
      <c r="G382" s="11" t="s">
        <v>1650</v>
      </c>
      <c r="H382" s="11" t="s">
        <v>340</v>
      </c>
      <c r="I382" s="11" t="s">
        <v>1982</v>
      </c>
      <c r="J382" s="11">
        <v>41.795278000000003</v>
      </c>
      <c r="K382" s="11">
        <v>-77.299722000000003</v>
      </c>
      <c r="L382" s="11">
        <v>9999</v>
      </c>
      <c r="M382" s="11">
        <v>9999</v>
      </c>
      <c r="N382" s="175" t="str">
        <f>VLOOKUP(M382, '2017 SIC to NAICS'!A:D, 2)</f>
        <v>Nonclassifiable Establishments</v>
      </c>
      <c r="P382" s="187">
        <f>VLOOKUP(M382, '2017 SIC to NAICS'!A:D, 4)</f>
        <v>0</v>
      </c>
      <c r="Q382" s="176" t="str">
        <f>IFERROR(VLOOKUP(O382, 'NAICS OES crosswalk'!A:C, 3, FALSE), VLOOKUP(M382, 'NAICS OES crosswalk'!A:C, 3, FALSE))</f>
        <v>Uncertain, possibly a remediation site</v>
      </c>
      <c r="U382" s="188">
        <v>20502050303</v>
      </c>
      <c r="V382" s="11" t="s">
        <v>1651</v>
      </c>
      <c r="W382" s="11"/>
      <c r="X382" s="11">
        <v>1.5980322346549999E-2</v>
      </c>
      <c r="Y382" s="11" t="b">
        <f t="shared" si="6"/>
        <v>0</v>
      </c>
    </row>
    <row r="383" spans="1:25" x14ac:dyDescent="0.35">
      <c r="A383" s="11">
        <v>2020</v>
      </c>
      <c r="B383" s="11" t="s">
        <v>1980</v>
      </c>
      <c r="C383" s="11" t="s">
        <v>730</v>
      </c>
      <c r="D383" s="163">
        <v>110017979810</v>
      </c>
      <c r="E383" s="11" t="s">
        <v>309</v>
      </c>
      <c r="F383" s="11" t="s">
        <v>158</v>
      </c>
      <c r="G383" s="11" t="s">
        <v>434</v>
      </c>
      <c r="H383" s="11" t="s">
        <v>129</v>
      </c>
      <c r="I383" s="11" t="s">
        <v>1982</v>
      </c>
      <c r="J383" s="11">
        <v>38.959018999999998</v>
      </c>
      <c r="K383" s="11">
        <v>-94.576569000000006</v>
      </c>
      <c r="L383" s="11">
        <v>6552</v>
      </c>
      <c r="M383" s="11">
        <v>6552</v>
      </c>
      <c r="N383" s="175" t="str">
        <f>VLOOKUP(M383, '2017 SIC to NAICS'!A:D, 2)</f>
        <v>Subdividers and Developers, Nec</v>
      </c>
      <c r="P383" s="187" t="str">
        <f>VLOOKUP(M383, '2017 SIC to NAICS'!A:D, 4)</f>
        <v>Land Subdivision</v>
      </c>
      <c r="Q383" s="176" t="e">
        <f>IFERROR(VLOOKUP(O383, 'NAICS OES crosswalk'!A:C, 3, FALSE), VLOOKUP(M383, 'NAICS OES crosswalk'!A:C, 3, FALSE))</f>
        <v>#N/A</v>
      </c>
      <c r="U383" s="188">
        <v>103001010105</v>
      </c>
      <c r="V383" s="11" t="s">
        <v>733</v>
      </c>
      <c r="W383" s="11"/>
      <c r="X383" s="11">
        <v>1.530937875E-2</v>
      </c>
      <c r="Y383" s="11" t="b">
        <f t="shared" si="6"/>
        <v>0</v>
      </c>
    </row>
    <row r="384" spans="1:25" x14ac:dyDescent="0.35">
      <c r="A384" s="11">
        <v>2020</v>
      </c>
      <c r="B384" s="11" t="s">
        <v>1980</v>
      </c>
      <c r="C384" s="11" t="s">
        <v>763</v>
      </c>
      <c r="D384" s="163">
        <v>110018199377</v>
      </c>
      <c r="E384" s="11" t="s">
        <v>109</v>
      </c>
      <c r="F384" s="11" t="s">
        <v>110</v>
      </c>
      <c r="G384" s="11" t="s">
        <v>764</v>
      </c>
      <c r="H384" s="11" t="s">
        <v>111</v>
      </c>
      <c r="I384" s="11" t="s">
        <v>1982</v>
      </c>
      <c r="J384" s="11">
        <v>41.692782000000001</v>
      </c>
      <c r="K384" s="11">
        <v>-87.951100999999994</v>
      </c>
      <c r="L384" s="11">
        <v>4226</v>
      </c>
      <c r="M384" s="11">
        <v>4226</v>
      </c>
      <c r="N384" s="175" t="str">
        <f>VLOOKUP(M384, '2017 SIC to NAICS'!A:D, 2)</f>
        <v>Special Warehousing and Storage, Nec</v>
      </c>
      <c r="P384" s="187" t="str">
        <f>VLOOKUP(M384, '2017 SIC to NAICS'!A:D, 4)</f>
        <v>Other Warehousing and Storage</v>
      </c>
      <c r="Q384" s="176" t="e">
        <f>IFERROR(VLOOKUP(O384, 'NAICS OES crosswalk'!A:C, 3, FALSE), VLOOKUP(M384, 'NAICS OES crosswalk'!A:C, 3, FALSE))</f>
        <v>#N/A</v>
      </c>
      <c r="U384" s="188">
        <v>71200040705</v>
      </c>
      <c r="V384" s="11" t="s">
        <v>767</v>
      </c>
      <c r="W384" s="11"/>
      <c r="X384" s="11">
        <v>1.5162709999999999E-2</v>
      </c>
      <c r="Y384" s="11" t="b">
        <f t="shared" si="6"/>
        <v>0</v>
      </c>
    </row>
    <row r="385" spans="1:25" x14ac:dyDescent="0.35">
      <c r="A385" s="11">
        <v>2020</v>
      </c>
      <c r="B385" s="11" t="s">
        <v>1980</v>
      </c>
      <c r="C385" s="11" t="s">
        <v>1504</v>
      </c>
      <c r="D385" s="163">
        <v>110070210457</v>
      </c>
      <c r="E385" s="11" t="s">
        <v>650</v>
      </c>
      <c r="F385" s="11" t="s">
        <v>651</v>
      </c>
      <c r="G385" s="11" t="s">
        <v>1492</v>
      </c>
      <c r="H385" s="11" t="s">
        <v>254</v>
      </c>
      <c r="I385" s="11" t="s">
        <v>1982</v>
      </c>
      <c r="J385" s="11">
        <v>39.827696000000003</v>
      </c>
      <c r="K385" s="11">
        <v>-75.277782000000002</v>
      </c>
      <c r="L385" s="11">
        <v>2869</v>
      </c>
      <c r="M385" s="11">
        <v>2869</v>
      </c>
      <c r="N385" s="175" t="str">
        <f>VLOOKUP(M385, '2017 SIC to NAICS'!A:D, 2)</f>
        <v>Industrial Organic Chemicals, Nec</v>
      </c>
      <c r="P385" s="187" t="str">
        <f>VLOOKUP(M385, '2017 SIC to NAICS'!A:D, 4)</f>
        <v>All Other Miscellaneous Chemical Product and Preparation Manufacturing</v>
      </c>
      <c r="Q385" s="176" t="str">
        <f>IFERROR(VLOOKUP(O385, 'NAICS OES crosswalk'!A:C, 3, FALSE), VLOOKUP(M385, 'NAICS OES crosswalk'!A:C, 3, FALSE))</f>
        <v>Manufacturing</v>
      </c>
      <c r="U385" s="188">
        <v>20402020507</v>
      </c>
      <c r="V385" s="11" t="s">
        <v>1498</v>
      </c>
      <c r="W385" s="11"/>
      <c r="X385" s="11">
        <v>3.4535797225E-3</v>
      </c>
      <c r="Y385" s="11" t="b">
        <f t="shared" si="6"/>
        <v>0</v>
      </c>
    </row>
    <row r="386" spans="1:25" x14ac:dyDescent="0.35">
      <c r="A386" s="11">
        <v>2020</v>
      </c>
      <c r="B386" s="11" t="s">
        <v>1980</v>
      </c>
      <c r="C386" s="11" t="s">
        <v>800</v>
      </c>
      <c r="D386" s="163">
        <v>110005812371</v>
      </c>
      <c r="E386" s="11" t="s">
        <v>353</v>
      </c>
      <c r="F386" s="11" t="s">
        <v>354</v>
      </c>
      <c r="G386" s="11" t="s">
        <v>801</v>
      </c>
      <c r="H386" s="11" t="s">
        <v>111</v>
      </c>
      <c r="I386" s="11" t="s">
        <v>1982</v>
      </c>
      <c r="J386" s="11">
        <v>42.304209</v>
      </c>
      <c r="K386" s="11">
        <v>-89.055548999999999</v>
      </c>
      <c r="L386" s="11">
        <v>3728</v>
      </c>
      <c r="M386" s="11">
        <v>3728</v>
      </c>
      <c r="N386" s="175" t="str">
        <f>VLOOKUP(M386, '2017 SIC to NAICS'!A:D, 2)</f>
        <v>Aircraft Parts and Auxiliary Equipment, NEC (research and development not
producing prototypes)</v>
      </c>
      <c r="P386" s="187" t="str">
        <f>VLOOKUP(M386, '2017 SIC to NAICS'!A:D, 4)</f>
        <v>Research and Development in Nanotechnology</v>
      </c>
      <c r="Q386" s="176" t="e">
        <f>IFERROR(VLOOKUP(O386, 'NAICS OES crosswalk'!A:C, 3, FALSE), VLOOKUP(M386, 'NAICS OES crosswalk'!A:C, 3, FALSE))</f>
        <v>#N/A</v>
      </c>
      <c r="U386" s="188">
        <v>70900050107</v>
      </c>
      <c r="V386" s="11" t="s">
        <v>802</v>
      </c>
      <c r="W386" s="11"/>
      <c r="X386" s="189">
        <v>1.4643408E-2</v>
      </c>
      <c r="Y386" s="11" t="b">
        <f t="shared" si="6"/>
        <v>0</v>
      </c>
    </row>
    <row r="387" spans="1:25" x14ac:dyDescent="0.35">
      <c r="A387" s="11">
        <v>2020</v>
      </c>
      <c r="B387" s="11" t="s">
        <v>1980</v>
      </c>
      <c r="C387" s="11" t="s">
        <v>1003</v>
      </c>
      <c r="D387" s="163">
        <v>110000611703</v>
      </c>
      <c r="E387" s="11" t="s">
        <v>565</v>
      </c>
      <c r="F387" s="11" t="s">
        <v>566</v>
      </c>
      <c r="G387" s="11" t="s">
        <v>1004</v>
      </c>
      <c r="H387" s="11" t="s">
        <v>567</v>
      </c>
      <c r="I387" s="11" t="s">
        <v>1982</v>
      </c>
      <c r="J387" s="11">
        <v>34.632592000000002</v>
      </c>
      <c r="K387" s="11">
        <v>-84.927667999999997</v>
      </c>
      <c r="L387" s="11">
        <v>2821</v>
      </c>
      <c r="M387" s="11">
        <v>2821</v>
      </c>
      <c r="N387" s="175" t="str">
        <f>VLOOKUP(M387, '2017 SIC to NAICS'!A:D, 2)</f>
        <v>Plastics Materials and Resins</v>
      </c>
      <c r="O387" s="11">
        <v>325211</v>
      </c>
      <c r="P387" s="187" t="str">
        <f>VLOOKUP(M387, '2017 SIC to NAICS'!A:D, 4)</f>
        <v>Plastics Material and Resin Manufacturing</v>
      </c>
      <c r="Q387" s="176" t="str">
        <f>IFERROR(VLOOKUP(O387, 'NAICS OES crosswalk'!A:C, 3, FALSE), VLOOKUP(M387, 'NAICS OES crosswalk'!A:C, 3, FALSE))</f>
        <v>Processing as a reactant</v>
      </c>
      <c r="U387" s="188">
        <v>31501010504</v>
      </c>
      <c r="V387" s="11" t="s">
        <v>1005</v>
      </c>
      <c r="W387" s="11"/>
      <c r="X387" s="11">
        <v>1.4074E-2</v>
      </c>
      <c r="Y387" s="11" t="b">
        <f t="shared" si="6"/>
        <v>0</v>
      </c>
    </row>
    <row r="388" spans="1:25" x14ac:dyDescent="0.35">
      <c r="A388" s="11">
        <v>2020</v>
      </c>
      <c r="B388" s="11" t="s">
        <v>1980</v>
      </c>
      <c r="C388" s="11" t="s">
        <v>1506</v>
      </c>
      <c r="D388" s="163">
        <v>110009721836</v>
      </c>
      <c r="E388" s="11" t="s">
        <v>568</v>
      </c>
      <c r="F388" s="11" t="s">
        <v>300</v>
      </c>
      <c r="G388" s="11" t="s">
        <v>1492</v>
      </c>
      <c r="H388" s="11" t="s">
        <v>254</v>
      </c>
      <c r="I388" s="11" t="s">
        <v>1982</v>
      </c>
      <c r="J388" s="11">
        <v>39.799250000000001</v>
      </c>
      <c r="K388" s="11">
        <v>-75.33296</v>
      </c>
      <c r="L388" s="11">
        <v>4213</v>
      </c>
      <c r="M388" s="11">
        <v>4213</v>
      </c>
      <c r="N388" s="175" t="str">
        <f>VLOOKUP(M388, '2017 SIC to NAICS'!A:D, 2)</f>
        <v>Trucking, Except Local</v>
      </c>
      <c r="O388" s="11">
        <v>484230</v>
      </c>
      <c r="P388" s="187" t="str">
        <f>VLOOKUP(M388, '2017 SIC to NAICS'!A:D, 4)</f>
        <v>Specialized Freight (except Used Goods)
Trucking, Long-Distance</v>
      </c>
      <c r="Q388" s="176" t="e">
        <f>IFERROR(VLOOKUP(O388, 'NAICS OES crosswalk'!A:C, 3, FALSE), VLOOKUP(M388, 'NAICS OES crosswalk'!A:C, 3, FALSE))</f>
        <v>#N/A</v>
      </c>
      <c r="U388" s="188">
        <v>20402020607</v>
      </c>
      <c r="V388" s="11" t="s">
        <v>1507</v>
      </c>
      <c r="W388" s="11"/>
      <c r="X388" s="11">
        <v>1.3676456320999999E-2</v>
      </c>
      <c r="Y388" s="11" t="b">
        <f t="shared" si="6"/>
        <v>0</v>
      </c>
    </row>
    <row r="389" spans="1:25" x14ac:dyDescent="0.35">
      <c r="A389" s="11">
        <v>2020</v>
      </c>
      <c r="B389" s="11" t="s">
        <v>1980</v>
      </c>
      <c r="C389" s="11" t="s">
        <v>1345</v>
      </c>
      <c r="D389" s="163">
        <v>110037096674</v>
      </c>
      <c r="E389" s="11" t="s">
        <v>479</v>
      </c>
      <c r="F389" s="11" t="s">
        <v>480</v>
      </c>
      <c r="G389" s="11" t="s">
        <v>862</v>
      </c>
      <c r="H389" s="11" t="s">
        <v>481</v>
      </c>
      <c r="I389" s="11" t="s">
        <v>1982</v>
      </c>
      <c r="J389" s="11">
        <v>38.987340000000003</v>
      </c>
      <c r="K389" s="11">
        <v>-77.026660000000007</v>
      </c>
      <c r="L389" s="11">
        <v>1522</v>
      </c>
      <c r="M389" s="11">
        <v>1522</v>
      </c>
      <c r="N389" s="175" t="str">
        <f>VLOOKUP(M389, '2017 SIC to NAICS'!A:D, 2)</f>
        <v>Residential Construction, Nec</v>
      </c>
      <c r="P389" s="187" t="str">
        <f>VLOOKUP(M389, '2017 SIC to NAICS'!A:D, 4)</f>
        <v>Commercial and Institutional Building
Construction</v>
      </c>
      <c r="Q389" s="176" t="e">
        <f>IFERROR(VLOOKUP(O389, 'NAICS OES crosswalk'!A:C, 3, FALSE), VLOOKUP(M389, 'NAICS OES crosswalk'!A:C, 3, FALSE))</f>
        <v>#N/A</v>
      </c>
      <c r="U389" s="188">
        <v>20700100102</v>
      </c>
      <c r="V389" s="11" t="s">
        <v>1346</v>
      </c>
      <c r="W389" s="11"/>
      <c r="X389" s="11">
        <v>2.7311939260000001E-2</v>
      </c>
      <c r="Y389" s="11" t="b">
        <f t="shared" si="6"/>
        <v>0</v>
      </c>
    </row>
    <row r="390" spans="1:25" x14ac:dyDescent="0.35">
      <c r="A390" s="11">
        <v>2020</v>
      </c>
      <c r="B390" s="11" t="s">
        <v>1980</v>
      </c>
      <c r="C390" s="11" t="s">
        <v>1066</v>
      </c>
      <c r="D390" s="163">
        <v>110000400012</v>
      </c>
      <c r="E390" s="11" t="s">
        <v>580</v>
      </c>
      <c r="F390" s="11" t="s">
        <v>581</v>
      </c>
      <c r="G390" s="11" t="s">
        <v>1067</v>
      </c>
      <c r="H390" s="11" t="s">
        <v>151</v>
      </c>
      <c r="I390" s="11" t="s">
        <v>1982</v>
      </c>
      <c r="J390" s="11">
        <v>40.86168</v>
      </c>
      <c r="K390" s="11">
        <v>-85.599149999999995</v>
      </c>
      <c r="L390" s="11">
        <v>3714</v>
      </c>
      <c r="M390" s="11">
        <v>3714</v>
      </c>
      <c r="N390" s="175" t="str">
        <f>VLOOKUP(M390, '2017 SIC to NAICS'!A:D, 2)</f>
        <v>Motor Vehicle Parts and Accessories</v>
      </c>
      <c r="P390" s="187" t="str">
        <f>VLOOKUP(M390, '2017 SIC to NAICS'!A:D, 4)</f>
        <v>Other Motor Vehicle Parts Manufacturing</v>
      </c>
      <c r="Q390" s="176" t="e">
        <f>IFERROR(VLOOKUP(O390, 'NAICS OES crosswalk'!A:C, 3, FALSE), VLOOKUP(M390, 'NAICS OES crosswalk'!A:C, 3, FALSE))</f>
        <v>#N/A</v>
      </c>
      <c r="U390" s="188">
        <v>51201011303</v>
      </c>
      <c r="V390" s="11" t="s">
        <v>1068</v>
      </c>
      <c r="W390" s="11"/>
      <c r="X390" s="11">
        <v>1.2553330999999999E-2</v>
      </c>
      <c r="Y390" s="11" t="b">
        <f t="shared" si="6"/>
        <v>0</v>
      </c>
    </row>
    <row r="391" spans="1:25" x14ac:dyDescent="0.35">
      <c r="A391" s="11">
        <v>2020</v>
      </c>
      <c r="B391" s="11" t="s">
        <v>1980</v>
      </c>
      <c r="C391" s="11" t="s">
        <v>1313</v>
      </c>
      <c r="D391" s="163">
        <v>110001131837</v>
      </c>
      <c r="E391" s="11" t="s">
        <v>575</v>
      </c>
      <c r="F391" s="11" t="s">
        <v>576</v>
      </c>
      <c r="G391" s="11" t="s">
        <v>1314</v>
      </c>
      <c r="H391" s="11" t="s">
        <v>91</v>
      </c>
      <c r="I391" s="11" t="s">
        <v>1982</v>
      </c>
      <c r="J391" s="11">
        <v>32.008493999999999</v>
      </c>
      <c r="K391" s="11">
        <v>-93.335728000000003</v>
      </c>
      <c r="L391" s="11">
        <v>4226</v>
      </c>
      <c r="M391" s="11">
        <v>4226</v>
      </c>
      <c r="N391" s="175" t="str">
        <f>VLOOKUP(M391, '2017 SIC to NAICS'!A:D, 2)</f>
        <v>Special Warehousing and Storage, Nec</v>
      </c>
      <c r="P391" s="187" t="str">
        <f>VLOOKUP(M391, '2017 SIC to NAICS'!A:D, 4)</f>
        <v>Other Warehousing and Storage</v>
      </c>
      <c r="Q391" s="176" t="e">
        <f>IFERROR(VLOOKUP(O391, 'NAICS OES crosswalk'!A:C, 3, FALSE), VLOOKUP(M391, 'NAICS OES crosswalk'!A:C, 3, FALSE))</f>
        <v>#N/A</v>
      </c>
      <c r="U391" s="188">
        <v>111402020203</v>
      </c>
      <c r="V391" s="11" t="s">
        <v>1315</v>
      </c>
      <c r="W391" s="11"/>
      <c r="X391" s="11">
        <v>1.1921917299999999E-2</v>
      </c>
      <c r="Y391" s="11" t="b">
        <f t="shared" si="6"/>
        <v>0</v>
      </c>
    </row>
    <row r="392" spans="1:25" x14ac:dyDescent="0.35">
      <c r="A392" s="11">
        <v>2020</v>
      </c>
      <c r="B392" s="11" t="s">
        <v>1980</v>
      </c>
      <c r="C392" s="11" t="s">
        <v>1565</v>
      </c>
      <c r="D392" s="163">
        <v>110000734661</v>
      </c>
      <c r="E392" s="11" t="s">
        <v>516</v>
      </c>
      <c r="F392" s="11" t="s">
        <v>517</v>
      </c>
      <c r="G392" s="11" t="s">
        <v>831</v>
      </c>
      <c r="H392" s="11" t="s">
        <v>126</v>
      </c>
      <c r="I392" s="11" t="s">
        <v>1981</v>
      </c>
      <c r="J392" s="11">
        <v>43.047975999999998</v>
      </c>
      <c r="K392" s="11">
        <v>-78.859217000000001</v>
      </c>
      <c r="L392" s="11">
        <v>9511</v>
      </c>
      <c r="M392" s="11">
        <v>9511</v>
      </c>
      <c r="N392" s="175" t="str">
        <f>VLOOKUP(M392, '2017 SIC to NAICS'!A:D, 2)</f>
        <v>Air, Water, and Solid Waste Management</v>
      </c>
      <c r="P392" s="187" t="str">
        <f>VLOOKUP(M392, '2017 SIC to NAICS'!A:D, 4)</f>
        <v>Administration of Air and Water Resource
and Solid Waste Management Programs</v>
      </c>
      <c r="Q392" s="176" t="e">
        <f>IFERROR(VLOOKUP(O392, 'NAICS OES crosswalk'!A:C, 3, FALSE), VLOOKUP(M392, 'NAICS OES crosswalk'!A:C, 3, FALSE))</f>
        <v>#N/A</v>
      </c>
      <c r="U392" s="188">
        <v>41201040604</v>
      </c>
      <c r="V392" s="11" t="s">
        <v>1566</v>
      </c>
      <c r="W392" s="11"/>
      <c r="X392" s="11">
        <v>7.5226905279999999E-3</v>
      </c>
      <c r="Y392" s="11" t="b">
        <f t="shared" si="6"/>
        <v>0</v>
      </c>
    </row>
    <row r="393" spans="1:25" ht="29" x14ac:dyDescent="0.35">
      <c r="A393" s="11">
        <v>2020</v>
      </c>
      <c r="B393" s="11" t="s">
        <v>1980</v>
      </c>
      <c r="C393" s="11" t="s">
        <v>941</v>
      </c>
      <c r="D393" s="163">
        <v>110000519920</v>
      </c>
      <c r="E393" s="11" t="s">
        <v>482</v>
      </c>
      <c r="F393" s="11" t="s">
        <v>483</v>
      </c>
      <c r="G393" s="11" t="s">
        <v>942</v>
      </c>
      <c r="H393" s="11" t="s">
        <v>102</v>
      </c>
      <c r="I393" s="11" t="s">
        <v>1982</v>
      </c>
      <c r="J393" s="11">
        <v>39.259749999999997</v>
      </c>
      <c r="K393" s="11">
        <v>-121.03075</v>
      </c>
      <c r="L393" s="11">
        <v>4952</v>
      </c>
      <c r="M393" s="11">
        <v>4952</v>
      </c>
      <c r="N393" s="175" t="str">
        <f>VLOOKUP(M393, '2017 SIC to NAICS'!A:D, 2)</f>
        <v>Sewerage Systems</v>
      </c>
      <c r="P393" s="187" t="str">
        <f>VLOOKUP(M393, '2017 SIC to NAICS'!A:D, 4)</f>
        <v>Sewage Treatment Facilities</v>
      </c>
      <c r="Q393" s="176" t="str">
        <f>IFERROR(VLOOKUP(O393, 'NAICS OES crosswalk'!A:C, 3, FALSE), VLOOKUP(M393, 'NAICS OES crosswalk'!A:C, 3, FALSE))</f>
        <v>Waste handling, disposal, and treatment</v>
      </c>
      <c r="U393" s="188">
        <v>180201250802</v>
      </c>
      <c r="V393" s="11" t="s">
        <v>943</v>
      </c>
      <c r="W393" s="11"/>
      <c r="X393" s="11">
        <v>1.1526082E-2</v>
      </c>
      <c r="Y393" s="11" t="b">
        <f t="shared" si="6"/>
        <v>0</v>
      </c>
    </row>
    <row r="394" spans="1:25" x14ac:dyDescent="0.35">
      <c r="A394" s="11">
        <v>2020</v>
      </c>
      <c r="B394" s="11" t="s">
        <v>1980</v>
      </c>
      <c r="C394" s="11" t="s">
        <v>1559</v>
      </c>
      <c r="D394" s="163">
        <v>110037274133</v>
      </c>
      <c r="E394" s="11" t="s">
        <v>657</v>
      </c>
      <c r="F394" s="11" t="s">
        <v>337</v>
      </c>
      <c r="G394" s="11" t="s">
        <v>823</v>
      </c>
      <c r="H394" s="11" t="s">
        <v>221</v>
      </c>
      <c r="I394" s="11" t="s">
        <v>1982</v>
      </c>
      <c r="J394" s="11">
        <v>36.119079999999997</v>
      </c>
      <c r="K394" s="11">
        <v>-115.15727</v>
      </c>
      <c r="L394" s="11">
        <v>6512</v>
      </c>
      <c r="M394" s="11">
        <v>6512</v>
      </c>
      <c r="N394" s="175" t="str">
        <f>VLOOKUP(M394, '2017 SIC to NAICS'!A:D, 2)</f>
        <v>Nonresidential Building Operators</v>
      </c>
      <c r="O394" s="11">
        <v>531210</v>
      </c>
      <c r="P394" s="187" t="str">
        <f>VLOOKUP(M394, '2017 SIC to NAICS'!A:D, 4)</f>
        <v>Promoters of Performing Arts, Sports, and
Similar Events with Facilities</v>
      </c>
      <c r="Q394" s="176" t="e">
        <f>IFERROR(VLOOKUP(O394, 'NAICS OES crosswalk'!A:C, 3, FALSE), VLOOKUP(M394, 'NAICS OES crosswalk'!A:C, 3, FALSE))</f>
        <v>#N/A</v>
      </c>
      <c r="U394" s="188">
        <v>150100150505</v>
      </c>
      <c r="V394" s="11" t="s">
        <v>825</v>
      </c>
      <c r="W394" s="11"/>
      <c r="X394" s="11">
        <v>2.3036929374999999E-3</v>
      </c>
      <c r="Y394" s="11" t="b">
        <f t="shared" si="6"/>
        <v>0</v>
      </c>
    </row>
    <row r="395" spans="1:25" x14ac:dyDescent="0.35">
      <c r="A395" s="11">
        <v>2020</v>
      </c>
      <c r="B395" s="11" t="s">
        <v>1980</v>
      </c>
      <c r="C395" s="11" t="s">
        <v>1497</v>
      </c>
      <c r="D395" s="163">
        <v>110013317614</v>
      </c>
      <c r="E395" s="11" t="s">
        <v>561</v>
      </c>
      <c r="F395" s="11" t="s">
        <v>562</v>
      </c>
      <c r="G395" s="11" t="s">
        <v>1492</v>
      </c>
      <c r="H395" s="11" t="s">
        <v>254</v>
      </c>
      <c r="I395" s="11" t="s">
        <v>1981</v>
      </c>
      <c r="J395" s="11">
        <v>39.845474000000003</v>
      </c>
      <c r="K395" s="11">
        <v>-75.209485999999998</v>
      </c>
      <c r="L395" s="11">
        <v>2821</v>
      </c>
      <c r="M395" s="11">
        <v>2821</v>
      </c>
      <c r="N395" s="175" t="str">
        <f>VLOOKUP(M395, '2017 SIC to NAICS'!A:D, 2)</f>
        <v>Plastics Materials and Resins</v>
      </c>
      <c r="O395" s="11">
        <v>325211</v>
      </c>
      <c r="P395" s="187" t="str">
        <f>VLOOKUP(M395, '2017 SIC to NAICS'!A:D, 4)</f>
        <v>Plastics Material and Resin Manufacturing</v>
      </c>
      <c r="Q395" s="176" t="str">
        <f>IFERROR(VLOOKUP(O395, 'NAICS OES crosswalk'!A:C, 3, FALSE), VLOOKUP(M395, 'NAICS OES crosswalk'!A:C, 3, FALSE))</f>
        <v>Processing as a reactant</v>
      </c>
      <c r="U395" s="188">
        <v>20402020507</v>
      </c>
      <c r="V395" s="11" t="s">
        <v>1498</v>
      </c>
      <c r="W395" s="11"/>
      <c r="X395" s="11">
        <v>9.6100000000000005E-3</v>
      </c>
      <c r="Y395" s="11" t="b">
        <f t="shared" si="6"/>
        <v>0</v>
      </c>
    </row>
    <row r="396" spans="1:25" x14ac:dyDescent="0.35">
      <c r="A396" s="11">
        <v>2020</v>
      </c>
      <c r="B396" s="11" t="s">
        <v>1980</v>
      </c>
      <c r="C396" s="11" t="s">
        <v>735</v>
      </c>
      <c r="D396" s="163">
        <v>110004306938</v>
      </c>
      <c r="E396" s="11" t="s">
        <v>336</v>
      </c>
      <c r="F396" s="11" t="s">
        <v>337</v>
      </c>
      <c r="G396" s="11" t="s">
        <v>736</v>
      </c>
      <c r="H396" s="11" t="s">
        <v>221</v>
      </c>
      <c r="I396" s="11" t="s">
        <v>1982</v>
      </c>
      <c r="J396" s="11">
        <v>36.122100000000003</v>
      </c>
      <c r="K396" s="11">
        <v>-115.17139</v>
      </c>
      <c r="L396" s="11">
        <v>7011</v>
      </c>
      <c r="M396" s="11">
        <v>7011</v>
      </c>
      <c r="N396" s="175" t="str">
        <f>VLOOKUP(M396, '2017 SIC to NAICS'!A:D, 2)</f>
        <v>Hotels and Motels</v>
      </c>
      <c r="P396" s="187" t="str">
        <f>VLOOKUP(M396, '2017 SIC to NAICS'!A:D, 4)</f>
        <v>All Other Traveler Accommodation</v>
      </c>
      <c r="Q396" s="176" t="e">
        <f>IFERROR(VLOOKUP(O396, 'NAICS OES crosswalk'!A:C, 3, FALSE), VLOOKUP(M396, 'NAICS OES crosswalk'!A:C, 3, FALSE))</f>
        <v>#N/A</v>
      </c>
      <c r="U396" s="188">
        <v>150100150604</v>
      </c>
      <c r="V396" s="11" t="s">
        <v>738</v>
      </c>
      <c r="W396" s="11"/>
      <c r="X396" s="11">
        <v>8.7864989999999997E-3</v>
      </c>
      <c r="Y396" s="11" t="b">
        <f t="shared" si="6"/>
        <v>0</v>
      </c>
    </row>
    <row r="397" spans="1:25" x14ac:dyDescent="0.35">
      <c r="A397" s="11">
        <v>2020</v>
      </c>
      <c r="B397" s="11" t="s">
        <v>1980</v>
      </c>
      <c r="C397" s="11" t="s">
        <v>752</v>
      </c>
      <c r="D397" s="163">
        <v>110000749021</v>
      </c>
      <c r="E397" s="11" t="s">
        <v>530</v>
      </c>
      <c r="F397" s="11" t="s">
        <v>531</v>
      </c>
      <c r="G397" s="11" t="s">
        <v>753</v>
      </c>
      <c r="H397" s="11" t="s">
        <v>276</v>
      </c>
      <c r="I397" s="11" t="s">
        <v>1982</v>
      </c>
      <c r="J397" s="11">
        <v>38.748759999999997</v>
      </c>
      <c r="K397" s="11">
        <v>-77.511420000000001</v>
      </c>
      <c r="L397" s="11">
        <v>4959</v>
      </c>
      <c r="M397" s="11">
        <v>4959</v>
      </c>
      <c r="N397" s="175" t="str">
        <f>VLOOKUP(M397, '2017 SIC to NAICS'!A:D, 2)</f>
        <v>Sanitary Services, Nec</v>
      </c>
      <c r="O397" s="11">
        <v>562910</v>
      </c>
      <c r="P397" s="187" t="str">
        <f>VLOOKUP(M397, '2017 SIC to NAICS'!A:D, 4)</f>
        <v>All Other Miscellaneous Waste
Management Services</v>
      </c>
      <c r="Q397" s="176" t="e">
        <f>IFERROR(VLOOKUP(O397, 'NAICS OES crosswalk'!A:C, 3, FALSE), VLOOKUP(M397, 'NAICS OES crosswalk'!A:C, 3, FALSE))</f>
        <v>#N/A</v>
      </c>
      <c r="U397" s="188">
        <v>20700100504</v>
      </c>
      <c r="V397" s="11" t="s">
        <v>756</v>
      </c>
      <c r="W397" s="11"/>
      <c r="X397" s="11">
        <v>1.1570177250000001E-2</v>
      </c>
      <c r="Y397" s="11" t="b">
        <f t="shared" si="6"/>
        <v>0</v>
      </c>
    </row>
    <row r="398" spans="1:25" x14ac:dyDescent="0.35">
      <c r="A398" s="11">
        <v>2020</v>
      </c>
      <c r="B398" s="11" t="s">
        <v>1980</v>
      </c>
      <c r="C398" s="11" t="s">
        <v>1430</v>
      </c>
      <c r="D398" s="163">
        <v>110000409406</v>
      </c>
      <c r="E398" s="11" t="s">
        <v>603</v>
      </c>
      <c r="F398" s="11" t="s">
        <v>604</v>
      </c>
      <c r="G398" s="11" t="s">
        <v>1401</v>
      </c>
      <c r="H398" s="11" t="s">
        <v>181</v>
      </c>
      <c r="I398" s="11" t="s">
        <v>1982</v>
      </c>
      <c r="J398" s="11">
        <v>42.04945</v>
      </c>
      <c r="K398" s="11">
        <v>-86.511949999999999</v>
      </c>
      <c r="L398" s="11">
        <v>3321</v>
      </c>
      <c r="M398" s="11">
        <v>3321</v>
      </c>
      <c r="N398" s="175" t="str">
        <f>VLOOKUP(M398, '2017 SIC to NAICS'!A:D, 2)</f>
        <v>Gray and Ductile Iron Foundries</v>
      </c>
      <c r="O398" s="11">
        <v>336340</v>
      </c>
      <c r="P398" s="187" t="str">
        <f>VLOOKUP(M398, '2017 SIC to NAICS'!A:D, 4)</f>
        <v>Iron Foundries</v>
      </c>
      <c r="Q398" s="176" t="e">
        <f>IFERROR(VLOOKUP(O398, 'NAICS OES crosswalk'!A:C, 3, FALSE), VLOOKUP(M398, 'NAICS OES crosswalk'!A:C, 3, FALSE))</f>
        <v>#N/A</v>
      </c>
      <c r="U398" s="188">
        <v>40500012607</v>
      </c>
      <c r="V398" s="11" t="s">
        <v>1431</v>
      </c>
      <c r="W398" s="11"/>
      <c r="X398" s="11">
        <v>7.5538626524999999E-3</v>
      </c>
      <c r="Y398" s="11" t="b">
        <f t="shared" si="6"/>
        <v>0</v>
      </c>
    </row>
    <row r="399" spans="1:25" x14ac:dyDescent="0.35">
      <c r="A399" s="11">
        <v>2020</v>
      </c>
      <c r="B399" s="11" t="s">
        <v>1980</v>
      </c>
      <c r="C399" s="11" t="s">
        <v>1562</v>
      </c>
      <c r="D399" s="163">
        <v>110064418553</v>
      </c>
      <c r="E399" s="11" t="s">
        <v>626</v>
      </c>
      <c r="F399" s="11" t="s">
        <v>337</v>
      </c>
      <c r="G399" s="11" t="s">
        <v>736</v>
      </c>
      <c r="H399" s="11" t="s">
        <v>221</v>
      </c>
      <c r="I399" s="11" t="s">
        <v>1982</v>
      </c>
      <c r="J399" s="11">
        <v>36.19997</v>
      </c>
      <c r="K399" s="11">
        <v>-115.19658</v>
      </c>
      <c r="L399" s="11">
        <v>5541</v>
      </c>
      <c r="M399" s="11">
        <v>5541</v>
      </c>
      <c r="N399" s="175" t="str">
        <f>VLOOKUP(M399, '2017 SIC to NAICS'!A:D, 2)</f>
        <v>Gasoline Service Stations</v>
      </c>
      <c r="O399" s="11">
        <v>447110</v>
      </c>
      <c r="P399" s="187" t="str">
        <f>VLOOKUP(M399, '2017 SIC to NAICS'!A:D, 4)</f>
        <v>Other Gasoline Stations</v>
      </c>
      <c r="Q399" s="176" t="e">
        <f>IFERROR(VLOOKUP(O399, 'NAICS OES crosswalk'!A:C, 3, FALSE), VLOOKUP(M399, 'NAICS OES crosswalk'!A:C, 3, FALSE))</f>
        <v>#N/A</v>
      </c>
      <c r="U399" s="188">
        <v>150100150604</v>
      </c>
      <c r="V399" s="11" t="s">
        <v>738</v>
      </c>
      <c r="W399" s="11"/>
      <c r="X399" s="11">
        <v>7.2530062500000001E-3</v>
      </c>
      <c r="Y399" s="11" t="b">
        <f t="shared" si="6"/>
        <v>0</v>
      </c>
    </row>
    <row r="400" spans="1:25" x14ac:dyDescent="0.35">
      <c r="A400" s="11">
        <v>2020</v>
      </c>
      <c r="B400" s="11" t="s">
        <v>1980</v>
      </c>
      <c r="C400" s="11" t="s">
        <v>730</v>
      </c>
      <c r="D400" s="163">
        <v>110017979810</v>
      </c>
      <c r="E400" s="11" t="s">
        <v>309</v>
      </c>
      <c r="F400" s="11" t="s">
        <v>158</v>
      </c>
      <c r="G400" s="11" t="s">
        <v>434</v>
      </c>
      <c r="H400" s="11" t="s">
        <v>129</v>
      </c>
      <c r="I400" s="11" t="s">
        <v>1982</v>
      </c>
      <c r="J400" s="11">
        <v>38.959018999999998</v>
      </c>
      <c r="K400" s="11">
        <v>-94.576569000000006</v>
      </c>
      <c r="L400" s="11">
        <v>6552</v>
      </c>
      <c r="M400" s="11">
        <v>6552</v>
      </c>
      <c r="N400" s="175" t="str">
        <f>VLOOKUP(M400, '2017 SIC to NAICS'!A:D, 2)</f>
        <v>Subdividers and Developers, Nec</v>
      </c>
      <c r="P400" s="187" t="str">
        <f>VLOOKUP(M400, '2017 SIC to NAICS'!A:D, 4)</f>
        <v>Land Subdivision</v>
      </c>
      <c r="Q400" s="176" t="e">
        <f>IFERROR(VLOOKUP(O400, 'NAICS OES crosswalk'!A:C, 3, FALSE), VLOOKUP(M400, 'NAICS OES crosswalk'!A:C, 3, FALSE))</f>
        <v>#N/A</v>
      </c>
      <c r="U400" s="188">
        <v>103001010105</v>
      </c>
      <c r="V400" s="11" t="s">
        <v>733</v>
      </c>
      <c r="W400" s="11"/>
      <c r="X400" s="11">
        <v>6.7278375000000001E-3</v>
      </c>
      <c r="Y400" s="11" t="b">
        <f t="shared" si="6"/>
        <v>0</v>
      </c>
    </row>
    <row r="401" spans="1:25" x14ac:dyDescent="0.35">
      <c r="A401" s="11">
        <v>2020</v>
      </c>
      <c r="B401" s="11" t="s">
        <v>1980</v>
      </c>
      <c r="C401" s="11" t="s">
        <v>735</v>
      </c>
      <c r="D401" s="163">
        <v>110004306938</v>
      </c>
      <c r="E401" s="11" t="s">
        <v>336</v>
      </c>
      <c r="F401" s="11" t="s">
        <v>337</v>
      </c>
      <c r="G401" s="11" t="s">
        <v>736</v>
      </c>
      <c r="H401" s="11" t="s">
        <v>221</v>
      </c>
      <c r="I401" s="11" t="s">
        <v>1982</v>
      </c>
      <c r="J401" s="11">
        <v>36.122100000000003</v>
      </c>
      <c r="K401" s="11">
        <v>-115.17139</v>
      </c>
      <c r="L401" s="11">
        <v>7011</v>
      </c>
      <c r="M401" s="11">
        <v>7011</v>
      </c>
      <c r="N401" s="175" t="str">
        <f>VLOOKUP(M401, '2017 SIC to NAICS'!A:D, 2)</f>
        <v>Hotels and Motels</v>
      </c>
      <c r="P401" s="187" t="str">
        <f>VLOOKUP(M401, '2017 SIC to NAICS'!A:D, 4)</f>
        <v>All Other Traveler Accommodation</v>
      </c>
      <c r="Q401" s="176" t="e">
        <f>IFERROR(VLOOKUP(O401, 'NAICS OES crosswalk'!A:C, 3, FALSE), VLOOKUP(M401, 'NAICS OES crosswalk'!A:C, 3, FALSE))</f>
        <v>#N/A</v>
      </c>
      <c r="U401" s="188">
        <v>150100150604</v>
      </c>
      <c r="V401" s="11" t="s">
        <v>738</v>
      </c>
      <c r="W401" s="11"/>
      <c r="X401" s="11">
        <v>6.6727657500000002E-3</v>
      </c>
      <c r="Y401" s="11" t="b">
        <f t="shared" si="6"/>
        <v>0</v>
      </c>
    </row>
    <row r="402" spans="1:25" x14ac:dyDescent="0.35">
      <c r="A402" s="11">
        <v>2020</v>
      </c>
      <c r="B402" s="11" t="s">
        <v>1980</v>
      </c>
      <c r="C402" s="11" t="s">
        <v>752</v>
      </c>
      <c r="D402" s="163">
        <v>110000749021</v>
      </c>
      <c r="E402" s="11" t="s">
        <v>530</v>
      </c>
      <c r="F402" s="11" t="s">
        <v>531</v>
      </c>
      <c r="G402" s="11" t="s">
        <v>753</v>
      </c>
      <c r="H402" s="11" t="s">
        <v>276</v>
      </c>
      <c r="I402" s="11" t="s">
        <v>1982</v>
      </c>
      <c r="J402" s="11">
        <v>38.748759999999997</v>
      </c>
      <c r="K402" s="11">
        <v>-77.511420000000001</v>
      </c>
      <c r="L402" s="11">
        <v>4959</v>
      </c>
      <c r="M402" s="11">
        <v>4959</v>
      </c>
      <c r="N402" s="175" t="str">
        <f>VLOOKUP(M402, '2017 SIC to NAICS'!A:D, 2)</f>
        <v>Sanitary Services, Nec</v>
      </c>
      <c r="O402" s="11">
        <v>562910</v>
      </c>
      <c r="P402" s="187" t="str">
        <f>VLOOKUP(M402, '2017 SIC to NAICS'!A:D, 4)</f>
        <v>All Other Miscellaneous Waste
Management Services</v>
      </c>
      <c r="Q402" s="176" t="e">
        <f>IFERROR(VLOOKUP(O402, 'NAICS OES crosswalk'!A:C, 3, FALSE), VLOOKUP(M402, 'NAICS OES crosswalk'!A:C, 3, FALSE))</f>
        <v>#N/A</v>
      </c>
      <c r="U402" s="188">
        <v>20700100504</v>
      </c>
      <c r="V402" s="11" t="s">
        <v>756</v>
      </c>
      <c r="W402" s="11"/>
      <c r="X402" s="11">
        <v>3.3845469999999999E-3</v>
      </c>
      <c r="Y402" s="11" t="b">
        <f t="shared" si="6"/>
        <v>0</v>
      </c>
    </row>
    <row r="403" spans="1:25" x14ac:dyDescent="0.35">
      <c r="A403" s="11">
        <v>2020</v>
      </c>
      <c r="B403" s="11" t="s">
        <v>1980</v>
      </c>
      <c r="C403" s="11" t="s">
        <v>752</v>
      </c>
      <c r="D403" s="163">
        <v>110000749021</v>
      </c>
      <c r="E403" s="11" t="s">
        <v>530</v>
      </c>
      <c r="F403" s="11" t="s">
        <v>531</v>
      </c>
      <c r="G403" s="11" t="s">
        <v>753</v>
      </c>
      <c r="H403" s="11" t="s">
        <v>276</v>
      </c>
      <c r="I403" s="11" t="s">
        <v>1982</v>
      </c>
      <c r="J403" s="11">
        <v>38.748759999999997</v>
      </c>
      <c r="K403" s="11">
        <v>-77.511420000000001</v>
      </c>
      <c r="L403" s="11">
        <v>4959</v>
      </c>
      <c r="M403" s="11">
        <v>4959</v>
      </c>
      <c r="N403" s="175" t="str">
        <f>VLOOKUP(M403, '2017 SIC to NAICS'!A:D, 2)</f>
        <v>Sanitary Services, Nec</v>
      </c>
      <c r="O403" s="11">
        <v>562910</v>
      </c>
      <c r="P403" s="187" t="str">
        <f>VLOOKUP(M403, '2017 SIC to NAICS'!A:D, 4)</f>
        <v>All Other Miscellaneous Waste
Management Services</v>
      </c>
      <c r="Q403" s="176" t="e">
        <f>IFERROR(VLOOKUP(O403, 'NAICS OES crosswalk'!A:C, 3, FALSE), VLOOKUP(M403, 'NAICS OES crosswalk'!A:C, 3, FALSE))</f>
        <v>#N/A</v>
      </c>
      <c r="U403" s="188">
        <v>20700100504</v>
      </c>
      <c r="V403" s="11" t="s">
        <v>756</v>
      </c>
      <c r="W403" s="11"/>
      <c r="X403" s="11">
        <v>3.3152815E-3</v>
      </c>
      <c r="Y403" s="11" t="b">
        <f t="shared" si="6"/>
        <v>0</v>
      </c>
    </row>
    <row r="404" spans="1:25" x14ac:dyDescent="0.35">
      <c r="A404" s="11">
        <v>2020</v>
      </c>
      <c r="B404" s="11" t="s">
        <v>1980</v>
      </c>
      <c r="C404" s="11" t="s">
        <v>1620</v>
      </c>
      <c r="D404" s="163">
        <v>110000584305</v>
      </c>
      <c r="E404" s="11" t="s">
        <v>624</v>
      </c>
      <c r="F404" s="11" t="s">
        <v>625</v>
      </c>
      <c r="G404" s="11" t="s">
        <v>1621</v>
      </c>
      <c r="H404" s="11" t="s">
        <v>340</v>
      </c>
      <c r="I404" s="11" t="s">
        <v>1982</v>
      </c>
      <c r="J404" s="11">
        <v>40.627648000000001</v>
      </c>
      <c r="K404" s="11">
        <v>-76.064880000000002</v>
      </c>
      <c r="L404" s="11">
        <v>3951</v>
      </c>
      <c r="M404" s="11">
        <v>3951</v>
      </c>
      <c r="N404" s="175" t="str">
        <f>VLOOKUP(M404, '2017 SIC to NAICS'!A:D, 2)</f>
        <v>Pens and Mechanical Pencils</v>
      </c>
      <c r="P404" s="187" t="str">
        <f>VLOOKUP(M404, '2017 SIC to NAICS'!A:D, 4)</f>
        <v>Office Supplies (except Paper)
Manufacturing</v>
      </c>
      <c r="Q404" s="176" t="e">
        <f>IFERROR(VLOOKUP(O404, 'NAICS OES crosswalk'!A:C, 3, FALSE), VLOOKUP(M404, 'NAICS OES crosswalk'!A:C, 3, FALSE))</f>
        <v>#N/A</v>
      </c>
      <c r="U404" s="188">
        <v>20402030205</v>
      </c>
      <c r="V404" s="11" t="s">
        <v>1622</v>
      </c>
      <c r="W404" s="11"/>
      <c r="X404" s="11">
        <v>5.9996099999999998E-3</v>
      </c>
      <c r="Y404" s="11" t="b">
        <f t="shared" si="6"/>
        <v>0</v>
      </c>
    </row>
    <row r="405" spans="1:25" x14ac:dyDescent="0.35">
      <c r="A405" s="11">
        <v>2020</v>
      </c>
      <c r="B405" s="11" t="s">
        <v>1980</v>
      </c>
      <c r="C405" s="11" t="s">
        <v>752</v>
      </c>
      <c r="D405" s="163">
        <v>110000749021</v>
      </c>
      <c r="E405" s="11" t="s">
        <v>530</v>
      </c>
      <c r="F405" s="11" t="s">
        <v>531</v>
      </c>
      <c r="G405" s="11" t="s">
        <v>753</v>
      </c>
      <c r="H405" s="11" t="s">
        <v>276</v>
      </c>
      <c r="I405" s="11" t="s">
        <v>1982</v>
      </c>
      <c r="J405" s="11">
        <v>38.748759999999997</v>
      </c>
      <c r="K405" s="11">
        <v>-77.511420000000001</v>
      </c>
      <c r="L405" s="11">
        <v>4959</v>
      </c>
      <c r="M405" s="11">
        <v>4959</v>
      </c>
      <c r="N405" s="175" t="str">
        <f>VLOOKUP(M405, '2017 SIC to NAICS'!A:D, 2)</f>
        <v>Sanitary Services, Nec</v>
      </c>
      <c r="O405" s="11">
        <v>562910</v>
      </c>
      <c r="P405" s="187" t="str">
        <f>VLOOKUP(M405, '2017 SIC to NAICS'!A:D, 4)</f>
        <v>All Other Miscellaneous Waste
Management Services</v>
      </c>
      <c r="Q405" s="176" t="e">
        <f>IFERROR(VLOOKUP(O405, 'NAICS OES crosswalk'!A:C, 3, FALSE), VLOOKUP(M405, 'NAICS OES crosswalk'!A:C, 3, FALSE))</f>
        <v>#N/A</v>
      </c>
      <c r="U405" s="188">
        <v>20700100504</v>
      </c>
      <c r="V405" s="11" t="s">
        <v>756</v>
      </c>
      <c r="W405" s="11"/>
      <c r="X405" s="11">
        <v>1.86505875E-3</v>
      </c>
      <c r="Y405" s="11" t="b">
        <f t="shared" si="6"/>
        <v>0</v>
      </c>
    </row>
    <row r="406" spans="1:25" ht="15" customHeight="1" x14ac:dyDescent="0.35">
      <c r="A406" s="11">
        <v>2020</v>
      </c>
      <c r="B406" s="11" t="s">
        <v>1980</v>
      </c>
      <c r="C406" s="11" t="s">
        <v>995</v>
      </c>
      <c r="D406" s="163">
        <v>110031267304</v>
      </c>
      <c r="E406" s="11" t="s">
        <v>632</v>
      </c>
      <c r="F406" s="11" t="s">
        <v>623</v>
      </c>
      <c r="G406" s="11" t="s">
        <v>623</v>
      </c>
      <c r="H406" s="11" t="s">
        <v>492</v>
      </c>
      <c r="I406" s="11" t="s">
        <v>1982</v>
      </c>
      <c r="J406" s="11">
        <v>39.751111000000002</v>
      </c>
      <c r="K406" s="11">
        <v>-105.00194399999999</v>
      </c>
      <c r="L406" s="11">
        <v>1799</v>
      </c>
      <c r="M406" s="11">
        <v>1799</v>
      </c>
      <c r="N406" s="175" t="str">
        <f>VLOOKUP(M406, '2017 SIC to NAICS'!A:D, 2)</f>
        <v>Special Trade Contractors, Nec</v>
      </c>
      <c r="P406" s="187" t="str">
        <f>VLOOKUP(M406, '2017 SIC to NAICS'!A:D, 4)</f>
        <v>Remediation Services</v>
      </c>
      <c r="Q406" s="176" t="e">
        <f>IFERROR(VLOOKUP(O406, 'NAICS OES crosswalk'!A:C, 3, FALSE), VLOOKUP(M406, 'NAICS OES crosswalk'!A:C, 3, FALSE))</f>
        <v>#N/A</v>
      </c>
      <c r="U406" s="188">
        <v>101900030304</v>
      </c>
      <c r="V406" s="11" t="s">
        <v>987</v>
      </c>
      <c r="W406" s="11"/>
      <c r="X406" s="11">
        <v>5.9681880000000001E-3</v>
      </c>
      <c r="Y406" s="11" t="b">
        <f t="shared" si="6"/>
        <v>0</v>
      </c>
    </row>
    <row r="407" spans="1:25" x14ac:dyDescent="0.35">
      <c r="A407" s="11">
        <v>2020</v>
      </c>
      <c r="B407" s="11" t="s">
        <v>1980</v>
      </c>
      <c r="C407" s="11" t="s">
        <v>996</v>
      </c>
      <c r="D407" s="163">
        <v>110000339027</v>
      </c>
      <c r="E407" s="11" t="s">
        <v>679</v>
      </c>
      <c r="F407" s="11" t="s">
        <v>680</v>
      </c>
      <c r="G407" s="11" t="s">
        <v>997</v>
      </c>
      <c r="H407" s="11" t="s">
        <v>515</v>
      </c>
      <c r="I407" s="11" t="s">
        <v>1981</v>
      </c>
      <c r="J407" s="11">
        <v>38.631867</v>
      </c>
      <c r="K407" s="11">
        <v>-75.628372999999996</v>
      </c>
      <c r="L407" s="11">
        <v>2821</v>
      </c>
      <c r="M407" s="11">
        <v>2821</v>
      </c>
      <c r="N407" s="175" t="str">
        <f>VLOOKUP(M407, '2017 SIC to NAICS'!A:D, 2)</f>
        <v>Plastics Materials and Resins</v>
      </c>
      <c r="P407" s="187" t="str">
        <f>VLOOKUP(M407, '2017 SIC to NAICS'!A:D, 4)</f>
        <v>Plastics Material and Resin Manufacturing</v>
      </c>
      <c r="Q407" s="176" t="str">
        <f>IFERROR(VLOOKUP(O407, 'NAICS OES crosswalk'!A:C, 3, FALSE), VLOOKUP(M407, 'NAICS OES crosswalk'!A:C, 3, FALSE))</f>
        <v>Processing as a reactant</v>
      </c>
      <c r="U407" s="188">
        <v>20801090405</v>
      </c>
      <c r="V407" s="11" t="s">
        <v>998</v>
      </c>
      <c r="W407" s="11"/>
      <c r="X407" s="11">
        <v>7.0370000000000003E-4</v>
      </c>
      <c r="Y407" s="11" t="b">
        <f t="shared" si="6"/>
        <v>1</v>
      </c>
    </row>
    <row r="408" spans="1:25" ht="29" x14ac:dyDescent="0.35">
      <c r="A408" s="11">
        <v>2020</v>
      </c>
      <c r="B408" s="11" t="s">
        <v>1980</v>
      </c>
      <c r="C408" s="11" t="s">
        <v>1275</v>
      </c>
      <c r="D408" s="163">
        <v>110055043705</v>
      </c>
      <c r="E408" s="11" t="s">
        <v>635</v>
      </c>
      <c r="F408" s="11" t="s">
        <v>636</v>
      </c>
      <c r="G408" s="11" t="s">
        <v>1276</v>
      </c>
      <c r="H408" s="11" t="s">
        <v>108</v>
      </c>
      <c r="I408" s="11" t="s">
        <v>1981</v>
      </c>
      <c r="J408" s="11">
        <v>39.00703</v>
      </c>
      <c r="K408" s="11">
        <v>-84.841210000000004</v>
      </c>
      <c r="L408" s="11">
        <v>4952</v>
      </c>
      <c r="M408" s="11">
        <v>4952</v>
      </c>
      <c r="N408" s="175" t="str">
        <f>VLOOKUP(M408, '2017 SIC to NAICS'!A:D, 2)</f>
        <v>Sewerage Systems</v>
      </c>
      <c r="O408" s="11">
        <v>221320</v>
      </c>
      <c r="P408" s="187" t="str">
        <f>VLOOKUP(M408, '2017 SIC to NAICS'!A:D, 4)</f>
        <v>Sewage Treatment Facilities</v>
      </c>
      <c r="Q408" s="176" t="str">
        <f>IFERROR(VLOOKUP(O408, 'NAICS OES crosswalk'!A:C, 3, FALSE), VLOOKUP(M408, 'NAICS OES crosswalk'!A:C, 3, FALSE))</f>
        <v>Waste handling, disposal, and treatment</v>
      </c>
      <c r="U408" s="188">
        <v>50902030804</v>
      </c>
      <c r="V408" s="11" t="s">
        <v>1277</v>
      </c>
      <c r="W408" s="11"/>
      <c r="X408" s="11">
        <v>5.7747744999999996E-3</v>
      </c>
      <c r="Y408" s="11" t="b">
        <f t="shared" si="6"/>
        <v>0</v>
      </c>
    </row>
    <row r="409" spans="1:25" x14ac:dyDescent="0.35">
      <c r="A409" s="11">
        <v>2020</v>
      </c>
      <c r="B409" s="11" t="s">
        <v>1980</v>
      </c>
      <c r="C409" s="11" t="s">
        <v>1412</v>
      </c>
      <c r="D409" s="163">
        <v>110006739832</v>
      </c>
      <c r="E409" s="11" t="s">
        <v>186</v>
      </c>
      <c r="F409" s="11" t="s">
        <v>187</v>
      </c>
      <c r="G409" s="11" t="s">
        <v>1413</v>
      </c>
      <c r="H409" s="11" t="s">
        <v>181</v>
      </c>
      <c r="I409" s="11" t="s">
        <v>1982</v>
      </c>
      <c r="J409" s="11">
        <v>43.064709999999998</v>
      </c>
      <c r="K409" s="11">
        <v>-86.233519999999999</v>
      </c>
      <c r="L409" s="11">
        <v>5812</v>
      </c>
      <c r="M409" s="11">
        <v>5812</v>
      </c>
      <c r="N409" s="175" t="str">
        <f>VLOOKUP(M409, '2017 SIC to NAICS'!A:D, 2)</f>
        <v>Eating Places</v>
      </c>
      <c r="O409" s="11">
        <v>531120</v>
      </c>
      <c r="P409" s="187" t="str">
        <f>VLOOKUP(M409, '2017 SIC to NAICS'!A:D, 4)</f>
        <v>Snack and Nonalcoholic Beverage Bars</v>
      </c>
      <c r="Q409" s="176" t="e">
        <f>IFERROR(VLOOKUP(O409, 'NAICS OES crosswalk'!A:C, 3, FALSE), VLOOKUP(M409, 'NAICS OES crosswalk'!A:C, 3, FALSE))</f>
        <v>#N/A</v>
      </c>
      <c r="U409" s="188">
        <v>40500060712</v>
      </c>
      <c r="V409" s="11" t="s">
        <v>1414</v>
      </c>
      <c r="W409" s="11"/>
      <c r="X409" s="11">
        <v>5.7326528571428502E-3</v>
      </c>
      <c r="Y409" s="11" t="b">
        <f t="shared" si="6"/>
        <v>0</v>
      </c>
    </row>
    <row r="410" spans="1:25" ht="29" x14ac:dyDescent="0.35">
      <c r="A410" s="11">
        <v>2020</v>
      </c>
      <c r="B410" s="11" t="s">
        <v>1980</v>
      </c>
      <c r="C410" s="11" t="s">
        <v>920</v>
      </c>
      <c r="D410" s="163">
        <v>110064616296</v>
      </c>
      <c r="E410" s="11" t="s">
        <v>582</v>
      </c>
      <c r="F410" s="11" t="s">
        <v>583</v>
      </c>
      <c r="G410" s="11" t="s">
        <v>921</v>
      </c>
      <c r="H410" s="11" t="s">
        <v>102</v>
      </c>
      <c r="I410" s="11" t="s">
        <v>1982</v>
      </c>
      <c r="J410" s="11">
        <v>38.273180000000004</v>
      </c>
      <c r="K410" s="11">
        <v>-120.91082</v>
      </c>
      <c r="L410" s="11">
        <v>4952</v>
      </c>
      <c r="M410" s="11">
        <v>4952</v>
      </c>
      <c r="N410" s="175" t="str">
        <f>VLOOKUP(M410, '2017 SIC to NAICS'!A:D, 2)</f>
        <v>Sewerage Systems</v>
      </c>
      <c r="P410" s="187" t="str">
        <f>VLOOKUP(M410, '2017 SIC to NAICS'!A:D, 4)</f>
        <v>Sewage Treatment Facilities</v>
      </c>
      <c r="Q410" s="176" t="str">
        <f>IFERROR(VLOOKUP(O410, 'NAICS OES crosswalk'!A:C, 3, FALSE), VLOOKUP(M410, 'NAICS OES crosswalk'!A:C, 3, FALSE))</f>
        <v>Waste handling, disposal, and treatment</v>
      </c>
      <c r="U410" s="188">
        <v>180400120703</v>
      </c>
      <c r="V410" s="11" t="s">
        <v>922</v>
      </c>
      <c r="W410" s="11"/>
      <c r="X410" s="11">
        <v>5.1807187500000004E-3</v>
      </c>
      <c r="Y410" s="11" t="b">
        <f t="shared" si="6"/>
        <v>0</v>
      </c>
    </row>
    <row r="411" spans="1:25" x14ac:dyDescent="0.35">
      <c r="A411" s="11">
        <v>2020</v>
      </c>
      <c r="B411" s="11" t="s">
        <v>1980</v>
      </c>
      <c r="C411" s="11" t="s">
        <v>1645</v>
      </c>
      <c r="D411" s="163">
        <v>110017796330</v>
      </c>
      <c r="E411" s="11" t="s">
        <v>642</v>
      </c>
      <c r="F411" s="11" t="s">
        <v>643</v>
      </c>
      <c r="G411" s="11" t="s">
        <v>1646</v>
      </c>
      <c r="H411" s="11" t="s">
        <v>340</v>
      </c>
      <c r="I411" s="11" t="s">
        <v>1982</v>
      </c>
      <c r="J411" s="11">
        <v>40.725278000000003</v>
      </c>
      <c r="K411" s="11">
        <v>-77.056944000000001</v>
      </c>
      <c r="L411" s="11">
        <v>3645</v>
      </c>
      <c r="M411" s="11">
        <v>3645</v>
      </c>
      <c r="N411" s="175" t="str">
        <f>VLOOKUP(M411, '2017 SIC to NAICS'!A:D, 2)</f>
        <v>Residential Lighting Fixtures</v>
      </c>
      <c r="P411" s="187" t="str">
        <f>VLOOKUP(M411, '2017 SIC to NAICS'!A:D, 4)</f>
        <v>Residential Electric Lighting Fixture
Manufacturing</v>
      </c>
      <c r="Q411" s="176" t="e">
        <f>IFERROR(VLOOKUP(O411, 'NAICS OES crosswalk'!A:C, 3, FALSE), VLOOKUP(M411, 'NAICS OES crosswalk'!A:C, 3, FALSE))</f>
        <v>#N/A</v>
      </c>
      <c r="U411" s="188">
        <v>20503010601</v>
      </c>
      <c r="V411" s="11" t="s">
        <v>1647</v>
      </c>
      <c r="W411" s="11"/>
      <c r="X411" s="11">
        <v>3.7446897499999999E-3</v>
      </c>
      <c r="Y411" s="11" t="b">
        <f t="shared" si="6"/>
        <v>0</v>
      </c>
    </row>
    <row r="412" spans="1:25" x14ac:dyDescent="0.35">
      <c r="A412" s="11">
        <v>2020</v>
      </c>
      <c r="B412" s="11" t="s">
        <v>1980</v>
      </c>
      <c r="C412" s="11" t="s">
        <v>1592</v>
      </c>
      <c r="D412" s="163">
        <v>110000616414</v>
      </c>
      <c r="E412" s="11" t="s">
        <v>595</v>
      </c>
      <c r="F412" s="11" t="s">
        <v>596</v>
      </c>
      <c r="G412" s="11" t="s">
        <v>1593</v>
      </c>
      <c r="H412" s="11" t="s">
        <v>126</v>
      </c>
      <c r="I412" s="11" t="s">
        <v>1982</v>
      </c>
      <c r="J412" s="11">
        <v>43.211829000000002</v>
      </c>
      <c r="K412" s="11">
        <v>-77.929390999999995</v>
      </c>
      <c r="L412" s="11">
        <v>9511</v>
      </c>
      <c r="M412" s="11">
        <v>9511</v>
      </c>
      <c r="N412" s="175" t="str">
        <f>VLOOKUP(M412, '2017 SIC to NAICS'!A:D, 2)</f>
        <v>Air, Water, and Solid Waste Management</v>
      </c>
      <c r="P412" s="187" t="str">
        <f>VLOOKUP(M412, '2017 SIC to NAICS'!A:D, 4)</f>
        <v>Administration of Air and Water Resource
and Solid Waste Management Programs</v>
      </c>
      <c r="Q412" s="176" t="e">
        <f>IFERROR(VLOOKUP(O412, 'NAICS OES crosswalk'!A:C, 3, FALSE), VLOOKUP(M412, 'NAICS OES crosswalk'!A:C, 3, FALSE))</f>
        <v>#N/A</v>
      </c>
      <c r="U412" s="188">
        <v>41300010202</v>
      </c>
      <c r="V412" s="11" t="s">
        <v>1594</v>
      </c>
      <c r="W412" s="11"/>
      <c r="X412" s="11">
        <v>1.366086E-2</v>
      </c>
      <c r="Y412" s="11" t="b">
        <f t="shared" si="6"/>
        <v>0</v>
      </c>
    </row>
    <row r="413" spans="1:25" x14ac:dyDescent="0.35">
      <c r="A413" s="11">
        <v>2020</v>
      </c>
      <c r="B413" s="11" t="s">
        <v>1980</v>
      </c>
      <c r="C413" s="11" t="s">
        <v>1694</v>
      </c>
      <c r="D413" s="163">
        <v>110000599479</v>
      </c>
      <c r="E413" s="11" t="s">
        <v>593</v>
      </c>
      <c r="F413" s="11" t="s">
        <v>594</v>
      </c>
      <c r="G413" s="11" t="s">
        <v>1695</v>
      </c>
      <c r="H413" s="11" t="s">
        <v>95</v>
      </c>
      <c r="I413" s="11" t="s">
        <v>1982</v>
      </c>
      <c r="J413" s="11">
        <v>29.458400000000001</v>
      </c>
      <c r="K413" s="11">
        <v>-95.330399999999997</v>
      </c>
      <c r="L413" s="11">
        <v>2869</v>
      </c>
      <c r="M413" s="11">
        <v>2869</v>
      </c>
      <c r="N413" s="175" t="str">
        <f>VLOOKUP(M413, '2017 SIC to NAICS'!A:D, 2)</f>
        <v>Industrial Organic Chemicals, Nec</v>
      </c>
      <c r="P413" s="187" t="str">
        <f>VLOOKUP(M413, '2017 SIC to NAICS'!A:D, 4)</f>
        <v>All Other Miscellaneous Chemical Product and Preparation Manufacturing</v>
      </c>
      <c r="Q413" s="176" t="str">
        <f>IFERROR(VLOOKUP(O413, 'NAICS OES crosswalk'!A:C, 3, FALSE), VLOOKUP(M413, 'NAICS OES crosswalk'!A:C, 3, FALSE))</f>
        <v>Manufacturing</v>
      </c>
      <c r="U413" s="188">
        <v>120402040400</v>
      </c>
      <c r="V413" s="11" t="s">
        <v>1696</v>
      </c>
      <c r="W413" s="11"/>
      <c r="X413" s="11">
        <v>1.4913900000000001E-2</v>
      </c>
      <c r="Y413" s="11" t="b">
        <f t="shared" ref="Y413:Y458" si="7" xml:space="preserve"> X413 &lt;= _xlfn.PERCENTILE.INC($X$219:$X$458, 0.1)</f>
        <v>0</v>
      </c>
    </row>
    <row r="414" spans="1:25" x14ac:dyDescent="0.35">
      <c r="A414" s="11">
        <v>2020</v>
      </c>
      <c r="B414" s="11" t="s">
        <v>1980</v>
      </c>
      <c r="C414" s="11" t="s">
        <v>1686</v>
      </c>
      <c r="D414" s="163">
        <v>110045651344</v>
      </c>
      <c r="E414" s="11" t="s">
        <v>420</v>
      </c>
      <c r="F414" s="11" t="s">
        <v>421</v>
      </c>
      <c r="G414" s="11" t="s">
        <v>1687</v>
      </c>
      <c r="H414" s="11" t="s">
        <v>95</v>
      </c>
      <c r="I414" s="11" t="s">
        <v>1981</v>
      </c>
      <c r="J414" s="11">
        <v>29.726493000000001</v>
      </c>
      <c r="K414" s="11">
        <v>-95.089771999999996</v>
      </c>
      <c r="L414" s="11">
        <v>2821</v>
      </c>
      <c r="M414" s="11">
        <v>2821</v>
      </c>
      <c r="N414" s="175" t="str">
        <f>VLOOKUP(M414, '2017 SIC to NAICS'!A:D, 2)</f>
        <v>Plastics Materials and Resins</v>
      </c>
      <c r="P414" s="187" t="str">
        <f>VLOOKUP(M414, '2017 SIC to NAICS'!A:D, 4)</f>
        <v>Plastics Material and Resin Manufacturing</v>
      </c>
      <c r="Q414" s="176" t="str">
        <f>IFERROR(VLOOKUP(O414, 'NAICS OES crosswalk'!A:C, 3, FALSE), VLOOKUP(M414, 'NAICS OES crosswalk'!A:C, 3, FALSE))</f>
        <v>Processing as a reactant</v>
      </c>
      <c r="U414" s="188">
        <v>120401040703</v>
      </c>
      <c r="V414" s="11" t="s">
        <v>1688</v>
      </c>
      <c r="W414" s="11"/>
      <c r="X414" s="11">
        <v>0.16571</v>
      </c>
      <c r="Y414" s="11" t="b">
        <f t="shared" si="7"/>
        <v>0</v>
      </c>
    </row>
    <row r="415" spans="1:25" x14ac:dyDescent="0.35">
      <c r="A415" s="11">
        <v>2020</v>
      </c>
      <c r="B415" s="11" t="s">
        <v>1980</v>
      </c>
      <c r="C415" s="11" t="s">
        <v>1558</v>
      </c>
      <c r="D415" s="163">
        <v>110017237373</v>
      </c>
      <c r="E415" s="11" t="s">
        <v>653</v>
      </c>
      <c r="F415" s="11" t="s">
        <v>337</v>
      </c>
      <c r="G415" s="11" t="s">
        <v>823</v>
      </c>
      <c r="H415" s="11" t="s">
        <v>221</v>
      </c>
      <c r="I415" s="11" t="s">
        <v>1982</v>
      </c>
      <c r="J415" s="11">
        <v>36.16478</v>
      </c>
      <c r="K415" s="11">
        <v>-115.14067</v>
      </c>
      <c r="L415" s="11">
        <v>8211</v>
      </c>
      <c r="M415" s="11">
        <v>8211</v>
      </c>
      <c r="N415" s="175" t="str">
        <f>VLOOKUP(M415, '2017 SIC to NAICS'!A:D, 2)</f>
        <v>Elementary and Secondary Schools</v>
      </c>
      <c r="P415" s="187" t="str">
        <f>VLOOKUP(M415, '2017 SIC to NAICS'!A:D, 4)</f>
        <v>Elementary and Secondary Schools</v>
      </c>
      <c r="Q415" s="176" t="e">
        <f>IFERROR(VLOOKUP(O415, 'NAICS OES crosswalk'!A:C, 3, FALSE), VLOOKUP(M415, 'NAICS OES crosswalk'!A:C, 3, FALSE))</f>
        <v>#N/A</v>
      </c>
      <c r="U415" s="188">
        <v>150100150604</v>
      </c>
      <c r="V415" s="11" t="s">
        <v>738</v>
      </c>
      <c r="W415" s="11"/>
      <c r="X415" s="11">
        <v>3.3501981249999999E-3</v>
      </c>
      <c r="Y415" s="11" t="b">
        <f t="shared" si="7"/>
        <v>0</v>
      </c>
    </row>
    <row r="416" spans="1:25" x14ac:dyDescent="0.35">
      <c r="A416" s="11">
        <v>2020</v>
      </c>
      <c r="B416" s="11" t="s">
        <v>1980</v>
      </c>
      <c r="C416" s="11" t="s">
        <v>1227</v>
      </c>
      <c r="D416" s="163">
        <v>110043544144</v>
      </c>
      <c r="E416" s="11" t="s">
        <v>586</v>
      </c>
      <c r="F416" s="11" t="s">
        <v>587</v>
      </c>
      <c r="G416" s="11" t="s">
        <v>457</v>
      </c>
      <c r="H416" s="11" t="s">
        <v>108</v>
      </c>
      <c r="I416" s="11" t="s">
        <v>1982</v>
      </c>
      <c r="J416" s="11">
        <v>38.072870000000002</v>
      </c>
      <c r="K416" s="11">
        <v>-84.484369999999998</v>
      </c>
      <c r="L416" s="11">
        <v>3579</v>
      </c>
      <c r="M416" s="11">
        <v>3579</v>
      </c>
      <c r="N416" s="175" t="str">
        <f>VLOOKUP(M416, '2017 SIC to NAICS'!A:D, 2)</f>
        <v>Office Machines, Nec</v>
      </c>
      <c r="O416" s="11">
        <v>333313</v>
      </c>
      <c r="P416" s="187" t="str">
        <f>VLOOKUP(M416, '2017 SIC to NAICS'!A:D, 4)</f>
        <v>Office Supplies (except Paper)
Manufacturing</v>
      </c>
      <c r="Q416" s="176" t="e">
        <f>IFERROR(VLOOKUP(O416, 'NAICS OES crosswalk'!A:C, 3, FALSE), VLOOKUP(M416, 'NAICS OES crosswalk'!A:C, 3, FALSE))</f>
        <v>#N/A</v>
      </c>
      <c r="U416" s="188">
        <v>51002050804</v>
      </c>
      <c r="V416" s="11" t="s">
        <v>1230</v>
      </c>
      <c r="W416" s="11"/>
      <c r="X416" s="11">
        <v>1.690816275E-2</v>
      </c>
      <c r="Y416" s="11" t="b">
        <f t="shared" si="7"/>
        <v>0</v>
      </c>
    </row>
    <row r="417" spans="1:25" x14ac:dyDescent="0.35">
      <c r="A417" s="11">
        <v>2020</v>
      </c>
      <c r="B417" s="11" t="s">
        <v>1980</v>
      </c>
      <c r="C417" s="11" t="s">
        <v>1706</v>
      </c>
      <c r="D417" s="163">
        <v>110035762822</v>
      </c>
      <c r="E417" s="11" t="s">
        <v>577</v>
      </c>
      <c r="F417" s="11" t="s">
        <v>578</v>
      </c>
      <c r="G417" s="11" t="s">
        <v>1707</v>
      </c>
      <c r="H417" s="11" t="s">
        <v>95</v>
      </c>
      <c r="I417" s="11" t="s">
        <v>1982</v>
      </c>
      <c r="J417" s="11">
        <v>30.265280000000001</v>
      </c>
      <c r="K417" s="11">
        <v>-97.746499999999997</v>
      </c>
      <c r="L417" s="11">
        <v>6513</v>
      </c>
      <c r="M417" s="11">
        <v>6513</v>
      </c>
      <c r="N417" s="175" t="str">
        <f>VLOOKUP(M417, '2017 SIC to NAICS'!A:D, 2)</f>
        <v>Apartment Building Operators</v>
      </c>
      <c r="P417" s="187" t="str">
        <f>VLOOKUP(M417, '2017 SIC to NAICS'!A:D, 4)</f>
        <v>Lessors of Residential Buildings and
Dwellings</v>
      </c>
      <c r="Q417" s="176" t="e">
        <f>IFERROR(VLOOKUP(O417, 'NAICS OES crosswalk'!A:C, 3, FALSE), VLOOKUP(M417, 'NAICS OES crosswalk'!A:C, 3, FALSE))</f>
        <v>#N/A</v>
      </c>
      <c r="U417" s="188">
        <v>120902050306</v>
      </c>
      <c r="V417" s="11" t="s">
        <v>1708</v>
      </c>
      <c r="W417" s="11"/>
      <c r="X417" s="11">
        <v>3.3921813450000001E-3</v>
      </c>
      <c r="Y417" s="11" t="b">
        <f t="shared" si="7"/>
        <v>0</v>
      </c>
    </row>
    <row r="418" spans="1:25" x14ac:dyDescent="0.35">
      <c r="A418" s="11">
        <v>2020</v>
      </c>
      <c r="B418" s="11" t="s">
        <v>1980</v>
      </c>
      <c r="C418" s="11" t="s">
        <v>1640</v>
      </c>
      <c r="D418" s="163">
        <v>110008476327</v>
      </c>
      <c r="E418" s="11" t="s">
        <v>609</v>
      </c>
      <c r="F418" s="11" t="s">
        <v>610</v>
      </c>
      <c r="G418" s="11" t="s">
        <v>1641</v>
      </c>
      <c r="H418" s="11" t="s">
        <v>340</v>
      </c>
      <c r="I418" s="11" t="s">
        <v>1982</v>
      </c>
      <c r="J418" s="11">
        <v>41.452778000000002</v>
      </c>
      <c r="K418" s="11">
        <v>-79.690278000000006</v>
      </c>
      <c r="L418" s="11">
        <v>2865</v>
      </c>
      <c r="M418" s="11">
        <v>2865</v>
      </c>
      <c r="N418" s="175" t="str">
        <f>VLOOKUP(M418, '2017 SIC to NAICS'!A:D, 2)</f>
        <v>Cyclic Crudes and Intermediates</v>
      </c>
      <c r="P418" s="187" t="str">
        <f>VLOOKUP(M418, '2017 SIC to NAICS'!A:D, 4)</f>
        <v>Cyclic Crude, Intermediate, and Gum and
Wood Chemical Manufacturing</v>
      </c>
      <c r="Q418" s="176" t="e">
        <f>IFERROR(VLOOKUP(O418, 'NAICS OES crosswalk'!A:C, 3, FALSE), VLOOKUP(M418, 'NAICS OES crosswalk'!A:C, 3, FALSE))</f>
        <v>#N/A</v>
      </c>
      <c r="U418" s="188">
        <v>50100030606</v>
      </c>
      <c r="V418" s="11" t="s">
        <v>1642</v>
      </c>
      <c r="W418" s="11"/>
      <c r="X418" s="11">
        <v>3.3141999999999998E-3</v>
      </c>
      <c r="Y418" s="11" t="b">
        <f t="shared" si="7"/>
        <v>0</v>
      </c>
    </row>
    <row r="419" spans="1:25" x14ac:dyDescent="0.35">
      <c r="A419" s="11">
        <v>2020</v>
      </c>
      <c r="B419" s="11" t="s">
        <v>1980</v>
      </c>
      <c r="C419" s="11" t="s">
        <v>1588</v>
      </c>
      <c r="D419" s="163">
        <v>110000738916</v>
      </c>
      <c r="E419" s="11" t="s">
        <v>619</v>
      </c>
      <c r="F419" s="11" t="s">
        <v>620</v>
      </c>
      <c r="G419" s="11" t="s">
        <v>1589</v>
      </c>
      <c r="H419" s="11" t="s">
        <v>126</v>
      </c>
      <c r="I419" s="11" t="s">
        <v>1982</v>
      </c>
      <c r="J419" s="11">
        <v>43.089840000000002</v>
      </c>
      <c r="K419" s="11">
        <v>-75.280265</v>
      </c>
      <c r="L419" s="11">
        <v>3369</v>
      </c>
      <c r="M419" s="11">
        <v>3369</v>
      </c>
      <c r="N419" s="175" t="str">
        <f>VLOOKUP(M419, '2017 SIC to NAICS'!A:D, 2)</f>
        <v>Nonferrous Foundries, Nec</v>
      </c>
      <c r="P419" s="187" t="str">
        <f>VLOOKUP(M419, '2017 SIC to NAICS'!A:D, 4)</f>
        <v>Other Nonferrous Metal Foundries (except
Die-Casting)</v>
      </c>
      <c r="Q419" s="176" t="e">
        <f>IFERROR(VLOOKUP(O419, 'NAICS OES crosswalk'!A:C, 3, FALSE), VLOOKUP(M419, 'NAICS OES crosswalk'!A:C, 3, FALSE))</f>
        <v>#N/A</v>
      </c>
      <c r="U419" s="188">
        <v>20200040310</v>
      </c>
      <c r="V419" s="11" t="s">
        <v>1590</v>
      </c>
      <c r="W419" s="11"/>
      <c r="X419" s="11">
        <v>6.2949394800000001E-3</v>
      </c>
      <c r="Y419" s="11" t="b">
        <f t="shared" si="7"/>
        <v>0</v>
      </c>
    </row>
    <row r="420" spans="1:25" x14ac:dyDescent="0.35">
      <c r="A420" s="11">
        <v>2020</v>
      </c>
      <c r="B420" s="11" t="s">
        <v>1980</v>
      </c>
      <c r="C420" s="11" t="s">
        <v>1761</v>
      </c>
      <c r="D420" s="163">
        <v>110010910700</v>
      </c>
      <c r="E420" s="11" t="s">
        <v>329</v>
      </c>
      <c r="F420" s="11" t="s">
        <v>330</v>
      </c>
      <c r="G420" s="11" t="s">
        <v>1762</v>
      </c>
      <c r="H420" s="11" t="s">
        <v>331</v>
      </c>
      <c r="I420" s="11" t="s">
        <v>1982</v>
      </c>
      <c r="J420" s="11">
        <v>44.548050000000003</v>
      </c>
      <c r="K420" s="11">
        <v>-71.990520000000004</v>
      </c>
      <c r="M420" s="11"/>
      <c r="N420" s="175" t="e">
        <f>VLOOKUP(M420, '2017 SIC to NAICS'!A:D, 2)</f>
        <v>#N/A</v>
      </c>
      <c r="P420" s="187" t="e">
        <f>VLOOKUP(M420, '2017 SIC to NAICS'!A:D, 4)</f>
        <v>#N/A</v>
      </c>
      <c r="Q420" s="176" t="e">
        <f>IFERROR(VLOOKUP(O420, 'NAICS OES crosswalk'!A:C, 3, FALSE), VLOOKUP(M420, 'NAICS OES crosswalk'!A:C, 3, FALSE))</f>
        <v>#N/A</v>
      </c>
      <c r="U420" s="188">
        <v>10801020102</v>
      </c>
      <c r="V420" s="11" t="s">
        <v>1763</v>
      </c>
      <c r="W420" s="11"/>
      <c r="X420" s="11">
        <v>7.0401000000000003E-4</v>
      </c>
      <c r="Y420" s="11" t="b">
        <f t="shared" si="7"/>
        <v>1</v>
      </c>
    </row>
    <row r="421" spans="1:25" x14ac:dyDescent="0.35">
      <c r="A421" s="11">
        <v>2020</v>
      </c>
      <c r="B421" s="11" t="s">
        <v>1980</v>
      </c>
      <c r="C421" s="11" t="s">
        <v>735</v>
      </c>
      <c r="D421" s="163">
        <v>110004306938</v>
      </c>
      <c r="E421" s="11" t="s">
        <v>336</v>
      </c>
      <c r="F421" s="11" t="s">
        <v>337</v>
      </c>
      <c r="G421" s="11" t="s">
        <v>736</v>
      </c>
      <c r="H421" s="11" t="s">
        <v>221</v>
      </c>
      <c r="I421" s="11" t="s">
        <v>1982</v>
      </c>
      <c r="J421" s="11">
        <v>36.122100000000003</v>
      </c>
      <c r="K421" s="11">
        <v>-115.17139</v>
      </c>
      <c r="L421" s="11">
        <v>7011</v>
      </c>
      <c r="M421" s="11">
        <v>7011</v>
      </c>
      <c r="N421" s="175" t="str">
        <f>VLOOKUP(M421, '2017 SIC to NAICS'!A:D, 2)</f>
        <v>Hotels and Motels</v>
      </c>
      <c r="P421" s="187" t="str">
        <f>VLOOKUP(M421, '2017 SIC to NAICS'!A:D, 4)</f>
        <v>All Other Traveler Accommodation</v>
      </c>
      <c r="Q421" s="176" t="e">
        <f>IFERROR(VLOOKUP(O421, 'NAICS OES crosswalk'!A:C, 3, FALSE), VLOOKUP(M421, 'NAICS OES crosswalk'!A:C, 3, FALSE))</f>
        <v>#N/A</v>
      </c>
      <c r="U421" s="188">
        <v>150100150604</v>
      </c>
      <c r="V421" s="11" t="s">
        <v>738</v>
      </c>
      <c r="W421" s="11"/>
      <c r="X421" s="11">
        <v>3.2673066249999999E-3</v>
      </c>
      <c r="Y421" s="11" t="b">
        <f t="shared" si="7"/>
        <v>0</v>
      </c>
    </row>
    <row r="422" spans="1:25" x14ac:dyDescent="0.35">
      <c r="A422" s="11">
        <v>2020</v>
      </c>
      <c r="B422" s="11" t="s">
        <v>1980</v>
      </c>
      <c r="C422" s="11" t="s">
        <v>1608</v>
      </c>
      <c r="D422" s="163">
        <v>110000487447</v>
      </c>
      <c r="E422" s="11" t="s">
        <v>655</v>
      </c>
      <c r="F422" s="11" t="s">
        <v>600</v>
      </c>
      <c r="G422" s="11" t="s">
        <v>1605</v>
      </c>
      <c r="H422" s="11" t="s">
        <v>601</v>
      </c>
      <c r="I422" s="11" t="s">
        <v>1982</v>
      </c>
      <c r="J422" s="11">
        <v>45.548641000000003</v>
      </c>
      <c r="K422" s="11">
        <v>-122.72292299999999</v>
      </c>
      <c r="L422" s="11">
        <v>5169</v>
      </c>
      <c r="M422" s="11">
        <v>5169</v>
      </c>
      <c r="N422" s="175" t="str">
        <f>VLOOKUP(M422, '2017 SIC to NAICS'!A:D, 2)</f>
        <v>Chemicals and Allied Products, Nec</v>
      </c>
      <c r="P422" s="187" t="str">
        <f>VLOOKUP(M422, '2017 SIC to NAICS'!A:D, 4)</f>
        <v>Wholesale Trade Agents and Brokers</v>
      </c>
      <c r="Q422" s="176" t="e">
        <f>IFERROR(VLOOKUP(O422, 'NAICS OES crosswalk'!A:C, 3, FALSE), VLOOKUP(M422, 'NAICS OES crosswalk'!A:C, 3, FALSE))</f>
        <v>#N/A</v>
      </c>
      <c r="U422" s="188">
        <v>170900120202</v>
      </c>
      <c r="V422" s="11" t="s">
        <v>1609</v>
      </c>
      <c r="W422" s="11"/>
      <c r="X422" s="11">
        <v>3.1110610680000002E-3</v>
      </c>
      <c r="Y422" s="11" t="b">
        <f t="shared" si="7"/>
        <v>0</v>
      </c>
    </row>
    <row r="423" spans="1:25" x14ac:dyDescent="0.35">
      <c r="A423" s="11">
        <v>2020</v>
      </c>
      <c r="B423" s="11" t="s">
        <v>1980</v>
      </c>
      <c r="C423" s="11" t="s">
        <v>1368</v>
      </c>
      <c r="D423" s="163">
        <v>110000410957</v>
      </c>
      <c r="E423" s="11" t="s">
        <v>405</v>
      </c>
      <c r="F423" s="11" t="s">
        <v>406</v>
      </c>
      <c r="G423" s="11" t="s">
        <v>406</v>
      </c>
      <c r="H423" s="11" t="s">
        <v>181</v>
      </c>
      <c r="I423" s="11" t="s">
        <v>1982</v>
      </c>
      <c r="J423" s="11">
        <v>43.215029999999999</v>
      </c>
      <c r="K423" s="11">
        <v>-86.245689999999996</v>
      </c>
      <c r="L423" s="11">
        <v>3714</v>
      </c>
      <c r="M423" s="11">
        <v>3714</v>
      </c>
      <c r="N423" s="175" t="str">
        <f>VLOOKUP(M423, '2017 SIC to NAICS'!A:D, 2)</f>
        <v>Motor Vehicle Parts and Accessories</v>
      </c>
      <c r="O423" s="11">
        <v>331511</v>
      </c>
      <c r="P423" s="187" t="str">
        <f>VLOOKUP(M423, '2017 SIC to NAICS'!A:D, 4)</f>
        <v>Other Motor Vehicle Parts Manufacturing</v>
      </c>
      <c r="Q423" s="176" t="e">
        <f>IFERROR(VLOOKUP(O423, 'NAICS OES crosswalk'!A:C, 3, FALSE), VLOOKUP(M423, 'NAICS OES crosswalk'!A:C, 3, FALSE))</f>
        <v>#N/A</v>
      </c>
      <c r="U423" s="188">
        <v>40601021004</v>
      </c>
      <c r="V423" s="11" t="s">
        <v>1369</v>
      </c>
      <c r="W423" s="11"/>
      <c r="X423" s="11">
        <v>0.1956712525</v>
      </c>
      <c r="Y423" s="11" t="b">
        <f t="shared" si="7"/>
        <v>0</v>
      </c>
    </row>
    <row r="424" spans="1:25" x14ac:dyDescent="0.35">
      <c r="A424" s="11">
        <v>2020</v>
      </c>
      <c r="B424" s="11" t="s">
        <v>1980</v>
      </c>
      <c r="C424" s="11" t="s">
        <v>826</v>
      </c>
      <c r="D424" s="163">
        <v>110064134459</v>
      </c>
      <c r="E424" s="11" t="s">
        <v>547</v>
      </c>
      <c r="F424" s="11" t="s">
        <v>337</v>
      </c>
      <c r="G424" s="11" t="s">
        <v>823</v>
      </c>
      <c r="H424" s="11" t="s">
        <v>221</v>
      </c>
      <c r="I424" s="11" t="s">
        <v>1982</v>
      </c>
      <c r="J424" s="11">
        <v>36.075400000000002</v>
      </c>
      <c r="K424" s="11">
        <v>-115.1669</v>
      </c>
      <c r="L424" s="11">
        <v>4581</v>
      </c>
      <c r="M424" s="11">
        <v>4581</v>
      </c>
      <c r="N424" s="175" t="str">
        <f>VLOOKUP(M424, '2017 SIC to NAICS'!A:D, 2)</f>
        <v>Airports, Flying Fields, and Services</v>
      </c>
      <c r="O424" s="11">
        <v>488119</v>
      </c>
      <c r="P424" s="187" t="str">
        <f>VLOOKUP(M424, '2017 SIC to NAICS'!A:D, 4)</f>
        <v>Reupholstery and Furniture Repair</v>
      </c>
      <c r="Q424" s="176" t="e">
        <f>IFERROR(VLOOKUP(O424, 'NAICS OES crosswalk'!A:C, 3, FALSE), VLOOKUP(M424, 'NAICS OES crosswalk'!A:C, 3, FALSE))</f>
        <v>#N/A</v>
      </c>
      <c r="U424" s="188">
        <v>150100150704</v>
      </c>
      <c r="V424" s="11" t="s">
        <v>827</v>
      </c>
      <c r="W424" s="11"/>
      <c r="X424" s="11">
        <v>2.847020225E-2</v>
      </c>
      <c r="Y424" s="11" t="b">
        <f t="shared" si="7"/>
        <v>0</v>
      </c>
    </row>
    <row r="425" spans="1:25" x14ac:dyDescent="0.35">
      <c r="A425" s="11">
        <v>2020</v>
      </c>
      <c r="B425" s="11" t="s">
        <v>1980</v>
      </c>
      <c r="C425" s="11" t="s">
        <v>1317</v>
      </c>
      <c r="D425" s="163">
        <v>110000846602</v>
      </c>
      <c r="E425" s="11" t="s">
        <v>611</v>
      </c>
      <c r="F425" s="11" t="s">
        <v>612</v>
      </c>
      <c r="G425" s="11" t="s">
        <v>612</v>
      </c>
      <c r="H425" s="11" t="s">
        <v>91</v>
      </c>
      <c r="I425" s="11" t="s">
        <v>1982</v>
      </c>
      <c r="J425" s="11">
        <v>30.27083</v>
      </c>
      <c r="K425" s="11">
        <v>-92.037279999999996</v>
      </c>
      <c r="L425" s="11">
        <v>2821</v>
      </c>
      <c r="M425" s="11">
        <v>2821</v>
      </c>
      <c r="N425" s="175" t="str">
        <f>VLOOKUP(M425, '2017 SIC to NAICS'!A:D, 2)</f>
        <v>Plastics Materials and Resins</v>
      </c>
      <c r="P425" s="187" t="str">
        <f>VLOOKUP(M425, '2017 SIC to NAICS'!A:D, 4)</f>
        <v>Plastics Material and Resin Manufacturing</v>
      </c>
      <c r="Q425" s="176" t="str">
        <f>IFERROR(VLOOKUP(O425, 'NAICS OES crosswalk'!A:C, 3, FALSE), VLOOKUP(M425, 'NAICS OES crosswalk'!A:C, 3, FALSE))</f>
        <v>Processing as a reactant</v>
      </c>
      <c r="U425" s="188">
        <v>80801030105</v>
      </c>
      <c r="V425" s="11" t="s">
        <v>1318</v>
      </c>
      <c r="W425" s="11"/>
      <c r="X425" s="11">
        <v>2.6525279999999999E-3</v>
      </c>
      <c r="Y425" s="11" t="b">
        <f t="shared" si="7"/>
        <v>0</v>
      </c>
    </row>
    <row r="426" spans="1:25" x14ac:dyDescent="0.35">
      <c r="A426" s="11">
        <v>2020</v>
      </c>
      <c r="B426" s="11" t="s">
        <v>1980</v>
      </c>
      <c r="C426" s="11" t="s">
        <v>826</v>
      </c>
      <c r="D426" s="163">
        <v>110064134459</v>
      </c>
      <c r="E426" s="11" t="s">
        <v>547</v>
      </c>
      <c r="F426" s="11" t="s">
        <v>337</v>
      </c>
      <c r="G426" s="11" t="s">
        <v>823</v>
      </c>
      <c r="H426" s="11" t="s">
        <v>221</v>
      </c>
      <c r="I426" s="11" t="s">
        <v>1982</v>
      </c>
      <c r="J426" s="11">
        <v>36.075400000000002</v>
      </c>
      <c r="K426" s="11">
        <v>-115.1669</v>
      </c>
      <c r="L426" s="11">
        <v>4581</v>
      </c>
      <c r="M426" s="11">
        <v>4581</v>
      </c>
      <c r="N426" s="175" t="str">
        <f>VLOOKUP(M426, '2017 SIC to NAICS'!A:D, 2)</f>
        <v>Airports, Flying Fields, and Services</v>
      </c>
      <c r="O426" s="11">
        <v>488119</v>
      </c>
      <c r="P426" s="187" t="str">
        <f>VLOOKUP(M426, '2017 SIC to NAICS'!A:D, 4)</f>
        <v>Reupholstery and Furniture Repair</v>
      </c>
      <c r="Q426" s="176" t="e">
        <f>IFERROR(VLOOKUP(O426, 'NAICS OES crosswalk'!A:C, 3, FALSE), VLOOKUP(M426, 'NAICS OES crosswalk'!A:C, 3, FALSE))</f>
        <v>#N/A</v>
      </c>
      <c r="U426" s="188">
        <v>150100150704</v>
      </c>
      <c r="V426" s="11" t="s">
        <v>827</v>
      </c>
      <c r="W426" s="11"/>
      <c r="X426" s="11">
        <v>1.9905693499999998E-2</v>
      </c>
      <c r="Y426" s="11" t="b">
        <f t="shared" si="7"/>
        <v>0</v>
      </c>
    </row>
    <row r="427" spans="1:25" x14ac:dyDescent="0.35">
      <c r="A427" s="11">
        <v>2020</v>
      </c>
      <c r="B427" s="11" t="s">
        <v>1980</v>
      </c>
      <c r="C427" s="11" t="s">
        <v>735</v>
      </c>
      <c r="D427" s="163">
        <v>110004306938</v>
      </c>
      <c r="E427" s="11" t="s">
        <v>336</v>
      </c>
      <c r="F427" s="11" t="s">
        <v>337</v>
      </c>
      <c r="G427" s="11" t="s">
        <v>736</v>
      </c>
      <c r="H427" s="11" t="s">
        <v>221</v>
      </c>
      <c r="I427" s="11" t="s">
        <v>1982</v>
      </c>
      <c r="J427" s="11">
        <v>36.122100000000003</v>
      </c>
      <c r="K427" s="11">
        <v>-115.17139</v>
      </c>
      <c r="L427" s="11">
        <v>7011</v>
      </c>
      <c r="M427" s="11">
        <v>7011</v>
      </c>
      <c r="N427" s="175" t="str">
        <f>VLOOKUP(M427, '2017 SIC to NAICS'!A:D, 2)</f>
        <v>Hotels and Motels</v>
      </c>
      <c r="P427" s="187" t="str">
        <f>VLOOKUP(M427, '2017 SIC to NAICS'!A:D, 4)</f>
        <v>All Other Traveler Accommodation</v>
      </c>
      <c r="Q427" s="176" t="e">
        <f>IFERROR(VLOOKUP(O427, 'NAICS OES crosswalk'!A:C, 3, FALSE), VLOOKUP(M427, 'NAICS OES crosswalk'!A:C, 3, FALSE))</f>
        <v>#N/A</v>
      </c>
      <c r="U427" s="188">
        <v>150100150604</v>
      </c>
      <c r="V427" s="11" t="s">
        <v>738</v>
      </c>
      <c r="W427" s="11"/>
      <c r="X427" s="11">
        <v>2.5523674375E-3</v>
      </c>
      <c r="Y427" s="11" t="b">
        <f t="shared" si="7"/>
        <v>0</v>
      </c>
    </row>
    <row r="428" spans="1:25" x14ac:dyDescent="0.35">
      <c r="A428" s="11">
        <v>2020</v>
      </c>
      <c r="B428" s="11" t="s">
        <v>1980</v>
      </c>
      <c r="C428" s="11" t="s">
        <v>1561</v>
      </c>
      <c r="D428" s="163">
        <v>110041903223</v>
      </c>
      <c r="E428" s="11" t="s">
        <v>656</v>
      </c>
      <c r="F428" s="11" t="s">
        <v>337</v>
      </c>
      <c r="G428" s="11" t="s">
        <v>823</v>
      </c>
      <c r="H428" s="11" t="s">
        <v>221</v>
      </c>
      <c r="I428" s="11" t="s">
        <v>1982</v>
      </c>
      <c r="J428" s="11">
        <v>36.074100000000001</v>
      </c>
      <c r="K428" s="11">
        <v>-115.17274</v>
      </c>
      <c r="L428" s="11">
        <v>5541</v>
      </c>
      <c r="M428" s="11">
        <v>5541</v>
      </c>
      <c r="N428" s="175" t="str">
        <f>VLOOKUP(M428, '2017 SIC to NAICS'!A:D, 2)</f>
        <v>Gasoline Service Stations</v>
      </c>
      <c r="P428" s="187" t="str">
        <f>VLOOKUP(M428, '2017 SIC to NAICS'!A:D, 4)</f>
        <v>Other Gasoline Stations</v>
      </c>
      <c r="Q428" s="176" t="e">
        <f>IFERROR(VLOOKUP(O428, 'NAICS OES crosswalk'!A:C, 3, FALSE), VLOOKUP(M428, 'NAICS OES crosswalk'!A:C, 3, FALSE))</f>
        <v>#N/A</v>
      </c>
      <c r="U428" s="188">
        <v>150100150505</v>
      </c>
      <c r="V428" s="11" t="s">
        <v>825</v>
      </c>
      <c r="W428" s="11"/>
      <c r="X428" s="11">
        <v>1.8132515625E-3</v>
      </c>
      <c r="Y428" s="11" t="b">
        <f t="shared" si="7"/>
        <v>0</v>
      </c>
    </row>
    <row r="429" spans="1:25" x14ac:dyDescent="0.35">
      <c r="A429" s="11">
        <v>2020</v>
      </c>
      <c r="B429" s="11" t="s">
        <v>1980</v>
      </c>
      <c r="C429" s="11" t="s">
        <v>1385</v>
      </c>
      <c r="D429" s="163">
        <v>110009900312</v>
      </c>
      <c r="E429" s="11" t="s">
        <v>648</v>
      </c>
      <c r="F429" s="11" t="s">
        <v>378</v>
      </c>
      <c r="G429" s="11" t="s">
        <v>814</v>
      </c>
      <c r="H429" s="11" t="s">
        <v>181</v>
      </c>
      <c r="I429" s="11" t="s">
        <v>1982</v>
      </c>
      <c r="J429" s="11">
        <v>42.672580000000004</v>
      </c>
      <c r="K429" s="11">
        <v>-84.663955999999999</v>
      </c>
      <c r="L429" s="11">
        <v>9199</v>
      </c>
      <c r="M429" s="11">
        <v>9199</v>
      </c>
      <c r="N429" s="175" t="str">
        <f>VLOOKUP(M429, '2017 SIC to NAICS'!A:D, 2)</f>
        <v>General Government, Nec</v>
      </c>
      <c r="O429" s="11">
        <v>921190</v>
      </c>
      <c r="P429" s="187" t="str">
        <f>VLOOKUP(M429, '2017 SIC to NAICS'!A:D, 4)</f>
        <v>Other General Government Support</v>
      </c>
      <c r="Q429" s="176" t="e">
        <f>IFERROR(VLOOKUP(O429, 'NAICS OES crosswalk'!A:C, 3, FALSE), VLOOKUP(M429, 'NAICS OES crosswalk'!A:C, 3, FALSE))</f>
        <v>#N/A</v>
      </c>
      <c r="U429" s="188">
        <v>40500040703</v>
      </c>
      <c r="V429" s="11" t="s">
        <v>1386</v>
      </c>
      <c r="W429" s="11"/>
      <c r="X429" s="11">
        <v>3.7977313636363601E-3</v>
      </c>
      <c r="Y429" s="11" t="b">
        <f t="shared" si="7"/>
        <v>0</v>
      </c>
    </row>
    <row r="430" spans="1:25" x14ac:dyDescent="0.35">
      <c r="A430" s="11">
        <v>2020</v>
      </c>
      <c r="B430" s="11" t="s">
        <v>1980</v>
      </c>
      <c r="C430" s="11" t="s">
        <v>1732</v>
      </c>
      <c r="D430" s="163">
        <v>110070598729</v>
      </c>
      <c r="E430" s="11" t="s">
        <v>665</v>
      </c>
      <c r="F430" s="11" t="s">
        <v>396</v>
      </c>
      <c r="G430" s="11" t="s">
        <v>1733</v>
      </c>
      <c r="H430" s="11" t="s">
        <v>276</v>
      </c>
      <c r="I430" s="11" t="s">
        <v>1982</v>
      </c>
      <c r="J430" s="11">
        <v>38.840600000000002</v>
      </c>
      <c r="K430" s="11">
        <v>-77.068200000000004</v>
      </c>
      <c r="L430" s="11">
        <v>1794</v>
      </c>
      <c r="M430" s="11">
        <v>1794</v>
      </c>
      <c r="N430" s="175" t="str">
        <f>VLOOKUP(M430, '2017 SIC to NAICS'!A:D, 2)</f>
        <v>Excavation Work</v>
      </c>
      <c r="P430" s="187" t="str">
        <f>VLOOKUP(M430, '2017 SIC to NAICS'!A:D, 4)</f>
        <v>Site Preparation Contractors</v>
      </c>
      <c r="Q430" s="176" t="e">
        <f>IFERROR(VLOOKUP(O430, 'NAICS OES crosswalk'!A:C, 3, FALSE), VLOOKUP(M430, 'NAICS OES crosswalk'!A:C, 3, FALSE))</f>
        <v>#N/A</v>
      </c>
      <c r="U430" s="188">
        <v>20700100301</v>
      </c>
      <c r="V430" s="11" t="s">
        <v>1711</v>
      </c>
      <c r="W430" s="11"/>
      <c r="X430" s="11">
        <v>1.59854176E-3</v>
      </c>
      <c r="Y430" s="11" t="b">
        <f t="shared" si="7"/>
        <v>0</v>
      </c>
    </row>
    <row r="431" spans="1:25" x14ac:dyDescent="0.35">
      <c r="A431" s="11">
        <v>2020</v>
      </c>
      <c r="B431" s="11" t="s">
        <v>1980</v>
      </c>
      <c r="C431" s="11" t="s">
        <v>988</v>
      </c>
      <c r="D431" s="163">
        <v>110070162955</v>
      </c>
      <c r="E431" s="11" t="s">
        <v>622</v>
      </c>
      <c r="F431" s="11" t="s">
        <v>623</v>
      </c>
      <c r="G431" s="11" t="s">
        <v>623</v>
      </c>
      <c r="H431" s="11" t="s">
        <v>492</v>
      </c>
      <c r="I431" s="11" t="s">
        <v>1982</v>
      </c>
      <c r="J431" s="11">
        <v>39.781474000000003</v>
      </c>
      <c r="K431" s="11">
        <v>-104.97438</v>
      </c>
      <c r="L431" s="11">
        <v>1629</v>
      </c>
      <c r="M431" s="11">
        <v>1629</v>
      </c>
      <c r="N431" s="175" t="str">
        <f>VLOOKUP(M431, '2017 SIC to NAICS'!A:D, 2)</f>
        <v>Heavy Construction, Nec</v>
      </c>
      <c r="P431" s="187" t="str">
        <f>VLOOKUP(M431, '2017 SIC to NAICS'!A:D, 4)</f>
        <v>Site Preparation Contractors</v>
      </c>
      <c r="Q431" s="176" t="e">
        <f>IFERROR(VLOOKUP(O431, 'NAICS OES crosswalk'!A:C, 3, FALSE), VLOOKUP(M431, 'NAICS OES crosswalk'!A:C, 3, FALSE))</f>
        <v>#N/A</v>
      </c>
      <c r="U431" s="188">
        <v>101900030304</v>
      </c>
      <c r="V431" s="11" t="s">
        <v>987</v>
      </c>
      <c r="W431" s="11"/>
      <c r="X431" s="11">
        <v>1.5783450000000001E-3</v>
      </c>
      <c r="Y431" s="11" t="b">
        <f t="shared" si="7"/>
        <v>0</v>
      </c>
    </row>
    <row r="432" spans="1:25" x14ac:dyDescent="0.35">
      <c r="A432" s="11">
        <v>2020</v>
      </c>
      <c r="B432" s="11" t="s">
        <v>1980</v>
      </c>
      <c r="C432" s="11" t="s">
        <v>1604</v>
      </c>
      <c r="D432" s="163">
        <v>110000487633</v>
      </c>
      <c r="E432" s="11" t="s">
        <v>599</v>
      </c>
      <c r="F432" s="11" t="s">
        <v>600</v>
      </c>
      <c r="G432" s="11" t="s">
        <v>1605</v>
      </c>
      <c r="H432" s="11" t="s">
        <v>601</v>
      </c>
      <c r="I432" s="11" t="s">
        <v>1982</v>
      </c>
      <c r="J432" s="11">
        <v>45.543847</v>
      </c>
      <c r="K432" s="11">
        <v>-122.46656299999999</v>
      </c>
      <c r="L432" s="11">
        <v>3728</v>
      </c>
      <c r="M432" s="11">
        <v>3728</v>
      </c>
      <c r="N432" s="175" t="str">
        <f>VLOOKUP(M432, '2017 SIC to NAICS'!A:D, 2)</f>
        <v>Aircraft Parts and Auxiliary Equipment, NEC (research and development not
producing prototypes)</v>
      </c>
      <c r="P432" s="187" t="str">
        <f>VLOOKUP(M432, '2017 SIC to NAICS'!A:D, 4)</f>
        <v>Research and Development in Nanotechnology</v>
      </c>
      <c r="Q432" s="176" t="e">
        <f>IFERROR(VLOOKUP(O432, 'NAICS OES crosswalk'!A:C, 3, FALSE), VLOOKUP(M432, 'NAICS OES crosswalk'!A:C, 3, FALSE))</f>
        <v>#N/A</v>
      </c>
      <c r="U432" s="188">
        <v>170900120201</v>
      </c>
      <c r="V432" s="11" t="s">
        <v>1606</v>
      </c>
      <c r="W432" s="11"/>
      <c r="X432" s="11">
        <v>1.41247116E-3</v>
      </c>
      <c r="Y432" s="11" t="b">
        <f t="shared" si="7"/>
        <v>0</v>
      </c>
    </row>
    <row r="433" spans="1:25" x14ac:dyDescent="0.35">
      <c r="A433" s="11">
        <v>2020</v>
      </c>
      <c r="B433" s="11" t="s">
        <v>1980</v>
      </c>
      <c r="C433" s="11" t="s">
        <v>1509</v>
      </c>
      <c r="D433" s="163">
        <v>110070220269</v>
      </c>
      <c r="E433" s="11" t="s">
        <v>659</v>
      </c>
      <c r="F433" s="11" t="s">
        <v>660</v>
      </c>
      <c r="G433" s="11" t="s">
        <v>818</v>
      </c>
      <c r="H433" s="11" t="s">
        <v>254</v>
      </c>
      <c r="I433" s="11" t="s">
        <v>1982</v>
      </c>
      <c r="J433" s="11">
        <v>40.471558999999999</v>
      </c>
      <c r="K433" s="11">
        <v>-74.446973</v>
      </c>
      <c r="L433" s="11">
        <v>3053</v>
      </c>
      <c r="M433" s="11">
        <v>3053</v>
      </c>
      <c r="N433" s="175" t="str">
        <f>VLOOKUP(M433, '2017 SIC to NAICS'!A:D, 2)</f>
        <v>Gaskets; Packing and Sealing Devices</v>
      </c>
      <c r="P433" s="187" t="str">
        <f>VLOOKUP(M433, '2017 SIC to NAICS'!A:D, 4)</f>
        <v>Gasket, Packing, and Sealing Device
Manufacturing</v>
      </c>
      <c r="Q433" s="176" t="e">
        <f>IFERROR(VLOOKUP(O433, 'NAICS OES crosswalk'!A:C, 3, FALSE), VLOOKUP(M433, 'NAICS OES crosswalk'!A:C, 3, FALSE))</f>
        <v>#N/A</v>
      </c>
      <c r="U433" s="188">
        <v>20301050505</v>
      </c>
      <c r="V433" s="11" t="s">
        <v>1510</v>
      </c>
      <c r="W433" s="11"/>
      <c r="X433" s="11">
        <v>1.3327583029999999E-3</v>
      </c>
      <c r="Y433" s="11" t="b">
        <f t="shared" si="7"/>
        <v>0</v>
      </c>
    </row>
    <row r="434" spans="1:25" ht="29" x14ac:dyDescent="0.35">
      <c r="A434" s="11">
        <v>2020</v>
      </c>
      <c r="B434" s="11" t="s">
        <v>1980</v>
      </c>
      <c r="C434" s="11" t="s">
        <v>935</v>
      </c>
      <c r="D434" s="163">
        <v>110000730745</v>
      </c>
      <c r="E434" s="11" t="s">
        <v>671</v>
      </c>
      <c r="F434" s="11" t="s">
        <v>672</v>
      </c>
      <c r="G434" s="11" t="s">
        <v>889</v>
      </c>
      <c r="H434" s="11" t="s">
        <v>102</v>
      </c>
      <c r="I434" s="11" t="s">
        <v>1981</v>
      </c>
      <c r="J434" s="11">
        <v>40.162660000000002</v>
      </c>
      <c r="K434" s="11">
        <v>-122.22068</v>
      </c>
      <c r="L434" s="11">
        <v>4952</v>
      </c>
      <c r="M434" s="11">
        <v>4952</v>
      </c>
      <c r="N434" s="175" t="str">
        <f>VLOOKUP(M434, '2017 SIC to NAICS'!A:D, 2)</f>
        <v>Sewerage Systems</v>
      </c>
      <c r="P434" s="187" t="str">
        <f>VLOOKUP(M434, '2017 SIC to NAICS'!A:D, 4)</f>
        <v>Sewage Treatment Facilities</v>
      </c>
      <c r="Q434" s="176" t="str">
        <f>IFERROR(VLOOKUP(O434, 'NAICS OES crosswalk'!A:C, 3, FALSE), VLOOKUP(M434, 'NAICS OES crosswalk'!A:C, 3, FALSE))</f>
        <v>Waste handling, disposal, and treatment</v>
      </c>
      <c r="U434" s="188">
        <v>180201550405</v>
      </c>
      <c r="V434" s="11" t="s">
        <v>936</v>
      </c>
      <c r="W434" s="11"/>
      <c r="X434" s="11">
        <v>1.1003752000000001E-3</v>
      </c>
      <c r="Y434" s="11" t="b">
        <f t="shared" si="7"/>
        <v>1</v>
      </c>
    </row>
    <row r="435" spans="1:25" x14ac:dyDescent="0.35">
      <c r="A435" s="11">
        <v>2020</v>
      </c>
      <c r="B435" s="11" t="s">
        <v>1980</v>
      </c>
      <c r="C435" s="11" t="s">
        <v>1474</v>
      </c>
      <c r="D435" s="163">
        <v>110001512603</v>
      </c>
      <c r="E435" s="11" t="s">
        <v>558</v>
      </c>
      <c r="F435" s="11" t="s">
        <v>559</v>
      </c>
      <c r="G435" s="11" t="s">
        <v>1475</v>
      </c>
      <c r="H435" s="11" t="s">
        <v>560</v>
      </c>
      <c r="I435" s="11" t="s">
        <v>1982</v>
      </c>
      <c r="J435" s="11">
        <v>41.111856000000003</v>
      </c>
      <c r="K435" s="11">
        <v>-95.923699999999997</v>
      </c>
      <c r="L435" s="11">
        <v>9711</v>
      </c>
      <c r="M435" s="11">
        <v>9711</v>
      </c>
      <c r="N435" s="175" t="str">
        <f>VLOOKUP(M435, '2017 SIC to NAICS'!A:D, 2)</f>
        <v>National Security</v>
      </c>
      <c r="P435" s="187" t="str">
        <f>VLOOKUP(M435, '2017 SIC to NAICS'!A:D, 4)</f>
        <v>National Security</v>
      </c>
      <c r="Q435" s="176" t="e">
        <f>IFERROR(VLOOKUP(O435, 'NAICS OES crosswalk'!A:C, 3, FALSE), VLOOKUP(M435, 'NAICS OES crosswalk'!A:C, 3, FALSE))</f>
        <v>#N/A</v>
      </c>
      <c r="U435" s="188">
        <v>102300060206</v>
      </c>
      <c r="V435" s="11" t="s">
        <v>1476</v>
      </c>
      <c r="W435" s="11"/>
      <c r="X435" s="11">
        <v>1.0736152500000001E-3</v>
      </c>
      <c r="Y435" s="11" t="b">
        <f t="shared" si="7"/>
        <v>1</v>
      </c>
    </row>
    <row r="436" spans="1:25" x14ac:dyDescent="0.35">
      <c r="A436" s="11">
        <v>2020</v>
      </c>
      <c r="B436" s="11" t="s">
        <v>1980</v>
      </c>
      <c r="C436" s="11" t="s">
        <v>1738</v>
      </c>
      <c r="D436" s="163">
        <v>110070884090</v>
      </c>
      <c r="E436" s="11" t="s">
        <v>676</v>
      </c>
      <c r="F436" s="11" t="s">
        <v>396</v>
      </c>
      <c r="G436" s="11" t="s">
        <v>1733</v>
      </c>
      <c r="H436" s="11" t="s">
        <v>276</v>
      </c>
      <c r="I436" s="11" t="s">
        <v>1982</v>
      </c>
      <c r="J436" s="11">
        <v>38.803499000000002</v>
      </c>
      <c r="K436" s="11">
        <v>-77.069463999999996</v>
      </c>
      <c r="L436" s="11">
        <v>1794</v>
      </c>
      <c r="M436" s="11">
        <v>1794</v>
      </c>
      <c r="N436" s="175" t="str">
        <f>VLOOKUP(M436, '2017 SIC to NAICS'!A:D, 2)</f>
        <v>Excavation Work</v>
      </c>
      <c r="P436" s="187" t="str">
        <f>VLOOKUP(M436, '2017 SIC to NAICS'!A:D, 4)</f>
        <v>Site Preparation Contractors</v>
      </c>
      <c r="Q436" s="176" t="e">
        <f>IFERROR(VLOOKUP(O436, 'NAICS OES crosswalk'!A:C, 3, FALSE), VLOOKUP(M436, 'NAICS OES crosswalk'!A:C, 3, FALSE))</f>
        <v>#N/A</v>
      </c>
      <c r="U436" s="188">
        <v>20700100302</v>
      </c>
      <c r="V436" s="11" t="s">
        <v>1730</v>
      </c>
      <c r="W436" s="11"/>
      <c r="X436" s="11">
        <v>1.0046147E-3</v>
      </c>
      <c r="Y436" s="11" t="b">
        <f t="shared" si="7"/>
        <v>1</v>
      </c>
    </row>
    <row r="437" spans="1:25" x14ac:dyDescent="0.35">
      <c r="A437" s="11">
        <v>2020</v>
      </c>
      <c r="B437" s="11" t="s">
        <v>1980</v>
      </c>
      <c r="C437" s="11" t="s">
        <v>1515</v>
      </c>
      <c r="D437" s="163">
        <v>110070212323</v>
      </c>
      <c r="E437" s="11" t="s">
        <v>662</v>
      </c>
      <c r="F437" s="11" t="s">
        <v>557</v>
      </c>
      <c r="G437" s="11" t="s">
        <v>818</v>
      </c>
      <c r="H437" s="11" t="s">
        <v>254</v>
      </c>
      <c r="I437" s="11" t="s">
        <v>1982</v>
      </c>
      <c r="J437" s="11">
        <v>40.428542</v>
      </c>
      <c r="K437" s="11">
        <v>-74.518662000000006</v>
      </c>
      <c r="M437" s="11"/>
      <c r="N437" s="175" t="e">
        <f>VLOOKUP(M437, '2017 SIC to NAICS'!A:D, 2)</f>
        <v>#N/A</v>
      </c>
      <c r="P437" s="187" t="e">
        <f>VLOOKUP(M437, '2017 SIC to NAICS'!A:D, 4)</f>
        <v>#N/A</v>
      </c>
      <c r="Q437" s="176" t="e">
        <f>IFERROR(VLOOKUP(O437, 'NAICS OES crosswalk'!A:C, 3, FALSE), VLOOKUP(M437, 'NAICS OES crosswalk'!A:C, 3, FALSE))</f>
        <v>#N/A</v>
      </c>
      <c r="U437" s="188">
        <v>20301050505</v>
      </c>
      <c r="V437" s="11" t="s">
        <v>1510</v>
      </c>
      <c r="W437" s="11"/>
      <c r="X437" s="11">
        <v>8.8891709099999999E-4</v>
      </c>
      <c r="Y437" s="11" t="b">
        <f t="shared" si="7"/>
        <v>1</v>
      </c>
    </row>
    <row r="438" spans="1:25" ht="29" x14ac:dyDescent="0.35">
      <c r="A438" s="11">
        <v>2020</v>
      </c>
      <c r="B438" s="11" t="s">
        <v>1980</v>
      </c>
      <c r="C438" s="11" t="s">
        <v>1723</v>
      </c>
      <c r="D438" s="163">
        <v>110054919406</v>
      </c>
      <c r="E438" s="11" t="s">
        <v>614</v>
      </c>
      <c r="F438" s="11" t="s">
        <v>615</v>
      </c>
      <c r="G438" s="11" t="s">
        <v>1482</v>
      </c>
      <c r="H438" s="11" t="s">
        <v>276</v>
      </c>
      <c r="I438" s="11" t="s">
        <v>1982</v>
      </c>
      <c r="J438" s="11">
        <v>38.814979999999998</v>
      </c>
      <c r="K438" s="11">
        <v>-78.2834</v>
      </c>
      <c r="L438" s="11">
        <v>4953</v>
      </c>
      <c r="M438" s="11">
        <v>4953</v>
      </c>
      <c r="N438" s="175" t="str">
        <f>VLOOKUP(M438, '2017 SIC to NAICS'!A:D, 2)</f>
        <v>Refuse Systems</v>
      </c>
      <c r="P438" s="187" t="str">
        <f>VLOOKUP(M438, '2017 SIC to NAICS'!A:D, 4)</f>
        <v>Materials Recovery Facilities</v>
      </c>
      <c r="Q438" s="176" t="str">
        <f>IFERROR(VLOOKUP(O438, 'NAICS OES crosswalk'!A:C, 3, FALSE), VLOOKUP(M438, 'NAICS OES crosswalk'!A:C, 3, FALSE))</f>
        <v>Waste handling, disposal, and treatment</v>
      </c>
      <c r="U438" s="188">
        <v>20700051002</v>
      </c>
      <c r="V438" s="11" t="s">
        <v>1724</v>
      </c>
      <c r="W438" s="11"/>
      <c r="X438" s="11">
        <v>8.8570873575000001E-4</v>
      </c>
      <c r="Y438" s="11" t="b">
        <f t="shared" si="7"/>
        <v>1</v>
      </c>
    </row>
    <row r="439" spans="1:25" x14ac:dyDescent="0.35">
      <c r="A439" s="11">
        <v>2020</v>
      </c>
      <c r="B439" s="11" t="s">
        <v>1980</v>
      </c>
      <c r="C439" s="11" t="s">
        <v>824</v>
      </c>
      <c r="D439" s="163">
        <v>110059861065</v>
      </c>
      <c r="E439" s="11" t="s">
        <v>677</v>
      </c>
      <c r="F439" s="11" t="s">
        <v>337</v>
      </c>
      <c r="G439" s="11" t="s">
        <v>823</v>
      </c>
      <c r="H439" s="11" t="s">
        <v>221</v>
      </c>
      <c r="I439" s="11" t="s">
        <v>1982</v>
      </c>
      <c r="J439" s="11">
        <v>36.108890000000002</v>
      </c>
      <c r="K439" s="11">
        <v>-115.18118</v>
      </c>
      <c r="L439" s="11">
        <v>6531</v>
      </c>
      <c r="M439" s="11">
        <v>6531</v>
      </c>
      <c r="N439" s="175" t="str">
        <f>VLOOKUP(M439, '2017 SIC to NAICS'!A:D, 2)</f>
        <v>Real Estate Agents and Managers</v>
      </c>
      <c r="P439" s="187" t="str">
        <f>VLOOKUP(M439, '2017 SIC to NAICS'!A:D, 4)</f>
        <v>Other Similar Organizations (except Business, Professional, Labor, and
Political Organizations)</v>
      </c>
      <c r="Q439" s="176" t="e">
        <f>IFERROR(VLOOKUP(O439, 'NAICS OES crosswalk'!A:C, 3, FALSE), VLOOKUP(M439, 'NAICS OES crosswalk'!A:C, 3, FALSE))</f>
        <v>#N/A</v>
      </c>
      <c r="U439" s="188">
        <v>150100150505</v>
      </c>
      <c r="V439" s="11" t="s">
        <v>825</v>
      </c>
      <c r="W439" s="11"/>
      <c r="X439" s="11">
        <v>7.7365400000000003E-4</v>
      </c>
      <c r="Y439" s="11" t="b">
        <f t="shared" si="7"/>
        <v>1</v>
      </c>
    </row>
    <row r="440" spans="1:25" x14ac:dyDescent="0.35">
      <c r="A440" s="11">
        <v>2020</v>
      </c>
      <c r="B440" s="11" t="s">
        <v>1980</v>
      </c>
      <c r="C440" s="11" t="s">
        <v>1347</v>
      </c>
      <c r="D440" s="163">
        <v>110041245015</v>
      </c>
      <c r="E440" s="11" t="s">
        <v>673</v>
      </c>
      <c r="F440" s="11" t="s">
        <v>674</v>
      </c>
      <c r="G440" s="11" t="s">
        <v>1250</v>
      </c>
      <c r="H440" s="11" t="s">
        <v>481</v>
      </c>
      <c r="I440" s="11" t="s">
        <v>1982</v>
      </c>
      <c r="J440" s="11">
        <v>39.567390000000003</v>
      </c>
      <c r="K440" s="11">
        <v>-76.920410000000004</v>
      </c>
      <c r="M440" s="11"/>
      <c r="N440" s="175" t="e">
        <f>VLOOKUP(M440, '2017 SIC to NAICS'!A:D, 2)</f>
        <v>#N/A</v>
      </c>
      <c r="P440" s="187" t="e">
        <f>VLOOKUP(M440, '2017 SIC to NAICS'!A:D, 4)</f>
        <v>#N/A</v>
      </c>
      <c r="Q440" s="176" t="e">
        <f>IFERROR(VLOOKUP(O440, 'NAICS OES crosswalk'!A:C, 3, FALSE), VLOOKUP(M440, 'NAICS OES crosswalk'!A:C, 3, FALSE))</f>
        <v>#N/A</v>
      </c>
      <c r="U440" s="188">
        <v>20600030802</v>
      </c>
      <c r="V440" s="11" t="s">
        <v>1348</v>
      </c>
      <c r="W440" s="11"/>
      <c r="X440" s="11">
        <v>7.5638493749999997E-4</v>
      </c>
      <c r="Y440" s="11" t="b">
        <f t="shared" si="7"/>
        <v>1</v>
      </c>
    </row>
    <row r="441" spans="1:25" ht="29" x14ac:dyDescent="0.35">
      <c r="A441" s="11">
        <v>2020</v>
      </c>
      <c r="B441" s="11" t="s">
        <v>1980</v>
      </c>
      <c r="C441" s="11" t="s">
        <v>1253</v>
      </c>
      <c r="D441" s="163">
        <v>110013680837</v>
      </c>
      <c r="E441" s="11" t="s">
        <v>678</v>
      </c>
      <c r="F441" s="11" t="s">
        <v>396</v>
      </c>
      <c r="G441" s="11" t="s">
        <v>1254</v>
      </c>
      <c r="H441" s="11" t="s">
        <v>108</v>
      </c>
      <c r="I441" s="11" t="s">
        <v>1981</v>
      </c>
      <c r="J441" s="11">
        <v>38.947301000000003</v>
      </c>
      <c r="K441" s="11">
        <v>-84.370062000000004</v>
      </c>
      <c r="L441" s="11">
        <v>4952</v>
      </c>
      <c r="M441" s="11">
        <v>4952</v>
      </c>
      <c r="N441" s="175" t="str">
        <f>VLOOKUP(M441, '2017 SIC to NAICS'!A:D, 2)</f>
        <v>Sewerage Systems</v>
      </c>
      <c r="O441" s="11">
        <v>221320</v>
      </c>
      <c r="P441" s="187" t="str">
        <f>VLOOKUP(M441, '2017 SIC to NAICS'!A:D, 4)</f>
        <v>Sewage Treatment Facilities</v>
      </c>
      <c r="Q441" s="176" t="str">
        <f>IFERROR(VLOOKUP(O441, 'NAICS OES crosswalk'!A:C, 3, FALSE), VLOOKUP(M441, 'NAICS OES crosswalk'!A:C, 3, FALSE))</f>
        <v>Waste handling, disposal, and treatment</v>
      </c>
      <c r="U441" s="188">
        <v>50902011205</v>
      </c>
      <c r="V441" s="11" t="s">
        <v>1255</v>
      </c>
      <c r="W441" s="11"/>
      <c r="X441" s="11">
        <v>7.5293112500000002E-4</v>
      </c>
      <c r="Y441" s="11" t="b">
        <f t="shared" si="7"/>
        <v>1</v>
      </c>
    </row>
    <row r="442" spans="1:25" x14ac:dyDescent="0.35">
      <c r="A442" s="11">
        <v>2020</v>
      </c>
      <c r="B442" s="11" t="s">
        <v>1980</v>
      </c>
      <c r="C442" s="11" t="s">
        <v>824</v>
      </c>
      <c r="D442" s="163">
        <v>110059861065</v>
      </c>
      <c r="E442" s="11" t="s">
        <v>677</v>
      </c>
      <c r="F442" s="11" t="s">
        <v>337</v>
      </c>
      <c r="G442" s="11" t="s">
        <v>823</v>
      </c>
      <c r="H442" s="11" t="s">
        <v>221</v>
      </c>
      <c r="I442" s="11" t="s">
        <v>1982</v>
      </c>
      <c r="J442" s="11">
        <v>36.108890000000002</v>
      </c>
      <c r="K442" s="11">
        <v>-115.18118</v>
      </c>
      <c r="L442" s="11">
        <v>6531</v>
      </c>
      <c r="M442" s="11">
        <v>6531</v>
      </c>
      <c r="N442" s="175" t="str">
        <f>VLOOKUP(M442, '2017 SIC to NAICS'!A:D, 2)</f>
        <v>Real Estate Agents and Managers</v>
      </c>
      <c r="P442" s="187" t="str">
        <f>VLOOKUP(M442, '2017 SIC to NAICS'!A:D, 4)</f>
        <v>Other Similar Organizations (except Business, Professional, Labor, and
Political Organizations)</v>
      </c>
      <c r="Q442" s="176" t="e">
        <f>IFERROR(VLOOKUP(O442, 'NAICS OES crosswalk'!A:C, 3, FALSE), VLOOKUP(M442, 'NAICS OES crosswalk'!A:C, 3, FALSE))</f>
        <v>#N/A</v>
      </c>
      <c r="U442" s="188">
        <v>150100150505</v>
      </c>
      <c r="V442" s="11" t="s">
        <v>825</v>
      </c>
      <c r="W442" s="11"/>
      <c r="X442" s="11">
        <v>7.0803156250000005E-4</v>
      </c>
      <c r="Y442" s="11" t="b">
        <f t="shared" si="7"/>
        <v>1</v>
      </c>
    </row>
    <row r="443" spans="1:25" x14ac:dyDescent="0.35">
      <c r="A443" s="11">
        <v>2020</v>
      </c>
      <c r="B443" s="11" t="s">
        <v>1980</v>
      </c>
      <c r="C443" s="11" t="s">
        <v>1739</v>
      </c>
      <c r="D443" s="163">
        <v>110070882213</v>
      </c>
      <c r="E443" s="11" t="s">
        <v>430</v>
      </c>
      <c r="F443" s="11" t="s">
        <v>275</v>
      </c>
      <c r="G443" s="11" t="s">
        <v>1718</v>
      </c>
      <c r="H443" s="11" t="s">
        <v>276</v>
      </c>
      <c r="I443" s="11" t="s">
        <v>1982</v>
      </c>
      <c r="J443" s="11">
        <v>38.86157</v>
      </c>
      <c r="K443" s="11">
        <v>-77.053929999999994</v>
      </c>
      <c r="L443" s="11">
        <v>7521</v>
      </c>
      <c r="M443" s="11">
        <v>7521</v>
      </c>
      <c r="N443" s="175" t="str">
        <f>VLOOKUP(M443, '2017 SIC to NAICS'!A:D, 2)</f>
        <v>Automobile Parking</v>
      </c>
      <c r="P443" s="187" t="str">
        <f>VLOOKUP(M443, '2017 SIC to NAICS'!A:D, 4)</f>
        <v>Parking Lots and Garages</v>
      </c>
      <c r="Q443" s="176" t="e">
        <f>IFERROR(VLOOKUP(O443, 'NAICS OES crosswalk'!A:C, 3, FALSE), VLOOKUP(M443, 'NAICS OES crosswalk'!A:C, 3, FALSE))</f>
        <v>#N/A</v>
      </c>
      <c r="U443" s="188">
        <v>20700100103</v>
      </c>
      <c r="V443" s="11" t="s">
        <v>1727</v>
      </c>
      <c r="W443" s="11"/>
      <c r="X443" s="11">
        <v>0.155423897088</v>
      </c>
      <c r="Y443" s="11" t="b">
        <f t="shared" si="7"/>
        <v>0</v>
      </c>
    </row>
    <row r="444" spans="1:25" x14ac:dyDescent="0.35">
      <c r="A444" s="11">
        <v>2020</v>
      </c>
      <c r="B444" s="11" t="s">
        <v>1980</v>
      </c>
      <c r="C444" s="11" t="s">
        <v>1698</v>
      </c>
      <c r="D444" s="163">
        <v>110000463677</v>
      </c>
      <c r="E444" s="11" t="s">
        <v>649</v>
      </c>
      <c r="F444" s="11" t="s">
        <v>421</v>
      </c>
      <c r="G444" s="11" t="s">
        <v>747</v>
      </c>
      <c r="H444" s="11" t="s">
        <v>95</v>
      </c>
      <c r="I444" s="11" t="s">
        <v>1982</v>
      </c>
      <c r="J444" s="11">
        <v>29.726065999999999</v>
      </c>
      <c r="K444" s="11">
        <v>-95.079583999999997</v>
      </c>
      <c r="L444" s="11">
        <v>2821</v>
      </c>
      <c r="M444" s="11">
        <v>2821</v>
      </c>
      <c r="N444" s="175" t="str">
        <f>VLOOKUP(M444, '2017 SIC to NAICS'!A:D, 2)</f>
        <v>Plastics Materials and Resins</v>
      </c>
      <c r="P444" s="187" t="str">
        <f>VLOOKUP(M444, '2017 SIC to NAICS'!A:D, 4)</f>
        <v>Plastics Material and Resin Manufacturing</v>
      </c>
      <c r="Q444" s="176" t="str">
        <f>IFERROR(VLOOKUP(O444, 'NAICS OES crosswalk'!A:C, 3, FALSE), VLOOKUP(M444, 'NAICS OES crosswalk'!A:C, 3, FALSE))</f>
        <v>Processing as a reactant</v>
      </c>
      <c r="U444" s="188">
        <v>120401040706</v>
      </c>
      <c r="V444" s="11" t="s">
        <v>750</v>
      </c>
      <c r="W444" s="11"/>
      <c r="X444" s="11">
        <v>2.6182179999999998E-3</v>
      </c>
      <c r="Y444" s="11" t="b">
        <f t="shared" si="7"/>
        <v>0</v>
      </c>
    </row>
    <row r="445" spans="1:25" x14ac:dyDescent="0.35">
      <c r="A445" s="11">
        <v>2020</v>
      </c>
      <c r="B445" s="11" t="s">
        <v>1980</v>
      </c>
      <c r="C445" s="11" t="s">
        <v>1717</v>
      </c>
      <c r="D445" s="163">
        <v>110070546877</v>
      </c>
      <c r="E445" s="11" t="s">
        <v>616</v>
      </c>
      <c r="F445" s="11" t="s">
        <v>275</v>
      </c>
      <c r="G445" s="11" t="s">
        <v>1718</v>
      </c>
      <c r="H445" s="11" t="s">
        <v>276</v>
      </c>
      <c r="I445" s="11" t="s">
        <v>1982</v>
      </c>
      <c r="J445" s="11">
        <v>38.861800000000002</v>
      </c>
      <c r="K445" s="11">
        <v>-77.086969999999994</v>
      </c>
      <c r="L445" s="11">
        <v>1794</v>
      </c>
      <c r="M445" s="11">
        <v>1794</v>
      </c>
      <c r="N445" s="175" t="str">
        <f>VLOOKUP(M445, '2017 SIC to NAICS'!A:D, 2)</f>
        <v>Excavation Work</v>
      </c>
      <c r="P445" s="187" t="str">
        <f>VLOOKUP(M445, '2017 SIC to NAICS'!A:D, 4)</f>
        <v>Site Preparation Contractors</v>
      </c>
      <c r="Q445" s="176" t="e">
        <f>IFERROR(VLOOKUP(O445, 'NAICS OES crosswalk'!A:C, 3, FALSE), VLOOKUP(M445, 'NAICS OES crosswalk'!A:C, 3, FALSE))</f>
        <v>#N/A</v>
      </c>
      <c r="U445" s="188">
        <v>20700100301</v>
      </c>
      <c r="V445" s="11" t="s">
        <v>1711</v>
      </c>
      <c r="W445" s="11"/>
      <c r="X445" s="11">
        <v>5.0372218299999999E-4</v>
      </c>
      <c r="Y445" s="11" t="b">
        <f t="shared" si="7"/>
        <v>1</v>
      </c>
    </row>
    <row r="446" spans="1:25" ht="29" x14ac:dyDescent="0.35">
      <c r="A446" s="11">
        <v>2020</v>
      </c>
      <c r="B446" s="11" t="s">
        <v>1980</v>
      </c>
      <c r="C446" s="11" t="s">
        <v>1675</v>
      </c>
      <c r="D446" s="163">
        <v>110002311551</v>
      </c>
      <c r="E446" s="11" t="s">
        <v>666</v>
      </c>
      <c r="F446" s="11" t="s">
        <v>667</v>
      </c>
      <c r="G446" s="11" t="s">
        <v>667</v>
      </c>
      <c r="H446" s="11" t="s">
        <v>194</v>
      </c>
      <c r="I446" s="11" t="s">
        <v>1982</v>
      </c>
      <c r="J446" s="11">
        <v>33.773513999999999</v>
      </c>
      <c r="K446" s="11">
        <v>-81.904872999999995</v>
      </c>
      <c r="L446" s="11">
        <v>4952</v>
      </c>
      <c r="M446" s="11">
        <v>4952</v>
      </c>
      <c r="N446" s="175" t="str">
        <f>VLOOKUP(M446, '2017 SIC to NAICS'!A:D, 2)</f>
        <v>Sewerage Systems</v>
      </c>
      <c r="O446" s="11">
        <v>562910</v>
      </c>
      <c r="P446" s="187" t="str">
        <f>VLOOKUP(M446, '2017 SIC to NAICS'!A:D, 4)</f>
        <v>Sewage Treatment Facilities</v>
      </c>
      <c r="Q446" s="176" t="str">
        <f>IFERROR(VLOOKUP(O446, 'NAICS OES crosswalk'!A:C, 3, FALSE), VLOOKUP(M446, 'NAICS OES crosswalk'!A:C, 3, FALSE))</f>
        <v>Waste handling, disposal, and treatment</v>
      </c>
      <c r="U446" s="188">
        <v>30601070207</v>
      </c>
      <c r="V446" s="11" t="s">
        <v>1676</v>
      </c>
      <c r="W446" s="11"/>
      <c r="X446" s="11">
        <v>4.9939857750000004E-4</v>
      </c>
      <c r="Y446" s="11" t="b">
        <f t="shared" si="7"/>
        <v>1</v>
      </c>
    </row>
    <row r="447" spans="1:25" ht="29" x14ac:dyDescent="0.35">
      <c r="A447" s="11">
        <v>2020</v>
      </c>
      <c r="B447" s="11" t="s">
        <v>1980</v>
      </c>
      <c r="C447" s="11" t="s">
        <v>1525</v>
      </c>
      <c r="D447" s="163">
        <v>110070213656</v>
      </c>
      <c r="E447" s="11" t="s">
        <v>687</v>
      </c>
      <c r="F447" s="11" t="s">
        <v>688</v>
      </c>
      <c r="G447" s="11" t="s">
        <v>1526</v>
      </c>
      <c r="H447" s="11" t="s">
        <v>254</v>
      </c>
      <c r="I447" s="11" t="s">
        <v>1982</v>
      </c>
      <c r="J447" s="11">
        <v>40.891950000000001</v>
      </c>
      <c r="K447" s="11">
        <v>-74.249369999999999</v>
      </c>
      <c r="L447" s="11">
        <v>9999</v>
      </c>
      <c r="M447" s="11">
        <v>9999</v>
      </c>
      <c r="N447" s="175" t="str">
        <f>VLOOKUP(M447, '2017 SIC to NAICS'!A:D, 2)</f>
        <v>Nonclassifiable Establishments</v>
      </c>
      <c r="P447" s="187">
        <f>VLOOKUP(M447, '2017 SIC to NAICS'!A:D, 4)</f>
        <v>0</v>
      </c>
      <c r="Q447" s="176" t="str">
        <f>IFERROR(VLOOKUP(O447, 'NAICS OES crosswalk'!A:C, 3, FALSE), VLOOKUP(M447, 'NAICS OES crosswalk'!A:C, 3, FALSE))</f>
        <v>Uncertain, possibly a remediation site</v>
      </c>
      <c r="U447" s="188">
        <v>20301030801</v>
      </c>
      <c r="V447" s="11" t="s">
        <v>1527</v>
      </c>
      <c r="W447" s="11"/>
      <c r="X447" s="11">
        <v>3.4819017419999998E-4</v>
      </c>
      <c r="Y447" s="11" t="b">
        <f t="shared" si="7"/>
        <v>1</v>
      </c>
    </row>
    <row r="448" spans="1:25" x14ac:dyDescent="0.35">
      <c r="A448" s="11">
        <v>2020</v>
      </c>
      <c r="B448" s="11" t="s">
        <v>1980</v>
      </c>
      <c r="C448" s="11" t="s">
        <v>1516</v>
      </c>
      <c r="D448" s="163">
        <v>110070217974</v>
      </c>
      <c r="E448" s="11" t="s">
        <v>684</v>
      </c>
      <c r="F448" s="11" t="s">
        <v>685</v>
      </c>
      <c r="G448" s="11" t="s">
        <v>1517</v>
      </c>
      <c r="H448" s="11" t="s">
        <v>254</v>
      </c>
      <c r="I448" s="11" t="s">
        <v>1982</v>
      </c>
      <c r="J448" s="11">
        <v>40.52516</v>
      </c>
      <c r="K448" s="11">
        <v>-74.601039999999998</v>
      </c>
      <c r="L448" s="11">
        <v>2851</v>
      </c>
      <c r="M448" s="11">
        <v>2851</v>
      </c>
      <c r="N448" s="175" t="str">
        <f>VLOOKUP(M448, '2017 SIC to NAICS'!A:D, 2)</f>
        <v>Paints and Allied Products</v>
      </c>
      <c r="P448" s="187" t="str">
        <f>VLOOKUP(M448, '2017 SIC to NAICS'!A:D, 4)</f>
        <v>Paint and Coating Manufacturing</v>
      </c>
      <c r="Q448" s="176" t="e">
        <f>IFERROR(VLOOKUP(O448, 'NAICS OES crosswalk'!A:C, 3, FALSE), VLOOKUP(M448, 'NAICS OES crosswalk'!A:C, 3, FALSE))</f>
        <v>#N/A</v>
      </c>
      <c r="U448" s="188">
        <v>20301050311</v>
      </c>
      <c r="V448" s="11" t="s">
        <v>1520</v>
      </c>
      <c r="W448" s="11"/>
      <c r="X448" s="11">
        <v>3.3339097560000001E-4</v>
      </c>
      <c r="Y448" s="11" t="b">
        <f t="shared" si="7"/>
        <v>1</v>
      </c>
    </row>
    <row r="449" spans="1:25" x14ac:dyDescent="0.35">
      <c r="A449" s="11">
        <v>2020</v>
      </c>
      <c r="B449" s="11" t="s">
        <v>1980</v>
      </c>
      <c r="C449" s="11" t="s">
        <v>735</v>
      </c>
      <c r="D449" s="163">
        <v>110004306938</v>
      </c>
      <c r="E449" s="11" t="s">
        <v>336</v>
      </c>
      <c r="F449" s="11" t="s">
        <v>337</v>
      </c>
      <c r="G449" s="11" t="s">
        <v>736</v>
      </c>
      <c r="H449" s="11" t="s">
        <v>221</v>
      </c>
      <c r="I449" s="11" t="s">
        <v>1982</v>
      </c>
      <c r="J449" s="11">
        <v>36.122100000000003</v>
      </c>
      <c r="K449" s="11">
        <v>-115.17139</v>
      </c>
      <c r="L449" s="11">
        <v>7011</v>
      </c>
      <c r="M449" s="11">
        <v>7011</v>
      </c>
      <c r="N449" s="175" t="str">
        <f>VLOOKUP(M449, '2017 SIC to NAICS'!A:D, 2)</f>
        <v>Hotels and Motels</v>
      </c>
      <c r="P449" s="187" t="str">
        <f>VLOOKUP(M449, '2017 SIC to NAICS'!A:D, 4)</f>
        <v>All Other Traveler Accommodation</v>
      </c>
      <c r="Q449" s="176" t="e">
        <f>IFERROR(VLOOKUP(O449, 'NAICS OES crosswalk'!A:C, 3, FALSE), VLOOKUP(M449, 'NAICS OES crosswalk'!A:C, 3, FALSE))</f>
        <v>#N/A</v>
      </c>
      <c r="U449" s="188">
        <v>150100150604</v>
      </c>
      <c r="V449" s="11" t="s">
        <v>738</v>
      </c>
      <c r="W449" s="11"/>
      <c r="X449" s="11">
        <v>3.1084312499999998E-4</v>
      </c>
      <c r="Y449" s="11" t="b">
        <f t="shared" si="7"/>
        <v>1</v>
      </c>
    </row>
    <row r="450" spans="1:25" x14ac:dyDescent="0.35">
      <c r="A450" s="11">
        <v>2020</v>
      </c>
      <c r="B450" s="11" t="s">
        <v>1980</v>
      </c>
      <c r="C450" s="11" t="s">
        <v>1486</v>
      </c>
      <c r="D450" s="163">
        <v>110041022274</v>
      </c>
      <c r="E450" s="11" t="s">
        <v>699</v>
      </c>
      <c r="F450" s="11" t="s">
        <v>700</v>
      </c>
      <c r="G450" s="11" t="s">
        <v>1487</v>
      </c>
      <c r="H450" s="11" t="s">
        <v>254</v>
      </c>
      <c r="I450" s="11" t="s">
        <v>1981</v>
      </c>
      <c r="J450" s="11">
        <v>39.766944000000002</v>
      </c>
      <c r="K450" s="11">
        <v>-75.421361000000005</v>
      </c>
      <c r="L450" s="11">
        <v>2821</v>
      </c>
      <c r="M450" s="11">
        <v>2821</v>
      </c>
      <c r="N450" s="175" t="str">
        <f>VLOOKUP(M450, '2017 SIC to NAICS'!A:D, 2)</f>
        <v>Plastics Materials and Resins</v>
      </c>
      <c r="O450" s="11">
        <v>325211</v>
      </c>
      <c r="P450" s="187" t="str">
        <f>VLOOKUP(M450, '2017 SIC to NAICS'!A:D, 4)</f>
        <v>Plastics Material and Resin Manufacturing</v>
      </c>
      <c r="Q450" s="176" t="str">
        <f>IFERROR(VLOOKUP(O450, 'NAICS OES crosswalk'!A:C, 3, FALSE), VLOOKUP(M450, 'NAICS OES crosswalk'!A:C, 3, FALSE))</f>
        <v>Processing as a reactant</v>
      </c>
      <c r="U450" s="188">
        <v>20402060103</v>
      </c>
      <c r="V450" s="11" t="s">
        <v>1488</v>
      </c>
      <c r="W450" s="11"/>
      <c r="X450" s="11">
        <v>1.0499999999999999E-5</v>
      </c>
      <c r="Y450" s="11" t="b">
        <f t="shared" si="7"/>
        <v>1</v>
      </c>
    </row>
    <row r="451" spans="1:25" x14ac:dyDescent="0.35">
      <c r="A451" s="11">
        <v>2020</v>
      </c>
      <c r="B451" s="11" t="s">
        <v>1980</v>
      </c>
      <c r="C451" s="11" t="s">
        <v>1710</v>
      </c>
      <c r="D451" s="163">
        <v>110010844426</v>
      </c>
      <c r="E451" s="11" t="s">
        <v>696</v>
      </c>
      <c r="F451" s="11" t="s">
        <v>275</v>
      </c>
      <c r="G451" s="11" t="s">
        <v>275</v>
      </c>
      <c r="H451" s="11" t="s">
        <v>276</v>
      </c>
      <c r="I451" s="11" t="s">
        <v>1982</v>
      </c>
      <c r="J451" s="11">
        <v>38.88223</v>
      </c>
      <c r="K451" s="11">
        <v>-77.112300000000005</v>
      </c>
      <c r="L451" s="11">
        <v>4959</v>
      </c>
      <c r="M451" s="11">
        <v>4959</v>
      </c>
      <c r="N451" s="175" t="str">
        <f>VLOOKUP(M451, '2017 SIC to NAICS'!A:D, 2)</f>
        <v>Sanitary Services, Nec</v>
      </c>
      <c r="O451" s="11">
        <v>562910</v>
      </c>
      <c r="P451" s="187" t="str">
        <f>VLOOKUP(M451, '2017 SIC to NAICS'!A:D, 4)</f>
        <v>All Other Miscellaneous Waste
Management Services</v>
      </c>
      <c r="Q451" s="176" t="e">
        <f>IFERROR(VLOOKUP(O451, 'NAICS OES crosswalk'!A:C, 3, FALSE), VLOOKUP(M451, 'NAICS OES crosswalk'!A:C, 3, FALSE))</f>
        <v>#N/A</v>
      </c>
      <c r="U451" s="188">
        <v>20700100301</v>
      </c>
      <c r="V451" s="11" t="s">
        <v>1711</v>
      </c>
      <c r="W451" s="11"/>
      <c r="X451" s="11">
        <v>8.2548957500000006E-5</v>
      </c>
      <c r="Y451" s="11" t="b">
        <f t="shared" si="7"/>
        <v>1</v>
      </c>
    </row>
    <row r="452" spans="1:25" x14ac:dyDescent="0.35">
      <c r="A452" s="11">
        <v>2020</v>
      </c>
      <c r="B452" s="11" t="s">
        <v>1980</v>
      </c>
      <c r="C452" s="11" t="s">
        <v>1596</v>
      </c>
      <c r="D452" s="163">
        <v>110002321345</v>
      </c>
      <c r="E452" s="11" t="s">
        <v>629</v>
      </c>
      <c r="F452" s="11" t="s">
        <v>620</v>
      </c>
      <c r="G452" s="11" t="s">
        <v>1589</v>
      </c>
      <c r="H452" s="11" t="s">
        <v>126</v>
      </c>
      <c r="I452" s="11" t="s">
        <v>1982</v>
      </c>
      <c r="J452" s="11">
        <v>43.107216000000001</v>
      </c>
      <c r="K452" s="11">
        <v>-75.225815999999995</v>
      </c>
      <c r="L452" s="11">
        <v>5169</v>
      </c>
      <c r="M452" s="11">
        <v>5169</v>
      </c>
      <c r="N452" s="175" t="str">
        <f>VLOOKUP(M452, '2017 SIC to NAICS'!A:D, 2)</f>
        <v>Chemicals and Allied Products, Nec</v>
      </c>
      <c r="P452" s="187" t="str">
        <f>VLOOKUP(M452, '2017 SIC to NAICS'!A:D, 4)</f>
        <v>Wholesale Trade Agents and Brokers</v>
      </c>
      <c r="Q452" s="176" t="e">
        <f>IFERROR(VLOOKUP(O452, 'NAICS OES crosswalk'!A:C, 3, FALSE), VLOOKUP(M452, 'NAICS OES crosswalk'!A:C, 3, FALSE))</f>
        <v>#N/A</v>
      </c>
      <c r="U452" s="188">
        <v>20200040311</v>
      </c>
      <c r="V452" s="11" t="s">
        <v>1583</v>
      </c>
      <c r="W452" s="11"/>
      <c r="X452" s="11">
        <v>2.7483642000000002E-3</v>
      </c>
      <c r="Y452" s="11" t="b">
        <f t="shared" si="7"/>
        <v>0</v>
      </c>
    </row>
    <row r="453" spans="1:25" x14ac:dyDescent="0.35">
      <c r="A453" s="11">
        <v>2020</v>
      </c>
      <c r="B453" s="11" t="s">
        <v>1980</v>
      </c>
      <c r="C453" s="11" t="s">
        <v>845</v>
      </c>
      <c r="D453" s="163">
        <v>110008011490</v>
      </c>
      <c r="E453" s="11" t="s">
        <v>445</v>
      </c>
      <c r="F453" s="11" t="s">
        <v>446</v>
      </c>
      <c r="G453" s="11" t="s">
        <v>846</v>
      </c>
      <c r="H453" s="11" t="s">
        <v>126</v>
      </c>
      <c r="I453" s="11" t="s">
        <v>1982</v>
      </c>
      <c r="J453" s="11">
        <v>42.805160000000001</v>
      </c>
      <c r="K453" s="11">
        <v>-78.64658</v>
      </c>
      <c r="L453" s="11">
        <v>3492</v>
      </c>
      <c r="M453" s="11">
        <v>3492</v>
      </c>
      <c r="N453" s="175" t="str">
        <f>VLOOKUP(M453, '2017 SIC to NAICS'!A:D, 2)</f>
        <v>Fluid Power Valves and Hose Fittings</v>
      </c>
      <c r="P453" s="187" t="str">
        <f>VLOOKUP(M453, '2017 SIC to NAICS'!A:D, 4)</f>
        <v>Fluid Power Valve and Hose Fitting
Manufacturing</v>
      </c>
      <c r="Q453" s="176" t="e">
        <f>IFERROR(VLOOKUP(O453, 'NAICS OES crosswalk'!A:C, 3, FALSE), VLOOKUP(M453, 'NAICS OES crosswalk'!A:C, 3, FALSE))</f>
        <v>#N/A</v>
      </c>
      <c r="U453" s="188">
        <v>41201030206</v>
      </c>
      <c r="V453" s="11" t="s">
        <v>847</v>
      </c>
      <c r="W453" s="11"/>
      <c r="X453" s="11">
        <v>5.9214432499999997E-2</v>
      </c>
      <c r="Y453" s="11" t="b">
        <f t="shared" si="7"/>
        <v>0</v>
      </c>
    </row>
    <row r="454" spans="1:25" x14ac:dyDescent="0.35">
      <c r="A454" s="11">
        <v>2020</v>
      </c>
      <c r="B454" s="11" t="s">
        <v>1980</v>
      </c>
      <c r="C454" s="11" t="s">
        <v>1726</v>
      </c>
      <c r="D454" s="163">
        <v>110070549382</v>
      </c>
      <c r="E454" s="11" t="s">
        <v>524</v>
      </c>
      <c r="F454" s="11" t="s">
        <v>275</v>
      </c>
      <c r="G454" s="11" t="s">
        <v>1718</v>
      </c>
      <c r="H454" s="11" t="s">
        <v>276</v>
      </c>
      <c r="I454" s="11" t="s">
        <v>1982</v>
      </c>
      <c r="J454" s="11">
        <v>38.882449999999999</v>
      </c>
      <c r="K454" s="11">
        <v>-77.108000000000004</v>
      </c>
      <c r="L454" s="11">
        <v>1794</v>
      </c>
      <c r="M454" s="11">
        <v>1794</v>
      </c>
      <c r="N454" s="175" t="str">
        <f>VLOOKUP(M454, '2017 SIC to NAICS'!A:D, 2)</f>
        <v>Excavation Work</v>
      </c>
      <c r="P454" s="187" t="str">
        <f>VLOOKUP(M454, '2017 SIC to NAICS'!A:D, 4)</f>
        <v>Site Preparation Contractors</v>
      </c>
      <c r="Q454" s="176" t="e">
        <f>IFERROR(VLOOKUP(O454, 'NAICS OES crosswalk'!A:C, 3, FALSE), VLOOKUP(M454, 'NAICS OES crosswalk'!A:C, 3, FALSE))</f>
        <v>#N/A</v>
      </c>
      <c r="U454" s="188">
        <v>20700100103</v>
      </c>
      <c r="V454" s="11" t="s">
        <v>1727</v>
      </c>
      <c r="W454" s="11"/>
      <c r="X454" s="11">
        <v>1.7600250000000001E-5</v>
      </c>
      <c r="Y454" s="11" t="b">
        <f t="shared" si="7"/>
        <v>1</v>
      </c>
    </row>
    <row r="455" spans="1:25" x14ac:dyDescent="0.35">
      <c r="A455" s="11">
        <v>2020</v>
      </c>
      <c r="B455" s="11" t="s">
        <v>1980</v>
      </c>
      <c r="C455" s="11" t="s">
        <v>845</v>
      </c>
      <c r="D455" s="163">
        <v>110008011490</v>
      </c>
      <c r="E455" s="11" t="s">
        <v>445</v>
      </c>
      <c r="F455" s="11" t="s">
        <v>446</v>
      </c>
      <c r="G455" s="11" t="s">
        <v>846</v>
      </c>
      <c r="H455" s="11" t="s">
        <v>126</v>
      </c>
      <c r="I455" s="11" t="s">
        <v>1982</v>
      </c>
      <c r="J455" s="11">
        <v>42.805160000000001</v>
      </c>
      <c r="K455" s="11">
        <v>-78.64658</v>
      </c>
      <c r="L455" s="11">
        <v>3492</v>
      </c>
      <c r="M455" s="11">
        <v>3492</v>
      </c>
      <c r="N455" s="175" t="str">
        <f>VLOOKUP(M455, '2017 SIC to NAICS'!A:D, 2)</f>
        <v>Fluid Power Valves and Hose Fittings</v>
      </c>
      <c r="P455" s="187" t="str">
        <f>VLOOKUP(M455, '2017 SIC to NAICS'!A:D, 4)</f>
        <v>Fluid Power Valve and Hose Fitting
Manufacturing</v>
      </c>
      <c r="Q455" s="176" t="e">
        <f>IFERROR(VLOOKUP(O455, 'NAICS OES crosswalk'!A:C, 3, FALSE), VLOOKUP(M455, 'NAICS OES crosswalk'!A:C, 3, FALSE))</f>
        <v>#N/A</v>
      </c>
      <c r="U455" s="188">
        <v>41201030206</v>
      </c>
      <c r="V455" s="11" t="s">
        <v>847</v>
      </c>
      <c r="W455" s="11"/>
      <c r="X455" s="11">
        <v>1.8030755900000001E-2</v>
      </c>
      <c r="Y455" s="11" t="b">
        <f t="shared" si="7"/>
        <v>0</v>
      </c>
    </row>
    <row r="456" spans="1:25" x14ac:dyDescent="0.35">
      <c r="A456" s="11">
        <v>2020</v>
      </c>
      <c r="B456" s="11" t="s">
        <v>1980</v>
      </c>
      <c r="C456" s="11" t="s">
        <v>1303</v>
      </c>
      <c r="D456" s="163">
        <v>110007015871</v>
      </c>
      <c r="E456" s="11" t="s">
        <v>418</v>
      </c>
      <c r="F456" s="11" t="s">
        <v>419</v>
      </c>
      <c r="G456" s="11" t="s">
        <v>1304</v>
      </c>
      <c r="H456" s="11" t="s">
        <v>91</v>
      </c>
      <c r="I456" s="11" t="s">
        <v>1981</v>
      </c>
      <c r="J456" s="11">
        <v>30.048590999999998</v>
      </c>
      <c r="K456" s="11">
        <v>-90.630941000000007</v>
      </c>
      <c r="L456" s="11">
        <v>2869</v>
      </c>
      <c r="M456" s="11">
        <v>2869</v>
      </c>
      <c r="N456" s="175" t="str">
        <f>VLOOKUP(M456, '2017 SIC to NAICS'!A:D, 2)</f>
        <v>Industrial Organic Chemicals, Nec</v>
      </c>
      <c r="P456" s="187" t="str">
        <f>VLOOKUP(M456, '2017 SIC to NAICS'!A:D, 4)</f>
        <v>All Other Miscellaneous Chemical Product and Preparation Manufacturing</v>
      </c>
      <c r="Q456" s="176" t="str">
        <f>IFERROR(VLOOKUP(O456, 'NAICS OES crosswalk'!A:C, 3, FALSE), VLOOKUP(M456, 'NAICS OES crosswalk'!A:C, 3, FALSE))</f>
        <v>Manufacturing</v>
      </c>
      <c r="U456" s="188">
        <v>80702040302</v>
      </c>
      <c r="V456" s="11" t="s">
        <v>1305</v>
      </c>
      <c r="W456" s="11"/>
      <c r="X456" s="11">
        <v>8.2854999999999998E-2</v>
      </c>
      <c r="Y456" s="11" t="b">
        <f t="shared" si="7"/>
        <v>0</v>
      </c>
    </row>
    <row r="457" spans="1:25" x14ac:dyDescent="0.35">
      <c r="A457" s="11">
        <v>2020</v>
      </c>
      <c r="B457" s="11" t="s">
        <v>1980</v>
      </c>
      <c r="C457" s="11" t="s">
        <v>1378</v>
      </c>
      <c r="D457" s="163">
        <v>110056966699</v>
      </c>
      <c r="E457" s="11" t="s">
        <v>703</v>
      </c>
      <c r="F457" s="11" t="s">
        <v>704</v>
      </c>
      <c r="G457" s="11" t="s">
        <v>1379</v>
      </c>
      <c r="H457" s="11" t="s">
        <v>181</v>
      </c>
      <c r="I457" s="11" t="s">
        <v>1981</v>
      </c>
      <c r="J457" s="11">
        <v>41.948850999999998</v>
      </c>
      <c r="K457" s="11">
        <v>-83.958619999999996</v>
      </c>
      <c r="L457" s="11">
        <v>2821</v>
      </c>
      <c r="M457" s="11">
        <v>2821</v>
      </c>
      <c r="N457" s="175" t="str">
        <f>VLOOKUP(M457, '2017 SIC to NAICS'!A:D, 2)</f>
        <v>Plastics Materials and Resins</v>
      </c>
      <c r="O457" s="11">
        <v>325212</v>
      </c>
      <c r="P457" s="187" t="str">
        <f>VLOOKUP(M457, '2017 SIC to NAICS'!A:D, 4)</f>
        <v>Plastics Material and Resin Manufacturing</v>
      </c>
      <c r="Q457" s="176" t="str">
        <f>IFERROR(VLOOKUP(O457, 'NAICS OES crosswalk'!A:C, 3, FALSE), VLOOKUP(M457, 'NAICS OES crosswalk'!A:C, 3, FALSE))</f>
        <v>Processing as a reactant</v>
      </c>
      <c r="U457" s="188">
        <v>41000020108</v>
      </c>
      <c r="V457" s="11" t="s">
        <v>1380</v>
      </c>
      <c r="W457" s="11"/>
      <c r="X457" s="11">
        <v>4.6221000000000002E-6</v>
      </c>
      <c r="Y457" s="11" t="b">
        <f t="shared" si="7"/>
        <v>1</v>
      </c>
    </row>
    <row r="458" spans="1:25" x14ac:dyDescent="0.35">
      <c r="A458" s="11">
        <v>2020</v>
      </c>
      <c r="B458" s="11" t="s">
        <v>1980</v>
      </c>
      <c r="C458" s="11" t="s">
        <v>1557</v>
      </c>
      <c r="D458" s="163">
        <v>110020039402</v>
      </c>
      <c r="E458" s="11" t="s">
        <v>654</v>
      </c>
      <c r="F458" s="11" t="s">
        <v>337</v>
      </c>
      <c r="G458" s="11" t="s">
        <v>823</v>
      </c>
      <c r="H458" s="11" t="s">
        <v>221</v>
      </c>
      <c r="I458" s="11" t="s">
        <v>1982</v>
      </c>
      <c r="J458" s="11">
        <v>36.137529999999998</v>
      </c>
      <c r="K458" s="11">
        <v>-115.15479000000001</v>
      </c>
      <c r="L458" s="11">
        <v>7011</v>
      </c>
      <c r="M458" s="11">
        <v>7011</v>
      </c>
      <c r="N458" s="175" t="str">
        <f>VLOOKUP(M458, '2017 SIC to NAICS'!A:D, 2)</f>
        <v>Hotels and Motels</v>
      </c>
      <c r="O458" s="11">
        <v>812990</v>
      </c>
      <c r="P458" s="187" t="str">
        <f>VLOOKUP(M458, '2017 SIC to NAICS'!A:D, 4)</f>
        <v>All Other Traveler Accommodation</v>
      </c>
      <c r="Q458" s="176" t="e">
        <f>IFERROR(VLOOKUP(O458, 'NAICS OES crosswalk'!A:C, 3, FALSE), VLOOKUP(M458, 'NAICS OES crosswalk'!A:C, 3, FALSE))</f>
        <v>#N/A</v>
      </c>
      <c r="U458" s="188">
        <v>150100150604</v>
      </c>
      <c r="V458" s="11" t="s">
        <v>738</v>
      </c>
      <c r="W458" s="11"/>
      <c r="X458" s="11">
        <v>2.00586075E-8</v>
      </c>
      <c r="Y458" s="11" t="b">
        <f t="shared" si="7"/>
        <v>1</v>
      </c>
    </row>
    <row r="459" spans="1:25" x14ac:dyDescent="0.35">
      <c r="A459" s="11">
        <v>2021</v>
      </c>
      <c r="B459" s="11" t="s">
        <v>1980</v>
      </c>
      <c r="C459" s="11" t="s">
        <v>1284</v>
      </c>
      <c r="D459" s="163">
        <v>110000494894</v>
      </c>
      <c r="E459" s="11" t="s">
        <v>89</v>
      </c>
      <c r="F459" s="11" t="s">
        <v>90</v>
      </c>
      <c r="G459" s="11" t="s">
        <v>771</v>
      </c>
      <c r="H459" s="11" t="s">
        <v>91</v>
      </c>
      <c r="I459" s="11" t="s">
        <v>1981</v>
      </c>
      <c r="J459" s="11">
        <v>30.223500000000001</v>
      </c>
      <c r="K459" s="11">
        <v>-93.286900000000003</v>
      </c>
      <c r="L459" s="11">
        <v>2869</v>
      </c>
      <c r="M459" s="11">
        <v>2869</v>
      </c>
      <c r="N459" s="175" t="str">
        <f>VLOOKUP(M459, '2017 SIC to NAICS'!A:D, 2)</f>
        <v>Industrial Organic Chemicals, Nec</v>
      </c>
      <c r="P459" s="187" t="str">
        <f>VLOOKUP(M459, '2017 SIC to NAICS'!A:D, 4)</f>
        <v>All Other Miscellaneous Chemical Product and Preparation Manufacturing</v>
      </c>
      <c r="Q459" s="176" t="str">
        <f>IFERROR(VLOOKUP(O459, 'NAICS OES crosswalk'!A:C, 3, FALSE), VLOOKUP(M459, 'NAICS OES crosswalk'!A:C, 3, FALSE))</f>
        <v>Manufacturing</v>
      </c>
      <c r="U459" s="188">
        <v>80802060301</v>
      </c>
      <c r="V459" s="11" t="s">
        <v>1286</v>
      </c>
      <c r="W459" s="11"/>
      <c r="X459" s="11">
        <v>790.63782490000006</v>
      </c>
      <c r="Y459" s="11" t="b">
        <f xml:space="preserve"> X459 &lt;= _xlfn.PERCENTILE.INC($X$459:$X$700, 0.1)</f>
        <v>0</v>
      </c>
    </row>
    <row r="460" spans="1:25" ht="29" x14ac:dyDescent="0.35">
      <c r="A460" s="11">
        <v>2021</v>
      </c>
      <c r="B460" s="11" t="s">
        <v>1980</v>
      </c>
      <c r="C460" s="11" t="s">
        <v>1215</v>
      </c>
      <c r="D460" s="163">
        <v>110000732379</v>
      </c>
      <c r="E460" s="11" t="s">
        <v>106</v>
      </c>
      <c r="F460" s="11" t="s">
        <v>107</v>
      </c>
      <c r="G460" s="11" t="s">
        <v>782</v>
      </c>
      <c r="H460" s="11" t="s">
        <v>108</v>
      </c>
      <c r="I460" s="11" t="s">
        <v>1981</v>
      </c>
      <c r="J460" s="11">
        <v>38.08614</v>
      </c>
      <c r="K460" s="11">
        <v>-85.898780000000002</v>
      </c>
      <c r="L460" s="11">
        <v>4952</v>
      </c>
      <c r="M460" s="11">
        <v>4952</v>
      </c>
      <c r="N460" s="175" t="str">
        <f>VLOOKUP(M460, '2017 SIC to NAICS'!A:D, 2)</f>
        <v>Sewerage Systems</v>
      </c>
      <c r="O460" s="11">
        <v>221320</v>
      </c>
      <c r="P460" s="187" t="str">
        <f>VLOOKUP(M460, '2017 SIC to NAICS'!A:D, 4)</f>
        <v>Sewage Treatment Facilities</v>
      </c>
      <c r="Q460" s="176" t="str">
        <f>IFERROR(VLOOKUP(O460, 'NAICS OES crosswalk'!A:C, 3, FALSE), VLOOKUP(M460, 'NAICS OES crosswalk'!A:C, 3, FALSE))</f>
        <v>Waste handling, disposal, and treatment</v>
      </c>
      <c r="U460" s="188">
        <v>51401010904</v>
      </c>
      <c r="V460" s="11" t="s">
        <v>1216</v>
      </c>
      <c r="W460" s="11"/>
      <c r="X460" s="11">
        <v>123.61194937499999</v>
      </c>
      <c r="Y460" s="11" t="b">
        <f t="shared" ref="Y460:Y523" si="8" xml:space="preserve"> X460 &lt;= _xlfn.PERCENTILE.INC($X$459:$X$700, 0.1)</f>
        <v>0</v>
      </c>
    </row>
    <row r="461" spans="1:25" x14ac:dyDescent="0.35">
      <c r="A461" s="11">
        <v>2021</v>
      </c>
      <c r="B461" s="11" t="s">
        <v>1980</v>
      </c>
      <c r="C461" s="11" t="s">
        <v>763</v>
      </c>
      <c r="D461" s="163">
        <v>110018199377</v>
      </c>
      <c r="E461" s="11" t="s">
        <v>109</v>
      </c>
      <c r="F461" s="11" t="s">
        <v>110</v>
      </c>
      <c r="G461" s="11" t="s">
        <v>764</v>
      </c>
      <c r="H461" s="11" t="s">
        <v>111</v>
      </c>
      <c r="I461" s="11" t="s">
        <v>1982</v>
      </c>
      <c r="J461" s="11">
        <v>41.692782000000001</v>
      </c>
      <c r="K461" s="11">
        <v>-87.951100999999994</v>
      </c>
      <c r="L461" s="11">
        <v>4226</v>
      </c>
      <c r="M461" s="11">
        <v>4226</v>
      </c>
      <c r="N461" s="175" t="str">
        <f>VLOOKUP(M461, '2017 SIC to NAICS'!A:D, 2)</f>
        <v>Special Warehousing and Storage, Nec</v>
      </c>
      <c r="P461" s="187" t="str">
        <f>VLOOKUP(M461, '2017 SIC to NAICS'!A:D, 4)</f>
        <v>Other Warehousing and Storage</v>
      </c>
      <c r="Q461" s="176" t="e">
        <f>IFERROR(VLOOKUP(O461, 'NAICS OES crosswalk'!A:C, 3, FALSE), VLOOKUP(M461, 'NAICS OES crosswalk'!A:C, 3, FALSE))</f>
        <v>#N/A</v>
      </c>
      <c r="U461" s="188">
        <v>71200040705</v>
      </c>
      <c r="V461" s="11" t="s">
        <v>767</v>
      </c>
      <c r="W461" s="11"/>
      <c r="X461" s="11">
        <v>85.47039461</v>
      </c>
      <c r="Y461" s="11" t="b">
        <f t="shared" si="8"/>
        <v>0</v>
      </c>
    </row>
    <row r="462" spans="1:25" ht="29" x14ac:dyDescent="0.35">
      <c r="A462" s="11">
        <v>2021</v>
      </c>
      <c r="B462" s="11" t="s">
        <v>1980</v>
      </c>
      <c r="C462" s="11" t="s">
        <v>1080</v>
      </c>
      <c r="D462" s="163">
        <v>110039998214</v>
      </c>
      <c r="E462" s="11" t="s">
        <v>114</v>
      </c>
      <c r="F462" s="11" t="s">
        <v>115</v>
      </c>
      <c r="G462" s="11" t="s">
        <v>1072</v>
      </c>
      <c r="H462" s="11" t="s">
        <v>108</v>
      </c>
      <c r="I462" s="11" t="s">
        <v>1981</v>
      </c>
      <c r="J462" s="11">
        <v>37.790278000000001</v>
      </c>
      <c r="K462" s="11">
        <v>-87.140277999999995</v>
      </c>
      <c r="L462" s="11">
        <v>4952</v>
      </c>
      <c r="M462" s="11">
        <v>4952</v>
      </c>
      <c r="N462" s="175" t="str">
        <f>VLOOKUP(M462, '2017 SIC to NAICS'!A:D, 2)</f>
        <v>Sewerage Systems</v>
      </c>
      <c r="O462" s="11">
        <v>221320</v>
      </c>
      <c r="P462" s="187" t="str">
        <f>VLOOKUP(M462, '2017 SIC to NAICS'!A:D, 4)</f>
        <v>Sewage Treatment Facilities</v>
      </c>
      <c r="Q462" s="176" t="str">
        <f>IFERROR(VLOOKUP(O462, 'NAICS OES crosswalk'!A:C, 3, FALSE), VLOOKUP(M462, 'NAICS OES crosswalk'!A:C, 3, FALSE))</f>
        <v>Waste handling, disposal, and treatment</v>
      </c>
      <c r="U462" s="188">
        <v>51402011202</v>
      </c>
      <c r="V462" s="11" t="s">
        <v>1073</v>
      </c>
      <c r="W462" s="11"/>
      <c r="X462" s="11">
        <v>29.688972249999999</v>
      </c>
      <c r="Y462" s="11" t="b">
        <f t="shared" si="8"/>
        <v>0</v>
      </c>
    </row>
    <row r="463" spans="1:25" ht="29" x14ac:dyDescent="0.35">
      <c r="A463" s="11">
        <v>2021</v>
      </c>
      <c r="B463" s="11" t="s">
        <v>1980</v>
      </c>
      <c r="C463" s="11" t="s">
        <v>1199</v>
      </c>
      <c r="D463" s="163">
        <v>110000732351</v>
      </c>
      <c r="E463" s="11" t="s">
        <v>130</v>
      </c>
      <c r="F463" s="11" t="s">
        <v>131</v>
      </c>
      <c r="G463" s="11" t="s">
        <v>1200</v>
      </c>
      <c r="H463" s="11" t="s">
        <v>108</v>
      </c>
      <c r="I463" s="11" t="s">
        <v>1981</v>
      </c>
      <c r="J463" s="11">
        <v>37.621431000000001</v>
      </c>
      <c r="K463" s="11">
        <v>-84.733756</v>
      </c>
      <c r="L463" s="11">
        <v>4952</v>
      </c>
      <c r="M463" s="11">
        <v>4952</v>
      </c>
      <c r="N463" s="175" t="str">
        <f>VLOOKUP(M463, '2017 SIC to NAICS'!A:D, 2)</f>
        <v>Sewerage Systems</v>
      </c>
      <c r="O463" s="11">
        <v>221320</v>
      </c>
      <c r="P463" s="187" t="str">
        <f>VLOOKUP(M463, '2017 SIC to NAICS'!A:D, 4)</f>
        <v>Sewage Treatment Facilities</v>
      </c>
      <c r="Q463" s="176" t="str">
        <f>IFERROR(VLOOKUP(O463, 'NAICS OES crosswalk'!A:C, 3, FALSE), VLOOKUP(M463, 'NAICS OES crosswalk'!A:C, 3, FALSE))</f>
        <v>Waste handling, disposal, and treatment</v>
      </c>
      <c r="U463" s="188">
        <v>51002050505</v>
      </c>
      <c r="V463" s="11" t="s">
        <v>1201</v>
      </c>
      <c r="W463" s="11"/>
      <c r="X463" s="11">
        <v>25.316445625</v>
      </c>
      <c r="Y463" s="11" t="b">
        <f t="shared" si="8"/>
        <v>0</v>
      </c>
    </row>
    <row r="464" spans="1:25" ht="29" x14ac:dyDescent="0.35">
      <c r="A464" s="11">
        <v>2021</v>
      </c>
      <c r="B464" s="11" t="s">
        <v>1980</v>
      </c>
      <c r="C464" s="11" t="s">
        <v>1119</v>
      </c>
      <c r="D464" s="163">
        <v>110000571373</v>
      </c>
      <c r="E464" s="11" t="s">
        <v>116</v>
      </c>
      <c r="F464" s="11" t="s">
        <v>117</v>
      </c>
      <c r="G464" s="11" t="s">
        <v>1120</v>
      </c>
      <c r="H464" s="11" t="s">
        <v>108</v>
      </c>
      <c r="I464" s="11" t="s">
        <v>1981</v>
      </c>
      <c r="J464" s="11">
        <v>37.642310000000002</v>
      </c>
      <c r="K464" s="11">
        <v>-85.903570000000002</v>
      </c>
      <c r="L464" s="11">
        <v>4952</v>
      </c>
      <c r="M464" s="11">
        <v>4952</v>
      </c>
      <c r="N464" s="175" t="str">
        <f>VLOOKUP(M464, '2017 SIC to NAICS'!A:D, 2)</f>
        <v>Sewerage Systems</v>
      </c>
      <c r="O464" s="11">
        <v>221320</v>
      </c>
      <c r="P464" s="187" t="str">
        <f>VLOOKUP(M464, '2017 SIC to NAICS'!A:D, 4)</f>
        <v>Sewage Treatment Facilities</v>
      </c>
      <c r="Q464" s="176" t="str">
        <f>IFERROR(VLOOKUP(O464, 'NAICS OES crosswalk'!A:C, 3, FALSE), VLOOKUP(M464, 'NAICS OES crosswalk'!A:C, 3, FALSE))</f>
        <v>Waste handling, disposal, and treatment</v>
      </c>
      <c r="U464" s="188">
        <v>51100011004</v>
      </c>
      <c r="V464" s="11" t="s">
        <v>1121</v>
      </c>
      <c r="W464" s="11"/>
      <c r="X464" s="11">
        <v>22.7951625</v>
      </c>
      <c r="Y464" s="11" t="b">
        <f t="shared" si="8"/>
        <v>0</v>
      </c>
    </row>
    <row r="465" spans="1:25" ht="29" x14ac:dyDescent="0.35">
      <c r="A465" s="11">
        <v>2021</v>
      </c>
      <c r="B465" s="11" t="s">
        <v>1980</v>
      </c>
      <c r="C465" s="11" t="s">
        <v>1116</v>
      </c>
      <c r="D465" s="163">
        <v>110039639736</v>
      </c>
      <c r="E465" s="11" t="s">
        <v>134</v>
      </c>
      <c r="F465" s="11" t="s">
        <v>135</v>
      </c>
      <c r="G465" s="11" t="s">
        <v>1117</v>
      </c>
      <c r="H465" s="11" t="s">
        <v>108</v>
      </c>
      <c r="I465" s="11" t="s">
        <v>1981</v>
      </c>
      <c r="J465" s="11">
        <v>39.058610999999999</v>
      </c>
      <c r="K465" s="11">
        <v>-84.618055999999996</v>
      </c>
      <c r="L465" s="11">
        <v>4952</v>
      </c>
      <c r="M465" s="11">
        <v>4952</v>
      </c>
      <c r="N465" s="175" t="str">
        <f>VLOOKUP(M465, '2017 SIC to NAICS'!A:D, 2)</f>
        <v>Sewerage Systems</v>
      </c>
      <c r="O465" s="11">
        <v>221320</v>
      </c>
      <c r="P465" s="187" t="str">
        <f>VLOOKUP(M465, '2017 SIC to NAICS'!A:D, 4)</f>
        <v>Sewage Treatment Facilities</v>
      </c>
      <c r="Q465" s="176" t="str">
        <f>IFERROR(VLOOKUP(O465, 'NAICS OES crosswalk'!A:C, 3, FALSE), VLOOKUP(M465, 'NAICS OES crosswalk'!A:C, 3, FALSE))</f>
        <v>Waste handling, disposal, and treatment</v>
      </c>
      <c r="U465" s="188">
        <v>50902030202</v>
      </c>
      <c r="V465" s="11" t="s">
        <v>1118</v>
      </c>
      <c r="W465" s="11"/>
      <c r="X465" s="11">
        <v>22.366889749999999</v>
      </c>
      <c r="Y465" s="11" t="b">
        <f t="shared" si="8"/>
        <v>0</v>
      </c>
    </row>
    <row r="466" spans="1:25" ht="29" x14ac:dyDescent="0.35">
      <c r="A466" s="11">
        <v>2021</v>
      </c>
      <c r="B466" s="11" t="s">
        <v>1980</v>
      </c>
      <c r="C466" s="11" t="s">
        <v>1236</v>
      </c>
      <c r="D466" s="163">
        <v>110043485421</v>
      </c>
      <c r="E466" s="11" t="s">
        <v>123</v>
      </c>
      <c r="F466" s="11" t="s">
        <v>107</v>
      </c>
      <c r="G466" s="11" t="s">
        <v>782</v>
      </c>
      <c r="H466" s="11" t="s">
        <v>108</v>
      </c>
      <c r="I466" s="11" t="s">
        <v>1981</v>
      </c>
      <c r="J466" s="11">
        <v>38.122354000000001</v>
      </c>
      <c r="K466" s="11">
        <v>-85.587648000000002</v>
      </c>
      <c r="L466" s="11">
        <v>4952</v>
      </c>
      <c r="M466" s="11">
        <v>4952</v>
      </c>
      <c r="N466" s="175" t="str">
        <f>VLOOKUP(M466, '2017 SIC to NAICS'!A:D, 2)</f>
        <v>Sewerage Systems</v>
      </c>
      <c r="O466" s="11">
        <v>221320</v>
      </c>
      <c r="P466" s="187" t="str">
        <f>VLOOKUP(M466, '2017 SIC to NAICS'!A:D, 4)</f>
        <v>Sewage Treatment Facilities</v>
      </c>
      <c r="Q466" s="176" t="str">
        <f>IFERROR(VLOOKUP(O466, 'NAICS OES crosswalk'!A:C, 3, FALSE), VLOOKUP(M466, 'NAICS OES crosswalk'!A:C, 3, FALSE))</f>
        <v>Waste handling, disposal, and treatment</v>
      </c>
      <c r="U466" s="188">
        <v>51401021002</v>
      </c>
      <c r="V466" s="11" t="s">
        <v>1237</v>
      </c>
      <c r="W466" s="11"/>
      <c r="X466" s="11">
        <v>21.130424874999999</v>
      </c>
      <c r="Y466" s="11" t="b">
        <f t="shared" si="8"/>
        <v>0</v>
      </c>
    </row>
    <row r="467" spans="1:25" x14ac:dyDescent="0.35">
      <c r="A467" s="11">
        <v>2021</v>
      </c>
      <c r="B467" s="11" t="s">
        <v>1980</v>
      </c>
      <c r="C467" s="11" t="s">
        <v>1027</v>
      </c>
      <c r="D467" s="163">
        <v>110000746211</v>
      </c>
      <c r="E467" s="11" t="s">
        <v>121</v>
      </c>
      <c r="F467" s="11" t="s">
        <v>122</v>
      </c>
      <c r="G467" s="11" t="s">
        <v>1028</v>
      </c>
      <c r="H467" s="11" t="s">
        <v>111</v>
      </c>
      <c r="I467" s="11" t="s">
        <v>1981</v>
      </c>
      <c r="J467" s="11">
        <v>39.795811999999998</v>
      </c>
      <c r="K467" s="11">
        <v>-88.347945999999993</v>
      </c>
      <c r="L467" s="11">
        <v>2869</v>
      </c>
      <c r="M467" s="11">
        <v>2869</v>
      </c>
      <c r="N467" s="175" t="str">
        <f>VLOOKUP(M467, '2017 SIC to NAICS'!A:D, 2)</f>
        <v>Industrial Organic Chemicals, Nec</v>
      </c>
      <c r="P467" s="187" t="str">
        <f>VLOOKUP(M467, '2017 SIC to NAICS'!A:D, 4)</f>
        <v>All Other Miscellaneous Chemical Product and Preparation Manufacturing</v>
      </c>
      <c r="Q467" s="176" t="str">
        <f>IFERROR(VLOOKUP(O467, 'NAICS OES crosswalk'!A:C, 3, FALSE), VLOOKUP(M467, 'NAICS OES crosswalk'!A:C, 3, FALSE))</f>
        <v>Manufacturing</v>
      </c>
      <c r="U467" s="188">
        <v>71402010206</v>
      </c>
      <c r="V467" s="11" t="s">
        <v>1029</v>
      </c>
      <c r="W467" s="11"/>
      <c r="X467" s="11">
        <v>20.348279999999999</v>
      </c>
      <c r="Y467" s="11" t="b">
        <f t="shared" si="8"/>
        <v>0</v>
      </c>
    </row>
    <row r="468" spans="1:25" ht="29" x14ac:dyDescent="0.35">
      <c r="A468" s="11">
        <v>2021</v>
      </c>
      <c r="B468" s="11" t="s">
        <v>1980</v>
      </c>
      <c r="C468" s="11" t="s">
        <v>1232</v>
      </c>
      <c r="D468" s="163">
        <v>110002041380</v>
      </c>
      <c r="E468" s="11" t="s">
        <v>136</v>
      </c>
      <c r="F468" s="11" t="s">
        <v>137</v>
      </c>
      <c r="G468" s="11" t="s">
        <v>1233</v>
      </c>
      <c r="H468" s="11" t="s">
        <v>108</v>
      </c>
      <c r="I468" s="11" t="s">
        <v>1981</v>
      </c>
      <c r="J468" s="11">
        <v>37.318492999999997</v>
      </c>
      <c r="K468" s="11">
        <v>-87.549857000000003</v>
      </c>
      <c r="L468" s="11">
        <v>4952</v>
      </c>
      <c r="M468" s="11">
        <v>4952</v>
      </c>
      <c r="N468" s="175" t="str">
        <f>VLOOKUP(M468, '2017 SIC to NAICS'!A:D, 2)</f>
        <v>Sewerage Systems</v>
      </c>
      <c r="O468" s="11">
        <v>221320</v>
      </c>
      <c r="P468" s="187" t="str">
        <f>VLOOKUP(M468, '2017 SIC to NAICS'!A:D, 4)</f>
        <v>Sewage Treatment Facilities</v>
      </c>
      <c r="Q468" s="176" t="str">
        <f>IFERROR(VLOOKUP(O468, 'NAICS OES crosswalk'!A:C, 3, FALSE), VLOOKUP(M468, 'NAICS OES crosswalk'!A:C, 3, FALSE))</f>
        <v>Waste handling, disposal, and treatment</v>
      </c>
      <c r="U468" s="188">
        <v>51402050202</v>
      </c>
      <c r="V468" s="11" t="s">
        <v>1234</v>
      </c>
      <c r="W468" s="11"/>
      <c r="X468" s="11">
        <v>19.372434312500001</v>
      </c>
      <c r="Y468" s="11" t="b">
        <f t="shared" si="8"/>
        <v>0</v>
      </c>
    </row>
    <row r="469" spans="1:25" ht="29" x14ac:dyDescent="0.35">
      <c r="A469" s="11">
        <v>2021</v>
      </c>
      <c r="B469" s="11" t="s">
        <v>1980</v>
      </c>
      <c r="C469" s="11" t="s">
        <v>1459</v>
      </c>
      <c r="D469" s="163">
        <v>110000737123</v>
      </c>
      <c r="E469" s="11" t="s">
        <v>127</v>
      </c>
      <c r="F469" s="11" t="s">
        <v>128</v>
      </c>
      <c r="G469" s="11" t="s">
        <v>1132</v>
      </c>
      <c r="H469" s="11" t="s">
        <v>129</v>
      </c>
      <c r="I469" s="11" t="s">
        <v>1981</v>
      </c>
      <c r="J469" s="11">
        <v>38.544123999999996</v>
      </c>
      <c r="K469" s="11">
        <v>-90.962633999999994</v>
      </c>
      <c r="L469" s="11">
        <v>4952</v>
      </c>
      <c r="M469" s="11">
        <v>4952</v>
      </c>
      <c r="N469" s="175" t="str">
        <f>VLOOKUP(M469, '2017 SIC to NAICS'!A:D, 2)</f>
        <v>Sewerage Systems</v>
      </c>
      <c r="P469" s="187" t="str">
        <f>VLOOKUP(M469, '2017 SIC to NAICS'!A:D, 4)</f>
        <v>Sewage Treatment Facilities</v>
      </c>
      <c r="Q469" s="176" t="str">
        <f>IFERROR(VLOOKUP(O469, 'NAICS OES crosswalk'!A:C, 3, FALSE), VLOOKUP(M469, 'NAICS OES crosswalk'!A:C, 3, FALSE))</f>
        <v>Waste handling, disposal, and treatment</v>
      </c>
      <c r="U469" s="188">
        <v>103002000601</v>
      </c>
      <c r="V469" s="11" t="s">
        <v>1460</v>
      </c>
      <c r="W469" s="11"/>
      <c r="X469" s="11">
        <v>18.269438000000001</v>
      </c>
      <c r="Y469" s="11" t="b">
        <f t="shared" si="8"/>
        <v>0</v>
      </c>
    </row>
    <row r="470" spans="1:25" ht="29" x14ac:dyDescent="0.35">
      <c r="A470" s="11">
        <v>2021</v>
      </c>
      <c r="B470" s="11" t="s">
        <v>1980</v>
      </c>
      <c r="C470" s="11" t="s">
        <v>1128</v>
      </c>
      <c r="D470" s="163">
        <v>110000732271</v>
      </c>
      <c r="E470" s="11" t="s">
        <v>139</v>
      </c>
      <c r="F470" s="11" t="s">
        <v>107</v>
      </c>
      <c r="G470" s="11" t="s">
        <v>782</v>
      </c>
      <c r="H470" s="11" t="s">
        <v>108</v>
      </c>
      <c r="I470" s="11" t="s">
        <v>1981</v>
      </c>
      <c r="J470" s="11">
        <v>38.322221999999996</v>
      </c>
      <c r="K470" s="11">
        <v>-85.555000000000007</v>
      </c>
      <c r="L470" s="11">
        <v>4952</v>
      </c>
      <c r="M470" s="11">
        <v>4952</v>
      </c>
      <c r="N470" s="175" t="str">
        <f>VLOOKUP(M470, '2017 SIC to NAICS'!A:D, 2)</f>
        <v>Sewerage Systems</v>
      </c>
      <c r="O470" s="11">
        <v>221320</v>
      </c>
      <c r="P470" s="187" t="str">
        <f>VLOOKUP(M470, '2017 SIC to NAICS'!A:D, 4)</f>
        <v>Sewage Treatment Facilities</v>
      </c>
      <c r="Q470" s="176" t="str">
        <f>IFERROR(VLOOKUP(O470, 'NAICS OES crosswalk'!A:C, 3, FALSE), VLOOKUP(M470, 'NAICS OES crosswalk'!A:C, 3, FALSE))</f>
        <v>Waste handling, disposal, and treatment</v>
      </c>
      <c r="U470" s="188">
        <v>51401010504</v>
      </c>
      <c r="V470" s="11" t="s">
        <v>1129</v>
      </c>
      <c r="W470" s="11"/>
      <c r="X470" s="11">
        <v>14.702879812500001</v>
      </c>
      <c r="Y470" s="11" t="b">
        <f t="shared" si="8"/>
        <v>0</v>
      </c>
    </row>
    <row r="471" spans="1:25" ht="29" x14ac:dyDescent="0.35">
      <c r="A471" s="11">
        <v>2021</v>
      </c>
      <c r="B471" s="11" t="s">
        <v>1980</v>
      </c>
      <c r="C471" s="11" t="s">
        <v>1212</v>
      </c>
      <c r="D471" s="163">
        <v>110043734983</v>
      </c>
      <c r="E471" s="11" t="s">
        <v>120</v>
      </c>
      <c r="F471" s="11" t="s">
        <v>115</v>
      </c>
      <c r="G471" s="11" t="s">
        <v>1072</v>
      </c>
      <c r="H471" s="11" t="s">
        <v>108</v>
      </c>
      <c r="I471" s="11" t="s">
        <v>1981</v>
      </c>
      <c r="J471" s="11">
        <v>37.770769999999999</v>
      </c>
      <c r="K471" s="11">
        <v>-87.065669999999997</v>
      </c>
      <c r="L471" s="11">
        <v>4952</v>
      </c>
      <c r="M471" s="11">
        <v>4952</v>
      </c>
      <c r="N471" s="175" t="str">
        <f>VLOOKUP(M471, '2017 SIC to NAICS'!A:D, 2)</f>
        <v>Sewerage Systems</v>
      </c>
      <c r="O471" s="11">
        <v>221320</v>
      </c>
      <c r="P471" s="187" t="str">
        <f>VLOOKUP(M471, '2017 SIC to NAICS'!A:D, 4)</f>
        <v>Sewage Treatment Facilities</v>
      </c>
      <c r="Q471" s="176" t="str">
        <f>IFERROR(VLOOKUP(O471, 'NAICS OES crosswalk'!A:C, 3, FALSE), VLOOKUP(M471, 'NAICS OES crosswalk'!A:C, 3, FALSE))</f>
        <v>Waste handling, disposal, and treatment</v>
      </c>
      <c r="U471" s="188">
        <v>51402011201</v>
      </c>
      <c r="V471" s="11" t="s">
        <v>1213</v>
      </c>
      <c r="W471" s="11"/>
      <c r="X471" s="11">
        <v>14.333321874999999</v>
      </c>
      <c r="Y471" s="11" t="b">
        <f t="shared" si="8"/>
        <v>0</v>
      </c>
    </row>
    <row r="472" spans="1:25" ht="29" x14ac:dyDescent="0.35">
      <c r="A472" s="11">
        <v>2021</v>
      </c>
      <c r="B472" s="11" t="s">
        <v>1980</v>
      </c>
      <c r="C472" s="11" t="s">
        <v>1209</v>
      </c>
      <c r="D472" s="163">
        <v>110039994897</v>
      </c>
      <c r="E472" s="11" t="s">
        <v>144</v>
      </c>
      <c r="F472" s="11" t="s">
        <v>145</v>
      </c>
      <c r="G472" s="11" t="s">
        <v>1210</v>
      </c>
      <c r="H472" s="11" t="s">
        <v>108</v>
      </c>
      <c r="I472" s="11" t="s">
        <v>1981</v>
      </c>
      <c r="J472" s="11">
        <v>36.803610999999997</v>
      </c>
      <c r="K472" s="11">
        <v>-87.516389000000004</v>
      </c>
      <c r="L472" s="11">
        <v>4952</v>
      </c>
      <c r="M472" s="11">
        <v>4952</v>
      </c>
      <c r="N472" s="175" t="str">
        <f>VLOOKUP(M472, '2017 SIC to NAICS'!A:D, 2)</f>
        <v>Sewerage Systems</v>
      </c>
      <c r="O472" s="11">
        <v>221320</v>
      </c>
      <c r="P472" s="187" t="str">
        <f>VLOOKUP(M472, '2017 SIC to NAICS'!A:D, 4)</f>
        <v>Sewage Treatment Facilities</v>
      </c>
      <c r="Q472" s="176" t="str">
        <f>IFERROR(VLOOKUP(O472, 'NAICS OES crosswalk'!A:C, 3, FALSE), VLOOKUP(M472, 'NAICS OES crosswalk'!A:C, 3, FALSE))</f>
        <v>Waste handling, disposal, and treatment</v>
      </c>
      <c r="U472" s="188">
        <v>51302050503</v>
      </c>
      <c r="V472" s="11" t="s">
        <v>1211</v>
      </c>
      <c r="W472" s="11"/>
      <c r="X472" s="11">
        <v>13.0519574375</v>
      </c>
      <c r="Y472" s="11" t="b">
        <f t="shared" si="8"/>
        <v>0</v>
      </c>
    </row>
    <row r="473" spans="1:25" ht="29" x14ac:dyDescent="0.35">
      <c r="A473" s="11">
        <v>2021</v>
      </c>
      <c r="B473" s="11" t="s">
        <v>1980</v>
      </c>
      <c r="C473" s="11" t="s">
        <v>1239</v>
      </c>
      <c r="D473" s="163">
        <v>110043486457</v>
      </c>
      <c r="E473" s="11" t="s">
        <v>138</v>
      </c>
      <c r="F473" s="11" t="s">
        <v>107</v>
      </c>
      <c r="G473" s="11" t="s">
        <v>782</v>
      </c>
      <c r="H473" s="11" t="s">
        <v>108</v>
      </c>
      <c r="I473" s="11" t="s">
        <v>1981</v>
      </c>
      <c r="J473" s="11">
        <v>38.236699999999999</v>
      </c>
      <c r="K473" s="11">
        <v>-85.466710000000006</v>
      </c>
      <c r="L473" s="11">
        <v>4952</v>
      </c>
      <c r="M473" s="11">
        <v>4952</v>
      </c>
      <c r="N473" s="175" t="str">
        <f>VLOOKUP(M473, '2017 SIC to NAICS'!A:D, 2)</f>
        <v>Sewerage Systems</v>
      </c>
      <c r="O473" s="11">
        <v>221320</v>
      </c>
      <c r="P473" s="187" t="str">
        <f>VLOOKUP(M473, '2017 SIC to NAICS'!A:D, 4)</f>
        <v>Sewage Treatment Facilities</v>
      </c>
      <c r="Q473" s="176" t="str">
        <f>IFERROR(VLOOKUP(O473, 'NAICS OES crosswalk'!A:C, 3, FALSE), VLOOKUP(M473, 'NAICS OES crosswalk'!A:C, 3, FALSE))</f>
        <v>Waste handling, disposal, and treatment</v>
      </c>
      <c r="U473" s="188">
        <v>51401020804</v>
      </c>
      <c r="V473" s="11" t="s">
        <v>1240</v>
      </c>
      <c r="W473" s="11"/>
      <c r="X473" s="11">
        <v>12.817098187499999</v>
      </c>
      <c r="Y473" s="11" t="b">
        <f t="shared" si="8"/>
        <v>0</v>
      </c>
    </row>
    <row r="474" spans="1:25" x14ac:dyDescent="0.35">
      <c r="A474" s="11">
        <v>2021</v>
      </c>
      <c r="B474" s="11" t="s">
        <v>1980</v>
      </c>
      <c r="C474" s="11" t="s">
        <v>784</v>
      </c>
      <c r="D474" s="163">
        <v>110000460901</v>
      </c>
      <c r="E474" s="11" t="s">
        <v>146</v>
      </c>
      <c r="F474" s="11" t="s">
        <v>94</v>
      </c>
      <c r="G474" s="11" t="s">
        <v>747</v>
      </c>
      <c r="H474" s="11" t="s">
        <v>95</v>
      </c>
      <c r="I474" s="11" t="s">
        <v>1981</v>
      </c>
      <c r="J474" s="11">
        <v>29.718139000000001</v>
      </c>
      <c r="K474" s="11">
        <v>-95.268749999999997</v>
      </c>
      <c r="L474" s="11">
        <v>2819</v>
      </c>
      <c r="M474" s="11">
        <v>2819</v>
      </c>
      <c r="N474" s="175" t="str">
        <f>VLOOKUP(M474, '2017 SIC to NAICS'!A:D, 2)</f>
        <v>Industrial Inorganic Chemicals, Nec</v>
      </c>
      <c r="P474" s="187" t="str">
        <f>VLOOKUP(M474, '2017 SIC to NAICS'!A:D, 4)</f>
        <v>Alumina Refining and Primary Aluminum
Production</v>
      </c>
      <c r="Q474" s="176" t="str">
        <f>IFERROR(VLOOKUP(O474, 'NAICS OES crosswalk'!A:C, 3, FALSE), VLOOKUP(M474, 'NAICS OES crosswalk'!A:C, 3, FALSE))</f>
        <v>Processing as a reactant</v>
      </c>
      <c r="U474" s="188">
        <v>120401040502</v>
      </c>
      <c r="V474" s="11" t="s">
        <v>787</v>
      </c>
      <c r="W474" s="11"/>
      <c r="X474" s="11">
        <v>10.77796</v>
      </c>
      <c r="Y474" s="11" t="b">
        <f t="shared" si="8"/>
        <v>0</v>
      </c>
    </row>
    <row r="475" spans="1:25" x14ac:dyDescent="0.35">
      <c r="A475" s="11">
        <v>2021</v>
      </c>
      <c r="B475" s="11" t="s">
        <v>1980</v>
      </c>
      <c r="C475" s="11" t="s">
        <v>1454</v>
      </c>
      <c r="D475" s="163">
        <v>110000443226</v>
      </c>
      <c r="E475" s="11" t="s">
        <v>157</v>
      </c>
      <c r="F475" s="11" t="s">
        <v>158</v>
      </c>
      <c r="G475" s="11" t="s">
        <v>434</v>
      </c>
      <c r="H475" s="11" t="s">
        <v>129</v>
      </c>
      <c r="I475" s="11" t="s">
        <v>1981</v>
      </c>
      <c r="J475" s="11">
        <v>38.969749999999998</v>
      </c>
      <c r="K475" s="11">
        <v>-94.465860000000006</v>
      </c>
      <c r="L475" s="11">
        <v>2879</v>
      </c>
      <c r="M475" s="11">
        <v>2879</v>
      </c>
      <c r="N475" s="175" t="str">
        <f>VLOOKUP(M475, '2017 SIC to NAICS'!A:D, 2)</f>
        <v>Agricultural Chemicals, Nec</v>
      </c>
      <c r="P475" s="187" t="str">
        <f>VLOOKUP(M475, '2017 SIC to NAICS'!A:D, 4)</f>
        <v>Pesticide and Other Agricultural Chemical
Manufacturing</v>
      </c>
      <c r="Q475" s="176" t="e">
        <f>IFERROR(VLOOKUP(O475, 'NAICS OES crosswalk'!A:C, 3, FALSE), VLOOKUP(M475, 'NAICS OES crosswalk'!A:C, 3, FALSE))</f>
        <v>#N/A</v>
      </c>
      <c r="U475" s="188">
        <v>103001010204</v>
      </c>
      <c r="V475" s="11" t="s">
        <v>1457</v>
      </c>
      <c r="W475" s="11"/>
      <c r="X475" s="11">
        <v>9.9426000000000005</v>
      </c>
      <c r="Y475" s="11" t="b">
        <f t="shared" si="8"/>
        <v>0</v>
      </c>
    </row>
    <row r="476" spans="1:25" ht="29" x14ac:dyDescent="0.35">
      <c r="A476" s="11">
        <v>2021</v>
      </c>
      <c r="B476" s="11" t="s">
        <v>1980</v>
      </c>
      <c r="C476" s="11" t="s">
        <v>1126</v>
      </c>
      <c r="D476" s="163">
        <v>110000732253</v>
      </c>
      <c r="E476" s="11" t="s">
        <v>140</v>
      </c>
      <c r="F476" s="11" t="s">
        <v>141</v>
      </c>
      <c r="G476" s="11" t="s">
        <v>1120</v>
      </c>
      <c r="H476" s="11" t="s">
        <v>108</v>
      </c>
      <c r="I476" s="11" t="s">
        <v>1981</v>
      </c>
      <c r="J476" s="11">
        <v>37.845027999999999</v>
      </c>
      <c r="K476" s="11">
        <v>-85.940962999999996</v>
      </c>
      <c r="L476" s="11">
        <v>4952</v>
      </c>
      <c r="M476" s="11">
        <v>4952</v>
      </c>
      <c r="N476" s="175" t="str">
        <f>VLOOKUP(M476, '2017 SIC to NAICS'!A:D, 2)</f>
        <v>Sewerage Systems</v>
      </c>
      <c r="O476" s="11">
        <v>221320</v>
      </c>
      <c r="P476" s="187" t="str">
        <f>VLOOKUP(M476, '2017 SIC to NAICS'!A:D, 4)</f>
        <v>Sewage Treatment Facilities</v>
      </c>
      <c r="Q476" s="176" t="str">
        <f>IFERROR(VLOOKUP(O476, 'NAICS OES crosswalk'!A:C, 3, FALSE), VLOOKUP(M476, 'NAICS OES crosswalk'!A:C, 3, FALSE))</f>
        <v>Waste handling, disposal, and treatment</v>
      </c>
      <c r="U476" s="188">
        <v>51401021302</v>
      </c>
      <c r="V476" s="11" t="s">
        <v>1127</v>
      </c>
      <c r="W476" s="11"/>
      <c r="X476" s="11">
        <v>8.8935671875000004</v>
      </c>
      <c r="Y476" s="11" t="b">
        <f t="shared" si="8"/>
        <v>0</v>
      </c>
    </row>
    <row r="477" spans="1:25" x14ac:dyDescent="0.35">
      <c r="A477" s="11">
        <v>2021</v>
      </c>
      <c r="B477" s="11" t="s">
        <v>1980</v>
      </c>
      <c r="C477" s="11" t="s">
        <v>1057</v>
      </c>
      <c r="D477" s="163">
        <v>110000403670</v>
      </c>
      <c r="E477" s="11" t="s">
        <v>149</v>
      </c>
      <c r="F477" s="11" t="s">
        <v>150</v>
      </c>
      <c r="G477" s="11" t="s">
        <v>1058</v>
      </c>
      <c r="H477" s="11" t="s">
        <v>151</v>
      </c>
      <c r="I477" s="11" t="s">
        <v>1981</v>
      </c>
      <c r="J477" s="11">
        <v>37.907200000000003</v>
      </c>
      <c r="K477" s="11">
        <v>-87.927099999999996</v>
      </c>
      <c r="L477" s="11">
        <v>2821</v>
      </c>
      <c r="M477" s="11">
        <v>2821</v>
      </c>
      <c r="N477" s="175" t="str">
        <f>VLOOKUP(M477, '2017 SIC to NAICS'!A:D, 2)</f>
        <v>Plastics Materials and Resins</v>
      </c>
      <c r="P477" s="187" t="str">
        <f>VLOOKUP(M477, '2017 SIC to NAICS'!A:D, 4)</f>
        <v>Plastics Material and Resin Manufacturing</v>
      </c>
      <c r="Q477" s="176" t="str">
        <f>IFERROR(VLOOKUP(O477, 'NAICS OES crosswalk'!A:C, 3, FALSE), VLOOKUP(M477, 'NAICS OES crosswalk'!A:C, 3, FALSE))</f>
        <v>Processing as a reactant</v>
      </c>
      <c r="U477" s="188">
        <v>51402020605</v>
      </c>
      <c r="V477" s="11" t="s">
        <v>1059</v>
      </c>
      <c r="W477" s="11"/>
      <c r="X477" s="11">
        <v>8.3536000000000001</v>
      </c>
      <c r="Y477" s="11" t="b">
        <f t="shared" si="8"/>
        <v>0</v>
      </c>
    </row>
    <row r="478" spans="1:25" x14ac:dyDescent="0.35">
      <c r="A478" s="11">
        <v>2021</v>
      </c>
      <c r="B478" s="11" t="s">
        <v>1980</v>
      </c>
      <c r="C478" s="11" t="s">
        <v>1076</v>
      </c>
      <c r="D478" s="163">
        <v>110000741608</v>
      </c>
      <c r="E478" s="11" t="s">
        <v>168</v>
      </c>
      <c r="F478" s="11" t="s">
        <v>169</v>
      </c>
      <c r="G478" s="11" t="s">
        <v>1077</v>
      </c>
      <c r="H478" s="11" t="s">
        <v>108</v>
      </c>
      <c r="I478" s="11" t="s">
        <v>1981</v>
      </c>
      <c r="J478" s="11">
        <v>37.047736999999998</v>
      </c>
      <c r="K478" s="11">
        <v>-88.35866</v>
      </c>
      <c r="L478" s="11">
        <v>2869</v>
      </c>
      <c r="M478" s="11">
        <v>2869</v>
      </c>
      <c r="N478" s="175" t="str">
        <f>VLOOKUP(M478, '2017 SIC to NAICS'!A:D, 2)</f>
        <v>Industrial Organic Chemicals, Nec</v>
      </c>
      <c r="O478" s="11">
        <v>325110</v>
      </c>
      <c r="P478" s="187" t="str">
        <f>VLOOKUP(M478, '2017 SIC to NAICS'!A:D, 4)</f>
        <v>All Other Miscellaneous Chemical Product and Preparation Manufacturing</v>
      </c>
      <c r="Q478" s="176" t="str">
        <f>IFERROR(VLOOKUP(O478, 'NAICS OES crosswalk'!A:C, 3, FALSE), VLOOKUP(M478, 'NAICS OES crosswalk'!A:C, 3, FALSE))</f>
        <v>Processing as a reactant</v>
      </c>
      <c r="U478" s="188">
        <v>60400060503</v>
      </c>
      <c r="V478" s="11" t="s">
        <v>1078</v>
      </c>
      <c r="W478" s="11"/>
      <c r="X478" s="11">
        <v>8.2026450000000004</v>
      </c>
      <c r="Y478" s="11" t="b">
        <f t="shared" si="8"/>
        <v>0</v>
      </c>
    </row>
    <row r="479" spans="1:25" ht="29" x14ac:dyDescent="0.35">
      <c r="A479" s="11">
        <v>2021</v>
      </c>
      <c r="B479" s="11" t="s">
        <v>1980</v>
      </c>
      <c r="C479" s="11" t="s">
        <v>1247</v>
      </c>
      <c r="D479" s="163">
        <v>110039705361</v>
      </c>
      <c r="E479" s="11" t="s">
        <v>147</v>
      </c>
      <c r="F479" s="11" t="s">
        <v>148</v>
      </c>
      <c r="G479" s="11" t="s">
        <v>862</v>
      </c>
      <c r="H479" s="11" t="s">
        <v>108</v>
      </c>
      <c r="I479" s="11" t="s">
        <v>1981</v>
      </c>
      <c r="J479" s="11">
        <v>38.101582000000001</v>
      </c>
      <c r="K479" s="11">
        <v>-83.919770999999997</v>
      </c>
      <c r="L479" s="11">
        <v>4952</v>
      </c>
      <c r="M479" s="11">
        <v>4952</v>
      </c>
      <c r="N479" s="175" t="str">
        <f>VLOOKUP(M479, '2017 SIC to NAICS'!A:D, 2)</f>
        <v>Sewerage Systems</v>
      </c>
      <c r="O479" s="11">
        <v>221320</v>
      </c>
      <c r="P479" s="187" t="str">
        <f>VLOOKUP(M479, '2017 SIC to NAICS'!A:D, 4)</f>
        <v>Sewage Treatment Facilities</v>
      </c>
      <c r="Q479" s="176" t="str">
        <f>IFERROR(VLOOKUP(O479, 'NAICS OES crosswalk'!A:C, 3, FALSE), VLOOKUP(M479, 'NAICS OES crosswalk'!A:C, 3, FALSE))</f>
        <v>Waste handling, disposal, and treatment</v>
      </c>
      <c r="U479" s="188">
        <v>51001020302</v>
      </c>
      <c r="V479" s="11" t="s">
        <v>1248</v>
      </c>
      <c r="W479" s="11"/>
      <c r="X479" s="11">
        <v>7.4256968749999999</v>
      </c>
      <c r="Y479" s="11" t="b">
        <f t="shared" si="8"/>
        <v>0</v>
      </c>
    </row>
    <row r="480" spans="1:25" x14ac:dyDescent="0.35">
      <c r="A480" s="11">
        <v>2021</v>
      </c>
      <c r="B480" s="11" t="s">
        <v>1980</v>
      </c>
      <c r="C480" s="11" t="s">
        <v>1020</v>
      </c>
      <c r="D480" s="163">
        <v>110006777210</v>
      </c>
      <c r="E480" s="11" t="s">
        <v>174</v>
      </c>
      <c r="F480" s="11" t="s">
        <v>155</v>
      </c>
      <c r="G480" s="11" t="s">
        <v>155</v>
      </c>
      <c r="H480" s="11" t="s">
        <v>156</v>
      </c>
      <c r="I480" s="11" t="s">
        <v>1982</v>
      </c>
      <c r="J480" s="11">
        <v>21.27167</v>
      </c>
      <c r="K480" s="11">
        <v>-157.77395999999999</v>
      </c>
      <c r="M480" s="11"/>
      <c r="N480" s="175" t="e">
        <f>VLOOKUP(M480, '2017 SIC to NAICS'!A:D, 2)</f>
        <v>#N/A</v>
      </c>
      <c r="P480" s="187" t="e">
        <f>VLOOKUP(M480, '2017 SIC to NAICS'!A:D, 4)</f>
        <v>#N/A</v>
      </c>
      <c r="Q480" s="176" t="e">
        <f>IFERROR(VLOOKUP(O480, 'NAICS OES crosswalk'!A:C, 3, FALSE), VLOOKUP(M480, 'NAICS OES crosswalk'!A:C, 3, FALSE))</f>
        <v>#N/A</v>
      </c>
      <c r="U480" s="188">
        <v>200600000302</v>
      </c>
      <c r="V480" s="11" t="s">
        <v>1021</v>
      </c>
      <c r="W480" s="11"/>
      <c r="X480" s="11">
        <v>6.7440745444000001</v>
      </c>
      <c r="Y480" s="11" t="b">
        <f t="shared" si="8"/>
        <v>0</v>
      </c>
    </row>
    <row r="481" spans="1:25" ht="29" x14ac:dyDescent="0.35">
      <c r="A481" s="11">
        <v>2021</v>
      </c>
      <c r="B481" s="11" t="s">
        <v>1980</v>
      </c>
      <c r="C481" s="11" t="s">
        <v>1224</v>
      </c>
      <c r="D481" s="163">
        <v>110000551082</v>
      </c>
      <c r="E481" s="11" t="s">
        <v>166</v>
      </c>
      <c r="F481" s="11" t="s">
        <v>167</v>
      </c>
      <c r="G481" s="11" t="s">
        <v>1225</v>
      </c>
      <c r="H481" s="11" t="s">
        <v>108</v>
      </c>
      <c r="I481" s="11" t="s">
        <v>1981</v>
      </c>
      <c r="J481" s="11">
        <v>38.223610999999998</v>
      </c>
      <c r="K481" s="11">
        <v>-84.253332999999998</v>
      </c>
      <c r="L481" s="11">
        <v>4952</v>
      </c>
      <c r="M481" s="11">
        <v>4952</v>
      </c>
      <c r="N481" s="175" t="str">
        <f>VLOOKUP(M481, '2017 SIC to NAICS'!A:D, 2)</f>
        <v>Sewerage Systems</v>
      </c>
      <c r="O481" s="11">
        <v>221320</v>
      </c>
      <c r="P481" s="187" t="str">
        <f>VLOOKUP(M481, '2017 SIC to NAICS'!A:D, 4)</f>
        <v>Sewage Treatment Facilities</v>
      </c>
      <c r="Q481" s="176" t="str">
        <f>IFERROR(VLOOKUP(O481, 'NAICS OES crosswalk'!A:C, 3, FALSE), VLOOKUP(M481, 'NAICS OES crosswalk'!A:C, 3, FALSE))</f>
        <v>Waste handling, disposal, and treatment</v>
      </c>
      <c r="U481" s="188">
        <v>51001020205</v>
      </c>
      <c r="V481" s="11" t="s">
        <v>1226</v>
      </c>
      <c r="W481" s="11"/>
      <c r="X481" s="11">
        <v>6.2824849374999996</v>
      </c>
      <c r="Y481" s="11" t="b">
        <f t="shared" si="8"/>
        <v>0</v>
      </c>
    </row>
    <row r="482" spans="1:25" ht="29" x14ac:dyDescent="0.35">
      <c r="A482" s="11">
        <v>2021</v>
      </c>
      <c r="B482" s="11" t="s">
        <v>1980</v>
      </c>
      <c r="C482" s="11" t="s">
        <v>1112</v>
      </c>
      <c r="D482" s="163">
        <v>110064612557</v>
      </c>
      <c r="E482" s="11" t="s">
        <v>152</v>
      </c>
      <c r="F482" s="11" t="s">
        <v>153</v>
      </c>
      <c r="G482" s="11" t="s">
        <v>1113</v>
      </c>
      <c r="H482" s="11" t="s">
        <v>108</v>
      </c>
      <c r="I482" s="11" t="s">
        <v>1981</v>
      </c>
      <c r="J482" s="11">
        <v>37.671391</v>
      </c>
      <c r="K482" s="11">
        <v>-87.828888000000006</v>
      </c>
      <c r="L482" s="11">
        <v>4952</v>
      </c>
      <c r="M482" s="11">
        <v>4952</v>
      </c>
      <c r="N482" s="175" t="str">
        <f>VLOOKUP(M482, '2017 SIC to NAICS'!A:D, 2)</f>
        <v>Sewerage Systems</v>
      </c>
      <c r="O482" s="11">
        <v>221320</v>
      </c>
      <c r="P482" s="187" t="str">
        <f>VLOOKUP(M482, '2017 SIC to NAICS'!A:D, 4)</f>
        <v>Sewage Treatment Facilities</v>
      </c>
      <c r="Q482" s="176" t="str">
        <f>IFERROR(VLOOKUP(O482, 'NAICS OES crosswalk'!A:C, 3, FALSE), VLOOKUP(M482, 'NAICS OES crosswalk'!A:C, 3, FALSE))</f>
        <v>Waste handling, disposal, and treatment</v>
      </c>
      <c r="U482" s="188">
        <v>51402020504</v>
      </c>
      <c r="V482" s="11" t="s">
        <v>1114</v>
      </c>
      <c r="W482" s="11"/>
      <c r="X482" s="11">
        <v>5.9543727500000001</v>
      </c>
      <c r="Y482" s="11" t="b">
        <f t="shared" si="8"/>
        <v>0</v>
      </c>
    </row>
    <row r="483" spans="1:25" ht="29" x14ac:dyDescent="0.35">
      <c r="A483" s="11">
        <v>2021</v>
      </c>
      <c r="B483" s="11" t="s">
        <v>1980</v>
      </c>
      <c r="C483" s="11" t="s">
        <v>1221</v>
      </c>
      <c r="D483" s="163">
        <v>110000759741</v>
      </c>
      <c r="E483" s="11" t="s">
        <v>203</v>
      </c>
      <c r="F483" s="11" t="s">
        <v>165</v>
      </c>
      <c r="G483" s="11" t="s">
        <v>1082</v>
      </c>
      <c r="H483" s="11" t="s">
        <v>108</v>
      </c>
      <c r="I483" s="11" t="s">
        <v>1981</v>
      </c>
      <c r="J483" s="11">
        <v>38.267437999999999</v>
      </c>
      <c r="K483" s="11">
        <v>-84.527996000000002</v>
      </c>
      <c r="L483" s="11">
        <v>4952</v>
      </c>
      <c r="M483" s="11">
        <v>4952</v>
      </c>
      <c r="N483" s="175" t="str">
        <f>VLOOKUP(M483, '2017 SIC to NAICS'!A:D, 2)</f>
        <v>Sewerage Systems</v>
      </c>
      <c r="O483" s="11">
        <v>221320</v>
      </c>
      <c r="P483" s="187" t="str">
        <f>VLOOKUP(M483, '2017 SIC to NAICS'!A:D, 4)</f>
        <v>Sewage Treatment Facilities</v>
      </c>
      <c r="Q483" s="176" t="str">
        <f>IFERROR(VLOOKUP(O483, 'NAICS OES crosswalk'!A:C, 3, FALSE), VLOOKUP(M483, 'NAICS OES crosswalk'!A:C, 3, FALSE))</f>
        <v>Waste handling, disposal, and treatment</v>
      </c>
      <c r="U483" s="188">
        <v>51002050803</v>
      </c>
      <c r="V483" s="11" t="s">
        <v>1222</v>
      </c>
      <c r="W483" s="11"/>
      <c r="X483" s="11">
        <v>4.5728477500000002</v>
      </c>
      <c r="Y483" s="11" t="b">
        <f t="shared" si="8"/>
        <v>0</v>
      </c>
    </row>
    <row r="484" spans="1:25" ht="29" x14ac:dyDescent="0.35">
      <c r="A484" s="11">
        <v>2021</v>
      </c>
      <c r="B484" s="11" t="s">
        <v>1980</v>
      </c>
      <c r="C484" s="11" t="s">
        <v>1280</v>
      </c>
      <c r="D484" s="163">
        <v>110045091379</v>
      </c>
      <c r="E484" s="11" t="s">
        <v>204</v>
      </c>
      <c r="F484" s="11" t="s">
        <v>205</v>
      </c>
      <c r="G484" s="11" t="s">
        <v>1281</v>
      </c>
      <c r="H484" s="11" t="s">
        <v>108</v>
      </c>
      <c r="I484" s="11" t="s">
        <v>1981</v>
      </c>
      <c r="J484" s="11">
        <v>38.631208000000001</v>
      </c>
      <c r="K484" s="11">
        <v>-84.618809999999996</v>
      </c>
      <c r="L484" s="11">
        <v>4952</v>
      </c>
      <c r="M484" s="11">
        <v>4952</v>
      </c>
      <c r="N484" s="175" t="str">
        <f>VLOOKUP(M484, '2017 SIC to NAICS'!A:D, 2)</f>
        <v>Sewerage Systems</v>
      </c>
      <c r="O484" s="11">
        <v>221320</v>
      </c>
      <c r="P484" s="187" t="str">
        <f>VLOOKUP(M484, '2017 SIC to NAICS'!A:D, 4)</f>
        <v>Sewage Treatment Facilities</v>
      </c>
      <c r="Q484" s="176" t="str">
        <f>IFERROR(VLOOKUP(O484, 'NAICS OES crosswalk'!A:C, 3, FALSE), VLOOKUP(M484, 'NAICS OES crosswalk'!A:C, 3, FALSE))</f>
        <v>Waste handling, disposal, and treatment</v>
      </c>
      <c r="U484" s="188">
        <v>51002051308</v>
      </c>
      <c r="V484" s="11" t="s">
        <v>1282</v>
      </c>
      <c r="W484" s="11"/>
      <c r="X484" s="11">
        <v>4.5452172500000003</v>
      </c>
      <c r="Y484" s="11" t="b">
        <f t="shared" si="8"/>
        <v>0</v>
      </c>
    </row>
    <row r="485" spans="1:25" ht="29" x14ac:dyDescent="0.35">
      <c r="A485" s="11">
        <v>2021</v>
      </c>
      <c r="B485" s="11" t="s">
        <v>1980</v>
      </c>
      <c r="C485" s="11" t="s">
        <v>1171</v>
      </c>
      <c r="D485" s="163">
        <v>110006751737</v>
      </c>
      <c r="E485" s="11" t="s">
        <v>188</v>
      </c>
      <c r="F485" s="11" t="s">
        <v>189</v>
      </c>
      <c r="G485" s="11" t="s">
        <v>1172</v>
      </c>
      <c r="H485" s="11" t="s">
        <v>108</v>
      </c>
      <c r="I485" s="11" t="s">
        <v>1981</v>
      </c>
      <c r="J485" s="11">
        <v>36.747222000000001</v>
      </c>
      <c r="K485" s="11">
        <v>-84.171943999999996</v>
      </c>
      <c r="L485" s="11">
        <v>4952</v>
      </c>
      <c r="M485" s="11">
        <v>4952</v>
      </c>
      <c r="N485" s="175" t="str">
        <f>VLOOKUP(M485, '2017 SIC to NAICS'!A:D, 2)</f>
        <v>Sewerage Systems</v>
      </c>
      <c r="O485" s="11">
        <v>221320</v>
      </c>
      <c r="P485" s="187" t="str">
        <f>VLOOKUP(M485, '2017 SIC to NAICS'!A:D, 4)</f>
        <v>Sewage Treatment Facilities</v>
      </c>
      <c r="Q485" s="176" t="str">
        <f>IFERROR(VLOOKUP(O485, 'NAICS OES crosswalk'!A:C, 3, FALSE), VLOOKUP(M485, 'NAICS OES crosswalk'!A:C, 3, FALSE))</f>
        <v>Waste handling, disposal, and treatment</v>
      </c>
      <c r="U485" s="188">
        <v>51301010704</v>
      </c>
      <c r="V485" s="11" t="s">
        <v>1173</v>
      </c>
      <c r="W485" s="11"/>
      <c r="X485" s="11">
        <v>4.3379884999999998</v>
      </c>
      <c r="Y485" s="11" t="b">
        <f t="shared" si="8"/>
        <v>0</v>
      </c>
    </row>
    <row r="486" spans="1:25" ht="29" x14ac:dyDescent="0.35">
      <c r="A486" s="11">
        <v>2021</v>
      </c>
      <c r="B486" s="11" t="s">
        <v>1980</v>
      </c>
      <c r="C486" s="11" t="s">
        <v>1101</v>
      </c>
      <c r="D486" s="163">
        <v>110001855635</v>
      </c>
      <c r="E486" s="11" t="s">
        <v>177</v>
      </c>
      <c r="F486" s="11" t="s">
        <v>178</v>
      </c>
      <c r="G486" s="11" t="s">
        <v>1077</v>
      </c>
      <c r="H486" s="11" t="s">
        <v>108</v>
      </c>
      <c r="I486" s="11" t="s">
        <v>1981</v>
      </c>
      <c r="J486" s="11">
        <v>36.866140000000001</v>
      </c>
      <c r="K486" s="11">
        <v>-88.342470000000006</v>
      </c>
      <c r="L486" s="11">
        <v>4952</v>
      </c>
      <c r="M486" s="11">
        <v>4952</v>
      </c>
      <c r="N486" s="175" t="str">
        <f>VLOOKUP(M486, '2017 SIC to NAICS'!A:D, 2)</f>
        <v>Sewerage Systems</v>
      </c>
      <c r="O486" s="11">
        <v>221320</v>
      </c>
      <c r="P486" s="187" t="str">
        <f>VLOOKUP(M486, '2017 SIC to NAICS'!A:D, 4)</f>
        <v>Sewage Treatment Facilities</v>
      </c>
      <c r="Q486" s="176" t="str">
        <f>IFERROR(VLOOKUP(O486, 'NAICS OES crosswalk'!A:C, 3, FALSE), VLOOKUP(M486, 'NAICS OES crosswalk'!A:C, 3, FALSE))</f>
        <v>Waste handling, disposal, and treatment</v>
      </c>
      <c r="U486" s="188">
        <v>60400060402</v>
      </c>
      <c r="V486" s="11" t="s">
        <v>1102</v>
      </c>
      <c r="W486" s="11"/>
      <c r="X486" s="11">
        <v>4.0568481624999997</v>
      </c>
      <c r="Y486" s="11" t="b">
        <f t="shared" si="8"/>
        <v>0</v>
      </c>
    </row>
    <row r="487" spans="1:25" x14ac:dyDescent="0.35">
      <c r="A487" s="11">
        <v>2021</v>
      </c>
      <c r="B487" s="11" t="s">
        <v>1980</v>
      </c>
      <c r="C487" s="11" t="s">
        <v>1298</v>
      </c>
      <c r="D487" s="163">
        <v>110033659878</v>
      </c>
      <c r="E487" s="11" t="s">
        <v>208</v>
      </c>
      <c r="F487" s="11" t="s">
        <v>209</v>
      </c>
      <c r="G487" s="11" t="s">
        <v>1299</v>
      </c>
      <c r="H487" s="11" t="s">
        <v>91</v>
      </c>
      <c r="I487" s="11" t="s">
        <v>1981</v>
      </c>
      <c r="J487" s="11">
        <v>30.221900000000002</v>
      </c>
      <c r="K487" s="11">
        <v>-91.051500000000004</v>
      </c>
      <c r="L487" s="11">
        <v>2869</v>
      </c>
      <c r="M487" s="11">
        <v>2869</v>
      </c>
      <c r="N487" s="175" t="str">
        <f>VLOOKUP(M487, '2017 SIC to NAICS'!A:D, 2)</f>
        <v>Industrial Organic Chemicals, Nec</v>
      </c>
      <c r="P487" s="187" t="str">
        <f>VLOOKUP(M487, '2017 SIC to NAICS'!A:D, 4)</f>
        <v>All Other Miscellaneous Chemical Product and Preparation Manufacturing</v>
      </c>
      <c r="Q487" s="176" t="str">
        <f>IFERROR(VLOOKUP(O487, 'NAICS OES crosswalk'!A:C, 3, FALSE), VLOOKUP(M487, 'NAICS OES crosswalk'!A:C, 3, FALSE))</f>
        <v>Manufacturing</v>
      </c>
      <c r="U487" s="188">
        <v>80702040103</v>
      </c>
      <c r="V487" s="11" t="s">
        <v>1300</v>
      </c>
      <c r="W487" s="11"/>
      <c r="X487" s="11">
        <v>3.9770400000000001</v>
      </c>
      <c r="Y487" s="11" t="b">
        <f t="shared" si="8"/>
        <v>0</v>
      </c>
    </row>
    <row r="488" spans="1:25" ht="29" x14ac:dyDescent="0.35">
      <c r="A488" s="11">
        <v>2021</v>
      </c>
      <c r="B488" s="11" t="s">
        <v>1980</v>
      </c>
      <c r="C488" s="11" t="s">
        <v>1180</v>
      </c>
      <c r="D488" s="163">
        <v>110009938470</v>
      </c>
      <c r="E488" s="11" t="s">
        <v>210</v>
      </c>
      <c r="F488" s="11" t="s">
        <v>211</v>
      </c>
      <c r="G488" s="11" t="s">
        <v>1181</v>
      </c>
      <c r="H488" s="11" t="s">
        <v>108</v>
      </c>
      <c r="I488" s="11" t="s">
        <v>1981</v>
      </c>
      <c r="J488" s="11">
        <v>37.857500000000002</v>
      </c>
      <c r="K488" s="11">
        <v>-83.865278000000004</v>
      </c>
      <c r="L488" s="11">
        <v>4952</v>
      </c>
      <c r="M488" s="11">
        <v>4952</v>
      </c>
      <c r="N488" s="175" t="str">
        <f>VLOOKUP(M488, '2017 SIC to NAICS'!A:D, 2)</f>
        <v>Sewerage Systems</v>
      </c>
      <c r="O488" s="11">
        <v>221320</v>
      </c>
      <c r="P488" s="187" t="str">
        <f>VLOOKUP(M488, '2017 SIC to NAICS'!A:D, 4)</f>
        <v>Sewage Treatment Facilities</v>
      </c>
      <c r="Q488" s="176" t="str">
        <f>IFERROR(VLOOKUP(O488, 'NAICS OES crosswalk'!A:C, 3, FALSE), VLOOKUP(M488, 'NAICS OES crosswalk'!A:C, 3, FALSE))</f>
        <v>Waste handling, disposal, and treatment</v>
      </c>
      <c r="U488" s="188">
        <v>51002040302</v>
      </c>
      <c r="V488" s="11" t="s">
        <v>1182</v>
      </c>
      <c r="W488" s="11"/>
      <c r="X488" s="11">
        <v>3.9718843750000001</v>
      </c>
      <c r="Y488" s="11" t="b">
        <f t="shared" si="8"/>
        <v>0</v>
      </c>
    </row>
    <row r="489" spans="1:25" x14ac:dyDescent="0.35">
      <c r="A489" s="11">
        <v>2021</v>
      </c>
      <c r="B489" s="11" t="s">
        <v>1980</v>
      </c>
      <c r="C489" s="11" t="s">
        <v>1463</v>
      </c>
      <c r="D489" s="163">
        <v>110000595981</v>
      </c>
      <c r="E489" s="11" t="s">
        <v>217</v>
      </c>
      <c r="F489" s="11" t="s">
        <v>218</v>
      </c>
      <c r="G489" s="11" t="s">
        <v>1464</v>
      </c>
      <c r="H489" s="11" t="s">
        <v>129</v>
      </c>
      <c r="I489" s="11" t="s">
        <v>1982</v>
      </c>
      <c r="J489" s="11">
        <v>39.662540999999997</v>
      </c>
      <c r="K489" s="11">
        <v>-91.301670000000001</v>
      </c>
      <c r="L489" s="11">
        <v>3241</v>
      </c>
      <c r="M489" s="11">
        <v>3241</v>
      </c>
      <c r="N489" s="175" t="str">
        <f>VLOOKUP(M489, '2017 SIC to NAICS'!A:D, 2)</f>
        <v>Cement, Hydraulic</v>
      </c>
      <c r="P489" s="187" t="str">
        <f>VLOOKUP(M489, '2017 SIC to NAICS'!A:D, 4)</f>
        <v>Cement Manufacturing</v>
      </c>
      <c r="Q489" s="176" t="e">
        <f>IFERROR(VLOOKUP(O489, 'NAICS OES crosswalk'!A:C, 3, FALSE), VLOOKUP(M489, 'NAICS OES crosswalk'!A:C, 3, FALSE))</f>
        <v>#N/A</v>
      </c>
      <c r="U489" s="188">
        <v>71100040504</v>
      </c>
      <c r="V489" s="11" t="s">
        <v>1465</v>
      </c>
      <c r="W489" s="11"/>
      <c r="X489" s="11">
        <v>3.71630225</v>
      </c>
      <c r="Y489" s="11" t="b">
        <f t="shared" si="8"/>
        <v>0</v>
      </c>
    </row>
    <row r="490" spans="1:25" ht="29" x14ac:dyDescent="0.35">
      <c r="A490" s="11">
        <v>2021</v>
      </c>
      <c r="B490" s="11" t="s">
        <v>1980</v>
      </c>
      <c r="C490" s="11" t="s">
        <v>1098</v>
      </c>
      <c r="D490" s="163">
        <v>110001123276</v>
      </c>
      <c r="E490" s="11" t="s">
        <v>190</v>
      </c>
      <c r="F490" s="11" t="s">
        <v>191</v>
      </c>
      <c r="G490" s="11" t="s">
        <v>1099</v>
      </c>
      <c r="H490" s="11" t="s">
        <v>108</v>
      </c>
      <c r="I490" s="11" t="s">
        <v>1981</v>
      </c>
      <c r="J490" s="11">
        <v>36.983809999999998</v>
      </c>
      <c r="K490" s="11">
        <v>-85.957089999999994</v>
      </c>
      <c r="L490" s="11">
        <v>4952</v>
      </c>
      <c r="M490" s="11">
        <v>4952</v>
      </c>
      <c r="N490" s="175" t="str">
        <f>VLOOKUP(M490, '2017 SIC to NAICS'!A:D, 2)</f>
        <v>Sewerage Systems</v>
      </c>
      <c r="O490" s="11">
        <v>221320</v>
      </c>
      <c r="P490" s="187" t="str">
        <f>VLOOKUP(M490, '2017 SIC to NAICS'!A:D, 4)</f>
        <v>Sewage Treatment Facilities</v>
      </c>
      <c r="Q490" s="176" t="str">
        <f>IFERROR(VLOOKUP(O490, 'NAICS OES crosswalk'!A:C, 3, FALSE), VLOOKUP(M490, 'NAICS OES crosswalk'!A:C, 3, FALSE))</f>
        <v>Waste handling, disposal, and treatment</v>
      </c>
      <c r="U490" s="188">
        <v>51100020306</v>
      </c>
      <c r="V490" s="11" t="s">
        <v>1100</v>
      </c>
      <c r="W490" s="11"/>
      <c r="X490" s="11">
        <v>3.6251215999999999</v>
      </c>
      <c r="Y490" s="11" t="b">
        <f t="shared" si="8"/>
        <v>0</v>
      </c>
    </row>
    <row r="491" spans="1:25" ht="29" x14ac:dyDescent="0.35">
      <c r="A491" s="11">
        <v>2021</v>
      </c>
      <c r="B491" s="11" t="s">
        <v>1980</v>
      </c>
      <c r="C491" s="11" t="s">
        <v>1550</v>
      </c>
      <c r="D491" s="163">
        <v>110000734616</v>
      </c>
      <c r="E491" s="11" t="s">
        <v>219</v>
      </c>
      <c r="F491" s="11" t="s">
        <v>220</v>
      </c>
      <c r="G491" s="11" t="s">
        <v>1551</v>
      </c>
      <c r="H491" s="11" t="s">
        <v>221</v>
      </c>
      <c r="I491" s="11" t="s">
        <v>1981</v>
      </c>
      <c r="J491" s="11">
        <v>39.463894000000003</v>
      </c>
      <c r="K491" s="11">
        <v>-118.75532800000001</v>
      </c>
      <c r="L491" s="11">
        <v>4952</v>
      </c>
      <c r="M491" s="11">
        <v>4952</v>
      </c>
      <c r="N491" s="175" t="str">
        <f>VLOOKUP(M491, '2017 SIC to NAICS'!A:D, 2)</f>
        <v>Sewerage Systems</v>
      </c>
      <c r="P491" s="187" t="str">
        <f>VLOOKUP(M491, '2017 SIC to NAICS'!A:D, 4)</f>
        <v>Sewage Treatment Facilities</v>
      </c>
      <c r="Q491" s="176" t="str">
        <f>IFERROR(VLOOKUP(O491, 'NAICS OES crosswalk'!A:C, 3, FALSE), VLOOKUP(M491, 'NAICS OES crosswalk'!A:C, 3, FALSE))</f>
        <v>Waste handling, disposal, and treatment</v>
      </c>
      <c r="U491" s="188">
        <v>160502030306</v>
      </c>
      <c r="V491" s="11" t="s">
        <v>1552</v>
      </c>
      <c r="W491" s="11"/>
      <c r="X491" s="11">
        <v>3.5919650000000001</v>
      </c>
      <c r="Y491" s="11" t="b">
        <f t="shared" si="8"/>
        <v>0</v>
      </c>
    </row>
    <row r="492" spans="1:25" ht="29" x14ac:dyDescent="0.35">
      <c r="A492" s="11">
        <v>2021</v>
      </c>
      <c r="B492" s="11" t="s">
        <v>1980</v>
      </c>
      <c r="C492" s="11" t="s">
        <v>1095</v>
      </c>
      <c r="D492" s="163">
        <v>110039705049</v>
      </c>
      <c r="E492" s="11" t="s">
        <v>224</v>
      </c>
      <c r="F492" s="11" t="s">
        <v>225</v>
      </c>
      <c r="G492" s="11" t="s">
        <v>1096</v>
      </c>
      <c r="H492" s="11" t="s">
        <v>108</v>
      </c>
      <c r="I492" s="11" t="s">
        <v>1981</v>
      </c>
      <c r="J492" s="11">
        <v>37.616959999999999</v>
      </c>
      <c r="K492" s="11">
        <v>-84.585099999999997</v>
      </c>
      <c r="L492" s="11">
        <v>4952</v>
      </c>
      <c r="M492" s="11">
        <v>4952</v>
      </c>
      <c r="N492" s="175" t="str">
        <f>VLOOKUP(M492, '2017 SIC to NAICS'!A:D, 2)</f>
        <v>Sewerage Systems</v>
      </c>
      <c r="O492" s="11">
        <v>221320</v>
      </c>
      <c r="P492" s="187" t="str">
        <f>VLOOKUP(M492, '2017 SIC to NAICS'!A:D, 4)</f>
        <v>Sewage Treatment Facilities</v>
      </c>
      <c r="Q492" s="176" t="str">
        <f>IFERROR(VLOOKUP(O492, 'NAICS OES crosswalk'!A:C, 3, FALSE), VLOOKUP(M492, 'NAICS OES crosswalk'!A:C, 3, FALSE))</f>
        <v>Waste handling, disposal, and treatment</v>
      </c>
      <c r="U492" s="188">
        <v>51002050504</v>
      </c>
      <c r="V492" s="11" t="s">
        <v>1097</v>
      </c>
      <c r="W492" s="11"/>
      <c r="X492" s="11">
        <v>3.2700696749999998</v>
      </c>
      <c r="Y492" s="11" t="b">
        <f t="shared" si="8"/>
        <v>0</v>
      </c>
    </row>
    <row r="493" spans="1:25" ht="29" x14ac:dyDescent="0.35">
      <c r="A493" s="11">
        <v>2021</v>
      </c>
      <c r="B493" s="11" t="s">
        <v>1980</v>
      </c>
      <c r="C493" s="11" t="s">
        <v>1258</v>
      </c>
      <c r="D493" s="163">
        <v>110020737540</v>
      </c>
      <c r="E493" s="11" t="s">
        <v>228</v>
      </c>
      <c r="F493" s="11" t="s">
        <v>229</v>
      </c>
      <c r="G493" s="11" t="s">
        <v>1259</v>
      </c>
      <c r="H493" s="11" t="s">
        <v>108</v>
      </c>
      <c r="I493" s="11" t="s">
        <v>1981</v>
      </c>
      <c r="J493" s="11">
        <v>38.395000000000003</v>
      </c>
      <c r="K493" s="11">
        <v>-84.302222</v>
      </c>
      <c r="L493" s="11">
        <v>4952</v>
      </c>
      <c r="M493" s="11">
        <v>4952</v>
      </c>
      <c r="N493" s="175" t="str">
        <f>VLOOKUP(M493, '2017 SIC to NAICS'!A:D, 2)</f>
        <v>Sewerage Systems</v>
      </c>
      <c r="O493" s="11">
        <v>221320</v>
      </c>
      <c r="P493" s="187" t="str">
        <f>VLOOKUP(M493, '2017 SIC to NAICS'!A:D, 4)</f>
        <v>Sewage Treatment Facilities</v>
      </c>
      <c r="Q493" s="176" t="str">
        <f>IFERROR(VLOOKUP(O493, 'NAICS OES crosswalk'!A:C, 3, FALSE), VLOOKUP(M493, 'NAICS OES crosswalk'!A:C, 3, FALSE))</f>
        <v>Waste handling, disposal, and treatment</v>
      </c>
      <c r="U493" s="188">
        <v>51001020403</v>
      </c>
      <c r="V493" s="11" t="s">
        <v>1260</v>
      </c>
      <c r="W493" s="11"/>
      <c r="X493" s="11">
        <v>2.9222707562500001</v>
      </c>
      <c r="Y493" s="11" t="b">
        <f t="shared" si="8"/>
        <v>0</v>
      </c>
    </row>
    <row r="494" spans="1:25" ht="29" x14ac:dyDescent="0.35">
      <c r="A494" s="11">
        <v>2021</v>
      </c>
      <c r="B494" s="11" t="s">
        <v>1980</v>
      </c>
      <c r="C494" s="11" t="s">
        <v>1174</v>
      </c>
      <c r="D494" s="163">
        <v>110009938808</v>
      </c>
      <c r="E494" s="11" t="s">
        <v>222</v>
      </c>
      <c r="F494" s="11" t="s">
        <v>223</v>
      </c>
      <c r="G494" s="11" t="s">
        <v>1175</v>
      </c>
      <c r="H494" s="11" t="s">
        <v>108</v>
      </c>
      <c r="I494" s="11" t="s">
        <v>1981</v>
      </c>
      <c r="J494" s="11">
        <v>37.177222</v>
      </c>
      <c r="K494" s="11">
        <v>-83.761388999999994</v>
      </c>
      <c r="L494" s="11">
        <v>4952</v>
      </c>
      <c r="M494" s="11">
        <v>4952</v>
      </c>
      <c r="N494" s="175" t="str">
        <f>VLOOKUP(M494, '2017 SIC to NAICS'!A:D, 2)</f>
        <v>Sewerage Systems</v>
      </c>
      <c r="O494" s="11">
        <v>221320</v>
      </c>
      <c r="P494" s="187" t="str">
        <f>VLOOKUP(M494, '2017 SIC to NAICS'!A:D, 4)</f>
        <v>Sewage Treatment Facilities</v>
      </c>
      <c r="Q494" s="176" t="str">
        <f>IFERROR(VLOOKUP(O494, 'NAICS OES crosswalk'!A:C, 3, FALSE), VLOOKUP(M494, 'NAICS OES crosswalk'!A:C, 3, FALSE))</f>
        <v>Waste handling, disposal, and treatment</v>
      </c>
      <c r="U494" s="188">
        <v>51002030303</v>
      </c>
      <c r="V494" s="11" t="s">
        <v>1176</v>
      </c>
      <c r="W494" s="11"/>
      <c r="X494" s="11">
        <v>2.8563029375000002</v>
      </c>
      <c r="Y494" s="11" t="b">
        <f t="shared" si="8"/>
        <v>0</v>
      </c>
    </row>
    <row r="495" spans="1:25" x14ac:dyDescent="0.35">
      <c r="A495" s="11">
        <v>2021</v>
      </c>
      <c r="B495" s="11" t="s">
        <v>1980</v>
      </c>
      <c r="C495" s="11" t="s">
        <v>781</v>
      </c>
      <c r="D495" s="163">
        <v>110000440416</v>
      </c>
      <c r="E495" s="11" t="s">
        <v>198</v>
      </c>
      <c r="F495" s="11" t="s">
        <v>199</v>
      </c>
      <c r="G495" s="11" t="s">
        <v>782</v>
      </c>
      <c r="H495" s="11" t="s">
        <v>129</v>
      </c>
      <c r="I495" s="11" t="s">
        <v>1982</v>
      </c>
      <c r="J495" s="11">
        <v>38.209220000000002</v>
      </c>
      <c r="K495" s="11">
        <v>-90.476910000000004</v>
      </c>
      <c r="L495" s="11">
        <v>1795</v>
      </c>
      <c r="M495" s="11">
        <v>1795</v>
      </c>
      <c r="N495" s="175" t="str">
        <f>VLOOKUP(M495, '2017 SIC to NAICS'!A:D, 2)</f>
        <v>Wrecking and Demolition Work</v>
      </c>
      <c r="P495" s="187" t="str">
        <f>VLOOKUP(M495, '2017 SIC to NAICS'!A:D, 4)</f>
        <v>Site Preparation Contractors</v>
      </c>
      <c r="Q495" s="176" t="e">
        <f>IFERROR(VLOOKUP(O495, 'NAICS OES crosswalk'!A:C, 3, FALSE), VLOOKUP(M495, 'NAICS OES crosswalk'!A:C, 3, FALSE))</f>
        <v>#N/A</v>
      </c>
      <c r="U495" s="188">
        <v>71401010802</v>
      </c>
      <c r="V495" s="11" t="s">
        <v>783</v>
      </c>
      <c r="W495" s="11"/>
      <c r="X495" s="11">
        <v>2.8164942000000002</v>
      </c>
      <c r="Y495" s="11" t="b">
        <f t="shared" si="8"/>
        <v>0</v>
      </c>
    </row>
    <row r="496" spans="1:25" ht="29" x14ac:dyDescent="0.35">
      <c r="A496" s="11">
        <v>2021</v>
      </c>
      <c r="B496" s="11" t="s">
        <v>1980</v>
      </c>
      <c r="C496" s="11" t="s">
        <v>1218</v>
      </c>
      <c r="D496" s="163">
        <v>110040000398</v>
      </c>
      <c r="E496" s="11" t="s">
        <v>232</v>
      </c>
      <c r="F496" s="11" t="s">
        <v>227</v>
      </c>
      <c r="G496" s="11" t="s">
        <v>1219</v>
      </c>
      <c r="H496" s="11" t="s">
        <v>108</v>
      </c>
      <c r="I496" s="11" t="s">
        <v>1981</v>
      </c>
      <c r="J496" s="11">
        <v>37.608496000000002</v>
      </c>
      <c r="K496" s="11">
        <v>-84.287074000000004</v>
      </c>
      <c r="L496" s="11">
        <v>4952</v>
      </c>
      <c r="M496" s="11">
        <v>4952</v>
      </c>
      <c r="N496" s="175" t="str">
        <f>VLOOKUP(M496, '2017 SIC to NAICS'!A:D, 2)</f>
        <v>Sewerage Systems</v>
      </c>
      <c r="O496" s="11">
        <v>221320</v>
      </c>
      <c r="P496" s="187" t="str">
        <f>VLOOKUP(M496, '2017 SIC to NAICS'!A:D, 4)</f>
        <v>Sewage Treatment Facilities</v>
      </c>
      <c r="Q496" s="176" t="str">
        <f>IFERROR(VLOOKUP(O496, 'NAICS OES crosswalk'!A:C, 3, FALSE), VLOOKUP(M496, 'NAICS OES crosswalk'!A:C, 3, FALSE))</f>
        <v>Waste handling, disposal, and treatment</v>
      </c>
      <c r="U496" s="188">
        <v>51002050202</v>
      </c>
      <c r="V496" s="11" t="s">
        <v>1220</v>
      </c>
      <c r="W496" s="11"/>
      <c r="X496" s="11">
        <v>2.7554516124999999</v>
      </c>
      <c r="Y496" s="11" t="b">
        <f t="shared" si="8"/>
        <v>0</v>
      </c>
    </row>
    <row r="497" spans="1:25" ht="29" x14ac:dyDescent="0.35">
      <c r="A497" s="11">
        <v>2021</v>
      </c>
      <c r="B497" s="11" t="s">
        <v>1980</v>
      </c>
      <c r="C497" s="11" t="s">
        <v>975</v>
      </c>
      <c r="D497" s="163">
        <v>110000525842</v>
      </c>
      <c r="E497" s="11" t="s">
        <v>242</v>
      </c>
      <c r="F497" s="11" t="s">
        <v>243</v>
      </c>
      <c r="G497" s="11" t="s">
        <v>964</v>
      </c>
      <c r="H497" s="11" t="s">
        <v>102</v>
      </c>
      <c r="I497" s="11" t="s">
        <v>1981</v>
      </c>
      <c r="J497" s="11">
        <v>34.055900000000001</v>
      </c>
      <c r="K497" s="11">
        <v>-117.36134</v>
      </c>
      <c r="L497" s="11">
        <v>4952</v>
      </c>
      <c r="M497" s="11">
        <v>4952</v>
      </c>
      <c r="N497" s="175" t="str">
        <f>VLOOKUP(M497, '2017 SIC to NAICS'!A:D, 2)</f>
        <v>Sewerage Systems</v>
      </c>
      <c r="P497" s="187" t="str">
        <f>VLOOKUP(M497, '2017 SIC to NAICS'!A:D, 4)</f>
        <v>Sewage Treatment Facilities</v>
      </c>
      <c r="Q497" s="176" t="str">
        <f>IFERROR(VLOOKUP(O497, 'NAICS OES crosswalk'!A:C, 3, FALSE), VLOOKUP(M497, 'NAICS OES crosswalk'!A:C, 3, FALSE))</f>
        <v>Waste handling, disposal, and treatment</v>
      </c>
      <c r="U497" s="188">
        <v>180702030804</v>
      </c>
      <c r="V497" s="11" t="s">
        <v>976</v>
      </c>
      <c r="W497" s="11"/>
      <c r="X497" s="11">
        <v>2.4102596125</v>
      </c>
      <c r="Y497" s="11" t="b">
        <f t="shared" si="8"/>
        <v>0</v>
      </c>
    </row>
    <row r="498" spans="1:25" ht="29" x14ac:dyDescent="0.35">
      <c r="A498" s="11">
        <v>2021</v>
      </c>
      <c r="B498" s="11" t="s">
        <v>1980</v>
      </c>
      <c r="C498" s="11" t="s">
        <v>1155</v>
      </c>
      <c r="D498" s="163">
        <v>110064268260</v>
      </c>
      <c r="E498" s="11" t="s">
        <v>246</v>
      </c>
      <c r="F498" s="11" t="s">
        <v>247</v>
      </c>
      <c r="G498" s="11" t="s">
        <v>1156</v>
      </c>
      <c r="H498" s="11" t="s">
        <v>108</v>
      </c>
      <c r="I498" s="11" t="s">
        <v>1982</v>
      </c>
      <c r="J498" s="11">
        <v>38.369734999999999</v>
      </c>
      <c r="K498" s="11">
        <v>-85.180234999999996</v>
      </c>
      <c r="L498" s="11">
        <v>4952</v>
      </c>
      <c r="M498" s="11">
        <v>4952</v>
      </c>
      <c r="N498" s="175" t="str">
        <f>VLOOKUP(M498, '2017 SIC to NAICS'!A:D, 2)</f>
        <v>Sewerage Systems</v>
      </c>
      <c r="O498" s="11">
        <v>221320</v>
      </c>
      <c r="P498" s="187" t="str">
        <f>VLOOKUP(M498, '2017 SIC to NAICS'!A:D, 4)</f>
        <v>Sewage Treatment Facilities</v>
      </c>
      <c r="Q498" s="176" t="str">
        <f>IFERROR(VLOOKUP(O498, 'NAICS OES crosswalk'!A:C, 3, FALSE), VLOOKUP(M498, 'NAICS OES crosswalk'!A:C, 3, FALSE))</f>
        <v>Waste handling, disposal, and treatment</v>
      </c>
      <c r="U498" s="188">
        <v>51401020404</v>
      </c>
      <c r="V498" s="11" t="s">
        <v>1157</v>
      </c>
      <c r="W498" s="11"/>
      <c r="X498" s="11">
        <v>2.3520463125000002</v>
      </c>
      <c r="Y498" s="11" t="b">
        <f t="shared" si="8"/>
        <v>0</v>
      </c>
    </row>
    <row r="499" spans="1:25" ht="29" x14ac:dyDescent="0.35">
      <c r="A499" s="11">
        <v>2021</v>
      </c>
      <c r="B499" s="11" t="s">
        <v>1980</v>
      </c>
      <c r="C499" s="11" t="s">
        <v>1015</v>
      </c>
      <c r="D499" s="163">
        <v>110013786698</v>
      </c>
      <c r="E499" s="11" t="s">
        <v>250</v>
      </c>
      <c r="F499" s="11" t="s">
        <v>251</v>
      </c>
      <c r="G499" s="11" t="s">
        <v>1016</v>
      </c>
      <c r="H499" s="11" t="s">
        <v>156</v>
      </c>
      <c r="I499" s="11" t="s">
        <v>1981</v>
      </c>
      <c r="J499" s="11">
        <v>19.713750000000001</v>
      </c>
      <c r="K499" s="11">
        <v>-155.01927800000001</v>
      </c>
      <c r="L499" s="11">
        <v>4952</v>
      </c>
      <c r="M499" s="11">
        <v>4952</v>
      </c>
      <c r="N499" s="175" t="str">
        <f>VLOOKUP(M499, '2017 SIC to NAICS'!A:D, 2)</f>
        <v>Sewerage Systems</v>
      </c>
      <c r="P499" s="187" t="str">
        <f>VLOOKUP(M499, '2017 SIC to NAICS'!A:D, 4)</f>
        <v>Sewage Treatment Facilities</v>
      </c>
      <c r="Q499" s="176" t="str">
        <f>IFERROR(VLOOKUP(O499, 'NAICS OES crosswalk'!A:C, 3, FALSE), VLOOKUP(M499, 'NAICS OES crosswalk'!A:C, 3, FALSE))</f>
        <v>Waste handling, disposal, and treatment</v>
      </c>
      <c r="U499" s="188">
        <v>200100000407</v>
      </c>
      <c r="V499" s="11" t="s">
        <v>1017</v>
      </c>
      <c r="W499" s="11"/>
      <c r="X499" s="11">
        <v>2.305765225</v>
      </c>
      <c r="Y499" s="11" t="b">
        <f t="shared" si="8"/>
        <v>0</v>
      </c>
    </row>
    <row r="500" spans="1:25" ht="29" x14ac:dyDescent="0.35">
      <c r="A500" s="11">
        <v>2021</v>
      </c>
      <c r="B500" s="11" t="s">
        <v>1980</v>
      </c>
      <c r="C500" s="11" t="s">
        <v>1135</v>
      </c>
      <c r="D500" s="163">
        <v>110064265496</v>
      </c>
      <c r="E500" s="11" t="s">
        <v>182</v>
      </c>
      <c r="F500" s="11" t="s">
        <v>183</v>
      </c>
      <c r="G500" s="11" t="s">
        <v>1136</v>
      </c>
      <c r="H500" s="11" t="s">
        <v>108</v>
      </c>
      <c r="I500" s="11" t="s">
        <v>1981</v>
      </c>
      <c r="J500" s="11">
        <v>37.304611999999999</v>
      </c>
      <c r="K500" s="11">
        <v>-87.145292999999995</v>
      </c>
      <c r="L500" s="11">
        <v>4952</v>
      </c>
      <c r="M500" s="11">
        <v>4952</v>
      </c>
      <c r="N500" s="175" t="str">
        <f>VLOOKUP(M500, '2017 SIC to NAICS'!A:D, 2)</f>
        <v>Sewerage Systems</v>
      </c>
      <c r="O500" s="11">
        <v>221320</v>
      </c>
      <c r="P500" s="187" t="str">
        <f>VLOOKUP(M500, '2017 SIC to NAICS'!A:D, 4)</f>
        <v>Sewage Treatment Facilities</v>
      </c>
      <c r="Q500" s="176" t="str">
        <f>IFERROR(VLOOKUP(O500, 'NAICS OES crosswalk'!A:C, 3, FALSE), VLOOKUP(M500, 'NAICS OES crosswalk'!A:C, 3, FALSE))</f>
        <v>Waste handling, disposal, and treatment</v>
      </c>
      <c r="U500" s="188">
        <v>51100060401</v>
      </c>
      <c r="V500" s="11" t="s">
        <v>1137</v>
      </c>
      <c r="W500" s="11"/>
      <c r="X500" s="11">
        <v>2.2311628749999999</v>
      </c>
      <c r="Y500" s="11" t="b">
        <f t="shared" si="8"/>
        <v>0</v>
      </c>
    </row>
    <row r="501" spans="1:25" ht="15" customHeight="1" x14ac:dyDescent="0.35">
      <c r="A501" s="11">
        <v>2021</v>
      </c>
      <c r="B501" s="11" t="s">
        <v>1980</v>
      </c>
      <c r="C501" s="11" t="s">
        <v>1159</v>
      </c>
      <c r="D501" s="163">
        <v>110020941383</v>
      </c>
      <c r="E501" s="11" t="s">
        <v>248</v>
      </c>
      <c r="F501" s="11" t="s">
        <v>249</v>
      </c>
      <c r="G501" s="11" t="s">
        <v>1160</v>
      </c>
      <c r="H501" s="11" t="s">
        <v>108</v>
      </c>
      <c r="I501" s="11" t="s">
        <v>1981</v>
      </c>
      <c r="J501" s="11">
        <v>37.983888999999998</v>
      </c>
      <c r="K501" s="11">
        <v>-85.722778000000005</v>
      </c>
      <c r="L501" s="11">
        <v>4952</v>
      </c>
      <c r="M501" s="11">
        <v>4952</v>
      </c>
      <c r="N501" s="175" t="str">
        <f>VLOOKUP(M501, '2017 SIC to NAICS'!A:D, 2)</f>
        <v>Sewerage Systems</v>
      </c>
      <c r="O501" s="11">
        <v>221320</v>
      </c>
      <c r="P501" s="187" t="str">
        <f>VLOOKUP(M501, '2017 SIC to NAICS'!A:D, 4)</f>
        <v>Sewage Treatment Facilities</v>
      </c>
      <c r="Q501" s="176" t="str">
        <f>IFERROR(VLOOKUP(O501, 'NAICS OES crosswalk'!A:C, 3, FALSE), VLOOKUP(M501, 'NAICS OES crosswalk'!A:C, 3, FALSE))</f>
        <v>Waste handling, disposal, and treatment</v>
      </c>
      <c r="U501" s="188">
        <v>51401021103</v>
      </c>
      <c r="V501" s="11" t="s">
        <v>1161</v>
      </c>
      <c r="W501" s="11"/>
      <c r="X501" s="11">
        <v>2.1828094999999998</v>
      </c>
      <c r="Y501" s="11" t="b">
        <f t="shared" si="8"/>
        <v>0</v>
      </c>
    </row>
    <row r="502" spans="1:25" ht="29" x14ac:dyDescent="0.35">
      <c r="A502" s="11">
        <v>2021</v>
      </c>
      <c r="B502" s="11" t="s">
        <v>1980</v>
      </c>
      <c r="C502" s="11" t="s">
        <v>1109</v>
      </c>
      <c r="D502" s="163">
        <v>110000557013</v>
      </c>
      <c r="E502" s="11" t="s">
        <v>233</v>
      </c>
      <c r="F502" s="11" t="s">
        <v>234</v>
      </c>
      <c r="G502" s="11" t="s">
        <v>1110</v>
      </c>
      <c r="H502" s="11" t="s">
        <v>108</v>
      </c>
      <c r="I502" s="11" t="s">
        <v>1981</v>
      </c>
      <c r="J502" s="11">
        <v>37.106380000000001</v>
      </c>
      <c r="K502" s="11">
        <v>-84.066829999999996</v>
      </c>
      <c r="L502" s="11">
        <v>4952</v>
      </c>
      <c r="M502" s="11">
        <v>4952</v>
      </c>
      <c r="N502" s="175" t="str">
        <f>VLOOKUP(M502, '2017 SIC to NAICS'!A:D, 2)</f>
        <v>Sewerage Systems</v>
      </c>
      <c r="O502" s="11">
        <v>221320</v>
      </c>
      <c r="P502" s="187" t="str">
        <f>VLOOKUP(M502, '2017 SIC to NAICS'!A:D, 4)</f>
        <v>Sewage Treatment Facilities</v>
      </c>
      <c r="Q502" s="176" t="str">
        <f>IFERROR(VLOOKUP(O502, 'NAICS OES crosswalk'!A:C, 3, FALSE), VLOOKUP(M502, 'NAICS OES crosswalk'!A:C, 3, FALSE))</f>
        <v>Waste handling, disposal, and treatment</v>
      </c>
      <c r="U502" s="188">
        <v>51301010802</v>
      </c>
      <c r="V502" s="11" t="s">
        <v>1111</v>
      </c>
      <c r="W502" s="11"/>
      <c r="X502" s="11">
        <v>2.1586328125000001</v>
      </c>
      <c r="Y502" s="11" t="b">
        <f t="shared" si="8"/>
        <v>0</v>
      </c>
    </row>
    <row r="503" spans="1:25" ht="29" x14ac:dyDescent="0.35">
      <c r="A503" s="11">
        <v>2021</v>
      </c>
      <c r="B503" s="11" t="s">
        <v>1980</v>
      </c>
      <c r="C503" s="11" t="s">
        <v>1262</v>
      </c>
      <c r="D503" s="163">
        <v>110022905588</v>
      </c>
      <c r="E503" s="11" t="s">
        <v>235</v>
      </c>
      <c r="F503" s="11" t="s">
        <v>236</v>
      </c>
      <c r="G503" s="11" t="s">
        <v>1190</v>
      </c>
      <c r="H503" s="11" t="s">
        <v>108</v>
      </c>
      <c r="I503" s="11" t="s">
        <v>1981</v>
      </c>
      <c r="J503" s="11">
        <v>38.417499999999997</v>
      </c>
      <c r="K503" s="11">
        <v>-85.611109999999996</v>
      </c>
      <c r="L503" s="11">
        <v>4952</v>
      </c>
      <c r="M503" s="11">
        <v>4952</v>
      </c>
      <c r="N503" s="175" t="str">
        <f>VLOOKUP(M503, '2017 SIC to NAICS'!A:D, 2)</f>
        <v>Sewerage Systems</v>
      </c>
      <c r="O503" s="11">
        <v>221320</v>
      </c>
      <c r="P503" s="187" t="str">
        <f>VLOOKUP(M503, '2017 SIC to NAICS'!A:D, 4)</f>
        <v>Sewage Treatment Facilities</v>
      </c>
      <c r="Q503" s="176" t="str">
        <f>IFERROR(VLOOKUP(O503, 'NAICS OES crosswalk'!A:C, 3, FALSE), VLOOKUP(M503, 'NAICS OES crosswalk'!A:C, 3, FALSE))</f>
        <v>Waste handling, disposal, and treatment</v>
      </c>
      <c r="U503" s="188">
        <v>51401010604</v>
      </c>
      <c r="V503" s="11" t="s">
        <v>1263</v>
      </c>
      <c r="W503" s="11"/>
      <c r="X503" s="11">
        <v>1.982488375</v>
      </c>
      <c r="Y503" s="11" t="b">
        <f t="shared" si="8"/>
        <v>0</v>
      </c>
    </row>
    <row r="504" spans="1:25" x14ac:dyDescent="0.35">
      <c r="A504" s="11">
        <v>2021</v>
      </c>
      <c r="B504" s="11" t="s">
        <v>1980</v>
      </c>
      <c r="C504" s="11" t="s">
        <v>1477</v>
      </c>
      <c r="D504" s="163">
        <v>110041133163</v>
      </c>
      <c r="E504" s="11" t="s">
        <v>252</v>
      </c>
      <c r="F504" s="11" t="s">
        <v>253</v>
      </c>
      <c r="G504" s="11" t="s">
        <v>1113</v>
      </c>
      <c r="H504" s="11" t="s">
        <v>254</v>
      </c>
      <c r="I504" s="11" t="s">
        <v>1981</v>
      </c>
      <c r="J504" s="11">
        <v>40.640135000000001</v>
      </c>
      <c r="K504" s="11">
        <v>-74.218879999999999</v>
      </c>
      <c r="L504" s="11">
        <v>2911</v>
      </c>
      <c r="M504" s="11">
        <v>2911</v>
      </c>
      <c r="N504" s="175" t="str">
        <f>VLOOKUP(M504, '2017 SIC to NAICS'!A:D, 2)</f>
        <v>Petroleum Refining</v>
      </c>
      <c r="O504" s="11">
        <v>324110</v>
      </c>
      <c r="P504" s="187" t="str">
        <f>VLOOKUP(M504, '2017 SIC to NAICS'!A:D, 4)</f>
        <v>Petroleum Refineries</v>
      </c>
      <c r="Q504" s="176" t="e">
        <f>IFERROR(VLOOKUP(O504, 'NAICS OES crosswalk'!A:C, 3, FALSE), VLOOKUP(M504, 'NAICS OES crosswalk'!A:C, 3, FALSE))</f>
        <v>#N/A</v>
      </c>
      <c r="U504" s="188">
        <v>20301040204</v>
      </c>
      <c r="V504" s="11" t="s">
        <v>1478</v>
      </c>
      <c r="W504" s="11"/>
      <c r="X504" s="11">
        <v>1.845</v>
      </c>
      <c r="Y504" s="11" t="b">
        <f t="shared" si="8"/>
        <v>0</v>
      </c>
    </row>
    <row r="505" spans="1:25" ht="29" x14ac:dyDescent="0.35">
      <c r="A505" s="11">
        <v>2021</v>
      </c>
      <c r="B505" s="11" t="s">
        <v>1980</v>
      </c>
      <c r="C505" s="11" t="s">
        <v>1023</v>
      </c>
      <c r="D505" s="163">
        <v>110041973460</v>
      </c>
      <c r="E505" s="11" t="s">
        <v>267</v>
      </c>
      <c r="F505" s="11" t="s">
        <v>268</v>
      </c>
      <c r="G505" s="11" t="s">
        <v>155</v>
      </c>
      <c r="H505" s="11" t="s">
        <v>156</v>
      </c>
      <c r="I505" s="11" t="s">
        <v>1981</v>
      </c>
      <c r="J505" s="11">
        <v>21.438638999999998</v>
      </c>
      <c r="K505" s="11">
        <v>-157.75847200000001</v>
      </c>
      <c r="L505" s="11">
        <v>4952</v>
      </c>
      <c r="M505" s="11">
        <v>4952</v>
      </c>
      <c r="N505" s="175" t="str">
        <f>VLOOKUP(M505, '2017 SIC to NAICS'!A:D, 2)</f>
        <v>Sewerage Systems</v>
      </c>
      <c r="P505" s="187" t="str">
        <f>VLOOKUP(M505, '2017 SIC to NAICS'!A:D, 4)</f>
        <v>Sewage Treatment Facilities</v>
      </c>
      <c r="Q505" s="176" t="str">
        <f>IFERROR(VLOOKUP(O505, 'NAICS OES crosswalk'!A:C, 3, FALSE), VLOOKUP(M505, 'NAICS OES crosswalk'!A:C, 3, FALSE))</f>
        <v>Waste handling, disposal, and treatment</v>
      </c>
      <c r="U505" s="188">
        <v>200600000205</v>
      </c>
      <c r="V505" s="11" t="s">
        <v>1024</v>
      </c>
      <c r="W505" s="11"/>
      <c r="X505" s="11">
        <v>1.747629125</v>
      </c>
      <c r="Y505" s="11" t="b">
        <f t="shared" si="8"/>
        <v>0</v>
      </c>
    </row>
    <row r="506" spans="1:25" x14ac:dyDescent="0.35">
      <c r="A506" s="11">
        <v>2021</v>
      </c>
      <c r="B506" s="11" t="s">
        <v>1980</v>
      </c>
      <c r="C506" s="11" t="s">
        <v>870</v>
      </c>
      <c r="D506" s="163">
        <v>110017432937</v>
      </c>
      <c r="E506" s="11" t="s">
        <v>200</v>
      </c>
      <c r="F506" s="11" t="s">
        <v>201</v>
      </c>
      <c r="G506" s="11" t="s">
        <v>871</v>
      </c>
      <c r="H506" s="11" t="s">
        <v>202</v>
      </c>
      <c r="I506" s="11" t="s">
        <v>1981</v>
      </c>
      <c r="J506" s="11">
        <v>35.722341999999998</v>
      </c>
      <c r="K506" s="11">
        <v>-91.524983000000006</v>
      </c>
      <c r="L506" s="11">
        <v>2865</v>
      </c>
      <c r="M506" s="11">
        <v>2865</v>
      </c>
      <c r="N506" s="175" t="str">
        <f>VLOOKUP(M506, '2017 SIC to NAICS'!A:D, 2)</f>
        <v>Cyclic Crudes and Intermediates</v>
      </c>
      <c r="O506" s="11">
        <v>325199</v>
      </c>
      <c r="P506" s="187" t="str">
        <f>VLOOKUP(M506, '2017 SIC to NAICS'!A:D, 4)</f>
        <v>Cyclic Crude, Intermediate, and Gum and
Wood Chemical Manufacturing</v>
      </c>
      <c r="Q506" s="176" t="str">
        <f>IFERROR(VLOOKUP(O506, 'NAICS OES crosswalk'!A:C, 3, FALSE), VLOOKUP(M506, 'NAICS OES crosswalk'!A:C, 3, FALSE))</f>
        <v>Manufacturing</v>
      </c>
      <c r="U506" s="188">
        <v>110100040704</v>
      </c>
      <c r="V506" s="11" t="s">
        <v>874</v>
      </c>
      <c r="W506" s="11"/>
      <c r="X506" s="11">
        <v>1.6571</v>
      </c>
      <c r="Y506" s="11" t="b">
        <f t="shared" si="8"/>
        <v>0</v>
      </c>
    </row>
    <row r="507" spans="1:25" ht="29" x14ac:dyDescent="0.35">
      <c r="A507" s="11">
        <v>2021</v>
      </c>
      <c r="B507" s="11" t="s">
        <v>1980</v>
      </c>
      <c r="C507" s="11" t="s">
        <v>1244</v>
      </c>
      <c r="D507" s="163">
        <v>110009933402</v>
      </c>
      <c r="E507" s="11" t="s">
        <v>269</v>
      </c>
      <c r="F507" s="11" t="s">
        <v>270</v>
      </c>
      <c r="G507" s="11" t="s">
        <v>1245</v>
      </c>
      <c r="H507" s="11" t="s">
        <v>108</v>
      </c>
      <c r="I507" s="11" t="s">
        <v>1981</v>
      </c>
      <c r="J507" s="11">
        <v>37.780760000000001</v>
      </c>
      <c r="K507" s="11">
        <v>-85.510740999999996</v>
      </c>
      <c r="L507" s="11">
        <v>4952</v>
      </c>
      <c r="M507" s="11">
        <v>4952</v>
      </c>
      <c r="N507" s="175" t="str">
        <f>VLOOKUP(M507, '2017 SIC to NAICS'!A:D, 2)</f>
        <v>Sewerage Systems</v>
      </c>
      <c r="O507" s="11">
        <v>221320</v>
      </c>
      <c r="P507" s="187" t="str">
        <f>VLOOKUP(M507, '2017 SIC to NAICS'!A:D, 4)</f>
        <v>Sewage Treatment Facilities</v>
      </c>
      <c r="Q507" s="176" t="str">
        <f>IFERROR(VLOOKUP(O507, 'NAICS OES crosswalk'!A:C, 3, FALSE), VLOOKUP(M507, 'NAICS OES crosswalk'!A:C, 3, FALSE))</f>
        <v>Waste handling, disposal, and treatment</v>
      </c>
      <c r="U507" s="188">
        <v>51401030306</v>
      </c>
      <c r="V507" s="11" t="s">
        <v>1246</v>
      </c>
      <c r="W507" s="11"/>
      <c r="X507" s="11">
        <v>1.6219103500000001</v>
      </c>
      <c r="Y507" s="11" t="b">
        <f t="shared" si="8"/>
        <v>0</v>
      </c>
    </row>
    <row r="508" spans="1:25" x14ac:dyDescent="0.35">
      <c r="A508" s="11">
        <v>2021</v>
      </c>
      <c r="B508" s="11" t="s">
        <v>1980</v>
      </c>
      <c r="C508" s="11" t="s">
        <v>1533</v>
      </c>
      <c r="D508" s="163">
        <v>110042068473</v>
      </c>
      <c r="E508" s="11" t="s">
        <v>271</v>
      </c>
      <c r="F508" s="11" t="s">
        <v>272</v>
      </c>
      <c r="G508" s="11" t="s">
        <v>1534</v>
      </c>
      <c r="H508" s="11" t="s">
        <v>273</v>
      </c>
      <c r="I508" s="11" t="s">
        <v>1981</v>
      </c>
      <c r="J508" s="11">
        <v>36.688809999999997</v>
      </c>
      <c r="K508" s="11">
        <v>-108.48036</v>
      </c>
      <c r="L508" s="11">
        <v>4911</v>
      </c>
      <c r="M508" s="11">
        <v>4911</v>
      </c>
      <c r="N508" s="175" t="str">
        <f>VLOOKUP(M508, '2017 SIC to NAICS'!A:D, 2)</f>
        <v>Electric Services</v>
      </c>
      <c r="P508" s="187" t="str">
        <f>VLOOKUP(M508, '2017 SIC to NAICS'!A:D, 4)</f>
        <v>Electric Power Distribution</v>
      </c>
      <c r="Q508" s="176" t="e">
        <f>IFERROR(VLOOKUP(O508, 'NAICS OES crosswalk'!A:C, 3, FALSE), VLOOKUP(M508, 'NAICS OES crosswalk'!A:C, 3, FALSE))</f>
        <v>#N/A</v>
      </c>
      <c r="U508" s="188">
        <v>140801062008</v>
      </c>
      <c r="V508" s="11" t="s">
        <v>1535</v>
      </c>
      <c r="W508" s="11"/>
      <c r="X508" s="11">
        <v>1.6192230000000001</v>
      </c>
      <c r="Y508" s="11" t="b">
        <f t="shared" si="8"/>
        <v>0</v>
      </c>
    </row>
    <row r="509" spans="1:25" x14ac:dyDescent="0.35">
      <c r="A509" s="11">
        <v>2021</v>
      </c>
      <c r="B509" s="11" t="s">
        <v>1980</v>
      </c>
      <c r="C509" s="11" t="s">
        <v>781</v>
      </c>
      <c r="D509" s="163">
        <v>110000440416</v>
      </c>
      <c r="E509" s="11" t="s">
        <v>198</v>
      </c>
      <c r="F509" s="11" t="s">
        <v>199</v>
      </c>
      <c r="G509" s="11" t="s">
        <v>782</v>
      </c>
      <c r="H509" s="11" t="s">
        <v>129</v>
      </c>
      <c r="I509" s="11" t="s">
        <v>1982</v>
      </c>
      <c r="J509" s="11">
        <v>38.209220000000002</v>
      </c>
      <c r="K509" s="11">
        <v>-90.476910000000004</v>
      </c>
      <c r="L509" s="11">
        <v>1795</v>
      </c>
      <c r="M509" s="11">
        <v>1795</v>
      </c>
      <c r="N509" s="175" t="str">
        <f>VLOOKUP(M509, '2017 SIC to NAICS'!A:D, 2)</f>
        <v>Wrecking and Demolition Work</v>
      </c>
      <c r="P509" s="187" t="str">
        <f>VLOOKUP(M509, '2017 SIC to NAICS'!A:D, 4)</f>
        <v>Site Preparation Contractors</v>
      </c>
      <c r="Q509" s="176" t="e">
        <f>IFERROR(VLOOKUP(O509, 'NAICS OES crosswalk'!A:C, 3, FALSE), VLOOKUP(M509, 'NAICS OES crosswalk'!A:C, 3, FALSE))</f>
        <v>#N/A</v>
      </c>
      <c r="U509" s="188">
        <v>71401010802</v>
      </c>
      <c r="V509" s="11" t="s">
        <v>783</v>
      </c>
      <c r="W509" s="11"/>
      <c r="X509" s="11">
        <v>1.4607072000000001</v>
      </c>
      <c r="Y509" s="11" t="b">
        <f t="shared" si="8"/>
        <v>0</v>
      </c>
    </row>
    <row r="510" spans="1:25" x14ac:dyDescent="0.35">
      <c r="A510" s="11">
        <v>2021</v>
      </c>
      <c r="B510" s="11" t="s">
        <v>1980</v>
      </c>
      <c r="C510" s="11" t="s">
        <v>861</v>
      </c>
      <c r="D510" s="163">
        <v>110000748095</v>
      </c>
      <c r="E510" s="11" t="s">
        <v>282</v>
      </c>
      <c r="F510" s="11" t="s">
        <v>283</v>
      </c>
      <c r="G510" s="11" t="s">
        <v>862</v>
      </c>
      <c r="H510" s="11" t="s">
        <v>95</v>
      </c>
      <c r="I510" s="11" t="s">
        <v>1981</v>
      </c>
      <c r="J510" s="11">
        <v>30.311361000000002</v>
      </c>
      <c r="K510" s="11">
        <v>-95.387083000000004</v>
      </c>
      <c r="L510" s="11">
        <v>2869</v>
      </c>
      <c r="M510" s="11">
        <v>2869</v>
      </c>
      <c r="N510" s="175" t="str">
        <f>VLOOKUP(M510, '2017 SIC to NAICS'!A:D, 2)</f>
        <v>Industrial Organic Chemicals, Nec</v>
      </c>
      <c r="P510" s="187" t="str">
        <f>VLOOKUP(M510, '2017 SIC to NAICS'!A:D, 4)</f>
        <v>All Other Miscellaneous Chemical Product and Preparation Manufacturing</v>
      </c>
      <c r="Q510" s="176" t="str">
        <f>IFERROR(VLOOKUP(O510, 'NAICS OES crosswalk'!A:C, 3, FALSE), VLOOKUP(M510, 'NAICS OES crosswalk'!A:C, 3, FALSE))</f>
        <v>Manufacturing</v>
      </c>
      <c r="U510" s="188">
        <v>120401010403</v>
      </c>
      <c r="V510" s="11" t="s">
        <v>863</v>
      </c>
      <c r="W510" s="11"/>
      <c r="X510" s="11">
        <v>1.3836785</v>
      </c>
      <c r="Y510" s="11" t="b">
        <f t="shared" si="8"/>
        <v>0</v>
      </c>
    </row>
    <row r="511" spans="1:25" x14ac:dyDescent="0.35">
      <c r="A511" s="11">
        <v>2021</v>
      </c>
      <c r="B511" s="11" t="s">
        <v>1980</v>
      </c>
      <c r="C511" s="11" t="s">
        <v>1043</v>
      </c>
      <c r="D511" s="163">
        <v>110041049950</v>
      </c>
      <c r="E511" s="11" t="s">
        <v>112</v>
      </c>
      <c r="F511" s="11" t="s">
        <v>113</v>
      </c>
      <c r="G511" s="11" t="s">
        <v>1044</v>
      </c>
      <c r="H511" s="11" t="s">
        <v>111</v>
      </c>
      <c r="I511" s="11" t="s">
        <v>1982</v>
      </c>
      <c r="J511" s="11">
        <v>42.437981999999998</v>
      </c>
      <c r="K511" s="11">
        <v>-88.253360999999998</v>
      </c>
      <c r="L511" s="11">
        <v>3873</v>
      </c>
      <c r="M511" s="11">
        <v>3873</v>
      </c>
      <c r="N511" s="175" t="str">
        <f>VLOOKUP(M511, '2017 SIC to NAICS'!A:D, 2)</f>
        <v>Watches, Clocks, Watchcases, and Parts</v>
      </c>
      <c r="P511" s="187" t="str">
        <f>VLOOKUP(M511, '2017 SIC to NAICS'!A:D, 4)</f>
        <v>Other Measuring and Controlling Device
Manufacturing</v>
      </c>
      <c r="Q511" s="176" t="e">
        <f>IFERROR(VLOOKUP(O511, 'NAICS OES crosswalk'!A:C, 3, FALSE), VLOOKUP(M511, 'NAICS OES crosswalk'!A:C, 3, FALSE))</f>
        <v>#N/A</v>
      </c>
      <c r="U511" s="188">
        <v>71200060907</v>
      </c>
      <c r="V511" s="11" t="s">
        <v>1047</v>
      </c>
      <c r="W511" s="11"/>
      <c r="X511" s="11">
        <v>1.3626</v>
      </c>
      <c r="Y511" s="11" t="b">
        <f t="shared" si="8"/>
        <v>0</v>
      </c>
    </row>
    <row r="512" spans="1:25" ht="15" customHeight="1" x14ac:dyDescent="0.35">
      <c r="A512" s="11">
        <v>2021</v>
      </c>
      <c r="B512" s="11" t="s">
        <v>1980</v>
      </c>
      <c r="C512" s="11" t="s">
        <v>1051</v>
      </c>
      <c r="D512" s="163">
        <v>110044852068</v>
      </c>
      <c r="E512" s="11" t="s">
        <v>244</v>
      </c>
      <c r="F512" s="11" t="s">
        <v>245</v>
      </c>
      <c r="G512" s="11" t="s">
        <v>128</v>
      </c>
      <c r="H512" s="11" t="s">
        <v>111</v>
      </c>
      <c r="I512" s="11" t="s">
        <v>1982</v>
      </c>
      <c r="J512" s="11">
        <v>38.2774</v>
      </c>
      <c r="K512" s="11">
        <v>-89.666899999999998</v>
      </c>
      <c r="L512" s="11">
        <v>4911</v>
      </c>
      <c r="M512" s="11">
        <v>4911</v>
      </c>
      <c r="N512" s="175" t="str">
        <f>VLOOKUP(M512, '2017 SIC to NAICS'!A:D, 2)</f>
        <v>Electric Services</v>
      </c>
      <c r="P512" s="187" t="str">
        <f>VLOOKUP(M512, '2017 SIC to NAICS'!A:D, 4)</f>
        <v>Electric Power Distribution</v>
      </c>
      <c r="Q512" s="176" t="e">
        <f>IFERROR(VLOOKUP(O512, 'NAICS OES crosswalk'!A:C, 3, FALSE), VLOOKUP(M512, 'NAICS OES crosswalk'!A:C, 3, FALSE))</f>
        <v>#N/A</v>
      </c>
      <c r="U512" s="188">
        <v>71402040302</v>
      </c>
      <c r="V512" s="11" t="s">
        <v>1052</v>
      </c>
      <c r="W512" s="11"/>
      <c r="X512" s="11">
        <v>1.3066463450000001</v>
      </c>
      <c r="Y512" s="11" t="b">
        <f t="shared" si="8"/>
        <v>0</v>
      </c>
    </row>
    <row r="513" spans="1:25" ht="29" x14ac:dyDescent="0.35">
      <c r="A513" s="11">
        <v>2021</v>
      </c>
      <c r="B513" s="11" t="s">
        <v>1980</v>
      </c>
      <c r="C513" s="11" t="s">
        <v>1283</v>
      </c>
      <c r="D513" s="163">
        <v>110064615590</v>
      </c>
      <c r="E513" s="11" t="s">
        <v>289</v>
      </c>
      <c r="F513" s="11" t="s">
        <v>290</v>
      </c>
      <c r="G513" s="11" t="s">
        <v>1190</v>
      </c>
      <c r="H513" s="11" t="s">
        <v>108</v>
      </c>
      <c r="I513" s="11" t="s">
        <v>1981</v>
      </c>
      <c r="J513" s="11">
        <v>38.32978</v>
      </c>
      <c r="K513" s="11">
        <v>-85.540719999999993</v>
      </c>
      <c r="L513" s="11">
        <v>4952</v>
      </c>
      <c r="M513" s="11">
        <v>4952</v>
      </c>
      <c r="N513" s="175" t="str">
        <f>VLOOKUP(M513, '2017 SIC to NAICS'!A:D, 2)</f>
        <v>Sewerage Systems</v>
      </c>
      <c r="O513" s="11">
        <v>221320</v>
      </c>
      <c r="P513" s="187" t="str">
        <f>VLOOKUP(M513, '2017 SIC to NAICS'!A:D, 4)</f>
        <v>Sewage Treatment Facilities</v>
      </c>
      <c r="Q513" s="176" t="str">
        <f>IFERROR(VLOOKUP(O513, 'NAICS OES crosswalk'!A:C, 3, FALSE), VLOOKUP(M513, 'NAICS OES crosswalk'!A:C, 3, FALSE))</f>
        <v>Waste handling, disposal, and treatment</v>
      </c>
      <c r="U513" s="188">
        <v>51401010504</v>
      </c>
      <c r="V513" s="11" t="s">
        <v>1129</v>
      </c>
      <c r="W513" s="11"/>
      <c r="X513" s="11">
        <v>1.1846576874999999</v>
      </c>
      <c r="Y513" s="11" t="b">
        <f t="shared" si="8"/>
        <v>0</v>
      </c>
    </row>
    <row r="514" spans="1:25" x14ac:dyDescent="0.35">
      <c r="A514" s="11">
        <v>2021</v>
      </c>
      <c r="B514" s="11" t="s">
        <v>1980</v>
      </c>
      <c r="C514" s="11" t="s">
        <v>1496</v>
      </c>
      <c r="D514" s="163">
        <v>110007970142</v>
      </c>
      <c r="E514" s="11" t="s">
        <v>293</v>
      </c>
      <c r="F514" s="11" t="s">
        <v>294</v>
      </c>
      <c r="G514" s="11" t="s">
        <v>1487</v>
      </c>
      <c r="H514" s="11" t="s">
        <v>254</v>
      </c>
      <c r="I514" s="11" t="s">
        <v>1981</v>
      </c>
      <c r="J514" s="11">
        <v>39.698279999999997</v>
      </c>
      <c r="K514" s="11">
        <v>-75.503974999999997</v>
      </c>
      <c r="L514" s="11">
        <v>2869</v>
      </c>
      <c r="M514" s="11">
        <v>2869</v>
      </c>
      <c r="N514" s="175" t="str">
        <f>VLOOKUP(M514, '2017 SIC to NAICS'!A:D, 2)</f>
        <v>Industrial Organic Chemicals, Nec</v>
      </c>
      <c r="P514" s="187" t="str">
        <f>VLOOKUP(M514, '2017 SIC to NAICS'!A:D, 4)</f>
        <v>All Other Miscellaneous Chemical Product and Preparation Manufacturing</v>
      </c>
      <c r="Q514" s="176" t="str">
        <f>IFERROR(VLOOKUP(O514, 'NAICS OES crosswalk'!A:C, 3, FALSE), VLOOKUP(M514, 'NAICS OES crosswalk'!A:C, 3, FALSE))</f>
        <v>Manufacturing</v>
      </c>
      <c r="U514" s="188">
        <v>20402060103</v>
      </c>
      <c r="V514" s="11" t="s">
        <v>1488</v>
      </c>
      <c r="W514" s="11"/>
      <c r="X514" s="11">
        <v>1.1679999999999999</v>
      </c>
      <c r="Y514" s="11" t="b">
        <f t="shared" si="8"/>
        <v>0</v>
      </c>
    </row>
    <row r="515" spans="1:25" x14ac:dyDescent="0.35">
      <c r="A515" s="11">
        <v>2021</v>
      </c>
      <c r="B515" s="11" t="s">
        <v>1980</v>
      </c>
      <c r="C515" s="11" t="s">
        <v>1491</v>
      </c>
      <c r="D515" s="163">
        <v>110000582003</v>
      </c>
      <c r="E515" s="11" t="s">
        <v>299</v>
      </c>
      <c r="F515" s="11" t="s">
        <v>300</v>
      </c>
      <c r="G515" s="11" t="s">
        <v>1492</v>
      </c>
      <c r="H515" s="11" t="s">
        <v>254</v>
      </c>
      <c r="I515" s="11" t="s">
        <v>1981</v>
      </c>
      <c r="J515" s="11">
        <v>39.80142</v>
      </c>
      <c r="K515" s="11">
        <v>-75.354990000000001</v>
      </c>
      <c r="L515" s="11">
        <v>2869</v>
      </c>
      <c r="M515" s="11">
        <v>2869</v>
      </c>
      <c r="N515" s="175" t="str">
        <f>VLOOKUP(M515, '2017 SIC to NAICS'!A:D, 2)</f>
        <v>Industrial Organic Chemicals, Nec</v>
      </c>
      <c r="O515" s="11">
        <v>325199</v>
      </c>
      <c r="P515" s="187" t="str">
        <f>VLOOKUP(M515, '2017 SIC to NAICS'!A:D, 4)</f>
        <v>All Other Miscellaneous Chemical Product and Preparation Manufacturing</v>
      </c>
      <c r="Q515" s="176" t="str">
        <f>IFERROR(VLOOKUP(O515, 'NAICS OES crosswalk'!A:C, 3, FALSE), VLOOKUP(M515, 'NAICS OES crosswalk'!A:C, 3, FALSE))</f>
        <v>Manufacturing</v>
      </c>
      <c r="U515" s="188">
        <v>20402020606</v>
      </c>
      <c r="V515" s="11" t="s">
        <v>1493</v>
      </c>
      <c r="W515" s="11"/>
      <c r="X515" s="11">
        <v>1.0329999999999999</v>
      </c>
      <c r="Y515" s="11" t="b">
        <f t="shared" si="8"/>
        <v>0</v>
      </c>
    </row>
    <row r="516" spans="1:25" ht="29" x14ac:dyDescent="0.35">
      <c r="A516" s="11">
        <v>2021</v>
      </c>
      <c r="B516" s="11" t="s">
        <v>1980</v>
      </c>
      <c r="C516" s="11" t="s">
        <v>1177</v>
      </c>
      <c r="D516" s="163">
        <v>110000759723</v>
      </c>
      <c r="E516" s="11" t="s">
        <v>284</v>
      </c>
      <c r="F516" s="11" t="s">
        <v>285</v>
      </c>
      <c r="G516" s="11" t="s">
        <v>1178</v>
      </c>
      <c r="H516" s="11" t="s">
        <v>108</v>
      </c>
      <c r="I516" s="11" t="s">
        <v>1981</v>
      </c>
      <c r="J516" s="11">
        <v>38.551630000000003</v>
      </c>
      <c r="K516" s="11">
        <v>-82.778199999999998</v>
      </c>
      <c r="L516" s="11">
        <v>4952</v>
      </c>
      <c r="M516" s="11">
        <v>4952</v>
      </c>
      <c r="N516" s="175" t="str">
        <f>VLOOKUP(M516, '2017 SIC to NAICS'!A:D, 2)</f>
        <v>Sewerage Systems</v>
      </c>
      <c r="O516" s="11">
        <v>221320</v>
      </c>
      <c r="P516" s="187" t="str">
        <f>VLOOKUP(M516, '2017 SIC to NAICS'!A:D, 4)</f>
        <v>Sewage Treatment Facilities</v>
      </c>
      <c r="Q516" s="176" t="str">
        <f>IFERROR(VLOOKUP(O516, 'NAICS OES crosswalk'!A:C, 3, FALSE), VLOOKUP(M516, 'NAICS OES crosswalk'!A:C, 3, FALSE))</f>
        <v>Waste handling, disposal, and treatment</v>
      </c>
      <c r="U516" s="188">
        <v>50901030105</v>
      </c>
      <c r="V516" s="11" t="s">
        <v>1179</v>
      </c>
      <c r="W516" s="11"/>
      <c r="X516" s="11">
        <v>1.0050594374999999</v>
      </c>
      <c r="Y516" s="11" t="b">
        <f t="shared" si="8"/>
        <v>0</v>
      </c>
    </row>
    <row r="517" spans="1:25" x14ac:dyDescent="0.35">
      <c r="A517" s="11">
        <v>2021</v>
      </c>
      <c r="B517" s="11" t="s">
        <v>1980</v>
      </c>
      <c r="C517" s="11" t="s">
        <v>830</v>
      </c>
      <c r="D517" s="163">
        <v>110000326521</v>
      </c>
      <c r="E517" s="11" t="s">
        <v>124</v>
      </c>
      <c r="F517" s="11" t="s">
        <v>125</v>
      </c>
      <c r="G517" s="11" t="s">
        <v>831</v>
      </c>
      <c r="H517" s="11" t="s">
        <v>126</v>
      </c>
      <c r="I517" s="11" t="s">
        <v>1981</v>
      </c>
      <c r="J517" s="11">
        <v>43.165965999999997</v>
      </c>
      <c r="K517" s="11">
        <v>-78.740509000000003</v>
      </c>
      <c r="L517" s="11">
        <v>3714</v>
      </c>
      <c r="M517" s="11">
        <v>3714</v>
      </c>
      <c r="N517" s="175" t="str">
        <f>VLOOKUP(M517, '2017 SIC to NAICS'!A:D, 2)</f>
        <v>Motor Vehicle Parts and Accessories</v>
      </c>
      <c r="P517" s="187" t="str">
        <f>VLOOKUP(M517, '2017 SIC to NAICS'!A:D, 4)</f>
        <v>Other Motor Vehicle Parts Manufacturing</v>
      </c>
      <c r="Q517" s="176" t="e">
        <f>IFERROR(VLOOKUP(O517, 'NAICS OES crosswalk'!A:C, 3, FALSE), VLOOKUP(M517, 'NAICS OES crosswalk'!A:C, 3, FALSE))</f>
        <v>#N/A</v>
      </c>
      <c r="U517" s="188">
        <v>41300010703</v>
      </c>
      <c r="V517" s="11" t="s">
        <v>834</v>
      </c>
      <c r="W517" s="11"/>
      <c r="X517" s="11">
        <v>0.90793633750000002</v>
      </c>
      <c r="Y517" s="11" t="b">
        <f t="shared" si="8"/>
        <v>0</v>
      </c>
    </row>
    <row r="518" spans="1:25" ht="29" x14ac:dyDescent="0.35">
      <c r="A518" s="11">
        <v>2021</v>
      </c>
      <c r="B518" s="11" t="s">
        <v>1980</v>
      </c>
      <c r="C518" s="11" t="s">
        <v>1585</v>
      </c>
      <c r="D518" s="163">
        <v>110009827143</v>
      </c>
      <c r="E518" s="11" t="s">
        <v>310</v>
      </c>
      <c r="F518" s="11" t="s">
        <v>311</v>
      </c>
      <c r="G518" s="11" t="s">
        <v>311</v>
      </c>
      <c r="H518" s="11" t="s">
        <v>126</v>
      </c>
      <c r="I518" s="11" t="s">
        <v>1982</v>
      </c>
      <c r="J518" s="11">
        <v>42.593527999999999</v>
      </c>
      <c r="K518" s="11">
        <v>-76.155360999999999</v>
      </c>
      <c r="L518" s="11">
        <v>9999</v>
      </c>
      <c r="M518" s="11">
        <v>9999</v>
      </c>
      <c r="N518" s="175" t="str">
        <f>VLOOKUP(M518, '2017 SIC to NAICS'!A:D, 2)</f>
        <v>Nonclassifiable Establishments</v>
      </c>
      <c r="P518" s="187">
        <f>VLOOKUP(M518, '2017 SIC to NAICS'!A:D, 4)</f>
        <v>0</v>
      </c>
      <c r="Q518" s="176" t="str">
        <f>IFERROR(VLOOKUP(O518, 'NAICS OES crosswalk'!A:C, 3, FALSE), VLOOKUP(M518, 'NAICS OES crosswalk'!A:C, 3, FALSE))</f>
        <v>Uncertain, possibly a remediation site</v>
      </c>
      <c r="U518" s="188">
        <v>20501020403</v>
      </c>
      <c r="V518" s="11" t="s">
        <v>1586</v>
      </c>
      <c r="W518" s="11"/>
      <c r="X518" s="11">
        <v>0.893926</v>
      </c>
      <c r="Y518" s="11" t="b">
        <f t="shared" si="8"/>
        <v>0</v>
      </c>
    </row>
    <row r="519" spans="1:25" ht="29" x14ac:dyDescent="0.35">
      <c r="A519" s="11">
        <v>2021</v>
      </c>
      <c r="B519" s="11" t="s">
        <v>1980</v>
      </c>
      <c r="C519" s="11" t="s">
        <v>1382</v>
      </c>
      <c r="D519" s="163">
        <v>110006040989</v>
      </c>
      <c r="E519" s="11" t="s">
        <v>307</v>
      </c>
      <c r="F519" s="11" t="s">
        <v>308</v>
      </c>
      <c r="G519" s="11" t="s">
        <v>1365</v>
      </c>
      <c r="H519" s="11" t="s">
        <v>181</v>
      </c>
      <c r="I519" s="11" t="s">
        <v>1982</v>
      </c>
      <c r="J519" s="11">
        <v>42.338805999999998</v>
      </c>
      <c r="K519" s="11">
        <v>-85.144028000000006</v>
      </c>
      <c r="L519" s="11">
        <v>9999</v>
      </c>
      <c r="M519" s="11">
        <v>9999</v>
      </c>
      <c r="N519" s="175" t="str">
        <f>VLOOKUP(M519, '2017 SIC to NAICS'!A:D, 2)</f>
        <v>Nonclassifiable Establishments</v>
      </c>
      <c r="O519" s="11">
        <v>562910</v>
      </c>
      <c r="P519" s="187">
        <f>VLOOKUP(M519, '2017 SIC to NAICS'!A:D, 4)</f>
        <v>0</v>
      </c>
      <c r="Q519" s="176" t="str">
        <f>IFERROR(VLOOKUP(O519, 'NAICS OES crosswalk'!A:C, 3, FALSE), VLOOKUP(M519, 'NAICS OES crosswalk'!A:C, 3, FALSE))</f>
        <v>Uncertain, possibly a remediation site</v>
      </c>
      <c r="U519" s="188">
        <v>40500030312</v>
      </c>
      <c r="V519" s="11" t="s">
        <v>1383</v>
      </c>
      <c r="W519" s="11"/>
      <c r="X519" s="11">
        <v>0.84246529999999997</v>
      </c>
      <c r="Y519" s="11" t="b">
        <f t="shared" si="8"/>
        <v>0</v>
      </c>
    </row>
    <row r="520" spans="1:25" x14ac:dyDescent="0.35">
      <c r="A520" s="11">
        <v>2021</v>
      </c>
      <c r="B520" s="11" t="s">
        <v>1980</v>
      </c>
      <c r="C520" s="11" t="s">
        <v>794</v>
      </c>
      <c r="D520" s="163">
        <v>110000433013</v>
      </c>
      <c r="E520" s="11" t="s">
        <v>259</v>
      </c>
      <c r="F520" s="11" t="s">
        <v>260</v>
      </c>
      <c r="G520" s="11" t="s">
        <v>795</v>
      </c>
      <c r="H520" s="11" t="s">
        <v>111</v>
      </c>
      <c r="I520" s="11" t="s">
        <v>1981</v>
      </c>
      <c r="J520" s="11">
        <v>41.412897000000001</v>
      </c>
      <c r="K520" s="11">
        <v>-88.329773000000003</v>
      </c>
      <c r="L520" s="11">
        <v>2821</v>
      </c>
      <c r="M520" s="11">
        <v>2821</v>
      </c>
      <c r="N520" s="175" t="str">
        <f>VLOOKUP(M520, '2017 SIC to NAICS'!A:D, 2)</f>
        <v>Plastics Materials and Resins</v>
      </c>
      <c r="P520" s="187" t="str">
        <f>VLOOKUP(M520, '2017 SIC to NAICS'!A:D, 4)</f>
        <v>Plastics Material and Resin Manufacturing</v>
      </c>
      <c r="Q520" s="176" t="str">
        <f>IFERROR(VLOOKUP(O520, 'NAICS OES crosswalk'!A:C, 3, FALSE), VLOOKUP(M520, 'NAICS OES crosswalk'!A:C, 3, FALSE))</f>
        <v>Processing as a reactant</v>
      </c>
      <c r="U520" s="188">
        <v>71200050106</v>
      </c>
      <c r="V520" s="11" t="s">
        <v>798</v>
      </c>
      <c r="W520" s="11"/>
      <c r="X520" s="11">
        <v>0.83082</v>
      </c>
      <c r="Y520" s="11" t="b">
        <f t="shared" si="8"/>
        <v>0</v>
      </c>
    </row>
    <row r="521" spans="1:25" x14ac:dyDescent="0.35">
      <c r="A521" s="11">
        <v>2021</v>
      </c>
      <c r="B521" s="11" t="s">
        <v>1980</v>
      </c>
      <c r="C521" s="11" t="s">
        <v>1290</v>
      </c>
      <c r="D521" s="163">
        <v>110000597426</v>
      </c>
      <c r="E521" s="11" t="s">
        <v>318</v>
      </c>
      <c r="F521" s="11" t="s">
        <v>319</v>
      </c>
      <c r="G521" s="11" t="s">
        <v>1291</v>
      </c>
      <c r="H521" s="11" t="s">
        <v>91</v>
      </c>
      <c r="I521" s="11" t="s">
        <v>1981</v>
      </c>
      <c r="J521" s="11">
        <v>30.241299999999999</v>
      </c>
      <c r="K521" s="11">
        <v>-91.100899999999996</v>
      </c>
      <c r="L521" s="11">
        <v>2819</v>
      </c>
      <c r="M521" s="11">
        <v>2819</v>
      </c>
      <c r="N521" s="175" t="str">
        <f>VLOOKUP(M521, '2017 SIC to NAICS'!A:D, 2)</f>
        <v>Industrial Inorganic Chemicals, Nec</v>
      </c>
      <c r="P521" s="187" t="str">
        <f>VLOOKUP(M521, '2017 SIC to NAICS'!A:D, 4)</f>
        <v>Alumina Refining and Primary Aluminum
Production</v>
      </c>
      <c r="Q521" s="176" t="str">
        <f>IFERROR(VLOOKUP(O521, 'NAICS OES crosswalk'!A:C, 3, FALSE), VLOOKUP(M521, 'NAICS OES crosswalk'!A:C, 3, FALSE))</f>
        <v>Processing as a reactant</v>
      </c>
      <c r="U521" s="188">
        <v>80702020801</v>
      </c>
      <c r="V521" s="11" t="s">
        <v>1292</v>
      </c>
      <c r="W521" s="11"/>
      <c r="X521" s="11">
        <v>0.82855000000000001</v>
      </c>
      <c r="Y521" s="11" t="b">
        <f t="shared" si="8"/>
        <v>0</v>
      </c>
    </row>
    <row r="522" spans="1:25" x14ac:dyDescent="0.35">
      <c r="A522" s="11">
        <v>2021</v>
      </c>
      <c r="B522" s="11" t="s">
        <v>1980</v>
      </c>
      <c r="C522" s="11" t="s">
        <v>841</v>
      </c>
      <c r="D522" s="163">
        <v>110000324391</v>
      </c>
      <c r="E522" s="11" t="s">
        <v>315</v>
      </c>
      <c r="F522" s="11" t="s">
        <v>316</v>
      </c>
      <c r="G522" s="11" t="s">
        <v>842</v>
      </c>
      <c r="H522" s="11" t="s">
        <v>126</v>
      </c>
      <c r="I522" s="11" t="s">
        <v>1981</v>
      </c>
      <c r="J522" s="11">
        <v>42.575806</v>
      </c>
      <c r="K522" s="11">
        <v>-73.859943999999999</v>
      </c>
      <c r="L522" s="11">
        <v>2821</v>
      </c>
      <c r="M522" s="11">
        <v>2821</v>
      </c>
      <c r="N522" s="175" t="str">
        <f>VLOOKUP(M522, '2017 SIC to NAICS'!A:D, 2)</f>
        <v>Plastics Materials and Resins</v>
      </c>
      <c r="P522" s="187" t="str">
        <f>VLOOKUP(M522, '2017 SIC to NAICS'!A:D, 4)</f>
        <v>Plastics Material and Resin Manufacturing</v>
      </c>
      <c r="Q522" s="176" t="str">
        <f>IFERROR(VLOOKUP(O522, 'NAICS OES crosswalk'!A:C, 3, FALSE), VLOOKUP(M522, 'NAICS OES crosswalk'!A:C, 3, FALSE))</f>
        <v>Processing as a reactant</v>
      </c>
      <c r="U522" s="188">
        <v>20200060402</v>
      </c>
      <c r="V522" s="11" t="s">
        <v>843</v>
      </c>
      <c r="W522" s="11"/>
      <c r="X522" s="11">
        <v>0.82855000000000001</v>
      </c>
      <c r="Y522" s="11" t="b">
        <f t="shared" si="8"/>
        <v>0</v>
      </c>
    </row>
    <row r="523" spans="1:25" x14ac:dyDescent="0.35">
      <c r="A523" s="11">
        <v>2021</v>
      </c>
      <c r="B523" s="11" t="s">
        <v>1980</v>
      </c>
      <c r="C523" s="11" t="s">
        <v>1289</v>
      </c>
      <c r="D523" s="163">
        <v>110000597266</v>
      </c>
      <c r="E523" s="11" t="s">
        <v>317</v>
      </c>
      <c r="F523" s="11" t="s">
        <v>90</v>
      </c>
      <c r="G523" s="11" t="s">
        <v>771</v>
      </c>
      <c r="H523" s="11" t="s">
        <v>91</v>
      </c>
      <c r="I523" s="11" t="s">
        <v>1981</v>
      </c>
      <c r="J523" s="11">
        <v>30.193916000000002</v>
      </c>
      <c r="K523" s="11">
        <v>-93.321347000000003</v>
      </c>
      <c r="L523" s="11">
        <v>2821</v>
      </c>
      <c r="M523" s="11">
        <v>2821</v>
      </c>
      <c r="N523" s="175" t="str">
        <f>VLOOKUP(M523, '2017 SIC to NAICS'!A:D, 2)</f>
        <v>Plastics Materials and Resins</v>
      </c>
      <c r="P523" s="187" t="str">
        <f>VLOOKUP(M523, '2017 SIC to NAICS'!A:D, 4)</f>
        <v>Plastics Material and Resin Manufacturing</v>
      </c>
      <c r="Q523" s="176" t="str">
        <f>IFERROR(VLOOKUP(O523, 'NAICS OES crosswalk'!A:C, 3, FALSE), VLOOKUP(M523, 'NAICS OES crosswalk'!A:C, 3, FALSE))</f>
        <v>Processing as a reactant</v>
      </c>
      <c r="U523" s="188">
        <v>80802060301</v>
      </c>
      <c r="V523" s="11" t="s">
        <v>1286</v>
      </c>
      <c r="W523" s="11"/>
      <c r="X523" s="11">
        <v>0.82855000000000001</v>
      </c>
      <c r="Y523" s="11" t="b">
        <f t="shared" si="8"/>
        <v>0</v>
      </c>
    </row>
    <row r="524" spans="1:25" ht="29" x14ac:dyDescent="0.35">
      <c r="A524" s="11">
        <v>2021</v>
      </c>
      <c r="B524" s="11" t="s">
        <v>1980</v>
      </c>
      <c r="C524" s="11" t="s">
        <v>1147</v>
      </c>
      <c r="D524" s="163">
        <v>110006367136</v>
      </c>
      <c r="E524" s="11" t="s">
        <v>320</v>
      </c>
      <c r="F524" s="11" t="s">
        <v>321</v>
      </c>
      <c r="G524" s="11" t="s">
        <v>1148</v>
      </c>
      <c r="H524" s="11" t="s">
        <v>108</v>
      </c>
      <c r="I524" s="11" t="s">
        <v>1981</v>
      </c>
      <c r="J524" s="11">
        <v>37.021974</v>
      </c>
      <c r="K524" s="11">
        <v>-88.512833000000001</v>
      </c>
      <c r="L524" s="11">
        <v>4952</v>
      </c>
      <c r="M524" s="11">
        <v>4952</v>
      </c>
      <c r="N524" s="175" t="str">
        <f>VLOOKUP(M524, '2017 SIC to NAICS'!A:D, 2)</f>
        <v>Sewerage Systems</v>
      </c>
      <c r="O524" s="11">
        <v>221320</v>
      </c>
      <c r="P524" s="187" t="str">
        <f>VLOOKUP(M524, '2017 SIC to NAICS'!A:D, 4)</f>
        <v>Sewage Treatment Facilities</v>
      </c>
      <c r="Q524" s="176" t="str">
        <f>IFERROR(VLOOKUP(O524, 'NAICS OES crosswalk'!A:C, 3, FALSE), VLOOKUP(M524, 'NAICS OES crosswalk'!A:C, 3, FALSE))</f>
        <v>Waste handling, disposal, and treatment</v>
      </c>
      <c r="U524" s="188">
        <v>60400060505</v>
      </c>
      <c r="V524" s="11" t="s">
        <v>1149</v>
      </c>
      <c r="W524" s="11"/>
      <c r="X524" s="11">
        <v>0.79437687499999998</v>
      </c>
      <c r="Y524" s="11" t="b">
        <f t="shared" ref="Y524:Y587" si="9" xml:space="preserve"> X524 &lt;= _xlfn.PERCENTILE.INC($X$459:$X$700, 0.1)</f>
        <v>0</v>
      </c>
    </row>
    <row r="525" spans="1:25" x14ac:dyDescent="0.35">
      <c r="A525" s="11">
        <v>2021</v>
      </c>
      <c r="B525" s="11" t="s">
        <v>1980</v>
      </c>
      <c r="C525" s="11" t="s">
        <v>855</v>
      </c>
      <c r="D525" s="163">
        <v>110000373621</v>
      </c>
      <c r="E525" s="11" t="s">
        <v>324</v>
      </c>
      <c r="F525" s="11" t="s">
        <v>325</v>
      </c>
      <c r="G525" s="11" t="s">
        <v>856</v>
      </c>
      <c r="H525" s="11" t="s">
        <v>161</v>
      </c>
      <c r="I525" s="11" t="s">
        <v>1982</v>
      </c>
      <c r="J525" s="11">
        <v>35.607599999999998</v>
      </c>
      <c r="K525" s="11">
        <v>-89.237700000000004</v>
      </c>
      <c r="L525" s="11">
        <v>3087</v>
      </c>
      <c r="M525" s="11">
        <v>3087</v>
      </c>
      <c r="N525" s="175" t="str">
        <f>VLOOKUP(M525, '2017 SIC to NAICS'!A:D, 2)</f>
        <v>Custom Compound Purchased Resins</v>
      </c>
      <c r="O525" s="11">
        <v>325991</v>
      </c>
      <c r="P525" s="187" t="str">
        <f>VLOOKUP(M525, '2017 SIC to NAICS'!A:D, 4)</f>
        <v>Custom Compounding of Purchased
Resins</v>
      </c>
      <c r="Q525" s="176" t="e">
        <f>IFERROR(VLOOKUP(O525, 'NAICS OES crosswalk'!A:C, 3, FALSE), VLOOKUP(M525, 'NAICS OES crosswalk'!A:C, 3, FALSE))</f>
        <v>#N/A</v>
      </c>
      <c r="U525" s="188">
        <v>80102050401</v>
      </c>
      <c r="V525" s="11" t="s">
        <v>859</v>
      </c>
      <c r="W525" s="11"/>
      <c r="X525" s="11">
        <v>0.78056162500000004</v>
      </c>
      <c r="Y525" s="11" t="b">
        <f t="shared" si="9"/>
        <v>0</v>
      </c>
    </row>
    <row r="526" spans="1:25" x14ac:dyDescent="0.35">
      <c r="A526" s="11">
        <v>2021</v>
      </c>
      <c r="B526" s="11" t="s">
        <v>1980</v>
      </c>
      <c r="C526" s="11" t="s">
        <v>861</v>
      </c>
      <c r="D526" s="163">
        <v>110000748095</v>
      </c>
      <c r="E526" s="11" t="s">
        <v>282</v>
      </c>
      <c r="F526" s="11" t="s">
        <v>283</v>
      </c>
      <c r="G526" s="11" t="s">
        <v>862</v>
      </c>
      <c r="H526" s="11" t="s">
        <v>95</v>
      </c>
      <c r="I526" s="11" t="s">
        <v>1981</v>
      </c>
      <c r="J526" s="11">
        <v>30.311361000000002</v>
      </c>
      <c r="K526" s="11">
        <v>-95.387083000000004</v>
      </c>
      <c r="L526" s="11">
        <v>2869</v>
      </c>
      <c r="M526" s="11">
        <v>2869</v>
      </c>
      <c r="N526" s="175" t="str">
        <f>VLOOKUP(M526, '2017 SIC to NAICS'!A:D, 2)</f>
        <v>Industrial Organic Chemicals, Nec</v>
      </c>
      <c r="P526" s="187" t="str">
        <f>VLOOKUP(M526, '2017 SIC to NAICS'!A:D, 4)</f>
        <v>All Other Miscellaneous Chemical Product and Preparation Manufacturing</v>
      </c>
      <c r="Q526" s="176" t="str">
        <f>IFERROR(VLOOKUP(O526, 'NAICS OES crosswalk'!A:C, 3, FALSE), VLOOKUP(M526, 'NAICS OES crosswalk'!A:C, 3, FALSE))</f>
        <v>Manufacturing</v>
      </c>
      <c r="U526" s="188">
        <v>120401010403</v>
      </c>
      <c r="V526" s="11" t="s">
        <v>863</v>
      </c>
      <c r="W526" s="11"/>
      <c r="X526" s="11">
        <v>0.745695</v>
      </c>
      <c r="Y526" s="11" t="b">
        <f t="shared" si="9"/>
        <v>0</v>
      </c>
    </row>
    <row r="527" spans="1:25" x14ac:dyDescent="0.35">
      <c r="A527" s="11">
        <v>2021</v>
      </c>
      <c r="B527" s="11" t="s">
        <v>1980</v>
      </c>
      <c r="C527" s="11" t="s">
        <v>837</v>
      </c>
      <c r="D527" s="163">
        <v>110011779147</v>
      </c>
      <c r="E527" s="11" t="s">
        <v>172</v>
      </c>
      <c r="F527" s="11" t="s">
        <v>173</v>
      </c>
      <c r="G527" s="11" t="s">
        <v>838</v>
      </c>
      <c r="H527" s="11" t="s">
        <v>126</v>
      </c>
      <c r="I527" s="11" t="s">
        <v>1982</v>
      </c>
      <c r="J527" s="11">
        <v>43.075907999999998</v>
      </c>
      <c r="K527" s="11">
        <v>-76.089072000000002</v>
      </c>
      <c r="L527" s="11">
        <v>3585</v>
      </c>
      <c r="M527" s="11">
        <v>3585</v>
      </c>
      <c r="N527" s="175" t="str">
        <f>VLOOKUP(M527, '2017 SIC to NAICS'!A:D, 2)</f>
        <v>Refrigeration and Heating Equipment</v>
      </c>
      <c r="P527" s="187" t="str">
        <f>VLOOKUP(M527, '2017 SIC to NAICS'!A:D, 4)</f>
        <v>Other Motor Vehicle Parts Manufacturing</v>
      </c>
      <c r="Q527" s="176" t="e">
        <f>IFERROR(VLOOKUP(O527, 'NAICS OES crosswalk'!A:C, 3, FALSE), VLOOKUP(M527, 'NAICS OES crosswalk'!A:C, 3, FALSE))</f>
        <v>#N/A</v>
      </c>
      <c r="U527" s="188">
        <v>41402011508</v>
      </c>
      <c r="V527" s="11" t="s">
        <v>839</v>
      </c>
      <c r="W527" s="11"/>
      <c r="X527" s="11">
        <v>0.74354432500000001</v>
      </c>
      <c r="Y527" s="11" t="b">
        <f t="shared" si="9"/>
        <v>0</v>
      </c>
    </row>
    <row r="528" spans="1:25" x14ac:dyDescent="0.35">
      <c r="A528" s="11">
        <v>2021</v>
      </c>
      <c r="B528" s="11" t="s">
        <v>1980</v>
      </c>
      <c r="C528" s="11" t="s">
        <v>1709</v>
      </c>
      <c r="D528" s="163">
        <v>110060340162</v>
      </c>
      <c r="E528" s="11" t="s">
        <v>313</v>
      </c>
      <c r="F528" s="11" t="s">
        <v>314</v>
      </c>
      <c r="G528" s="11" t="s">
        <v>747</v>
      </c>
      <c r="H528" s="11" t="s">
        <v>95</v>
      </c>
      <c r="I528" s="11" t="s">
        <v>1982</v>
      </c>
      <c r="J528" s="11">
        <v>29.738610999999999</v>
      </c>
      <c r="K528" s="11">
        <v>-95.166944000000001</v>
      </c>
      <c r="L528" s="11">
        <v>2869</v>
      </c>
      <c r="M528" s="11">
        <v>2869</v>
      </c>
      <c r="N528" s="175" t="str">
        <f>VLOOKUP(M528, '2017 SIC to NAICS'!A:D, 2)</f>
        <v>Industrial Organic Chemicals, Nec</v>
      </c>
      <c r="P528" s="187" t="str">
        <f>VLOOKUP(M528, '2017 SIC to NAICS'!A:D, 4)</f>
        <v>All Other Miscellaneous Chemical Product and Preparation Manufacturing</v>
      </c>
      <c r="Q528" s="176" t="str">
        <f>IFERROR(VLOOKUP(O528, 'NAICS OES crosswalk'!A:C, 3, FALSE), VLOOKUP(M528, 'NAICS OES crosswalk'!A:C, 3, FALSE))</f>
        <v>Manufacturing</v>
      </c>
      <c r="U528" s="188">
        <v>120401040703</v>
      </c>
      <c r="V528" s="11" t="s">
        <v>1688</v>
      </c>
      <c r="W528" s="11"/>
      <c r="X528" s="11">
        <v>0.71839299999999995</v>
      </c>
      <c r="Y528" s="11" t="b">
        <f t="shared" si="9"/>
        <v>0</v>
      </c>
    </row>
    <row r="529" spans="1:25" x14ac:dyDescent="0.35">
      <c r="A529" s="11">
        <v>2021</v>
      </c>
      <c r="B529" s="11" t="s">
        <v>1980</v>
      </c>
      <c r="C529" s="11" t="s">
        <v>855</v>
      </c>
      <c r="D529" s="163">
        <v>110000373621</v>
      </c>
      <c r="E529" s="11" t="s">
        <v>324</v>
      </c>
      <c r="F529" s="11" t="s">
        <v>325</v>
      </c>
      <c r="G529" s="11" t="s">
        <v>856</v>
      </c>
      <c r="H529" s="11" t="s">
        <v>161</v>
      </c>
      <c r="I529" s="11" t="s">
        <v>1982</v>
      </c>
      <c r="J529" s="11">
        <v>35.607599999999998</v>
      </c>
      <c r="K529" s="11">
        <v>-89.237700000000004</v>
      </c>
      <c r="L529" s="11">
        <v>3087</v>
      </c>
      <c r="M529" s="11">
        <v>3087</v>
      </c>
      <c r="N529" s="175" t="str">
        <f>VLOOKUP(M529, '2017 SIC to NAICS'!A:D, 2)</f>
        <v>Custom Compound Purchased Resins</v>
      </c>
      <c r="O529" s="11">
        <v>325991</v>
      </c>
      <c r="P529" s="187" t="str">
        <f>VLOOKUP(M529, '2017 SIC to NAICS'!A:D, 4)</f>
        <v>Custom Compounding of Purchased
Resins</v>
      </c>
      <c r="Q529" s="176" t="e">
        <f>IFERROR(VLOOKUP(O529, 'NAICS OES crosswalk'!A:C, 3, FALSE), VLOOKUP(M529, 'NAICS OES crosswalk'!A:C, 3, FALSE))</f>
        <v>#N/A</v>
      </c>
      <c r="U529" s="188">
        <v>80102050401</v>
      </c>
      <c r="V529" s="11" t="s">
        <v>859</v>
      </c>
      <c r="W529" s="11"/>
      <c r="X529" s="11">
        <v>0.70803156249999999</v>
      </c>
      <c r="Y529" s="11" t="b">
        <f t="shared" si="9"/>
        <v>0</v>
      </c>
    </row>
    <row r="530" spans="1:25" ht="29" x14ac:dyDescent="0.35">
      <c r="A530" s="11">
        <v>2021</v>
      </c>
      <c r="B530" s="11" t="s">
        <v>1980</v>
      </c>
      <c r="C530" s="11" t="s">
        <v>1256</v>
      </c>
      <c r="D530" s="163">
        <v>110016759444</v>
      </c>
      <c r="E530" s="11" t="s">
        <v>305</v>
      </c>
      <c r="F530" s="11" t="s">
        <v>119</v>
      </c>
      <c r="G530" s="11" t="s">
        <v>1219</v>
      </c>
      <c r="H530" s="11" t="s">
        <v>108</v>
      </c>
      <c r="I530" s="11" t="s">
        <v>1981</v>
      </c>
      <c r="J530" s="11">
        <v>37.852220000000003</v>
      </c>
      <c r="K530" s="11">
        <v>-84.363079999999997</v>
      </c>
      <c r="L530" s="11">
        <v>4952</v>
      </c>
      <c r="M530" s="11">
        <v>4952</v>
      </c>
      <c r="N530" s="175" t="str">
        <f>VLOOKUP(M530, '2017 SIC to NAICS'!A:D, 2)</f>
        <v>Sewerage Systems</v>
      </c>
      <c r="O530" s="11">
        <v>221320</v>
      </c>
      <c r="P530" s="187" t="str">
        <f>VLOOKUP(M530, '2017 SIC to NAICS'!A:D, 4)</f>
        <v>Sewage Treatment Facilities</v>
      </c>
      <c r="Q530" s="176" t="str">
        <f>IFERROR(VLOOKUP(O530, 'NAICS OES crosswalk'!A:C, 3, FALSE), VLOOKUP(M530, 'NAICS OES crosswalk'!A:C, 3, FALSE))</f>
        <v>Waste handling, disposal, and treatment</v>
      </c>
      <c r="U530" s="188">
        <v>51002050308</v>
      </c>
      <c r="V530" s="11" t="s">
        <v>1257</v>
      </c>
      <c r="W530" s="11"/>
      <c r="X530" s="11">
        <v>0.69352555000000005</v>
      </c>
      <c r="Y530" s="11" t="b">
        <f t="shared" si="9"/>
        <v>0</v>
      </c>
    </row>
    <row r="531" spans="1:25" x14ac:dyDescent="0.35">
      <c r="A531" s="11">
        <v>2021</v>
      </c>
      <c r="B531" s="11" t="s">
        <v>1980</v>
      </c>
      <c r="C531" s="11" t="s">
        <v>1555</v>
      </c>
      <c r="D531" s="163">
        <v>110043808467</v>
      </c>
      <c r="E531" s="11" t="s">
        <v>346</v>
      </c>
      <c r="F531" s="11" t="s">
        <v>347</v>
      </c>
      <c r="G531" s="11" t="s">
        <v>823</v>
      </c>
      <c r="H531" s="11" t="s">
        <v>221</v>
      </c>
      <c r="I531" s="11" t="s">
        <v>1982</v>
      </c>
      <c r="J531" s="11">
        <v>36.035440000000001</v>
      </c>
      <c r="K531" s="11">
        <v>-114.99994</v>
      </c>
      <c r="L531" s="11">
        <v>1799</v>
      </c>
      <c r="M531" s="11">
        <v>1799</v>
      </c>
      <c r="N531" s="175" t="str">
        <f>VLOOKUP(M531, '2017 SIC to NAICS'!A:D, 2)</f>
        <v>Special Trade Contractors, Nec</v>
      </c>
      <c r="O531" s="11">
        <v>541990</v>
      </c>
      <c r="P531" s="187" t="str">
        <f>VLOOKUP(M531, '2017 SIC to NAICS'!A:D, 4)</f>
        <v>Remediation Services</v>
      </c>
      <c r="Q531" s="176" t="e">
        <f>IFERROR(VLOOKUP(O531, 'NAICS OES crosswalk'!A:C, 3, FALSE), VLOOKUP(M531, 'NAICS OES crosswalk'!A:C, 3, FALSE))</f>
        <v>#N/A</v>
      </c>
      <c r="U531" s="188">
        <v>150100150708</v>
      </c>
      <c r="V531" s="11" t="s">
        <v>1556</v>
      </c>
      <c r="W531" s="11"/>
      <c r="X531" s="11">
        <v>0.62498222800000003</v>
      </c>
      <c r="Y531" s="11" t="b">
        <f t="shared" si="9"/>
        <v>0</v>
      </c>
    </row>
    <row r="532" spans="1:25" ht="29" x14ac:dyDescent="0.35">
      <c r="A532" s="11">
        <v>2021</v>
      </c>
      <c r="B532" s="11" t="s">
        <v>1980</v>
      </c>
      <c r="C532" s="11" t="s">
        <v>918</v>
      </c>
      <c r="D532" s="163">
        <v>110013848453</v>
      </c>
      <c r="E532" s="11" t="s">
        <v>239</v>
      </c>
      <c r="F532" s="11" t="s">
        <v>240</v>
      </c>
      <c r="G532" s="11" t="s">
        <v>240</v>
      </c>
      <c r="H532" s="11" t="s">
        <v>102</v>
      </c>
      <c r="I532" s="11" t="s">
        <v>1981</v>
      </c>
      <c r="J532" s="11">
        <v>36.963245999999998</v>
      </c>
      <c r="K532" s="11">
        <v>-122.034009</v>
      </c>
      <c r="L532" s="11">
        <v>4952</v>
      </c>
      <c r="M532" s="11">
        <v>4952</v>
      </c>
      <c r="N532" s="175" t="str">
        <f>VLOOKUP(M532, '2017 SIC to NAICS'!A:D, 2)</f>
        <v>Sewerage Systems</v>
      </c>
      <c r="P532" s="187" t="str">
        <f>VLOOKUP(M532, '2017 SIC to NAICS'!A:D, 4)</f>
        <v>Sewage Treatment Facilities</v>
      </c>
      <c r="Q532" s="176" t="str">
        <f>IFERROR(VLOOKUP(O532, 'NAICS OES crosswalk'!A:C, 3, FALSE), VLOOKUP(M532, 'NAICS OES crosswalk'!A:C, 3, FALSE))</f>
        <v>Waste handling, disposal, and treatment</v>
      </c>
      <c r="U532" s="188">
        <v>180600150305</v>
      </c>
      <c r="V532" s="11" t="s">
        <v>919</v>
      </c>
      <c r="W532" s="11"/>
      <c r="X532" s="11">
        <v>0.59970471110000001</v>
      </c>
      <c r="Y532" s="11" t="b">
        <f t="shared" si="9"/>
        <v>0</v>
      </c>
    </row>
    <row r="533" spans="1:25" x14ac:dyDescent="0.35">
      <c r="A533" s="11">
        <v>2021</v>
      </c>
      <c r="B533" s="11" t="s">
        <v>1980</v>
      </c>
      <c r="C533" s="11" t="s">
        <v>1151</v>
      </c>
      <c r="D533" s="163">
        <v>110006749162</v>
      </c>
      <c r="E533" s="11" t="s">
        <v>344</v>
      </c>
      <c r="F533" s="11" t="s">
        <v>345</v>
      </c>
      <c r="G533" s="11" t="s">
        <v>1152</v>
      </c>
      <c r="H533" s="11" t="s">
        <v>108</v>
      </c>
      <c r="I533" s="11" t="s">
        <v>1981</v>
      </c>
      <c r="J533" s="11">
        <v>37.700833000000003</v>
      </c>
      <c r="K533" s="11">
        <v>-83.984443999999996</v>
      </c>
      <c r="L533" s="11">
        <v>8711</v>
      </c>
      <c r="M533" s="11">
        <v>8711</v>
      </c>
      <c r="N533" s="175" t="str">
        <f>VLOOKUP(M533, '2017 SIC to NAICS'!A:D, 2)</f>
        <v>Engineering Services</v>
      </c>
      <c r="O533" s="11">
        <v>541330</v>
      </c>
      <c r="P533" s="187" t="str">
        <f>VLOOKUP(M533, '2017 SIC to NAICS'!A:D, 4)</f>
        <v>Engineering Services</v>
      </c>
      <c r="Q533" s="176" t="e">
        <f>IFERROR(VLOOKUP(O533, 'NAICS OES crosswalk'!A:C, 3, FALSE), VLOOKUP(M533, 'NAICS OES crosswalk'!A:C, 3, FALSE))</f>
        <v>#N/A</v>
      </c>
      <c r="U533" s="188">
        <v>51002040505</v>
      </c>
      <c r="V533" s="11" t="s">
        <v>1153</v>
      </c>
      <c r="W533" s="11"/>
      <c r="X533" s="11">
        <v>0.58231278750000004</v>
      </c>
      <c r="Y533" s="11" t="b">
        <f t="shared" si="9"/>
        <v>0</v>
      </c>
    </row>
    <row r="534" spans="1:25" x14ac:dyDescent="0.35">
      <c r="A534" s="11">
        <v>2021</v>
      </c>
      <c r="B534" s="11" t="s">
        <v>1980</v>
      </c>
      <c r="C534" s="11" t="s">
        <v>1619</v>
      </c>
      <c r="D534" s="163">
        <v>110059344473</v>
      </c>
      <c r="E534" s="11" t="s">
        <v>338</v>
      </c>
      <c r="F534" s="11" t="s">
        <v>339</v>
      </c>
      <c r="G534" s="11" t="s">
        <v>1616</v>
      </c>
      <c r="H534" s="11" t="s">
        <v>340</v>
      </c>
      <c r="I534" s="11" t="s">
        <v>1981</v>
      </c>
      <c r="J534" s="11">
        <v>40.655278000000003</v>
      </c>
      <c r="K534" s="11">
        <v>-80.356388999999993</v>
      </c>
      <c r="L534" s="11">
        <v>2821</v>
      </c>
      <c r="M534" s="11">
        <v>2821</v>
      </c>
      <c r="N534" s="175" t="str">
        <f>VLOOKUP(M534, '2017 SIC to NAICS'!A:D, 2)</f>
        <v>Plastics Materials and Resins</v>
      </c>
      <c r="O534" s="11">
        <v>325211</v>
      </c>
      <c r="P534" s="187" t="str">
        <f>VLOOKUP(M534, '2017 SIC to NAICS'!A:D, 4)</f>
        <v>Plastics Material and Resin Manufacturing</v>
      </c>
      <c r="Q534" s="176" t="str">
        <f>IFERROR(VLOOKUP(O534, 'NAICS OES crosswalk'!A:C, 3, FALSE), VLOOKUP(M534, 'NAICS OES crosswalk'!A:C, 3, FALSE))</f>
        <v>Processing as a reactant</v>
      </c>
      <c r="U534" s="188">
        <v>50301010310</v>
      </c>
      <c r="V534" s="11" t="s">
        <v>1617</v>
      </c>
      <c r="W534" s="11"/>
      <c r="X534" s="11">
        <v>0.57998499999999997</v>
      </c>
      <c r="Y534" s="11" t="b">
        <f t="shared" si="9"/>
        <v>0</v>
      </c>
    </row>
    <row r="535" spans="1:25" x14ac:dyDescent="0.35">
      <c r="A535" s="11">
        <v>2021</v>
      </c>
      <c r="B535" s="11" t="s">
        <v>1980</v>
      </c>
      <c r="C535" s="11" t="s">
        <v>1677</v>
      </c>
      <c r="D535" s="163">
        <v>110070828339</v>
      </c>
      <c r="E535" s="11" t="s">
        <v>281</v>
      </c>
      <c r="F535" s="11" t="s">
        <v>160</v>
      </c>
      <c r="G535" s="11" t="s">
        <v>1678</v>
      </c>
      <c r="H535" s="11" t="s">
        <v>161</v>
      </c>
      <c r="I535" s="11" t="s">
        <v>1981</v>
      </c>
      <c r="J535" s="11">
        <v>36.550454999999999</v>
      </c>
      <c r="K535" s="11">
        <v>-82.634793999999999</v>
      </c>
      <c r="L535" s="11">
        <v>2892</v>
      </c>
      <c r="M535" s="11">
        <v>2892</v>
      </c>
      <c r="N535" s="175" t="str">
        <f>VLOOKUP(M535, '2017 SIC to NAICS'!A:D, 2)</f>
        <v>Explosives</v>
      </c>
      <c r="O535" s="11">
        <v>325920</v>
      </c>
      <c r="P535" s="187" t="str">
        <f>VLOOKUP(M535, '2017 SIC to NAICS'!A:D, 4)</f>
        <v>Explosives Manufacturing</v>
      </c>
      <c r="Q535" s="176" t="e">
        <f>IFERROR(VLOOKUP(O535, 'NAICS OES crosswalk'!A:C, 3, FALSE), VLOOKUP(M535, 'NAICS OES crosswalk'!A:C, 3, FALSE))</f>
        <v>#N/A</v>
      </c>
      <c r="U535" s="188">
        <v>60101040101</v>
      </c>
      <c r="V535" s="11" t="s">
        <v>1681</v>
      </c>
      <c r="W535" s="11"/>
      <c r="X535" s="11">
        <v>0.49713000000000002</v>
      </c>
      <c r="Y535" s="11" t="b">
        <f t="shared" si="9"/>
        <v>0</v>
      </c>
    </row>
    <row r="536" spans="1:25" x14ac:dyDescent="0.35">
      <c r="A536" s="11">
        <v>2021</v>
      </c>
      <c r="B536" s="11" t="s">
        <v>1980</v>
      </c>
      <c r="C536" s="11" t="s">
        <v>1018</v>
      </c>
      <c r="D536" s="163">
        <v>110006777247</v>
      </c>
      <c r="E536" s="11" t="s">
        <v>230</v>
      </c>
      <c r="F536" s="11" t="s">
        <v>231</v>
      </c>
      <c r="G536" s="11" t="s">
        <v>1011</v>
      </c>
      <c r="H536" s="11" t="s">
        <v>156</v>
      </c>
      <c r="I536" s="11" t="s">
        <v>1982</v>
      </c>
      <c r="J536" s="11">
        <v>21.994944</v>
      </c>
      <c r="K536" s="11">
        <v>-159.75363899999999</v>
      </c>
      <c r="L536" s="11">
        <v>913</v>
      </c>
      <c r="M536" s="11">
        <v>913</v>
      </c>
      <c r="N536" s="175" t="str">
        <f>VLOOKUP(M536, '2017 SIC to NAICS'!A:D, 2)</f>
        <v>Shellfish</v>
      </c>
      <c r="P536" s="187" t="str">
        <f>VLOOKUP(M536, '2017 SIC to NAICS'!A:D, 4)</f>
        <v>Shellfish Fishing</v>
      </c>
      <c r="Q536" s="176" t="e">
        <f>IFERROR(VLOOKUP(O536, 'NAICS OES crosswalk'!A:C, 3, FALSE), VLOOKUP(M536, 'NAICS OES crosswalk'!A:C, 3, FALSE))</f>
        <v>#N/A</v>
      </c>
      <c r="U536" s="188">
        <v>200700000501</v>
      </c>
      <c r="V536" s="11" t="s">
        <v>1019</v>
      </c>
      <c r="W536" s="11"/>
      <c r="X536" s="11">
        <v>0.48491527499999998</v>
      </c>
      <c r="Y536" s="11" t="b">
        <f t="shared" si="9"/>
        <v>0</v>
      </c>
    </row>
    <row r="537" spans="1:25" ht="29" x14ac:dyDescent="0.35">
      <c r="A537" s="11">
        <v>2021</v>
      </c>
      <c r="B537" s="11" t="s">
        <v>1980</v>
      </c>
      <c r="C537" s="11" t="s">
        <v>1690</v>
      </c>
      <c r="D537" s="163">
        <v>110034247580</v>
      </c>
      <c r="E537" s="11" t="s">
        <v>104</v>
      </c>
      <c r="F537" s="11" t="s">
        <v>105</v>
      </c>
      <c r="G537" s="11" t="s">
        <v>1691</v>
      </c>
      <c r="H537" s="11" t="s">
        <v>95</v>
      </c>
      <c r="I537" s="11" t="s">
        <v>1981</v>
      </c>
      <c r="J537" s="11">
        <v>27.523085999999999</v>
      </c>
      <c r="K537" s="11">
        <v>-97.832245</v>
      </c>
      <c r="L537" s="11">
        <v>4952</v>
      </c>
      <c r="M537" s="11">
        <v>4952</v>
      </c>
      <c r="N537" s="175" t="str">
        <f>VLOOKUP(M537, '2017 SIC to NAICS'!A:D, 2)</f>
        <v>Sewerage Systems</v>
      </c>
      <c r="P537" s="187" t="str">
        <f>VLOOKUP(M537, '2017 SIC to NAICS'!A:D, 4)</f>
        <v>Sewage Treatment Facilities</v>
      </c>
      <c r="Q537" s="176" t="str">
        <f>IFERROR(VLOOKUP(O537, 'NAICS OES crosswalk'!A:C, 3, FALSE), VLOOKUP(M537, 'NAICS OES crosswalk'!A:C, 3, FALSE))</f>
        <v>Waste handling, disposal, and treatment</v>
      </c>
      <c r="U537" s="188">
        <v>121102040409</v>
      </c>
      <c r="V537" s="11" t="s">
        <v>1692</v>
      </c>
      <c r="W537" s="11"/>
      <c r="X537" s="11">
        <v>0.43568291599999998</v>
      </c>
      <c r="Y537" s="11" t="b">
        <f t="shared" si="9"/>
        <v>0</v>
      </c>
    </row>
    <row r="538" spans="1:25" x14ac:dyDescent="0.35">
      <c r="A538" s="11">
        <v>2021</v>
      </c>
      <c r="B538" s="11" t="s">
        <v>1980</v>
      </c>
      <c r="C538" s="11" t="s">
        <v>1308</v>
      </c>
      <c r="D538" s="163">
        <v>110056972432</v>
      </c>
      <c r="E538" s="11" t="s">
        <v>364</v>
      </c>
      <c r="F538" s="11" t="s">
        <v>319</v>
      </c>
      <c r="G538" s="11" t="s">
        <v>1291</v>
      </c>
      <c r="H538" s="11" t="s">
        <v>91</v>
      </c>
      <c r="I538" s="11" t="s">
        <v>1981</v>
      </c>
      <c r="J538" s="11">
        <v>30.250833</v>
      </c>
      <c r="K538" s="11">
        <v>-91.092277999999993</v>
      </c>
      <c r="L538" s="11">
        <v>2869</v>
      </c>
      <c r="M538" s="11">
        <v>2869</v>
      </c>
      <c r="N538" s="175" t="str">
        <f>VLOOKUP(M538, '2017 SIC to NAICS'!A:D, 2)</f>
        <v>Industrial Organic Chemicals, Nec</v>
      </c>
      <c r="P538" s="187" t="str">
        <f>VLOOKUP(M538, '2017 SIC to NAICS'!A:D, 4)</f>
        <v>All Other Miscellaneous Chemical Product and Preparation Manufacturing</v>
      </c>
      <c r="Q538" s="176" t="str">
        <f>IFERROR(VLOOKUP(O538, 'NAICS OES crosswalk'!A:C, 3, FALSE), VLOOKUP(M538, 'NAICS OES crosswalk'!A:C, 3, FALSE))</f>
        <v>Manufacturing</v>
      </c>
      <c r="U538" s="188">
        <v>80702020801</v>
      </c>
      <c r="V538" s="11" t="s">
        <v>1292</v>
      </c>
      <c r="W538" s="11"/>
      <c r="X538" s="11">
        <v>0.414275</v>
      </c>
      <c r="Y538" s="11" t="b">
        <f t="shared" si="9"/>
        <v>0</v>
      </c>
    </row>
    <row r="539" spans="1:25" x14ac:dyDescent="0.35">
      <c r="A539" s="11">
        <v>2021</v>
      </c>
      <c r="B539" s="11" t="s">
        <v>1980</v>
      </c>
      <c r="C539" s="11" t="s">
        <v>1700</v>
      </c>
      <c r="D539" s="163">
        <v>110000460983</v>
      </c>
      <c r="E539" s="11" t="s">
        <v>367</v>
      </c>
      <c r="F539" s="11" t="s">
        <v>94</v>
      </c>
      <c r="G539" s="11" t="s">
        <v>747</v>
      </c>
      <c r="H539" s="11" t="s">
        <v>95</v>
      </c>
      <c r="I539" s="11" t="s">
        <v>1982</v>
      </c>
      <c r="J539" s="11">
        <v>29.75487</v>
      </c>
      <c r="K539" s="11">
        <v>-95.103269999999995</v>
      </c>
      <c r="L539" s="11">
        <v>2869</v>
      </c>
      <c r="M539" s="11">
        <v>2869</v>
      </c>
      <c r="N539" s="175" t="str">
        <f>VLOOKUP(M539, '2017 SIC to NAICS'!A:D, 2)</f>
        <v>Industrial Organic Chemicals, Nec</v>
      </c>
      <c r="P539" s="187" t="str">
        <f>VLOOKUP(M539, '2017 SIC to NAICS'!A:D, 4)</f>
        <v>All Other Miscellaneous Chemical Product and Preparation Manufacturing</v>
      </c>
      <c r="Q539" s="176" t="str">
        <f>IFERROR(VLOOKUP(O539, 'NAICS OES crosswalk'!A:C, 3, FALSE), VLOOKUP(M539, 'NAICS OES crosswalk'!A:C, 3, FALSE))</f>
        <v>Manufacturing</v>
      </c>
      <c r="U539" s="188">
        <v>120401040702</v>
      </c>
      <c r="V539" s="11" t="s">
        <v>1701</v>
      </c>
      <c r="W539" s="11"/>
      <c r="X539" s="11">
        <v>0.37450460000000002</v>
      </c>
      <c r="Y539" s="11" t="b">
        <f t="shared" si="9"/>
        <v>0</v>
      </c>
    </row>
    <row r="540" spans="1:25" x14ac:dyDescent="0.35">
      <c r="A540" s="11">
        <v>2021</v>
      </c>
      <c r="B540" s="11" t="s">
        <v>1980</v>
      </c>
      <c r="C540" s="11" t="s">
        <v>1323</v>
      </c>
      <c r="D540" s="163">
        <v>110000834688</v>
      </c>
      <c r="E540" s="11" t="s">
        <v>368</v>
      </c>
      <c r="F540" s="11" t="s">
        <v>369</v>
      </c>
      <c r="G540" s="11" t="s">
        <v>1324</v>
      </c>
      <c r="H540" s="11" t="s">
        <v>91</v>
      </c>
      <c r="I540" s="11" t="s">
        <v>1982</v>
      </c>
      <c r="J540" s="11">
        <v>29.924576999999999</v>
      </c>
      <c r="K540" s="11">
        <v>-90.145308</v>
      </c>
      <c r="L540" s="11">
        <v>4226</v>
      </c>
      <c r="M540" s="11">
        <v>4226</v>
      </c>
      <c r="N540" s="175" t="str">
        <f>VLOOKUP(M540, '2017 SIC to NAICS'!A:D, 2)</f>
        <v>Special Warehousing and Storage, Nec</v>
      </c>
      <c r="P540" s="187" t="str">
        <f>VLOOKUP(M540, '2017 SIC to NAICS'!A:D, 4)</f>
        <v>Other Warehousing and Storage</v>
      </c>
      <c r="Q540" s="176" t="e">
        <f>IFERROR(VLOOKUP(O540, 'NAICS OES crosswalk'!A:C, 3, FALSE), VLOOKUP(M540, 'NAICS OES crosswalk'!A:C, 3, FALSE))</f>
        <v>#N/A</v>
      </c>
      <c r="U540" s="188">
        <v>80903010307</v>
      </c>
      <c r="V540" s="11" t="s">
        <v>1325</v>
      </c>
      <c r="W540" s="11"/>
      <c r="X540" s="11">
        <v>0.37187151875000002</v>
      </c>
      <c r="Y540" s="11" t="b">
        <f t="shared" si="9"/>
        <v>0</v>
      </c>
    </row>
    <row r="541" spans="1:25" ht="29" x14ac:dyDescent="0.35">
      <c r="A541" s="11">
        <v>2021</v>
      </c>
      <c r="B541" s="11" t="s">
        <v>1980</v>
      </c>
      <c r="C541" s="11" t="s">
        <v>930</v>
      </c>
      <c r="D541" s="163">
        <v>110039782349</v>
      </c>
      <c r="E541" s="11" t="s">
        <v>370</v>
      </c>
      <c r="F541" s="11" t="s">
        <v>371</v>
      </c>
      <c r="G541" s="11" t="s">
        <v>931</v>
      </c>
      <c r="H541" s="11" t="s">
        <v>102</v>
      </c>
      <c r="I541" s="11" t="s">
        <v>1981</v>
      </c>
      <c r="J541" s="11">
        <v>38.662149999999997</v>
      </c>
      <c r="K541" s="11">
        <v>-121.71407000000001</v>
      </c>
      <c r="L541" s="11">
        <v>4952</v>
      </c>
      <c r="M541" s="11">
        <v>4952</v>
      </c>
      <c r="N541" s="175" t="str">
        <f>VLOOKUP(M541, '2017 SIC to NAICS'!A:D, 2)</f>
        <v>Sewerage Systems</v>
      </c>
      <c r="P541" s="187" t="str">
        <f>VLOOKUP(M541, '2017 SIC to NAICS'!A:D, 4)</f>
        <v>Sewage Treatment Facilities</v>
      </c>
      <c r="Q541" s="176" t="str">
        <f>IFERROR(VLOOKUP(O541, 'NAICS OES crosswalk'!A:C, 3, FALSE), VLOOKUP(M541, 'NAICS OES crosswalk'!A:C, 3, FALSE))</f>
        <v>Waste handling, disposal, and treatment</v>
      </c>
      <c r="U541" s="188">
        <v>180201630302</v>
      </c>
      <c r="V541" s="11" t="s">
        <v>932</v>
      </c>
      <c r="W541" s="11"/>
      <c r="X541" s="11">
        <v>0.36660601599999998</v>
      </c>
      <c r="Y541" s="11" t="b">
        <f t="shared" si="9"/>
        <v>0</v>
      </c>
    </row>
    <row r="542" spans="1:25" ht="29" x14ac:dyDescent="0.35">
      <c r="A542" s="11">
        <v>2021</v>
      </c>
      <c r="B542" s="11" t="s">
        <v>1980</v>
      </c>
      <c r="C542" s="11" t="s">
        <v>955</v>
      </c>
      <c r="D542" s="163">
        <v>110027858432</v>
      </c>
      <c r="E542" s="11" t="s">
        <v>372</v>
      </c>
      <c r="F542" s="11" t="s">
        <v>373</v>
      </c>
      <c r="G542" s="11" t="s">
        <v>956</v>
      </c>
      <c r="H542" s="11" t="s">
        <v>102</v>
      </c>
      <c r="I542" s="11" t="s">
        <v>1982</v>
      </c>
      <c r="J542" s="11">
        <v>37.908380000000001</v>
      </c>
      <c r="K542" s="11">
        <v>-120.61605</v>
      </c>
      <c r="L542" s="11">
        <v>4952</v>
      </c>
      <c r="M542" s="11">
        <v>4952</v>
      </c>
      <c r="N542" s="175" t="str">
        <f>VLOOKUP(M542, '2017 SIC to NAICS'!A:D, 2)</f>
        <v>Sewerage Systems</v>
      </c>
      <c r="P542" s="187" t="str">
        <f>VLOOKUP(M542, '2017 SIC to NAICS'!A:D, 4)</f>
        <v>Sewage Treatment Facilities</v>
      </c>
      <c r="Q542" s="176" t="str">
        <f>IFERROR(VLOOKUP(O542, 'NAICS OES crosswalk'!A:C, 3, FALSE), VLOOKUP(M542, 'NAICS OES crosswalk'!A:C, 3, FALSE))</f>
        <v>Waste handling, disposal, and treatment</v>
      </c>
      <c r="U542" s="188">
        <v>180400510203</v>
      </c>
      <c r="V542" s="11" t="s">
        <v>957</v>
      </c>
      <c r="W542" s="11"/>
      <c r="X542" s="11">
        <v>0.33640133750000001</v>
      </c>
      <c r="Y542" s="11" t="b">
        <f t="shared" si="9"/>
        <v>0</v>
      </c>
    </row>
    <row r="543" spans="1:25" x14ac:dyDescent="0.35">
      <c r="A543" s="11">
        <v>2021</v>
      </c>
      <c r="B543" s="11" t="s">
        <v>1980</v>
      </c>
      <c r="C543" s="11" t="s">
        <v>1668</v>
      </c>
      <c r="D543" s="163">
        <v>110000854246</v>
      </c>
      <c r="E543" s="11" t="s">
        <v>374</v>
      </c>
      <c r="F543" s="11" t="s">
        <v>197</v>
      </c>
      <c r="G543" s="11" t="s">
        <v>1669</v>
      </c>
      <c r="H543" s="11" t="s">
        <v>194</v>
      </c>
      <c r="I543" s="11" t="s">
        <v>1981</v>
      </c>
      <c r="J543" s="11">
        <v>34.047221999999998</v>
      </c>
      <c r="K543" s="11">
        <v>-81.151360999999994</v>
      </c>
      <c r="L543" s="11">
        <v>2824</v>
      </c>
      <c r="M543" s="11">
        <v>2824</v>
      </c>
      <c r="N543" s="175" t="str">
        <f>VLOOKUP(M543, '2017 SIC to NAICS'!A:D, 2)</f>
        <v>Organic Fibers, Noncellulosic</v>
      </c>
      <c r="O543" s="11">
        <v>325220</v>
      </c>
      <c r="P543" s="187" t="str">
        <f>VLOOKUP(M543, '2017 SIC to NAICS'!A:D, 4)</f>
        <v>Artificial and Synthetic Fibers and
Filaments Manufacturing</v>
      </c>
      <c r="Q543" s="176" t="e">
        <f>IFERROR(VLOOKUP(O543, 'NAICS OES crosswalk'!A:C, 3, FALSE), VLOOKUP(M543, 'NAICS OES crosswalk'!A:C, 3, FALSE))</f>
        <v>#N/A</v>
      </c>
      <c r="U543" s="188">
        <v>30501091403</v>
      </c>
      <c r="V543" s="11" t="s">
        <v>1672</v>
      </c>
      <c r="W543" s="11"/>
      <c r="X543" s="11">
        <v>0.33141999999999999</v>
      </c>
      <c r="Y543" s="11" t="b">
        <f t="shared" si="9"/>
        <v>0</v>
      </c>
    </row>
    <row r="544" spans="1:25" x14ac:dyDescent="0.35">
      <c r="A544" s="11">
        <v>2021</v>
      </c>
      <c r="B544" s="11" t="s">
        <v>1980</v>
      </c>
      <c r="C544" s="11" t="s">
        <v>1032</v>
      </c>
      <c r="D544" s="163">
        <v>110000432504</v>
      </c>
      <c r="E544" s="11" t="s">
        <v>351</v>
      </c>
      <c r="F544" s="11" t="s">
        <v>352</v>
      </c>
      <c r="G544" s="11" t="s">
        <v>1033</v>
      </c>
      <c r="H544" s="11" t="s">
        <v>111</v>
      </c>
      <c r="I544" s="11" t="s">
        <v>1981</v>
      </c>
      <c r="J544" s="11">
        <v>41.441667000000002</v>
      </c>
      <c r="K544" s="11">
        <v>-88.159719999999993</v>
      </c>
      <c r="L544" s="11">
        <v>2843</v>
      </c>
      <c r="M544" s="11">
        <v>2843</v>
      </c>
      <c r="N544" s="175" t="str">
        <f>VLOOKUP(M544, '2017 SIC to NAICS'!A:D, 2)</f>
        <v>Surface Active Agents</v>
      </c>
      <c r="P544" s="187" t="str">
        <f>VLOOKUP(M544, '2017 SIC to NAICS'!A:D, 4)</f>
        <v>Surface Active Agent Manufacturing</v>
      </c>
      <c r="Q544" s="176" t="str">
        <f>IFERROR(VLOOKUP(O544, 'NAICS OES crosswalk'!A:C, 3, FALSE), VLOOKUP(M544, 'NAICS OES crosswalk'!A:C, 3, FALSE))</f>
        <v>Processing as a reactant</v>
      </c>
      <c r="U544" s="188">
        <v>71200040905</v>
      </c>
      <c r="V544" s="11" t="s">
        <v>1036</v>
      </c>
      <c r="W544" s="11"/>
      <c r="X544" s="11">
        <v>0.33005800000000002</v>
      </c>
      <c r="Y544" s="11" t="b">
        <f t="shared" si="9"/>
        <v>0</v>
      </c>
    </row>
    <row r="545" spans="1:25" x14ac:dyDescent="0.35">
      <c r="A545" s="11">
        <v>2021</v>
      </c>
      <c r="B545" s="11" t="s">
        <v>1980</v>
      </c>
      <c r="C545" s="11" t="s">
        <v>807</v>
      </c>
      <c r="D545" s="163">
        <v>110007300330</v>
      </c>
      <c r="E545" s="11" t="s">
        <v>682</v>
      </c>
      <c r="F545" s="11" t="s">
        <v>683</v>
      </c>
      <c r="G545" s="11" t="s">
        <v>808</v>
      </c>
      <c r="H545" s="11" t="s">
        <v>91</v>
      </c>
      <c r="I545" s="11" t="s">
        <v>1982</v>
      </c>
      <c r="J545" s="11">
        <v>31.415772</v>
      </c>
      <c r="K545" s="11">
        <v>-92.477244999999996</v>
      </c>
      <c r="L545" s="11">
        <v>3491</v>
      </c>
      <c r="M545" s="11">
        <v>3491</v>
      </c>
      <c r="N545" s="175" t="str">
        <f>VLOOKUP(M545, '2017 SIC to NAICS'!A:D, 2)</f>
        <v>Industrial Valves</v>
      </c>
      <c r="P545" s="187" t="str">
        <f>VLOOKUP(M545, '2017 SIC to NAICS'!A:D, 4)</f>
        <v>Industrial Valve Manufacturing</v>
      </c>
      <c r="Q545" s="176" t="e">
        <f>IFERROR(VLOOKUP(O545, 'NAICS OES crosswalk'!A:C, 3, FALSE), VLOOKUP(M545, 'NAICS OES crosswalk'!A:C, 3, FALSE))</f>
        <v>#N/A</v>
      </c>
      <c r="U545" s="188">
        <v>111402070904</v>
      </c>
      <c r="V545" s="11" t="s">
        <v>811</v>
      </c>
      <c r="W545" s="11"/>
      <c r="X545" s="11">
        <v>5.0756849999999997E-4</v>
      </c>
      <c r="Y545" s="11" t="b">
        <f t="shared" si="9"/>
        <v>1</v>
      </c>
    </row>
    <row r="546" spans="1:25" ht="29" x14ac:dyDescent="0.35">
      <c r="A546" s="11">
        <v>2021</v>
      </c>
      <c r="B546" s="11" t="s">
        <v>1980</v>
      </c>
      <c r="C546" s="11" t="s">
        <v>770</v>
      </c>
      <c r="D546" s="163">
        <v>110000613685</v>
      </c>
      <c r="E546" s="11" t="s">
        <v>355</v>
      </c>
      <c r="F546" s="11" t="s">
        <v>90</v>
      </c>
      <c r="G546" s="11" t="s">
        <v>771</v>
      </c>
      <c r="H546" s="11" t="s">
        <v>91</v>
      </c>
      <c r="I546" s="11" t="s">
        <v>1982</v>
      </c>
      <c r="J546" s="11">
        <v>30.321895000000001</v>
      </c>
      <c r="K546" s="11">
        <v>-93.300735000000003</v>
      </c>
      <c r="L546" s="11">
        <v>4953</v>
      </c>
      <c r="M546" s="11">
        <v>4953</v>
      </c>
      <c r="N546" s="175" t="str">
        <f>VLOOKUP(M546, '2017 SIC to NAICS'!A:D, 2)</f>
        <v>Refuse Systems</v>
      </c>
      <c r="P546" s="187" t="str">
        <f>VLOOKUP(M546, '2017 SIC to NAICS'!A:D, 4)</f>
        <v>Materials Recovery Facilities</v>
      </c>
      <c r="Q546" s="176" t="str">
        <f>IFERROR(VLOOKUP(O546, 'NAICS OES crosswalk'!A:C, 3, FALSE), VLOOKUP(M546, 'NAICS OES crosswalk'!A:C, 3, FALSE))</f>
        <v>Waste handling, disposal, and treatment</v>
      </c>
      <c r="U546" s="188">
        <v>80802050501</v>
      </c>
      <c r="V546" s="11" t="s">
        <v>772</v>
      </c>
      <c r="W546" s="11"/>
      <c r="X546" s="11">
        <v>0.30393550000000003</v>
      </c>
      <c r="Y546" s="11" t="b">
        <f t="shared" si="9"/>
        <v>0</v>
      </c>
    </row>
    <row r="547" spans="1:25" ht="29" x14ac:dyDescent="0.35">
      <c r="A547" s="11">
        <v>2021</v>
      </c>
      <c r="B547" s="11" t="s">
        <v>1980</v>
      </c>
      <c r="C547" s="11" t="s">
        <v>1106</v>
      </c>
      <c r="D547" s="163">
        <v>110003251427</v>
      </c>
      <c r="E547" s="11" t="s">
        <v>360</v>
      </c>
      <c r="F547" s="11" t="s">
        <v>361</v>
      </c>
      <c r="G547" s="11" t="s">
        <v>1107</v>
      </c>
      <c r="H547" s="11" t="s">
        <v>108</v>
      </c>
      <c r="I547" s="11" t="s">
        <v>1981</v>
      </c>
      <c r="J547" s="11">
        <v>38.421495999999998</v>
      </c>
      <c r="K547" s="11">
        <v>-83.734424000000004</v>
      </c>
      <c r="L547" s="11">
        <v>4952</v>
      </c>
      <c r="M547" s="11">
        <v>4952</v>
      </c>
      <c r="N547" s="175" t="str">
        <f>VLOOKUP(M547, '2017 SIC to NAICS'!A:D, 2)</f>
        <v>Sewerage Systems</v>
      </c>
      <c r="O547" s="11">
        <v>221320</v>
      </c>
      <c r="P547" s="187" t="str">
        <f>VLOOKUP(M547, '2017 SIC to NAICS'!A:D, 4)</f>
        <v>Sewage Treatment Facilities</v>
      </c>
      <c r="Q547" s="176" t="str">
        <f>IFERROR(VLOOKUP(O547, 'NAICS OES crosswalk'!A:C, 3, FALSE), VLOOKUP(M547, 'NAICS OES crosswalk'!A:C, 3, FALSE))</f>
        <v>Waste handling, disposal, and treatment</v>
      </c>
      <c r="U547" s="188">
        <v>51001010903</v>
      </c>
      <c r="V547" s="11" t="s">
        <v>1108</v>
      </c>
      <c r="W547" s="11"/>
      <c r="X547" s="11">
        <v>0.29150177500000002</v>
      </c>
      <c r="Y547" s="11" t="b">
        <f t="shared" si="9"/>
        <v>0</v>
      </c>
    </row>
    <row r="548" spans="1:25" x14ac:dyDescent="0.35">
      <c r="A548" s="11">
        <v>2021</v>
      </c>
      <c r="B548" s="11" t="s">
        <v>1980</v>
      </c>
      <c r="C548" s="11" t="s">
        <v>1392</v>
      </c>
      <c r="D548" s="163">
        <v>110000412296</v>
      </c>
      <c r="E548" s="11" t="s">
        <v>390</v>
      </c>
      <c r="F548" s="11" t="s">
        <v>391</v>
      </c>
      <c r="G548" s="11" t="s">
        <v>1393</v>
      </c>
      <c r="H548" s="11" t="s">
        <v>181</v>
      </c>
      <c r="I548" s="11" t="s">
        <v>1982</v>
      </c>
      <c r="J548" s="11">
        <v>45.145420000000001</v>
      </c>
      <c r="K548" s="11">
        <v>-84.660679999999999</v>
      </c>
      <c r="L548" s="11">
        <v>1799</v>
      </c>
      <c r="M548" s="11">
        <v>1799</v>
      </c>
      <c r="N548" s="175" t="str">
        <f>VLOOKUP(M548, '2017 SIC to NAICS'!A:D, 2)</f>
        <v>Special Trade Contractors, Nec</v>
      </c>
      <c r="O548" s="11">
        <v>331420</v>
      </c>
      <c r="P548" s="187" t="str">
        <f>VLOOKUP(M548, '2017 SIC to NAICS'!A:D, 4)</f>
        <v>Remediation Services</v>
      </c>
      <c r="Q548" s="176" t="e">
        <f>IFERROR(VLOOKUP(O548, 'NAICS OES crosswalk'!A:C, 3, FALSE), VLOOKUP(M548, 'NAICS OES crosswalk'!A:C, 3, FALSE))</f>
        <v>#N/A</v>
      </c>
      <c r="U548" s="188">
        <v>40700040102</v>
      </c>
      <c r="V548" s="11" t="s">
        <v>1394</v>
      </c>
      <c r="W548" s="11"/>
      <c r="X548" s="11">
        <v>0.26160262169999998</v>
      </c>
      <c r="Y548" s="11" t="b">
        <f t="shared" si="9"/>
        <v>0</v>
      </c>
    </row>
    <row r="549" spans="1:25" x14ac:dyDescent="0.35">
      <c r="A549" s="11">
        <v>2021</v>
      </c>
      <c r="B549" s="11" t="s">
        <v>1980</v>
      </c>
      <c r="C549" s="11" t="s">
        <v>1422</v>
      </c>
      <c r="D549" s="163">
        <v>110003597395</v>
      </c>
      <c r="E549" s="11" t="s">
        <v>386</v>
      </c>
      <c r="F549" s="11" t="s">
        <v>387</v>
      </c>
      <c r="G549" s="11" t="s">
        <v>1423</v>
      </c>
      <c r="H549" s="11" t="s">
        <v>181</v>
      </c>
      <c r="I549" s="11" t="s">
        <v>1982</v>
      </c>
      <c r="J549" s="11">
        <v>42.591610000000003</v>
      </c>
      <c r="K549" s="11">
        <v>-83.602609999999999</v>
      </c>
      <c r="L549" s="11">
        <v>1799</v>
      </c>
      <c r="M549" s="11">
        <v>1799</v>
      </c>
      <c r="N549" s="175" t="str">
        <f>VLOOKUP(M549, '2017 SIC to NAICS'!A:D, 2)</f>
        <v>Special Trade Contractors, Nec</v>
      </c>
      <c r="O549" s="11">
        <v>562910</v>
      </c>
      <c r="P549" s="187" t="str">
        <f>VLOOKUP(M549, '2017 SIC to NAICS'!A:D, 4)</f>
        <v>Remediation Services</v>
      </c>
      <c r="Q549" s="176" t="e">
        <f>IFERROR(VLOOKUP(O549, 'NAICS OES crosswalk'!A:C, 3, FALSE), VLOOKUP(M549, 'NAICS OES crosswalk'!A:C, 3, FALSE))</f>
        <v>#N/A</v>
      </c>
      <c r="U549" s="188">
        <v>40900050104</v>
      </c>
      <c r="V549" s="11" t="s">
        <v>1424</v>
      </c>
      <c r="W549" s="11"/>
      <c r="X549" s="11">
        <v>0.25480582149999997</v>
      </c>
      <c r="Y549" s="11" t="b">
        <f t="shared" si="9"/>
        <v>0</v>
      </c>
    </row>
    <row r="550" spans="1:25" x14ac:dyDescent="0.35">
      <c r="A550" s="11">
        <v>2021</v>
      </c>
      <c r="B550" s="11" t="s">
        <v>1980</v>
      </c>
      <c r="C550" s="11" t="s">
        <v>804</v>
      </c>
      <c r="D550" s="163">
        <v>110000378467</v>
      </c>
      <c r="E550" s="11" t="s">
        <v>306</v>
      </c>
      <c r="F550" s="11" t="s">
        <v>107</v>
      </c>
      <c r="G550" s="11" t="s">
        <v>782</v>
      </c>
      <c r="H550" s="11" t="s">
        <v>108</v>
      </c>
      <c r="I550" s="11" t="s">
        <v>1981</v>
      </c>
      <c r="J550" s="11">
        <v>38.195278000000002</v>
      </c>
      <c r="K550" s="11">
        <v>-85.872221999999994</v>
      </c>
      <c r="L550" s="11">
        <v>2869</v>
      </c>
      <c r="M550" s="11">
        <v>2869</v>
      </c>
      <c r="N550" s="175" t="str">
        <f>VLOOKUP(M550, '2017 SIC to NAICS'!A:D, 2)</f>
        <v>Industrial Organic Chemicals, Nec</v>
      </c>
      <c r="O550" s="11">
        <v>325110</v>
      </c>
      <c r="P550" s="187" t="str">
        <f>VLOOKUP(M550, '2017 SIC to NAICS'!A:D, 4)</f>
        <v>All Other Miscellaneous Chemical Product and Preparation Manufacturing</v>
      </c>
      <c r="Q550" s="176" t="str">
        <f>IFERROR(VLOOKUP(O550, 'NAICS OES crosswalk'!A:C, 3, FALSE), VLOOKUP(M550, 'NAICS OES crosswalk'!A:C, 3, FALSE))</f>
        <v>Processing as a reactant</v>
      </c>
      <c r="U550" s="188">
        <v>51401010903</v>
      </c>
      <c r="V550" s="11" t="s">
        <v>805</v>
      </c>
      <c r="W550" s="11"/>
      <c r="X550" s="11">
        <v>0.24856500000000001</v>
      </c>
      <c r="Y550" s="11" t="b">
        <f t="shared" si="9"/>
        <v>0</v>
      </c>
    </row>
    <row r="551" spans="1:25" ht="29" x14ac:dyDescent="0.35">
      <c r="A551" s="11">
        <v>2021</v>
      </c>
      <c r="B551" s="11" t="s">
        <v>1980</v>
      </c>
      <c r="C551" s="11" t="s">
        <v>977</v>
      </c>
      <c r="D551" s="163">
        <v>110055992993</v>
      </c>
      <c r="E551" s="11" t="s">
        <v>291</v>
      </c>
      <c r="F551" s="11" t="s">
        <v>292</v>
      </c>
      <c r="G551" s="11" t="s">
        <v>978</v>
      </c>
      <c r="H551" s="11" t="s">
        <v>102</v>
      </c>
      <c r="I551" s="11" t="s">
        <v>1981</v>
      </c>
      <c r="J551" s="11">
        <v>33.926245999999999</v>
      </c>
      <c r="K551" s="11">
        <v>-116.992552</v>
      </c>
      <c r="L551" s="11">
        <v>4952</v>
      </c>
      <c r="M551" s="11">
        <v>4952</v>
      </c>
      <c r="N551" s="175" t="str">
        <f>VLOOKUP(M551, '2017 SIC to NAICS'!A:D, 2)</f>
        <v>Sewerage Systems</v>
      </c>
      <c r="P551" s="187" t="str">
        <f>VLOOKUP(M551, '2017 SIC to NAICS'!A:D, 4)</f>
        <v>Sewage Treatment Facilities</v>
      </c>
      <c r="Q551" s="176" t="str">
        <f>IFERROR(VLOOKUP(O551, 'NAICS OES crosswalk'!A:C, 3, FALSE), VLOOKUP(M551, 'NAICS OES crosswalk'!A:C, 3, FALSE))</f>
        <v>Waste handling, disposal, and treatment</v>
      </c>
      <c r="U551" s="188">
        <v>180702030401</v>
      </c>
      <c r="V551" s="11" t="s">
        <v>979</v>
      </c>
      <c r="W551" s="11"/>
      <c r="X551" s="11">
        <v>0.24656767437499999</v>
      </c>
      <c r="Y551" s="11" t="b">
        <f t="shared" si="9"/>
        <v>0</v>
      </c>
    </row>
    <row r="552" spans="1:25" x14ac:dyDescent="0.35">
      <c r="A552" s="11">
        <v>2021</v>
      </c>
      <c r="B552" s="11" t="s">
        <v>1980</v>
      </c>
      <c r="C552" s="11" t="s">
        <v>807</v>
      </c>
      <c r="D552" s="163">
        <v>110007300330</v>
      </c>
      <c r="E552" s="11" t="s">
        <v>682</v>
      </c>
      <c r="F552" s="11" t="s">
        <v>683</v>
      </c>
      <c r="G552" s="11" t="s">
        <v>808</v>
      </c>
      <c r="H552" s="11" t="s">
        <v>91</v>
      </c>
      <c r="I552" s="11" t="s">
        <v>1982</v>
      </c>
      <c r="J552" s="11">
        <v>31.415772</v>
      </c>
      <c r="K552" s="11">
        <v>-92.477244999999996</v>
      </c>
      <c r="L552" s="11">
        <v>3491</v>
      </c>
      <c r="M552" s="11">
        <v>3491</v>
      </c>
      <c r="N552" s="175" t="str">
        <f>VLOOKUP(M552, '2017 SIC to NAICS'!A:D, 2)</f>
        <v>Industrial Valves</v>
      </c>
      <c r="P552" s="187" t="str">
        <f>VLOOKUP(M552, '2017 SIC to NAICS'!A:D, 4)</f>
        <v>Industrial Valve Manufacturing</v>
      </c>
      <c r="Q552" s="176" t="e">
        <f>IFERROR(VLOOKUP(O552, 'NAICS OES crosswalk'!A:C, 3, FALSE), VLOOKUP(M552, 'NAICS OES crosswalk'!A:C, 3, FALSE))</f>
        <v>#N/A</v>
      </c>
      <c r="U552" s="188">
        <v>111402070904</v>
      </c>
      <c r="V552" s="11" t="s">
        <v>811</v>
      </c>
      <c r="W552" s="11"/>
      <c r="X552" s="11">
        <v>1.015137E-4</v>
      </c>
      <c r="Y552" s="11" t="b">
        <f t="shared" si="9"/>
        <v>1</v>
      </c>
    </row>
    <row r="553" spans="1:25" ht="29" x14ac:dyDescent="0.35">
      <c r="A553" s="11">
        <v>2021</v>
      </c>
      <c r="B553" s="11" t="s">
        <v>1980</v>
      </c>
      <c r="C553" s="11" t="s">
        <v>770</v>
      </c>
      <c r="D553" s="163">
        <v>110000613685</v>
      </c>
      <c r="E553" s="11" t="s">
        <v>355</v>
      </c>
      <c r="F553" s="11" t="s">
        <v>90</v>
      </c>
      <c r="G553" s="11" t="s">
        <v>771</v>
      </c>
      <c r="H553" s="11" t="s">
        <v>91</v>
      </c>
      <c r="I553" s="11" t="s">
        <v>1982</v>
      </c>
      <c r="J553" s="11">
        <v>30.321895000000001</v>
      </c>
      <c r="K553" s="11">
        <v>-93.300735000000003</v>
      </c>
      <c r="L553" s="11">
        <v>4953</v>
      </c>
      <c r="M553" s="11">
        <v>4953</v>
      </c>
      <c r="N553" s="175" t="str">
        <f>VLOOKUP(M553, '2017 SIC to NAICS'!A:D, 2)</f>
        <v>Refuse Systems</v>
      </c>
      <c r="P553" s="187" t="str">
        <f>VLOOKUP(M553, '2017 SIC to NAICS'!A:D, 4)</f>
        <v>Materials Recovery Facilities</v>
      </c>
      <c r="Q553" s="176" t="str">
        <f>IFERROR(VLOOKUP(O553, 'NAICS OES crosswalk'!A:C, 3, FALSE), VLOOKUP(M553, 'NAICS OES crosswalk'!A:C, 3, FALSE))</f>
        <v>Waste handling, disposal, and treatment</v>
      </c>
      <c r="U553" s="188">
        <v>80802050501</v>
      </c>
      <c r="V553" s="11" t="s">
        <v>772</v>
      </c>
      <c r="W553" s="11"/>
      <c r="X553" s="11">
        <v>0.2244978125</v>
      </c>
      <c r="Y553" s="11" t="b">
        <f t="shared" si="9"/>
        <v>0</v>
      </c>
    </row>
    <row r="554" spans="1:25" x14ac:dyDescent="0.35">
      <c r="A554" s="11">
        <v>2021</v>
      </c>
      <c r="B554" s="11" t="s">
        <v>1980</v>
      </c>
      <c r="C554" s="11" t="s">
        <v>1355</v>
      </c>
      <c r="D554" s="163">
        <v>110009291872</v>
      </c>
      <c r="E554" s="11" t="s">
        <v>428</v>
      </c>
      <c r="F554" s="11" t="s">
        <v>429</v>
      </c>
      <c r="G554" s="11" t="s">
        <v>406</v>
      </c>
      <c r="H554" s="11" t="s">
        <v>181</v>
      </c>
      <c r="I554" s="11" t="s">
        <v>1982</v>
      </c>
      <c r="J554" s="11">
        <v>43.394015000000003</v>
      </c>
      <c r="K554" s="11">
        <v>-86.397982999999996</v>
      </c>
      <c r="L554" s="11">
        <v>2869</v>
      </c>
      <c r="M554" s="11">
        <v>2869</v>
      </c>
      <c r="N554" s="175" t="str">
        <f>VLOOKUP(M554, '2017 SIC to NAICS'!A:D, 2)</f>
        <v>Industrial Organic Chemicals, Nec</v>
      </c>
      <c r="P554" s="187" t="str">
        <f>VLOOKUP(M554, '2017 SIC to NAICS'!A:D, 4)</f>
        <v>All Other Miscellaneous Chemical Product and Preparation Manufacturing</v>
      </c>
      <c r="Q554" s="176" t="str">
        <f>IFERROR(VLOOKUP(O554, 'NAICS OES crosswalk'!A:C, 3, FALSE), VLOOKUP(M554, 'NAICS OES crosswalk'!A:C, 3, FALSE))</f>
        <v>Manufacturing</v>
      </c>
      <c r="U554" s="188">
        <v>40601010904</v>
      </c>
      <c r="V554" s="11" t="s">
        <v>1356</v>
      </c>
      <c r="W554" s="11"/>
      <c r="X554" s="11">
        <v>3.8392731149999998E-2</v>
      </c>
      <c r="Y554" s="11" t="b">
        <f t="shared" si="9"/>
        <v>0</v>
      </c>
    </row>
    <row r="555" spans="1:25" x14ac:dyDescent="0.35">
      <c r="A555" s="11">
        <v>2021</v>
      </c>
      <c r="B555" s="11" t="s">
        <v>1980</v>
      </c>
      <c r="C555" s="11" t="s">
        <v>735</v>
      </c>
      <c r="D555" s="163">
        <v>110004306938</v>
      </c>
      <c r="E555" s="11" t="s">
        <v>336</v>
      </c>
      <c r="F555" s="11" t="s">
        <v>337</v>
      </c>
      <c r="G555" s="11" t="s">
        <v>736</v>
      </c>
      <c r="H555" s="11" t="s">
        <v>221</v>
      </c>
      <c r="I555" s="11" t="s">
        <v>1982</v>
      </c>
      <c r="J555" s="11">
        <v>36.122100000000003</v>
      </c>
      <c r="K555" s="11">
        <v>-115.17139</v>
      </c>
      <c r="L555" s="11">
        <v>7011</v>
      </c>
      <c r="M555" s="11">
        <v>7011</v>
      </c>
      <c r="N555" s="175" t="str">
        <f>VLOOKUP(M555, '2017 SIC to NAICS'!A:D, 2)</f>
        <v>Hotels and Motels</v>
      </c>
      <c r="P555" s="187" t="str">
        <f>VLOOKUP(M555, '2017 SIC to NAICS'!A:D, 4)</f>
        <v>All Other Traveler Accommodation</v>
      </c>
      <c r="Q555" s="176" t="e">
        <f>IFERROR(VLOOKUP(O555, 'NAICS OES crosswalk'!A:C, 3, FALSE), VLOOKUP(M555, 'NAICS OES crosswalk'!A:C, 3, FALSE))</f>
        <v>#N/A</v>
      </c>
      <c r="U555" s="188">
        <v>150100150604</v>
      </c>
      <c r="V555" s="11" t="s">
        <v>738</v>
      </c>
      <c r="W555" s="11"/>
      <c r="X555" s="11">
        <v>0.16635633287500001</v>
      </c>
      <c r="Y555" s="11" t="b">
        <f t="shared" si="9"/>
        <v>0</v>
      </c>
    </row>
    <row r="556" spans="1:25" x14ac:dyDescent="0.35">
      <c r="A556" s="11">
        <v>2021</v>
      </c>
      <c r="B556" s="11" t="s">
        <v>1980</v>
      </c>
      <c r="C556" s="11" t="s">
        <v>794</v>
      </c>
      <c r="D556" s="163">
        <v>110000433013</v>
      </c>
      <c r="E556" s="11" t="s">
        <v>259</v>
      </c>
      <c r="F556" s="11" t="s">
        <v>260</v>
      </c>
      <c r="G556" s="11" t="s">
        <v>795</v>
      </c>
      <c r="H556" s="11" t="s">
        <v>111</v>
      </c>
      <c r="I556" s="11" t="s">
        <v>1981</v>
      </c>
      <c r="J556" s="11">
        <v>41.412897000000001</v>
      </c>
      <c r="K556" s="11">
        <v>-88.329773000000003</v>
      </c>
      <c r="L556" s="11">
        <v>2821</v>
      </c>
      <c r="M556" s="11">
        <v>2821</v>
      </c>
      <c r="N556" s="175" t="str">
        <f>VLOOKUP(M556, '2017 SIC to NAICS'!A:D, 2)</f>
        <v>Plastics Materials and Resins</v>
      </c>
      <c r="P556" s="187" t="str">
        <f>VLOOKUP(M556, '2017 SIC to NAICS'!A:D, 4)</f>
        <v>Plastics Material and Resin Manufacturing</v>
      </c>
      <c r="Q556" s="176" t="str">
        <f>IFERROR(VLOOKUP(O556, 'NAICS OES crosswalk'!A:C, 3, FALSE), VLOOKUP(M556, 'NAICS OES crosswalk'!A:C, 3, FALSE))</f>
        <v>Processing as a reactant</v>
      </c>
      <c r="U556" s="188">
        <v>71200050106</v>
      </c>
      <c r="V556" s="11" t="s">
        <v>798</v>
      </c>
      <c r="W556" s="11"/>
      <c r="X556" s="11">
        <v>0.16616400000000001</v>
      </c>
      <c r="Y556" s="11" t="b">
        <f t="shared" si="9"/>
        <v>0</v>
      </c>
    </row>
    <row r="557" spans="1:25" ht="29" x14ac:dyDescent="0.35">
      <c r="A557" s="11">
        <v>2021</v>
      </c>
      <c r="B557" s="11" t="s">
        <v>1980</v>
      </c>
      <c r="C557" s="11" t="s">
        <v>1010</v>
      </c>
      <c r="D557" s="163">
        <v>110010731262</v>
      </c>
      <c r="E557" s="11" t="s">
        <v>365</v>
      </c>
      <c r="F557" s="11" t="s">
        <v>366</v>
      </c>
      <c r="G557" s="11" t="s">
        <v>1011</v>
      </c>
      <c r="H557" s="11" t="s">
        <v>156</v>
      </c>
      <c r="I557" s="11" t="s">
        <v>1981</v>
      </c>
      <c r="J557" s="11">
        <v>22.079093</v>
      </c>
      <c r="K557" s="11">
        <v>-159.35138900000001</v>
      </c>
      <c r="L557" s="11">
        <v>4952</v>
      </c>
      <c r="M557" s="11">
        <v>4952</v>
      </c>
      <c r="N557" s="175" t="str">
        <f>VLOOKUP(M557, '2017 SIC to NAICS'!A:D, 2)</f>
        <v>Sewerage Systems</v>
      </c>
      <c r="P557" s="187" t="str">
        <f>VLOOKUP(M557, '2017 SIC to NAICS'!A:D, 4)</f>
        <v>Sewage Treatment Facilities</v>
      </c>
      <c r="Q557" s="176" t="str">
        <f>IFERROR(VLOOKUP(O557, 'NAICS OES crosswalk'!A:C, 3, FALSE), VLOOKUP(M557, 'NAICS OES crosswalk'!A:C, 3, FALSE))</f>
        <v>Waste handling, disposal, and treatment</v>
      </c>
      <c r="U557" s="188">
        <v>200700000202</v>
      </c>
      <c r="V557" s="11" t="s">
        <v>1012</v>
      </c>
      <c r="W557" s="11"/>
      <c r="X557" s="11">
        <v>0.16474685624999999</v>
      </c>
      <c r="Y557" s="11" t="b">
        <f t="shared" si="9"/>
        <v>0</v>
      </c>
    </row>
    <row r="558" spans="1:25" x14ac:dyDescent="0.35">
      <c r="A558" s="11">
        <v>2021</v>
      </c>
      <c r="B558" s="11" t="s">
        <v>1980</v>
      </c>
      <c r="C558" s="11" t="s">
        <v>822</v>
      </c>
      <c r="D558" s="163">
        <v>110015972562</v>
      </c>
      <c r="E558" s="11" t="s">
        <v>381</v>
      </c>
      <c r="F558" s="11" t="s">
        <v>337</v>
      </c>
      <c r="G558" s="11" t="s">
        <v>823</v>
      </c>
      <c r="H558" s="11" t="s">
        <v>221</v>
      </c>
      <c r="I558" s="11" t="s">
        <v>1982</v>
      </c>
      <c r="J558" s="11">
        <v>36.116160999999998</v>
      </c>
      <c r="K558" s="11">
        <v>-115.172741</v>
      </c>
      <c r="L558" s="11">
        <v>7011</v>
      </c>
      <c r="M558" s="11">
        <v>7011</v>
      </c>
      <c r="N558" s="175" t="str">
        <f>VLOOKUP(M558, '2017 SIC to NAICS'!A:D, 2)</f>
        <v>Hotels and Motels</v>
      </c>
      <c r="O558" s="11">
        <v>721120</v>
      </c>
      <c r="P558" s="187" t="str">
        <f>VLOOKUP(M558, '2017 SIC to NAICS'!A:D, 4)</f>
        <v>All Other Traveler Accommodation</v>
      </c>
      <c r="Q558" s="176" t="e">
        <f>IFERROR(VLOOKUP(O558, 'NAICS OES crosswalk'!A:C, 3, FALSE), VLOOKUP(M558, 'NAICS OES crosswalk'!A:C, 3, FALSE))</f>
        <v>#N/A</v>
      </c>
      <c r="U558" s="188">
        <v>150100150604</v>
      </c>
      <c r="V558" s="11" t="s">
        <v>738</v>
      </c>
      <c r="W558" s="11"/>
      <c r="X558" s="11">
        <v>0.16047586224999999</v>
      </c>
      <c r="Y558" s="11" t="b">
        <f t="shared" si="9"/>
        <v>0</v>
      </c>
    </row>
    <row r="559" spans="1:25" x14ac:dyDescent="0.35">
      <c r="A559" s="11">
        <v>2021</v>
      </c>
      <c r="B559" s="11" t="s">
        <v>1980</v>
      </c>
      <c r="C559" s="11" t="s">
        <v>789</v>
      </c>
      <c r="D559" s="163">
        <v>110002672484</v>
      </c>
      <c r="E559" s="11" t="s">
        <v>503</v>
      </c>
      <c r="F559" s="11" t="s">
        <v>504</v>
      </c>
      <c r="G559" s="11" t="s">
        <v>790</v>
      </c>
      <c r="H559" s="11" t="s">
        <v>102</v>
      </c>
      <c r="I559" s="11" t="s">
        <v>1982</v>
      </c>
      <c r="J559" s="11">
        <v>32.803809999999999</v>
      </c>
      <c r="K559" s="11">
        <v>-115.53973999999999</v>
      </c>
      <c r="L559" s="11">
        <v>921</v>
      </c>
      <c r="M559" s="11">
        <v>921</v>
      </c>
      <c r="N559" s="175" t="str">
        <f>VLOOKUP(M559, '2017 SIC to NAICS'!A:D, 2)</f>
        <v>Fish Hatcheries and Preserves</v>
      </c>
      <c r="P559" s="187" t="str">
        <f>VLOOKUP(M559, '2017 SIC to NAICS'!A:D, 4)</f>
        <v>Shellfish Farming</v>
      </c>
      <c r="Q559" s="176" t="e">
        <f>IFERROR(VLOOKUP(O559, 'NAICS OES crosswalk'!A:C, 3, FALSE), VLOOKUP(M559, 'NAICS OES crosswalk'!A:C, 3, FALSE))</f>
        <v>#N/A</v>
      </c>
      <c r="U559" s="188">
        <v>181002040701</v>
      </c>
      <c r="V559" s="11" t="s">
        <v>791</v>
      </c>
      <c r="W559" s="11"/>
      <c r="X559" s="11">
        <v>5.3188712499999999E-2</v>
      </c>
      <c r="Y559" s="11" t="b">
        <f t="shared" si="9"/>
        <v>0</v>
      </c>
    </row>
    <row r="560" spans="1:25" x14ac:dyDescent="0.35">
      <c r="A560" s="11">
        <v>2021</v>
      </c>
      <c r="B560" s="11" t="s">
        <v>1980</v>
      </c>
      <c r="C560" s="11" t="s">
        <v>789</v>
      </c>
      <c r="D560" s="163">
        <v>110002672484</v>
      </c>
      <c r="E560" s="11" t="s">
        <v>503</v>
      </c>
      <c r="F560" s="11" t="s">
        <v>504</v>
      </c>
      <c r="G560" s="11" t="s">
        <v>790</v>
      </c>
      <c r="H560" s="11" t="s">
        <v>102</v>
      </c>
      <c r="I560" s="11" t="s">
        <v>1982</v>
      </c>
      <c r="J560" s="11">
        <v>32.803809999999999</v>
      </c>
      <c r="K560" s="11">
        <v>-115.53973999999999</v>
      </c>
      <c r="L560" s="11">
        <v>921</v>
      </c>
      <c r="M560" s="11">
        <v>921</v>
      </c>
      <c r="N560" s="175" t="str">
        <f>VLOOKUP(M560, '2017 SIC to NAICS'!A:D, 2)</f>
        <v>Fish Hatcheries and Preserves</v>
      </c>
      <c r="P560" s="187" t="str">
        <f>VLOOKUP(M560, '2017 SIC to NAICS'!A:D, 4)</f>
        <v>Shellfish Farming</v>
      </c>
      <c r="Q560" s="176" t="e">
        <f>IFERROR(VLOOKUP(O560, 'NAICS OES crosswalk'!A:C, 3, FALSE), VLOOKUP(M560, 'NAICS OES crosswalk'!A:C, 3, FALSE))</f>
        <v>#N/A</v>
      </c>
      <c r="U560" s="188">
        <v>181002040701</v>
      </c>
      <c r="V560" s="11" t="s">
        <v>791</v>
      </c>
      <c r="W560" s="11"/>
      <c r="X560" s="11">
        <v>2.0032112500000001E-2</v>
      </c>
      <c r="Y560" s="11" t="b">
        <f t="shared" si="9"/>
        <v>0</v>
      </c>
    </row>
    <row r="561" spans="1:25" ht="29" x14ac:dyDescent="0.35">
      <c r="A561" s="11">
        <v>2021</v>
      </c>
      <c r="B561" s="11" t="s">
        <v>1980</v>
      </c>
      <c r="C561" s="11" t="s">
        <v>939</v>
      </c>
      <c r="D561" s="163">
        <v>110011373637</v>
      </c>
      <c r="E561" s="11" t="s">
        <v>433</v>
      </c>
      <c r="F561" s="11" t="s">
        <v>434</v>
      </c>
      <c r="G561" s="11" t="s">
        <v>921</v>
      </c>
      <c r="H561" s="11" t="s">
        <v>102</v>
      </c>
      <c r="I561" s="11" t="s">
        <v>1982</v>
      </c>
      <c r="J561" s="11">
        <v>38.333300000000001</v>
      </c>
      <c r="K561" s="11">
        <v>-120.7833</v>
      </c>
      <c r="L561" s="11">
        <v>4952</v>
      </c>
      <c r="M561" s="11">
        <v>4952</v>
      </c>
      <c r="N561" s="175" t="str">
        <f>VLOOKUP(M561, '2017 SIC to NAICS'!A:D, 2)</f>
        <v>Sewerage Systems</v>
      </c>
      <c r="P561" s="187" t="str">
        <f>VLOOKUP(M561, '2017 SIC to NAICS'!A:D, 4)</f>
        <v>Sewage Treatment Facilities</v>
      </c>
      <c r="Q561" s="176" t="str">
        <f>IFERROR(VLOOKUP(O561, 'NAICS OES crosswalk'!A:C, 3, FALSE), VLOOKUP(M561, 'NAICS OES crosswalk'!A:C, 3, FALSE))</f>
        <v>Waste handling, disposal, and treatment</v>
      </c>
      <c r="U561" s="188">
        <v>180400120702</v>
      </c>
      <c r="V561" s="11" t="s">
        <v>940</v>
      </c>
      <c r="W561" s="11"/>
      <c r="X561" s="11">
        <v>0.15199045999999999</v>
      </c>
      <c r="Y561" s="11" t="b">
        <f t="shared" si="9"/>
        <v>0</v>
      </c>
    </row>
    <row r="562" spans="1:25" ht="29" x14ac:dyDescent="0.35">
      <c r="A562" s="11">
        <v>2021</v>
      </c>
      <c r="B562" s="11" t="s">
        <v>1980</v>
      </c>
      <c r="C562" s="11" t="s">
        <v>981</v>
      </c>
      <c r="D562" s="163">
        <v>110070619860</v>
      </c>
      <c r="E562" s="11" t="s">
        <v>442</v>
      </c>
      <c r="F562" s="11" t="s">
        <v>443</v>
      </c>
      <c r="G562" s="11" t="s">
        <v>982</v>
      </c>
      <c r="H562" s="11" t="s">
        <v>102</v>
      </c>
      <c r="I562" s="11" t="s">
        <v>1981</v>
      </c>
      <c r="J562" s="11">
        <v>38.627777999999999</v>
      </c>
      <c r="K562" s="11">
        <v>-120.984167</v>
      </c>
      <c r="L562" s="11">
        <v>4952</v>
      </c>
      <c r="M562" s="11">
        <v>4952</v>
      </c>
      <c r="N562" s="175" t="str">
        <f>VLOOKUP(M562, '2017 SIC to NAICS'!A:D, 2)</f>
        <v>Sewerage Systems</v>
      </c>
      <c r="P562" s="187" t="str">
        <f>VLOOKUP(M562, '2017 SIC to NAICS'!A:D, 4)</f>
        <v>Sewage Treatment Facilities</v>
      </c>
      <c r="Q562" s="176" t="str">
        <f>IFERROR(VLOOKUP(O562, 'NAICS OES crosswalk'!A:C, 3, FALSE), VLOOKUP(M562, 'NAICS OES crosswalk'!A:C, 3, FALSE))</f>
        <v>Waste handling, disposal, and treatment</v>
      </c>
      <c r="U562" s="188">
        <v>180400130502</v>
      </c>
      <c r="V562" s="11" t="s">
        <v>983</v>
      </c>
      <c r="W562" s="11"/>
      <c r="X562" s="11">
        <v>0.12769038150000001</v>
      </c>
      <c r="Y562" s="11" t="b">
        <f t="shared" si="9"/>
        <v>0</v>
      </c>
    </row>
    <row r="563" spans="1:25" x14ac:dyDescent="0.35">
      <c r="A563" s="11">
        <v>2021</v>
      </c>
      <c r="B563" s="11" t="s">
        <v>1980</v>
      </c>
      <c r="C563" s="11" t="s">
        <v>841</v>
      </c>
      <c r="D563" s="163">
        <v>110000324391</v>
      </c>
      <c r="E563" s="11" t="s">
        <v>315</v>
      </c>
      <c r="F563" s="11" t="s">
        <v>316</v>
      </c>
      <c r="G563" s="11" t="s">
        <v>842</v>
      </c>
      <c r="H563" s="11" t="s">
        <v>126</v>
      </c>
      <c r="I563" s="11" t="s">
        <v>1981</v>
      </c>
      <c r="J563" s="11">
        <v>42.575806</v>
      </c>
      <c r="K563" s="11">
        <v>-73.859943999999999</v>
      </c>
      <c r="L563" s="11">
        <v>2821</v>
      </c>
      <c r="M563" s="11">
        <v>2821</v>
      </c>
      <c r="N563" s="175" t="str">
        <f>VLOOKUP(M563, '2017 SIC to NAICS'!A:D, 2)</f>
        <v>Plastics Materials and Resins</v>
      </c>
      <c r="P563" s="187" t="str">
        <f>VLOOKUP(M563, '2017 SIC to NAICS'!A:D, 4)</f>
        <v>Plastics Material and Resin Manufacturing</v>
      </c>
      <c r="Q563" s="176" t="str">
        <f>IFERROR(VLOOKUP(O563, 'NAICS OES crosswalk'!A:C, 3, FALSE), VLOOKUP(M563, 'NAICS OES crosswalk'!A:C, 3, FALSE))</f>
        <v>Processing as a reactant</v>
      </c>
      <c r="U563" s="188">
        <v>20200060402</v>
      </c>
      <c r="V563" s="11" t="s">
        <v>843</v>
      </c>
      <c r="W563" s="11"/>
      <c r="X563" s="11">
        <v>0.123942</v>
      </c>
      <c r="Y563" s="11" t="b">
        <f t="shared" si="9"/>
        <v>0</v>
      </c>
    </row>
    <row r="564" spans="1:25" x14ac:dyDescent="0.35">
      <c r="A564" s="11">
        <v>2021</v>
      </c>
      <c r="B564" s="11" t="s">
        <v>1980</v>
      </c>
      <c r="C564" s="11" t="s">
        <v>1746</v>
      </c>
      <c r="D564" s="163">
        <v>110070884091</v>
      </c>
      <c r="E564" s="11" t="s">
        <v>397</v>
      </c>
      <c r="F564" s="11" t="s">
        <v>396</v>
      </c>
      <c r="G564" s="11" t="s">
        <v>1733</v>
      </c>
      <c r="H564" s="11" t="s">
        <v>276</v>
      </c>
      <c r="I564" s="11" t="s">
        <v>1982</v>
      </c>
      <c r="J564" s="11">
        <v>38.828830000000004</v>
      </c>
      <c r="K564" s="11">
        <v>-77.049679999999995</v>
      </c>
      <c r="L564" s="11">
        <v>1794</v>
      </c>
      <c r="M564" s="11">
        <v>1794</v>
      </c>
      <c r="N564" s="175" t="str">
        <f>VLOOKUP(M564, '2017 SIC to NAICS'!A:D, 2)</f>
        <v>Excavation Work</v>
      </c>
      <c r="P564" s="187" t="str">
        <f>VLOOKUP(M564, '2017 SIC to NAICS'!A:D, 4)</f>
        <v>Site Preparation Contractors</v>
      </c>
      <c r="Q564" s="176" t="e">
        <f>IFERROR(VLOOKUP(O564, 'NAICS OES crosswalk'!A:C, 3, FALSE), VLOOKUP(M564, 'NAICS OES crosswalk'!A:C, 3, FALSE))</f>
        <v>#N/A</v>
      </c>
      <c r="U564" s="188">
        <v>20700100301</v>
      </c>
      <c r="V564" s="11" t="s">
        <v>1711</v>
      </c>
      <c r="W564" s="11"/>
      <c r="X564" s="11">
        <v>0.1216229678325</v>
      </c>
      <c r="Y564" s="11" t="b">
        <f t="shared" si="9"/>
        <v>0</v>
      </c>
    </row>
    <row r="565" spans="1:25" ht="29" x14ac:dyDescent="0.35">
      <c r="A565" s="11">
        <v>2021</v>
      </c>
      <c r="B565" s="11" t="s">
        <v>1980</v>
      </c>
      <c r="C565" s="11" t="s">
        <v>984</v>
      </c>
      <c r="D565" s="163">
        <v>110039757992</v>
      </c>
      <c r="E565" s="11" t="s">
        <v>447</v>
      </c>
      <c r="F565" s="11" t="s">
        <v>448</v>
      </c>
      <c r="G565" s="11" t="s">
        <v>982</v>
      </c>
      <c r="H565" s="11" t="s">
        <v>102</v>
      </c>
      <c r="I565" s="11" t="s">
        <v>1981</v>
      </c>
      <c r="J565" s="11">
        <v>38.730832999999997</v>
      </c>
      <c r="K565" s="11">
        <v>-120.846667</v>
      </c>
      <c r="L565" s="11">
        <v>4952</v>
      </c>
      <c r="M565" s="11">
        <v>4952</v>
      </c>
      <c r="N565" s="175" t="str">
        <f>VLOOKUP(M565, '2017 SIC to NAICS'!A:D, 2)</f>
        <v>Sewerage Systems</v>
      </c>
      <c r="P565" s="187" t="str">
        <f>VLOOKUP(M565, '2017 SIC to NAICS'!A:D, 4)</f>
        <v>Sewage Treatment Facilities</v>
      </c>
      <c r="Q565" s="176" t="str">
        <f>IFERROR(VLOOKUP(O565, 'NAICS OES crosswalk'!A:C, 3, FALSE), VLOOKUP(M565, 'NAICS OES crosswalk'!A:C, 3, FALSE))</f>
        <v>Waste handling, disposal, and treatment</v>
      </c>
      <c r="U565" s="188">
        <v>180201290603</v>
      </c>
      <c r="V565" s="11" t="s">
        <v>985</v>
      </c>
      <c r="W565" s="11"/>
      <c r="X565" s="11">
        <v>0.119509104</v>
      </c>
      <c r="Y565" s="11" t="b">
        <f t="shared" si="9"/>
        <v>0</v>
      </c>
    </row>
    <row r="566" spans="1:25" x14ac:dyDescent="0.35">
      <c r="A566" s="11">
        <v>2021</v>
      </c>
      <c r="B566" s="11" t="s">
        <v>1980</v>
      </c>
      <c r="C566" s="11" t="s">
        <v>830</v>
      </c>
      <c r="D566" s="163">
        <v>110000326521</v>
      </c>
      <c r="E566" s="11" t="s">
        <v>124</v>
      </c>
      <c r="F566" s="11" t="s">
        <v>125</v>
      </c>
      <c r="G566" s="11" t="s">
        <v>831</v>
      </c>
      <c r="H566" s="11" t="s">
        <v>126</v>
      </c>
      <c r="I566" s="11" t="s">
        <v>1981</v>
      </c>
      <c r="J566" s="11">
        <v>43.165965999999997</v>
      </c>
      <c r="K566" s="11">
        <v>-78.740509000000003</v>
      </c>
      <c r="L566" s="11">
        <v>3714</v>
      </c>
      <c r="M566" s="11">
        <v>3714</v>
      </c>
      <c r="N566" s="175" t="str">
        <f>VLOOKUP(M566, '2017 SIC to NAICS'!A:D, 2)</f>
        <v>Motor Vehicle Parts and Accessories</v>
      </c>
      <c r="P566" s="187" t="str">
        <f>VLOOKUP(M566, '2017 SIC to NAICS'!A:D, 4)</f>
        <v>Other Motor Vehicle Parts Manufacturing</v>
      </c>
      <c r="Q566" s="176" t="e">
        <f>IFERROR(VLOOKUP(O566, 'NAICS OES crosswalk'!A:C, 3, FALSE), VLOOKUP(M566, 'NAICS OES crosswalk'!A:C, 3, FALSE))</f>
        <v>#N/A</v>
      </c>
      <c r="U566" s="188">
        <v>41300010703</v>
      </c>
      <c r="V566" s="11" t="s">
        <v>834</v>
      </c>
      <c r="W566" s="11"/>
      <c r="X566" s="11">
        <v>0.1163717175</v>
      </c>
      <c r="Y566" s="11" t="b">
        <f t="shared" si="9"/>
        <v>0</v>
      </c>
    </row>
    <row r="567" spans="1:25" ht="29" x14ac:dyDescent="0.35">
      <c r="A567" s="11">
        <v>2021</v>
      </c>
      <c r="B567" s="11" t="s">
        <v>1980</v>
      </c>
      <c r="C567" s="11" t="s">
        <v>1548</v>
      </c>
      <c r="D567" s="163">
        <v>110064631457</v>
      </c>
      <c r="E567" s="11" t="s">
        <v>452</v>
      </c>
      <c r="F567" s="11" t="s">
        <v>272</v>
      </c>
      <c r="G567" s="11" t="s">
        <v>1534</v>
      </c>
      <c r="H567" s="11" t="s">
        <v>273</v>
      </c>
      <c r="I567" s="11" t="s">
        <v>1982</v>
      </c>
      <c r="J567" s="11">
        <v>36.716268999999997</v>
      </c>
      <c r="K567" s="11">
        <v>-108.255737</v>
      </c>
      <c r="L567" s="11">
        <v>4952</v>
      </c>
      <c r="M567" s="11">
        <v>4952</v>
      </c>
      <c r="N567" s="175" t="str">
        <f>VLOOKUP(M567, '2017 SIC to NAICS'!A:D, 2)</f>
        <v>Sewerage Systems</v>
      </c>
      <c r="P567" s="187" t="str">
        <f>VLOOKUP(M567, '2017 SIC to NAICS'!A:D, 4)</f>
        <v>Sewage Treatment Facilities</v>
      </c>
      <c r="Q567" s="176" t="str">
        <f>IFERROR(VLOOKUP(O567, 'NAICS OES crosswalk'!A:C, 3, FALSE), VLOOKUP(M567, 'NAICS OES crosswalk'!A:C, 3, FALSE))</f>
        <v>Waste handling, disposal, and treatment</v>
      </c>
      <c r="U567" s="188">
        <v>140801050505</v>
      </c>
      <c r="V567" s="11" t="s">
        <v>1549</v>
      </c>
      <c r="W567" s="11"/>
      <c r="X567" s="11">
        <v>0.1114304</v>
      </c>
      <c r="Y567" s="11" t="b">
        <f t="shared" si="9"/>
        <v>0</v>
      </c>
    </row>
    <row r="568" spans="1:25" x14ac:dyDescent="0.35">
      <c r="A568" s="11">
        <v>2021</v>
      </c>
      <c r="B568" s="11" t="s">
        <v>1980</v>
      </c>
      <c r="C568" s="11" t="s">
        <v>1332</v>
      </c>
      <c r="D568" s="163">
        <v>110064621805</v>
      </c>
      <c r="E568" s="11" t="s">
        <v>449</v>
      </c>
      <c r="F568" s="11" t="s">
        <v>450</v>
      </c>
      <c r="G568" s="11" t="s">
        <v>1333</v>
      </c>
      <c r="H568" s="11" t="s">
        <v>451</v>
      </c>
      <c r="I568" s="11" t="s">
        <v>1981</v>
      </c>
      <c r="J568" s="11">
        <v>41.952649999999998</v>
      </c>
      <c r="K568" s="11">
        <v>-71.269720000000007</v>
      </c>
      <c r="L568" s="11">
        <v>3356</v>
      </c>
      <c r="M568" s="11">
        <v>3356</v>
      </c>
      <c r="N568" s="175" t="str">
        <f>VLOOKUP(M568, '2017 SIC to NAICS'!A:D, 2)</f>
        <v>Nonferrous Rolling and Drawing, Nec</v>
      </c>
      <c r="P568" s="187" t="str">
        <f>VLOOKUP(M568, '2017 SIC to NAICS'!A:D, 4)</f>
        <v>Nonferrous Metal (except Copper and Aluminum) Rolling, Drawing, and Extruding</v>
      </c>
      <c r="Q568" s="176" t="e">
        <f>IFERROR(VLOOKUP(O568, 'NAICS OES crosswalk'!A:C, 3, FALSE), VLOOKUP(M568, 'NAICS OES crosswalk'!A:C, 3, FALSE))</f>
        <v>#N/A</v>
      </c>
      <c r="U568" s="188">
        <v>10900040401</v>
      </c>
      <c r="V568" s="11" t="s">
        <v>1334</v>
      </c>
      <c r="W568" s="11"/>
      <c r="X568" s="11">
        <v>0.11128052440875</v>
      </c>
      <c r="Y568" s="11" t="b">
        <f t="shared" si="9"/>
        <v>0</v>
      </c>
    </row>
    <row r="569" spans="1:25" ht="29" x14ac:dyDescent="0.35">
      <c r="A569" s="11">
        <v>2021</v>
      </c>
      <c r="B569" s="11" t="s">
        <v>1980</v>
      </c>
      <c r="C569" s="11" t="s">
        <v>933</v>
      </c>
      <c r="D569" s="163">
        <v>110001103911</v>
      </c>
      <c r="E569" s="11" t="s">
        <v>463</v>
      </c>
      <c r="F569" s="11" t="s">
        <v>464</v>
      </c>
      <c r="G569" s="11" t="s">
        <v>886</v>
      </c>
      <c r="H569" s="11" t="s">
        <v>102</v>
      </c>
      <c r="I569" s="11" t="s">
        <v>1981</v>
      </c>
      <c r="J569" s="11">
        <v>37.894722000000002</v>
      </c>
      <c r="K569" s="11">
        <v>-121.587222</v>
      </c>
      <c r="L569" s="11">
        <v>4952</v>
      </c>
      <c r="M569" s="11">
        <v>4952</v>
      </c>
      <c r="N569" s="175" t="str">
        <f>VLOOKUP(M569, '2017 SIC to NAICS'!A:D, 2)</f>
        <v>Sewerage Systems</v>
      </c>
      <c r="P569" s="187" t="str">
        <f>VLOOKUP(M569, '2017 SIC to NAICS'!A:D, 4)</f>
        <v>Sewage Treatment Facilities</v>
      </c>
      <c r="Q569" s="176" t="str">
        <f>IFERROR(VLOOKUP(O569, 'NAICS OES crosswalk'!A:C, 3, FALSE), VLOOKUP(M569, 'NAICS OES crosswalk'!A:C, 3, FALSE))</f>
        <v>Waste handling, disposal, and treatment</v>
      </c>
      <c r="U569" s="188">
        <v>180400030802</v>
      </c>
      <c r="V569" s="11" t="s">
        <v>934</v>
      </c>
      <c r="W569" s="11"/>
      <c r="X569" s="11">
        <v>0.103630272</v>
      </c>
      <c r="Y569" s="11" t="b">
        <f t="shared" si="9"/>
        <v>0</v>
      </c>
    </row>
    <row r="570" spans="1:25" x14ac:dyDescent="0.35">
      <c r="A570" s="11">
        <v>2021</v>
      </c>
      <c r="B570" s="11" t="s">
        <v>1980</v>
      </c>
      <c r="C570" s="11" t="s">
        <v>1560</v>
      </c>
      <c r="D570" s="163">
        <v>110041253256</v>
      </c>
      <c r="E570" s="11" t="s">
        <v>444</v>
      </c>
      <c r="F570" s="11" t="s">
        <v>337</v>
      </c>
      <c r="G570" s="11" t="s">
        <v>823</v>
      </c>
      <c r="H570" s="11" t="s">
        <v>221</v>
      </c>
      <c r="I570" s="11" t="s">
        <v>1982</v>
      </c>
      <c r="J570" s="11">
        <v>36.132570000000001</v>
      </c>
      <c r="K570" s="11">
        <v>-115.16477</v>
      </c>
      <c r="L570" s="11">
        <v>7011</v>
      </c>
      <c r="M570" s="11">
        <v>7011</v>
      </c>
      <c r="N570" s="175" t="str">
        <f>VLOOKUP(M570, '2017 SIC to NAICS'!A:D, 2)</f>
        <v>Hotels and Motels</v>
      </c>
      <c r="O570" s="11">
        <v>721120</v>
      </c>
      <c r="P570" s="187" t="str">
        <f>VLOOKUP(M570, '2017 SIC to NAICS'!A:D, 4)</f>
        <v>All Other Traveler Accommodation</v>
      </c>
      <c r="Q570" s="176" t="e">
        <f>IFERROR(VLOOKUP(O570, 'NAICS OES crosswalk'!A:C, 3, FALSE), VLOOKUP(M570, 'NAICS OES crosswalk'!A:C, 3, FALSE))</f>
        <v>#N/A</v>
      </c>
      <c r="U570" s="188">
        <v>150100150604</v>
      </c>
      <c r="V570" s="11" t="s">
        <v>738</v>
      </c>
      <c r="W570" s="11"/>
      <c r="X570" s="11">
        <v>0.10361437499999999</v>
      </c>
      <c r="Y570" s="11" t="b">
        <f t="shared" si="9"/>
        <v>0</v>
      </c>
    </row>
    <row r="571" spans="1:25" x14ac:dyDescent="0.35">
      <c r="A571" s="11">
        <v>2021</v>
      </c>
      <c r="B571" s="11" t="s">
        <v>1980</v>
      </c>
      <c r="C571" s="11" t="s">
        <v>730</v>
      </c>
      <c r="D571" s="163">
        <v>110017979810</v>
      </c>
      <c r="E571" s="11" t="s">
        <v>309</v>
      </c>
      <c r="F571" s="11" t="s">
        <v>158</v>
      </c>
      <c r="G571" s="11" t="s">
        <v>434</v>
      </c>
      <c r="H571" s="11" t="s">
        <v>129</v>
      </c>
      <c r="I571" s="11" t="s">
        <v>1982</v>
      </c>
      <c r="J571" s="11">
        <v>38.959018999999998</v>
      </c>
      <c r="K571" s="11">
        <v>-94.576569000000006</v>
      </c>
      <c r="L571" s="11">
        <v>6552</v>
      </c>
      <c r="M571" s="11">
        <v>6552</v>
      </c>
      <c r="N571" s="175" t="str">
        <f>VLOOKUP(M571, '2017 SIC to NAICS'!A:D, 2)</f>
        <v>Subdividers and Developers, Nec</v>
      </c>
      <c r="P571" s="187" t="str">
        <f>VLOOKUP(M571, '2017 SIC to NAICS'!A:D, 4)</f>
        <v>Land Subdivision</v>
      </c>
      <c r="Q571" s="176" t="e">
        <f>IFERROR(VLOOKUP(O571, 'NAICS OES crosswalk'!A:C, 3, FALSE), VLOOKUP(M571, 'NAICS OES crosswalk'!A:C, 3, FALSE))</f>
        <v>#N/A</v>
      </c>
      <c r="U571" s="188">
        <v>103001010105</v>
      </c>
      <c r="V571" s="11" t="s">
        <v>733</v>
      </c>
      <c r="W571" s="11"/>
      <c r="X571" s="11">
        <v>9.8756176099999995E-2</v>
      </c>
      <c r="Y571" s="11" t="b">
        <f t="shared" si="9"/>
        <v>0</v>
      </c>
    </row>
    <row r="572" spans="1:25" x14ac:dyDescent="0.35">
      <c r="A572" s="11">
        <v>2021</v>
      </c>
      <c r="B572" s="11" t="s">
        <v>1980</v>
      </c>
      <c r="C572" s="11" t="s">
        <v>1040</v>
      </c>
      <c r="D572" s="163">
        <v>110000547196</v>
      </c>
      <c r="E572" s="11" t="s">
        <v>468</v>
      </c>
      <c r="F572" s="11" t="s">
        <v>260</v>
      </c>
      <c r="G572" s="11" t="s">
        <v>1041</v>
      </c>
      <c r="H572" s="11" t="s">
        <v>111</v>
      </c>
      <c r="I572" s="11" t="s">
        <v>1982</v>
      </c>
      <c r="J572" s="11">
        <v>41.405655000000003</v>
      </c>
      <c r="K572" s="11">
        <v>-88.335212999999996</v>
      </c>
      <c r="L572" s="11">
        <v>2869</v>
      </c>
      <c r="M572" s="11">
        <v>2869</v>
      </c>
      <c r="N572" s="175" t="str">
        <f>VLOOKUP(M572, '2017 SIC to NAICS'!A:D, 2)</f>
        <v>Industrial Organic Chemicals, Nec</v>
      </c>
      <c r="P572" s="187" t="str">
        <f>VLOOKUP(M572, '2017 SIC to NAICS'!A:D, 4)</f>
        <v>All Other Miscellaneous Chemical Product and Preparation Manufacturing</v>
      </c>
      <c r="Q572" s="176" t="str">
        <f>IFERROR(VLOOKUP(O572, 'NAICS OES crosswalk'!A:C, 3, FALSE), VLOOKUP(M572, 'NAICS OES crosswalk'!A:C, 3, FALSE))</f>
        <v>Manufacturing</v>
      </c>
      <c r="U572" s="188">
        <v>71200050106</v>
      </c>
      <c r="V572" s="11" t="s">
        <v>798</v>
      </c>
      <c r="W572" s="11"/>
      <c r="X572" s="11">
        <v>9.6620280000000003E-2</v>
      </c>
      <c r="Y572" s="11" t="b">
        <f t="shared" si="9"/>
        <v>0</v>
      </c>
    </row>
    <row r="573" spans="1:25" x14ac:dyDescent="0.35">
      <c r="A573" s="11">
        <v>2021</v>
      </c>
      <c r="B573" s="11" t="s">
        <v>1980</v>
      </c>
      <c r="C573" s="11" t="s">
        <v>1597</v>
      </c>
      <c r="D573" s="163">
        <v>110015744024</v>
      </c>
      <c r="E573" s="11" t="s">
        <v>469</v>
      </c>
      <c r="F573" s="11" t="s">
        <v>470</v>
      </c>
      <c r="G573" s="11" t="s">
        <v>1598</v>
      </c>
      <c r="H573" s="11" t="s">
        <v>126</v>
      </c>
      <c r="I573" s="11" t="s">
        <v>1982</v>
      </c>
      <c r="J573" s="11">
        <v>42.025620000000004</v>
      </c>
      <c r="K573" s="11">
        <v>-74.099329999999995</v>
      </c>
      <c r="L573" s="11">
        <v>9511</v>
      </c>
      <c r="M573" s="11">
        <v>9511</v>
      </c>
      <c r="N573" s="175" t="str">
        <f>VLOOKUP(M573, '2017 SIC to NAICS'!A:D, 2)</f>
        <v>Air, Water, and Solid Waste Management</v>
      </c>
      <c r="P573" s="187" t="str">
        <f>VLOOKUP(M573, '2017 SIC to NAICS'!A:D, 4)</f>
        <v>Administration of Air and Water Resource
and Solid Waste Management Programs</v>
      </c>
      <c r="Q573" s="176" t="e">
        <f>IFERROR(VLOOKUP(O573, 'NAICS OES crosswalk'!A:C, 3, FALSE), VLOOKUP(M573, 'NAICS OES crosswalk'!A:C, 3, FALSE))</f>
        <v>#N/A</v>
      </c>
      <c r="U573" s="188">
        <v>20200060907</v>
      </c>
      <c r="V573" s="11" t="s">
        <v>1599</v>
      </c>
      <c r="W573" s="11"/>
      <c r="X573" s="11">
        <v>9.4578614825000004E-2</v>
      </c>
      <c r="Y573" s="11" t="b">
        <f t="shared" si="9"/>
        <v>0</v>
      </c>
    </row>
    <row r="574" spans="1:25" x14ac:dyDescent="0.35">
      <c r="A574" s="11">
        <v>2021</v>
      </c>
      <c r="B574" s="11" t="s">
        <v>1980</v>
      </c>
      <c r="C574" s="11" t="s">
        <v>1625</v>
      </c>
      <c r="D574" s="163">
        <v>110064634686</v>
      </c>
      <c r="E574" s="11" t="s">
        <v>461</v>
      </c>
      <c r="F574" s="11" t="s">
        <v>462</v>
      </c>
      <c r="G574" s="11" t="s">
        <v>1626</v>
      </c>
      <c r="H574" s="11" t="s">
        <v>340</v>
      </c>
      <c r="I574" s="11" t="s">
        <v>1981</v>
      </c>
      <c r="J574" s="11">
        <v>40.095258000000001</v>
      </c>
      <c r="K574" s="11">
        <v>-74.877359999999996</v>
      </c>
      <c r="L574" s="11">
        <v>2821</v>
      </c>
      <c r="M574" s="11">
        <v>2821</v>
      </c>
      <c r="N574" s="175" t="str">
        <f>VLOOKUP(M574, '2017 SIC to NAICS'!A:D, 2)</f>
        <v>Plastics Materials and Resins</v>
      </c>
      <c r="P574" s="187" t="str">
        <f>VLOOKUP(M574, '2017 SIC to NAICS'!A:D, 4)</f>
        <v>Plastics Material and Resin Manufacturing</v>
      </c>
      <c r="Q574" s="176" t="str">
        <f>IFERROR(VLOOKUP(O574, 'NAICS OES crosswalk'!A:C, 3, FALSE), VLOOKUP(M574, 'NAICS OES crosswalk'!A:C, 3, FALSE))</f>
        <v>Processing as a reactant</v>
      </c>
      <c r="U574" s="188">
        <v>20402010405</v>
      </c>
      <c r="V574" s="11" t="s">
        <v>1627</v>
      </c>
      <c r="W574" s="11"/>
      <c r="X574" s="11">
        <v>9.1776099999999999E-2</v>
      </c>
      <c r="Y574" s="11" t="b">
        <f t="shared" si="9"/>
        <v>0</v>
      </c>
    </row>
    <row r="575" spans="1:25" ht="29" x14ac:dyDescent="0.35">
      <c r="A575" s="11">
        <v>2021</v>
      </c>
      <c r="B575" s="11" t="s">
        <v>1980</v>
      </c>
      <c r="C575" s="11" t="s">
        <v>1364</v>
      </c>
      <c r="D575" s="163">
        <v>110009900884</v>
      </c>
      <c r="E575" s="11" t="s">
        <v>467</v>
      </c>
      <c r="F575" s="11" t="s">
        <v>308</v>
      </c>
      <c r="G575" s="11" t="s">
        <v>1365</v>
      </c>
      <c r="H575" s="11" t="s">
        <v>181</v>
      </c>
      <c r="I575" s="11" t="s">
        <v>1982</v>
      </c>
      <c r="J575" s="11">
        <v>42.293660000000003</v>
      </c>
      <c r="K575" s="11">
        <v>-85.223643999999993</v>
      </c>
      <c r="L575" s="11">
        <v>9999</v>
      </c>
      <c r="M575" s="11">
        <v>9999</v>
      </c>
      <c r="N575" s="175" t="str">
        <f>VLOOKUP(M575, '2017 SIC to NAICS'!A:D, 2)</f>
        <v>Nonclassifiable Establishments</v>
      </c>
      <c r="P575" s="187">
        <f>VLOOKUP(M575, '2017 SIC to NAICS'!A:D, 4)</f>
        <v>0</v>
      </c>
      <c r="Q575" s="176" t="str">
        <f>IFERROR(VLOOKUP(O575, 'NAICS OES crosswalk'!A:C, 3, FALSE), VLOOKUP(M575, 'NAICS OES crosswalk'!A:C, 3, FALSE))</f>
        <v>Uncertain, possibly a remediation site</v>
      </c>
      <c r="U575" s="188">
        <v>40500030410</v>
      </c>
      <c r="V575" s="11" t="s">
        <v>1366</v>
      </c>
      <c r="W575" s="11"/>
      <c r="X575" s="11">
        <v>8.6169915599999994E-2</v>
      </c>
      <c r="Y575" s="11" t="b">
        <f t="shared" si="9"/>
        <v>0</v>
      </c>
    </row>
    <row r="576" spans="1:25" x14ac:dyDescent="0.35">
      <c r="A576" s="11">
        <v>2021</v>
      </c>
      <c r="B576" s="11" t="s">
        <v>1980</v>
      </c>
      <c r="C576" s="11" t="s">
        <v>1631</v>
      </c>
      <c r="D576" s="163">
        <v>110000772628</v>
      </c>
      <c r="E576" s="11" t="s">
        <v>416</v>
      </c>
      <c r="F576" s="11" t="s">
        <v>417</v>
      </c>
      <c r="G576" s="11" t="s">
        <v>1626</v>
      </c>
      <c r="H576" s="11" t="s">
        <v>340</v>
      </c>
      <c r="I576" s="11" t="s">
        <v>1982</v>
      </c>
      <c r="J576" s="11">
        <v>40.177332</v>
      </c>
      <c r="K576" s="11">
        <v>-74.800439999999995</v>
      </c>
      <c r="L576" s="11">
        <v>2819</v>
      </c>
      <c r="M576" s="11">
        <v>2819</v>
      </c>
      <c r="N576" s="175" t="str">
        <f>VLOOKUP(M576, '2017 SIC to NAICS'!A:D, 2)</f>
        <v>Industrial Inorganic Chemicals, Nec</v>
      </c>
      <c r="P576" s="187" t="str">
        <f>VLOOKUP(M576, '2017 SIC to NAICS'!A:D, 4)</f>
        <v>Alumina Refining and Primary Aluminum
Production</v>
      </c>
      <c r="Q576" s="176" t="str">
        <f>IFERROR(VLOOKUP(O576, 'NAICS OES crosswalk'!A:C, 3, FALSE), VLOOKUP(M576, 'NAICS OES crosswalk'!A:C, 3, FALSE))</f>
        <v>Processing as a reactant</v>
      </c>
      <c r="U576" s="188">
        <v>20402010403</v>
      </c>
      <c r="V576" s="11" t="s">
        <v>1632</v>
      </c>
      <c r="W576" s="11"/>
      <c r="X576" s="11">
        <v>8.2891500000000007E-2</v>
      </c>
      <c r="Y576" s="11" t="b">
        <f t="shared" si="9"/>
        <v>0</v>
      </c>
    </row>
    <row r="577" spans="1:25" ht="15" customHeight="1" x14ac:dyDescent="0.35">
      <c r="A577" s="11">
        <v>2021</v>
      </c>
      <c r="B577" s="11" t="s">
        <v>1980</v>
      </c>
      <c r="C577" s="11" t="s">
        <v>1358</v>
      </c>
      <c r="D577" s="163">
        <v>110000408238</v>
      </c>
      <c r="E577" s="11" t="s">
        <v>499</v>
      </c>
      <c r="F577" s="11" t="s">
        <v>500</v>
      </c>
      <c r="G577" s="11" t="s">
        <v>1359</v>
      </c>
      <c r="H577" s="11" t="s">
        <v>181</v>
      </c>
      <c r="I577" s="11" t="s">
        <v>1982</v>
      </c>
      <c r="J577" s="11">
        <v>43.185969999999998</v>
      </c>
      <c r="K577" s="11">
        <v>-85.256680000000003</v>
      </c>
      <c r="L577" s="11">
        <v>3632</v>
      </c>
      <c r="M577" s="11">
        <v>3632</v>
      </c>
      <c r="N577" s="175" t="str">
        <f>VLOOKUP(M577, '2017 SIC to NAICS'!A:D, 2)</f>
        <v>Household Refrigerators and Freezers</v>
      </c>
      <c r="O577" s="11">
        <v>333415</v>
      </c>
      <c r="P577" s="187" t="str">
        <f>VLOOKUP(M577, '2017 SIC to NAICS'!A:D, 4)</f>
        <v>Major Household Appliance Manufacturing</v>
      </c>
      <c r="Q577" s="176" t="e">
        <f>IFERROR(VLOOKUP(O577, 'NAICS OES crosswalk'!A:C, 3, FALSE), VLOOKUP(M577, 'NAICS OES crosswalk'!A:C, 3, FALSE))</f>
        <v>#N/A</v>
      </c>
      <c r="U577" s="188">
        <v>40500060206</v>
      </c>
      <c r="V577" s="11" t="s">
        <v>1362</v>
      </c>
      <c r="W577" s="11"/>
      <c r="X577" s="11">
        <v>4.8063898200000001E-4</v>
      </c>
      <c r="Y577" s="11" t="b">
        <f t="shared" si="9"/>
        <v>1</v>
      </c>
    </row>
    <row r="578" spans="1:25" ht="29" x14ac:dyDescent="0.35">
      <c r="A578" s="11">
        <v>2021</v>
      </c>
      <c r="B578" s="11" t="s">
        <v>1980</v>
      </c>
      <c r="C578" s="11" t="s">
        <v>770</v>
      </c>
      <c r="D578" s="163">
        <v>110000613685</v>
      </c>
      <c r="E578" s="11" t="s">
        <v>355</v>
      </c>
      <c r="F578" s="11" t="s">
        <v>90</v>
      </c>
      <c r="G578" s="11" t="s">
        <v>771</v>
      </c>
      <c r="H578" s="11" t="s">
        <v>91</v>
      </c>
      <c r="I578" s="11" t="s">
        <v>1982</v>
      </c>
      <c r="J578" s="11">
        <v>30.321895000000001</v>
      </c>
      <c r="K578" s="11">
        <v>-93.300735000000003</v>
      </c>
      <c r="L578" s="11">
        <v>4953</v>
      </c>
      <c r="M578" s="11">
        <v>4953</v>
      </c>
      <c r="N578" s="175" t="str">
        <f>VLOOKUP(M578, '2017 SIC to NAICS'!A:D, 2)</f>
        <v>Refuse Systems</v>
      </c>
      <c r="P578" s="187" t="str">
        <f>VLOOKUP(M578, '2017 SIC to NAICS'!A:D, 4)</f>
        <v>Materials Recovery Facilities</v>
      </c>
      <c r="Q578" s="176" t="str">
        <f>IFERROR(VLOOKUP(O578, 'NAICS OES crosswalk'!A:C, 3, FALSE), VLOOKUP(M578, 'NAICS OES crosswalk'!A:C, 3, FALSE))</f>
        <v>Waste handling, disposal, and treatment</v>
      </c>
      <c r="U578" s="188">
        <v>80802050501</v>
      </c>
      <c r="V578" s="11" t="s">
        <v>772</v>
      </c>
      <c r="W578" s="11"/>
      <c r="X578" s="11">
        <v>7.9437687500000007E-2</v>
      </c>
      <c r="Y578" s="11" t="b">
        <f t="shared" si="9"/>
        <v>0</v>
      </c>
    </row>
    <row r="579" spans="1:25" ht="29" x14ac:dyDescent="0.35">
      <c r="A579" s="11">
        <v>2021</v>
      </c>
      <c r="B579" s="11" t="s">
        <v>1980</v>
      </c>
      <c r="C579" s="11" t="s">
        <v>980</v>
      </c>
      <c r="D579" s="163">
        <v>110000730825</v>
      </c>
      <c r="E579" s="11" t="s">
        <v>412</v>
      </c>
      <c r="F579" s="11" t="s">
        <v>413</v>
      </c>
      <c r="G579" s="11" t="s">
        <v>790</v>
      </c>
      <c r="H579" s="11" t="s">
        <v>102</v>
      </c>
      <c r="I579" s="11" t="s">
        <v>1981</v>
      </c>
      <c r="J579" s="11">
        <v>32.664450000000002</v>
      </c>
      <c r="K579" s="11">
        <v>-115.55970499999999</v>
      </c>
      <c r="L579" s="11">
        <v>4952</v>
      </c>
      <c r="M579" s="11">
        <v>4952</v>
      </c>
      <c r="N579" s="175" t="str">
        <f>VLOOKUP(M579, '2017 SIC to NAICS'!A:D, 2)</f>
        <v>Sewerage Systems</v>
      </c>
      <c r="P579" s="187" t="str">
        <f>VLOOKUP(M579, '2017 SIC to NAICS'!A:D, 4)</f>
        <v>Sewage Treatment Facilities</v>
      </c>
      <c r="Q579" s="176" t="str">
        <f>IFERROR(VLOOKUP(O579, 'NAICS OES crosswalk'!A:C, 3, FALSE), VLOOKUP(M579, 'NAICS OES crosswalk'!A:C, 3, FALSE))</f>
        <v>Waste handling, disposal, and treatment</v>
      </c>
      <c r="U579" s="188">
        <v>181002040902</v>
      </c>
      <c r="V579" s="11" t="s">
        <v>972</v>
      </c>
      <c r="W579" s="11"/>
      <c r="X579" s="11">
        <v>7.9334073125000001E-2</v>
      </c>
      <c r="Y579" s="11" t="b">
        <f t="shared" si="9"/>
        <v>0</v>
      </c>
    </row>
    <row r="580" spans="1:25" x14ac:dyDescent="0.35">
      <c r="A580" s="11">
        <v>2021</v>
      </c>
      <c r="B580" s="11" t="s">
        <v>1980</v>
      </c>
      <c r="C580" s="11" t="s">
        <v>1375</v>
      </c>
      <c r="D580" s="163">
        <v>110009900679</v>
      </c>
      <c r="E580" s="11" t="s">
        <v>475</v>
      </c>
      <c r="F580" s="11" t="s">
        <v>476</v>
      </c>
      <c r="G580" s="11" t="s">
        <v>1365</v>
      </c>
      <c r="H580" s="11" t="s">
        <v>181</v>
      </c>
      <c r="I580" s="11" t="s">
        <v>1982</v>
      </c>
      <c r="J580" s="11">
        <v>42.250990000000002</v>
      </c>
      <c r="K580" s="11">
        <v>-84.736580000000004</v>
      </c>
      <c r="L580" s="11">
        <v>1799</v>
      </c>
      <c r="M580" s="11">
        <v>1799</v>
      </c>
      <c r="N580" s="175" t="str">
        <f>VLOOKUP(M580, '2017 SIC to NAICS'!A:D, 2)</f>
        <v>Special Trade Contractors, Nec</v>
      </c>
      <c r="O580" s="11">
        <v>562910</v>
      </c>
      <c r="P580" s="187" t="str">
        <f>VLOOKUP(M580, '2017 SIC to NAICS'!A:D, 4)</f>
        <v>Remediation Services</v>
      </c>
      <c r="Q580" s="176" t="e">
        <f>IFERROR(VLOOKUP(O580, 'NAICS OES crosswalk'!A:C, 3, FALSE), VLOOKUP(M580, 'NAICS OES crosswalk'!A:C, 3, FALSE))</f>
        <v>#N/A</v>
      </c>
      <c r="U580" s="188">
        <v>40500030406</v>
      </c>
      <c r="V580" s="11" t="s">
        <v>1376</v>
      </c>
      <c r="W580" s="11"/>
      <c r="X580" s="11">
        <v>7.4280625000000003E-2</v>
      </c>
      <c r="Y580" s="11" t="b">
        <f t="shared" si="9"/>
        <v>0</v>
      </c>
    </row>
    <row r="581" spans="1:25" x14ac:dyDescent="0.35">
      <c r="A581" s="11">
        <v>2021</v>
      </c>
      <c r="B581" s="11" t="s">
        <v>1980</v>
      </c>
      <c r="C581" s="11" t="s">
        <v>1568</v>
      </c>
      <c r="D581" s="163">
        <v>110000737365</v>
      </c>
      <c r="E581" s="11" t="s">
        <v>588</v>
      </c>
      <c r="F581" s="11" t="s">
        <v>589</v>
      </c>
      <c r="G581" s="11" t="s">
        <v>831</v>
      </c>
      <c r="H581" s="11" t="s">
        <v>126</v>
      </c>
      <c r="I581" s="11" t="s">
        <v>1981</v>
      </c>
      <c r="J581" s="11">
        <v>43.129750000000001</v>
      </c>
      <c r="K581" s="11">
        <v>-78.939679999999996</v>
      </c>
      <c r="L581" s="11">
        <v>9511</v>
      </c>
      <c r="M581" s="11">
        <v>9511</v>
      </c>
      <c r="N581" s="175" t="str">
        <f>VLOOKUP(M581, '2017 SIC to NAICS'!A:D, 2)</f>
        <v>Air, Water, and Solid Waste Management</v>
      </c>
      <c r="P581" s="187" t="str">
        <f>VLOOKUP(M581, '2017 SIC to NAICS'!A:D, 4)</f>
        <v>Administration of Air and Water Resource
and Solid Waste Management Programs</v>
      </c>
      <c r="Q581" s="176" t="e">
        <f>IFERROR(VLOOKUP(O581, 'NAICS OES crosswalk'!A:C, 3, FALSE), VLOOKUP(M581, 'NAICS OES crosswalk'!A:C, 3, FALSE))</f>
        <v>#N/A</v>
      </c>
      <c r="U581" s="188">
        <v>41201040603</v>
      </c>
      <c r="V581" s="11" t="s">
        <v>1569</v>
      </c>
      <c r="W581" s="11"/>
      <c r="X581" s="11">
        <v>1.1333206708075E-2</v>
      </c>
      <c r="Y581" s="11" t="b">
        <f t="shared" si="9"/>
        <v>0</v>
      </c>
    </row>
    <row r="582" spans="1:25" ht="29" x14ac:dyDescent="0.35">
      <c r="A582" s="11">
        <v>2021</v>
      </c>
      <c r="B582" s="11" t="s">
        <v>1980</v>
      </c>
      <c r="C582" s="11" t="s">
        <v>1629</v>
      </c>
      <c r="D582" s="163">
        <v>110000817439</v>
      </c>
      <c r="E582" s="11" t="s">
        <v>435</v>
      </c>
      <c r="F582" s="11" t="s">
        <v>436</v>
      </c>
      <c r="G582" s="11" t="s">
        <v>1626</v>
      </c>
      <c r="H582" s="11" t="s">
        <v>340</v>
      </c>
      <c r="I582" s="11" t="s">
        <v>1982</v>
      </c>
      <c r="J582" s="11">
        <v>40.159343999999997</v>
      </c>
      <c r="K582" s="11">
        <v>-74.776695000000004</v>
      </c>
      <c r="L582" s="11">
        <v>4953</v>
      </c>
      <c r="M582" s="11">
        <v>4953</v>
      </c>
      <c r="N582" s="175" t="str">
        <f>VLOOKUP(M582, '2017 SIC to NAICS'!A:D, 2)</f>
        <v>Refuse Systems</v>
      </c>
      <c r="P582" s="187" t="str">
        <f>VLOOKUP(M582, '2017 SIC to NAICS'!A:D, 4)</f>
        <v>Materials Recovery Facilities</v>
      </c>
      <c r="Q582" s="176" t="str">
        <f>IFERROR(VLOOKUP(O582, 'NAICS OES crosswalk'!A:C, 3, FALSE), VLOOKUP(M582, 'NAICS OES crosswalk'!A:C, 3, FALSE))</f>
        <v>Waste handling, disposal, and treatment</v>
      </c>
      <c r="U582" s="188">
        <v>20402010404</v>
      </c>
      <c r="V582" s="11" t="s">
        <v>1630</v>
      </c>
      <c r="W582" s="11"/>
      <c r="X582" s="11">
        <v>6.2129900000000002E-2</v>
      </c>
      <c r="Y582" s="11" t="b">
        <f t="shared" si="9"/>
        <v>0</v>
      </c>
    </row>
    <row r="583" spans="1:25" x14ac:dyDescent="0.35">
      <c r="A583" s="11">
        <v>2021</v>
      </c>
      <c r="B583" s="11" t="s">
        <v>1980</v>
      </c>
      <c r="C583" s="11" t="s">
        <v>876</v>
      </c>
      <c r="D583" s="163">
        <v>110000452082</v>
      </c>
      <c r="E583" s="11" t="s">
        <v>488</v>
      </c>
      <c r="F583" s="11" t="s">
        <v>489</v>
      </c>
      <c r="G583" s="11" t="s">
        <v>877</v>
      </c>
      <c r="H583" s="11" t="s">
        <v>202</v>
      </c>
      <c r="I583" s="11" t="s">
        <v>1981</v>
      </c>
      <c r="J583" s="11">
        <v>35.136057000000001</v>
      </c>
      <c r="K583" s="11">
        <v>-90.096892999999994</v>
      </c>
      <c r="L583" s="11">
        <v>2869</v>
      </c>
      <c r="M583" s="11">
        <v>2869</v>
      </c>
      <c r="N583" s="175" t="str">
        <f>VLOOKUP(M583, '2017 SIC to NAICS'!A:D, 2)</f>
        <v>Industrial Organic Chemicals, Nec</v>
      </c>
      <c r="O583" s="11">
        <v>325199</v>
      </c>
      <c r="P583" s="187" t="str">
        <f>VLOOKUP(M583, '2017 SIC to NAICS'!A:D, 4)</f>
        <v>All Other Miscellaneous Chemical Product and Preparation Manufacturing</v>
      </c>
      <c r="Q583" s="176" t="str">
        <f>IFERROR(VLOOKUP(O583, 'NAICS OES crosswalk'!A:C, 3, FALSE), VLOOKUP(M583, 'NAICS OES crosswalk'!A:C, 3, FALSE))</f>
        <v>Manufacturing</v>
      </c>
      <c r="U583" s="188">
        <v>80101000703</v>
      </c>
      <c r="V583" s="11" t="s">
        <v>878</v>
      </c>
      <c r="W583" s="11"/>
      <c r="X583" s="11">
        <v>5.9301479999999997E-2</v>
      </c>
      <c r="Y583" s="11" t="b">
        <f t="shared" si="9"/>
        <v>0</v>
      </c>
    </row>
    <row r="584" spans="1:25" x14ac:dyDescent="0.35">
      <c r="A584" s="11">
        <v>2021</v>
      </c>
      <c r="B584" s="11" t="s">
        <v>1980</v>
      </c>
      <c r="C584" s="11" t="s">
        <v>1753</v>
      </c>
      <c r="D584" s="163">
        <v>110071065066</v>
      </c>
      <c r="E584" s="11" t="s">
        <v>698</v>
      </c>
      <c r="F584" s="11" t="s">
        <v>275</v>
      </c>
      <c r="G584" s="11" t="s">
        <v>1718</v>
      </c>
      <c r="H584" s="11" t="s">
        <v>276</v>
      </c>
      <c r="I584" s="11" t="s">
        <v>1982</v>
      </c>
      <c r="J584" s="11">
        <v>38.862986999999997</v>
      </c>
      <c r="K584" s="11">
        <v>-77.085927999999996</v>
      </c>
      <c r="L584" s="11">
        <v>5999</v>
      </c>
      <c r="M584" s="11">
        <v>5999</v>
      </c>
      <c r="N584" s="175" t="str">
        <f>VLOOKUP(M584, '2017 SIC to NAICS'!A:D, 2)</f>
        <v>Miscellaneous Retail Stores, Nec</v>
      </c>
      <c r="P584" s="187" t="str">
        <f>VLOOKUP(M584, '2017 SIC to NAICS'!A:D, 4)</f>
        <v>All Other Miscellaneous Store Retailers
(except Tobacco Stores)</v>
      </c>
      <c r="Q584" s="176" t="e">
        <f>IFERROR(VLOOKUP(O584, 'NAICS OES crosswalk'!A:C, 3, FALSE), VLOOKUP(M584, 'NAICS OES crosswalk'!A:C, 3, FALSE))</f>
        <v>#N/A</v>
      </c>
      <c r="U584" s="188">
        <v>20700100301</v>
      </c>
      <c r="V584" s="11" t="s">
        <v>1711</v>
      </c>
      <c r="W584" s="11"/>
      <c r="X584" s="11">
        <v>4.8750800000000001E-5</v>
      </c>
      <c r="Y584" s="11" t="b">
        <f t="shared" si="9"/>
        <v>1</v>
      </c>
    </row>
    <row r="585" spans="1:25" x14ac:dyDescent="0.35">
      <c r="A585" s="11">
        <v>2021</v>
      </c>
      <c r="B585" s="11" t="s">
        <v>1980</v>
      </c>
      <c r="C585" s="11" t="s">
        <v>730</v>
      </c>
      <c r="D585" s="163">
        <v>110017979810</v>
      </c>
      <c r="E585" s="11" t="s">
        <v>309</v>
      </c>
      <c r="F585" s="11" t="s">
        <v>158</v>
      </c>
      <c r="G585" s="11" t="s">
        <v>434</v>
      </c>
      <c r="H585" s="11" t="s">
        <v>129</v>
      </c>
      <c r="I585" s="11" t="s">
        <v>1982</v>
      </c>
      <c r="J585" s="11">
        <v>38.959018999999998</v>
      </c>
      <c r="K585" s="11">
        <v>-94.576569000000006</v>
      </c>
      <c r="L585" s="11">
        <v>6552</v>
      </c>
      <c r="M585" s="11">
        <v>6552</v>
      </c>
      <c r="N585" s="175" t="str">
        <f>VLOOKUP(M585, '2017 SIC to NAICS'!A:D, 2)</f>
        <v>Subdividers and Developers, Nec</v>
      </c>
      <c r="P585" s="187" t="str">
        <f>VLOOKUP(M585, '2017 SIC to NAICS'!A:D, 4)</f>
        <v>Land Subdivision</v>
      </c>
      <c r="Q585" s="176" t="e">
        <f>IFERROR(VLOOKUP(O585, 'NAICS OES crosswalk'!A:C, 3, FALSE), VLOOKUP(M585, 'NAICS OES crosswalk'!A:C, 3, FALSE))</f>
        <v>#N/A</v>
      </c>
      <c r="U585" s="188">
        <v>103001010105</v>
      </c>
      <c r="V585" s="11" t="s">
        <v>733</v>
      </c>
      <c r="W585" s="11"/>
      <c r="X585" s="11">
        <v>5.6160883750000001E-2</v>
      </c>
      <c r="Y585" s="11" t="b">
        <f t="shared" si="9"/>
        <v>0</v>
      </c>
    </row>
    <row r="586" spans="1:25" x14ac:dyDescent="0.35">
      <c r="A586" s="11">
        <v>2021</v>
      </c>
      <c r="B586" s="11" t="s">
        <v>1980</v>
      </c>
      <c r="C586" s="11" t="s">
        <v>1571</v>
      </c>
      <c r="D586" s="163">
        <v>110000326193</v>
      </c>
      <c r="E586" s="11" t="s">
        <v>459</v>
      </c>
      <c r="F586" s="11" t="s">
        <v>460</v>
      </c>
      <c r="G586" s="11" t="s">
        <v>1572</v>
      </c>
      <c r="H586" s="11" t="s">
        <v>126</v>
      </c>
      <c r="I586" s="11" t="s">
        <v>1981</v>
      </c>
      <c r="J586" s="11">
        <v>42.308895999999997</v>
      </c>
      <c r="K586" s="11">
        <v>-75.397531999999998</v>
      </c>
      <c r="L586" s="11">
        <v>3471</v>
      </c>
      <c r="M586" s="11">
        <v>3471</v>
      </c>
      <c r="N586" s="175" t="str">
        <f>VLOOKUP(M586, '2017 SIC to NAICS'!A:D, 2)</f>
        <v>Plating and Polishing</v>
      </c>
      <c r="P586" s="187" t="str">
        <f>VLOOKUP(M586, '2017 SIC to NAICS'!A:D, 4)</f>
        <v>Electroplating, Plating, Polishing,
Anodizing, and Coloring</v>
      </c>
      <c r="Q586" s="176" t="e">
        <f>IFERROR(VLOOKUP(O586, 'NAICS OES crosswalk'!A:C, 3, FALSE), VLOOKUP(M586, 'NAICS OES crosswalk'!A:C, 3, FALSE))</f>
        <v>#N/A</v>
      </c>
      <c r="U586" s="188">
        <v>20501011105</v>
      </c>
      <c r="V586" s="11" t="s">
        <v>1573</v>
      </c>
      <c r="W586" s="11"/>
      <c r="X586" s="11">
        <v>5.3623041250000003E-2</v>
      </c>
      <c r="Y586" s="11" t="b">
        <f t="shared" si="9"/>
        <v>0</v>
      </c>
    </row>
    <row r="587" spans="1:25" x14ac:dyDescent="0.35">
      <c r="A587" s="11">
        <v>2021</v>
      </c>
      <c r="B587" s="11" t="s">
        <v>1980</v>
      </c>
      <c r="C587" s="11" t="s">
        <v>1501</v>
      </c>
      <c r="D587" s="163">
        <v>110000321651</v>
      </c>
      <c r="E587" s="11" t="s">
        <v>541</v>
      </c>
      <c r="F587" s="11" t="s">
        <v>542</v>
      </c>
      <c r="G587" s="11" t="s">
        <v>818</v>
      </c>
      <c r="H587" s="11" t="s">
        <v>254</v>
      </c>
      <c r="I587" s="11" t="s">
        <v>1981</v>
      </c>
      <c r="J587" s="11">
        <v>40.331944</v>
      </c>
      <c r="K587" s="11">
        <v>-74.619721999999996</v>
      </c>
      <c r="L587" s="11">
        <v>2869</v>
      </c>
      <c r="M587" s="11">
        <v>2869</v>
      </c>
      <c r="N587" s="175" t="str">
        <f>VLOOKUP(M587, '2017 SIC to NAICS'!A:D, 2)</f>
        <v>Industrial Organic Chemicals, Nec</v>
      </c>
      <c r="O587" s="11">
        <v>325199</v>
      </c>
      <c r="P587" s="187" t="str">
        <f>VLOOKUP(M587, '2017 SIC to NAICS'!A:D, 4)</f>
        <v>All Other Miscellaneous Chemical Product and Preparation Manufacturing</v>
      </c>
      <c r="Q587" s="176" t="str">
        <f>IFERROR(VLOOKUP(O587, 'NAICS OES crosswalk'!A:C, 3, FALSE), VLOOKUP(M587, 'NAICS OES crosswalk'!A:C, 3, FALSE))</f>
        <v>Manufacturing</v>
      </c>
      <c r="U587" s="188">
        <v>20301050306</v>
      </c>
      <c r="V587" s="11" t="s">
        <v>1502</v>
      </c>
      <c r="W587" s="11"/>
      <c r="X587" s="11">
        <v>2.1576000000000001E-2</v>
      </c>
      <c r="Y587" s="11" t="b">
        <f t="shared" si="9"/>
        <v>0</v>
      </c>
    </row>
    <row r="588" spans="1:25" x14ac:dyDescent="0.35">
      <c r="A588" s="11">
        <v>2021</v>
      </c>
      <c r="B588" s="11" t="s">
        <v>1980</v>
      </c>
      <c r="C588" s="11" t="s">
        <v>1388</v>
      </c>
      <c r="D588" s="163">
        <v>110001301074</v>
      </c>
      <c r="E588" s="11" t="s">
        <v>441</v>
      </c>
      <c r="F588" s="11" t="s">
        <v>357</v>
      </c>
      <c r="G588" s="11" t="s">
        <v>1389</v>
      </c>
      <c r="H588" s="11" t="s">
        <v>181</v>
      </c>
      <c r="I588" s="11" t="s">
        <v>1982</v>
      </c>
      <c r="J588" s="11">
        <v>44.260753000000001</v>
      </c>
      <c r="K588" s="11">
        <v>-85.408919999999995</v>
      </c>
      <c r="L588" s="11">
        <v>3635</v>
      </c>
      <c r="M588" s="11">
        <v>3635</v>
      </c>
      <c r="N588" s="175" t="str">
        <f>VLOOKUP(M588, '2017 SIC to NAICS'!A:D, 2)</f>
        <v>Household Vacuum Cleaners</v>
      </c>
      <c r="O588" s="11">
        <v>335210</v>
      </c>
      <c r="P588" s="187" t="str">
        <f>VLOOKUP(M588, '2017 SIC to NAICS'!A:D, 4)</f>
        <v>Small Electrical Appliance Manufacturing</v>
      </c>
      <c r="Q588" s="176" t="e">
        <f>IFERROR(VLOOKUP(O588, 'NAICS OES crosswalk'!A:C, 3, FALSE), VLOOKUP(M588, 'NAICS OES crosswalk'!A:C, 3, FALSE))</f>
        <v>#N/A</v>
      </c>
      <c r="U588" s="188">
        <v>40601020303</v>
      </c>
      <c r="V588" s="11" t="s">
        <v>1390</v>
      </c>
      <c r="W588" s="11"/>
      <c r="X588" s="11">
        <v>4.5204254999999999E-2</v>
      </c>
      <c r="Y588" s="11" t="b">
        <f t="shared" ref="Y588:Y651" si="10" xml:space="preserve"> X588 &lt;= _xlfn.PERCENTILE.INC($X$459:$X$700, 0.1)</f>
        <v>0</v>
      </c>
    </row>
    <row r="589" spans="1:25" x14ac:dyDescent="0.35">
      <c r="A589" s="11">
        <v>2021</v>
      </c>
      <c r="B589" s="11" t="s">
        <v>1980</v>
      </c>
      <c r="C589" s="11" t="s">
        <v>829</v>
      </c>
      <c r="D589" s="163">
        <v>110059844156</v>
      </c>
      <c r="E589" s="11" t="s">
        <v>512</v>
      </c>
      <c r="F589" s="11" t="s">
        <v>337</v>
      </c>
      <c r="G589" s="11" t="s">
        <v>823</v>
      </c>
      <c r="H589" s="11" t="s">
        <v>221</v>
      </c>
      <c r="I589" s="11" t="s">
        <v>1982</v>
      </c>
      <c r="J589" s="11">
        <v>36.131489999999999</v>
      </c>
      <c r="K589" s="11">
        <v>-115.15483</v>
      </c>
      <c r="L589" s="11">
        <v>1799</v>
      </c>
      <c r="M589" s="11">
        <v>1799</v>
      </c>
      <c r="N589" s="175" t="str">
        <f>VLOOKUP(M589, '2017 SIC to NAICS'!A:D, 2)</f>
        <v>Special Trade Contractors, Nec</v>
      </c>
      <c r="O589" s="11">
        <v>562910</v>
      </c>
      <c r="P589" s="187" t="str">
        <f>VLOOKUP(M589, '2017 SIC to NAICS'!A:D, 4)</f>
        <v>Remediation Services</v>
      </c>
      <c r="Q589" s="176" t="e">
        <f>IFERROR(VLOOKUP(O589, 'NAICS OES crosswalk'!A:C, 3, FALSE), VLOOKUP(M589, 'NAICS OES crosswalk'!A:C, 3, FALSE))</f>
        <v>#N/A</v>
      </c>
      <c r="U589" s="188">
        <v>150100150604</v>
      </c>
      <c r="V589" s="11" t="s">
        <v>738</v>
      </c>
      <c r="W589" s="11"/>
      <c r="X589" s="11">
        <v>4.4369402281249998E-2</v>
      </c>
      <c r="Y589" s="11" t="b">
        <f t="shared" si="10"/>
        <v>0</v>
      </c>
    </row>
    <row r="590" spans="1:25" x14ac:dyDescent="0.35">
      <c r="A590" s="11">
        <v>2021</v>
      </c>
      <c r="B590" s="11" t="s">
        <v>1980</v>
      </c>
      <c r="C590" s="11" t="s">
        <v>735</v>
      </c>
      <c r="D590" s="163">
        <v>110004306938</v>
      </c>
      <c r="E590" s="11" t="s">
        <v>336</v>
      </c>
      <c r="F590" s="11" t="s">
        <v>337</v>
      </c>
      <c r="G590" s="11" t="s">
        <v>736</v>
      </c>
      <c r="H590" s="11" t="s">
        <v>221</v>
      </c>
      <c r="I590" s="11" t="s">
        <v>1982</v>
      </c>
      <c r="J590" s="11">
        <v>36.122100000000003</v>
      </c>
      <c r="K590" s="11">
        <v>-115.17139</v>
      </c>
      <c r="L590" s="11">
        <v>7011</v>
      </c>
      <c r="M590" s="11">
        <v>7011</v>
      </c>
      <c r="N590" s="175" t="str">
        <f>VLOOKUP(M590, '2017 SIC to NAICS'!A:D, 2)</f>
        <v>Hotels and Motels</v>
      </c>
      <c r="P590" s="187" t="str">
        <f>VLOOKUP(M590, '2017 SIC to NAICS'!A:D, 4)</f>
        <v>All Other Traveler Accommodation</v>
      </c>
      <c r="Q590" s="176" t="e">
        <f>IFERROR(VLOOKUP(O590, 'NAICS OES crosswalk'!A:C, 3, FALSE), VLOOKUP(M590, 'NAICS OES crosswalk'!A:C, 3, FALSE))</f>
        <v>#N/A</v>
      </c>
      <c r="U590" s="188">
        <v>150100150604</v>
      </c>
      <c r="V590" s="11" t="s">
        <v>738</v>
      </c>
      <c r="W590" s="11"/>
      <c r="X590" s="11">
        <v>4.4208799999999999E-2</v>
      </c>
      <c r="Y590" s="11" t="b">
        <f t="shared" si="10"/>
        <v>0</v>
      </c>
    </row>
    <row r="591" spans="1:25" ht="29" x14ac:dyDescent="0.35">
      <c r="A591" s="11">
        <v>2021</v>
      </c>
      <c r="B591" s="11" t="s">
        <v>1980</v>
      </c>
      <c r="C591" s="11" t="s">
        <v>1719</v>
      </c>
      <c r="D591" s="163">
        <v>110070544905</v>
      </c>
      <c r="E591" s="11" t="s">
        <v>501</v>
      </c>
      <c r="F591" s="11" t="s">
        <v>502</v>
      </c>
      <c r="G591" s="11" t="s">
        <v>1720</v>
      </c>
      <c r="H591" s="11" t="s">
        <v>276</v>
      </c>
      <c r="I591" s="11" t="s">
        <v>1982</v>
      </c>
      <c r="J591" s="11">
        <v>38.400409000000003</v>
      </c>
      <c r="K591" s="11">
        <v>-78.895222000000004</v>
      </c>
      <c r="L591" s="11">
        <v>4953</v>
      </c>
      <c r="M591" s="11">
        <v>4953</v>
      </c>
      <c r="N591" s="175" t="str">
        <f>VLOOKUP(M591, '2017 SIC to NAICS'!A:D, 2)</f>
        <v>Refuse Systems</v>
      </c>
      <c r="P591" s="187" t="str">
        <f>VLOOKUP(M591, '2017 SIC to NAICS'!A:D, 4)</f>
        <v>Materials Recovery Facilities</v>
      </c>
      <c r="Q591" s="176" t="str">
        <f>IFERROR(VLOOKUP(O591, 'NAICS OES crosswalk'!A:C, 3, FALSE), VLOOKUP(M591, 'NAICS OES crosswalk'!A:C, 3, FALSE))</f>
        <v>Waste handling, disposal, and treatment</v>
      </c>
      <c r="U591" s="188">
        <v>20700050602</v>
      </c>
      <c r="V591" s="11" t="s">
        <v>1721</v>
      </c>
      <c r="W591" s="11"/>
      <c r="X591" s="11">
        <v>4.26682258935E-2</v>
      </c>
      <c r="Y591" s="11" t="b">
        <f t="shared" si="10"/>
        <v>0</v>
      </c>
    </row>
    <row r="592" spans="1:25" x14ac:dyDescent="0.35">
      <c r="A592" s="11">
        <v>2021</v>
      </c>
      <c r="B592" s="11" t="s">
        <v>1980</v>
      </c>
      <c r="C592" s="11" t="s">
        <v>1446</v>
      </c>
      <c r="D592" s="163">
        <v>110035765794</v>
      </c>
      <c r="E592" s="11" t="s">
        <v>633</v>
      </c>
      <c r="F592" s="11" t="s">
        <v>634</v>
      </c>
      <c r="G592" s="11" t="s">
        <v>1447</v>
      </c>
      <c r="H592" s="11" t="s">
        <v>328</v>
      </c>
      <c r="I592" s="11" t="s">
        <v>1982</v>
      </c>
      <c r="J592" s="11">
        <v>45.055509000000001</v>
      </c>
      <c r="K592" s="11">
        <v>-93.279771999999994</v>
      </c>
      <c r="L592" s="11">
        <v>3489</v>
      </c>
      <c r="M592" s="11">
        <v>3489</v>
      </c>
      <c r="N592" s="175" t="str">
        <f>VLOOKUP(M592, '2017 SIC to NAICS'!A:D, 2)</f>
        <v>Ordnance and Accessories, Nec</v>
      </c>
      <c r="P592" s="187" t="str">
        <f>VLOOKUP(M592, '2017 SIC to NAICS'!A:D, 4)</f>
        <v>Small Arms, Ordnance, and Ordnance
Accessories Manufacturing</v>
      </c>
      <c r="Q592" s="176" t="e">
        <f>IFERROR(VLOOKUP(O592, 'NAICS OES crosswalk'!A:C, 3, FALSE), VLOOKUP(M592, 'NAICS OES crosswalk'!A:C, 3, FALSE))</f>
        <v>#N/A</v>
      </c>
      <c r="U592" s="188">
        <v>70102060702</v>
      </c>
      <c r="V592" s="11" t="s">
        <v>1448</v>
      </c>
      <c r="W592" s="11"/>
      <c r="X592" s="11">
        <v>5.9161707450000002E-3</v>
      </c>
      <c r="Y592" s="11" t="b">
        <f t="shared" si="10"/>
        <v>0</v>
      </c>
    </row>
    <row r="593" spans="1:25" x14ac:dyDescent="0.35">
      <c r="A593" s="11">
        <v>2021</v>
      </c>
      <c r="B593" s="11" t="s">
        <v>1980</v>
      </c>
      <c r="C593" s="11" t="s">
        <v>822</v>
      </c>
      <c r="D593" s="163">
        <v>110015972562</v>
      </c>
      <c r="E593" s="11" t="s">
        <v>381</v>
      </c>
      <c r="F593" s="11" t="s">
        <v>337</v>
      </c>
      <c r="G593" s="11" t="s">
        <v>823</v>
      </c>
      <c r="H593" s="11" t="s">
        <v>221</v>
      </c>
      <c r="I593" s="11" t="s">
        <v>1982</v>
      </c>
      <c r="J593" s="11">
        <v>36.116160999999998</v>
      </c>
      <c r="K593" s="11">
        <v>-115.172741</v>
      </c>
      <c r="L593" s="11">
        <v>7011</v>
      </c>
      <c r="M593" s="11">
        <v>7011</v>
      </c>
      <c r="N593" s="175" t="str">
        <f>VLOOKUP(M593, '2017 SIC to NAICS'!A:D, 2)</f>
        <v>Hotels and Motels</v>
      </c>
      <c r="O593" s="11">
        <v>721120</v>
      </c>
      <c r="P593" s="187" t="str">
        <f>VLOOKUP(M593, '2017 SIC to NAICS'!A:D, 4)</f>
        <v>All Other Traveler Accommodation</v>
      </c>
      <c r="Q593" s="176" t="e">
        <f>IFERROR(VLOOKUP(O593, 'NAICS OES crosswalk'!A:C, 3, FALSE), VLOOKUP(M593, 'NAICS OES crosswalk'!A:C, 3, FALSE))</f>
        <v>#N/A</v>
      </c>
      <c r="U593" s="188">
        <v>150100150604</v>
      </c>
      <c r="V593" s="11" t="s">
        <v>738</v>
      </c>
      <c r="W593" s="11"/>
      <c r="X593" s="11">
        <v>4.0748288049999998E-2</v>
      </c>
      <c r="Y593" s="11" t="b">
        <f t="shared" si="10"/>
        <v>0</v>
      </c>
    </row>
    <row r="594" spans="1:25" x14ac:dyDescent="0.35">
      <c r="A594" s="11">
        <v>2021</v>
      </c>
      <c r="B594" s="11" t="s">
        <v>1980</v>
      </c>
      <c r="C594" s="11" t="s">
        <v>817</v>
      </c>
      <c r="D594" s="163">
        <v>110070215141</v>
      </c>
      <c r="E594" s="11" t="s">
        <v>627</v>
      </c>
      <c r="F594" s="11" t="s">
        <v>628</v>
      </c>
      <c r="G594" s="11" t="s">
        <v>818</v>
      </c>
      <c r="H594" s="11" t="s">
        <v>254</v>
      </c>
      <c r="I594" s="11" t="s">
        <v>1982</v>
      </c>
      <c r="J594" s="11">
        <v>40.515906999999999</v>
      </c>
      <c r="K594" s="11">
        <v>-74.325175999999999</v>
      </c>
      <c r="M594" s="11"/>
      <c r="N594" s="175" t="e">
        <f>VLOOKUP(M594, '2017 SIC to NAICS'!A:D, 2)</f>
        <v>#N/A</v>
      </c>
      <c r="P594" s="187" t="e">
        <f>VLOOKUP(M594, '2017 SIC to NAICS'!A:D, 4)</f>
        <v>#N/A</v>
      </c>
      <c r="Q594" s="176" t="e">
        <f>IFERROR(VLOOKUP(O594, 'NAICS OES crosswalk'!A:C, 3, FALSE), VLOOKUP(M594, 'NAICS OES crosswalk'!A:C, 3, FALSE))</f>
        <v>#N/A</v>
      </c>
      <c r="U594" s="188">
        <v>20301050507</v>
      </c>
      <c r="V594" s="11" t="s">
        <v>819</v>
      </c>
      <c r="W594" s="11"/>
      <c r="X594" s="11">
        <v>7.2203965825000001E-3</v>
      </c>
      <c r="Y594" s="11" t="b">
        <f t="shared" si="10"/>
        <v>0</v>
      </c>
    </row>
    <row r="595" spans="1:25" x14ac:dyDescent="0.35">
      <c r="A595" s="11">
        <v>2021</v>
      </c>
      <c r="B595" s="11" t="s">
        <v>1980</v>
      </c>
      <c r="C595" s="11" t="s">
        <v>1563</v>
      </c>
      <c r="D595" s="163">
        <v>110070948151</v>
      </c>
      <c r="E595" s="11" t="s">
        <v>487</v>
      </c>
      <c r="F595" s="11" t="s">
        <v>337</v>
      </c>
      <c r="G595" s="11" t="s">
        <v>736</v>
      </c>
      <c r="H595" s="11" t="s">
        <v>221</v>
      </c>
      <c r="I595" s="11" t="s">
        <v>1982</v>
      </c>
      <c r="J595" s="11">
        <v>36.090899999999998</v>
      </c>
      <c r="K595" s="11">
        <v>-115.1833</v>
      </c>
      <c r="L595" s="11">
        <v>7941</v>
      </c>
      <c r="M595" s="11">
        <v>7941</v>
      </c>
      <c r="N595" s="175" t="str">
        <f>VLOOKUP(M595, '2017 SIC to NAICS'!A:D, 2)</f>
        <v>Sports Clubs, Managers, and Promoters</v>
      </c>
      <c r="O595" s="11">
        <v>711211</v>
      </c>
      <c r="P595" s="187" t="str">
        <f>VLOOKUP(M595, '2017 SIC to NAICS'!A:D, 4)</f>
        <v>Agents and Managers for Artists, Athletes,
Entertainers, and Other Public Figures</v>
      </c>
      <c r="Q595" s="176" t="e">
        <f>IFERROR(VLOOKUP(O595, 'NAICS OES crosswalk'!A:C, 3, FALSE), VLOOKUP(M595, 'NAICS OES crosswalk'!A:C, 3, FALSE))</f>
        <v>#N/A</v>
      </c>
      <c r="U595" s="188">
        <v>150100150505</v>
      </c>
      <c r="V595" s="11" t="s">
        <v>825</v>
      </c>
      <c r="W595" s="11"/>
      <c r="X595" s="11">
        <v>4.0706634125000002E-2</v>
      </c>
      <c r="Y595" s="11" t="b">
        <f t="shared" si="10"/>
        <v>0</v>
      </c>
    </row>
    <row r="596" spans="1:25" x14ac:dyDescent="0.35">
      <c r="A596" s="11">
        <v>2021</v>
      </c>
      <c r="B596" s="11" t="s">
        <v>1980</v>
      </c>
      <c r="C596" s="11" t="s">
        <v>1371</v>
      </c>
      <c r="D596" s="163">
        <v>110000410190</v>
      </c>
      <c r="E596" s="11" t="s">
        <v>179</v>
      </c>
      <c r="F596" s="11" t="s">
        <v>180</v>
      </c>
      <c r="G596" s="11" t="s">
        <v>1372</v>
      </c>
      <c r="H596" s="11" t="s">
        <v>181</v>
      </c>
      <c r="I596" s="11" t="s">
        <v>1982</v>
      </c>
      <c r="J596" s="11">
        <v>42.718290000000003</v>
      </c>
      <c r="K596" s="11">
        <v>-85.463239999999999</v>
      </c>
      <c r="L596" s="11">
        <v>3639</v>
      </c>
      <c r="M596" s="11">
        <v>3639</v>
      </c>
      <c r="N596" s="175" t="str">
        <f>VLOOKUP(M596, '2017 SIC to NAICS'!A:D, 2)</f>
        <v>Household Appliances, Nec</v>
      </c>
      <c r="O596" s="11">
        <v>335220</v>
      </c>
      <c r="P596" s="187" t="str">
        <f>VLOOKUP(M596, '2017 SIC to NAICS'!A:D, 4)</f>
        <v>Major Household Appliance Manufacturing</v>
      </c>
      <c r="Q596" s="176" t="e">
        <f>IFERROR(VLOOKUP(O596, 'NAICS OES crosswalk'!A:C, 3, FALSE), VLOOKUP(M596, 'NAICS OES crosswalk'!A:C, 3, FALSE))</f>
        <v>#N/A</v>
      </c>
      <c r="U596" s="188">
        <v>40500070406</v>
      </c>
      <c r="V596" s="11" t="s">
        <v>1373</v>
      </c>
      <c r="W596" s="11"/>
      <c r="X596" s="11">
        <v>3.6593380000000002E-2</v>
      </c>
      <c r="Y596" s="11" t="b">
        <f t="shared" si="10"/>
        <v>0</v>
      </c>
    </row>
    <row r="597" spans="1:25" x14ac:dyDescent="0.35">
      <c r="A597" s="11">
        <v>2021</v>
      </c>
      <c r="B597" s="11" t="s">
        <v>1980</v>
      </c>
      <c r="C597" s="11" t="s">
        <v>1529</v>
      </c>
      <c r="D597" s="163">
        <v>110070940491</v>
      </c>
      <c r="E597" s="11" t="s">
        <v>689</v>
      </c>
      <c r="F597" s="11" t="s">
        <v>690</v>
      </c>
      <c r="G597" s="11" t="s">
        <v>1530</v>
      </c>
      <c r="H597" s="11" t="s">
        <v>254</v>
      </c>
      <c r="I597" s="11" t="s">
        <v>1982</v>
      </c>
      <c r="J597" s="11">
        <v>40.856884000000001</v>
      </c>
      <c r="K597" s="11">
        <v>-74.067938999999996</v>
      </c>
      <c r="L597" s="11">
        <v>4959</v>
      </c>
      <c r="M597" s="11">
        <v>4959</v>
      </c>
      <c r="N597" s="175" t="str">
        <f>VLOOKUP(M597, '2017 SIC to NAICS'!A:D, 2)</f>
        <v>Sanitary Services, Nec</v>
      </c>
      <c r="P597" s="187" t="str">
        <f>VLOOKUP(M597, '2017 SIC to NAICS'!A:D, 4)</f>
        <v>All Other Miscellaneous Waste
Management Services</v>
      </c>
      <c r="Q597" s="176" t="e">
        <f>IFERROR(VLOOKUP(O597, 'NAICS OES crosswalk'!A:C, 3, FALSE), VLOOKUP(M597, 'NAICS OES crosswalk'!A:C, 3, FALSE))</f>
        <v>#N/A</v>
      </c>
      <c r="U597" s="188">
        <v>20301030906</v>
      </c>
      <c r="V597" s="11" t="s">
        <v>1531</v>
      </c>
      <c r="W597" s="11"/>
      <c r="X597" s="11">
        <v>4.0270564274999998E-4</v>
      </c>
      <c r="Y597" s="11" t="b">
        <f t="shared" si="10"/>
        <v>1</v>
      </c>
    </row>
    <row r="598" spans="1:25" x14ac:dyDescent="0.35">
      <c r="A598" s="11">
        <v>2021</v>
      </c>
      <c r="B598" s="11" t="s">
        <v>1980</v>
      </c>
      <c r="C598" s="11" t="s">
        <v>730</v>
      </c>
      <c r="D598" s="163">
        <v>110017979810</v>
      </c>
      <c r="E598" s="11" t="s">
        <v>309</v>
      </c>
      <c r="F598" s="11" t="s">
        <v>158</v>
      </c>
      <c r="G598" s="11" t="s">
        <v>434</v>
      </c>
      <c r="H598" s="11" t="s">
        <v>129</v>
      </c>
      <c r="I598" s="11" t="s">
        <v>1982</v>
      </c>
      <c r="J598" s="11">
        <v>38.959018999999998</v>
      </c>
      <c r="K598" s="11">
        <v>-94.576569000000006</v>
      </c>
      <c r="L598" s="11">
        <v>6552</v>
      </c>
      <c r="M598" s="11">
        <v>6552</v>
      </c>
      <c r="N598" s="175" t="str">
        <f>VLOOKUP(M598, '2017 SIC to NAICS'!A:D, 2)</f>
        <v>Subdividers and Developers, Nec</v>
      </c>
      <c r="P598" s="187" t="str">
        <f>VLOOKUP(M598, '2017 SIC to NAICS'!A:D, 4)</f>
        <v>Land Subdivision</v>
      </c>
      <c r="Q598" s="176" t="e">
        <f>IFERROR(VLOOKUP(O598, 'NAICS OES crosswalk'!A:C, 3, FALSE), VLOOKUP(M598, 'NAICS OES crosswalk'!A:C, 3, FALSE))</f>
        <v>#N/A</v>
      </c>
      <c r="U598" s="188">
        <v>103001010105</v>
      </c>
      <c r="V598" s="11" t="s">
        <v>733</v>
      </c>
      <c r="W598" s="11"/>
      <c r="X598" s="11">
        <v>3.5738916250000002E-2</v>
      </c>
      <c r="Y598" s="11" t="b">
        <f t="shared" si="10"/>
        <v>0</v>
      </c>
    </row>
    <row r="599" spans="1:25" x14ac:dyDescent="0.35">
      <c r="A599" s="11">
        <v>2021</v>
      </c>
      <c r="B599" s="11" t="s">
        <v>1980</v>
      </c>
      <c r="C599" s="11" t="s">
        <v>1434</v>
      </c>
      <c r="D599" s="163">
        <v>110003614358</v>
      </c>
      <c r="E599" s="11" t="s">
        <v>520</v>
      </c>
      <c r="F599" s="11" t="s">
        <v>521</v>
      </c>
      <c r="G599" s="11" t="s">
        <v>1310</v>
      </c>
      <c r="H599" s="11" t="s">
        <v>181</v>
      </c>
      <c r="I599" s="11" t="s">
        <v>1982</v>
      </c>
      <c r="J599" s="11">
        <v>42.606527</v>
      </c>
      <c r="K599" s="11">
        <v>-83.921477999999993</v>
      </c>
      <c r="L599" s="11">
        <v>4959</v>
      </c>
      <c r="M599" s="11">
        <v>4959</v>
      </c>
      <c r="N599" s="175" t="str">
        <f>VLOOKUP(M599, '2017 SIC to NAICS'!A:D, 2)</f>
        <v>Sanitary Services, Nec</v>
      </c>
      <c r="O599" s="11">
        <v>562910</v>
      </c>
      <c r="P599" s="187" t="str">
        <f>VLOOKUP(M599, '2017 SIC to NAICS'!A:D, 4)</f>
        <v>All Other Miscellaneous Waste
Management Services</v>
      </c>
      <c r="Q599" s="176" t="e">
        <f>IFERROR(VLOOKUP(O599, 'NAICS OES crosswalk'!A:C, 3, FALSE), VLOOKUP(M599, 'NAICS OES crosswalk'!A:C, 3, FALSE))</f>
        <v>#N/A</v>
      </c>
      <c r="U599" s="188">
        <v>40802030104</v>
      </c>
      <c r="V599" s="11" t="s">
        <v>1435</v>
      </c>
      <c r="W599" s="11"/>
      <c r="X599" s="11">
        <v>3.5091079090909E-2</v>
      </c>
      <c r="Y599" s="11" t="b">
        <f t="shared" si="10"/>
        <v>0</v>
      </c>
    </row>
    <row r="600" spans="1:25" x14ac:dyDescent="0.35">
      <c r="A600" s="11">
        <v>2021</v>
      </c>
      <c r="B600" s="11" t="s">
        <v>1980</v>
      </c>
      <c r="C600" s="11" t="s">
        <v>1581</v>
      </c>
      <c r="D600" s="163">
        <v>110019560722</v>
      </c>
      <c r="E600" s="11" t="s">
        <v>528</v>
      </c>
      <c r="F600" s="11" t="s">
        <v>143</v>
      </c>
      <c r="G600" s="11" t="s">
        <v>1582</v>
      </c>
      <c r="H600" s="11" t="s">
        <v>126</v>
      </c>
      <c r="I600" s="11" t="s">
        <v>1982</v>
      </c>
      <c r="J600" s="11">
        <v>43.087819000000003</v>
      </c>
      <c r="K600" s="11">
        <v>-75.182382000000004</v>
      </c>
      <c r="L600" s="11">
        <v>9511</v>
      </c>
      <c r="M600" s="11">
        <v>9511</v>
      </c>
      <c r="N600" s="175" t="str">
        <f>VLOOKUP(M600, '2017 SIC to NAICS'!A:D, 2)</f>
        <v>Air, Water, and Solid Waste Management</v>
      </c>
      <c r="P600" s="187" t="str">
        <f>VLOOKUP(M600, '2017 SIC to NAICS'!A:D, 4)</f>
        <v>Administration of Air and Water Resource
and Solid Waste Management Programs</v>
      </c>
      <c r="Q600" s="176" t="e">
        <f>IFERROR(VLOOKUP(O600, 'NAICS OES crosswalk'!A:C, 3, FALSE), VLOOKUP(M600, 'NAICS OES crosswalk'!A:C, 3, FALSE))</f>
        <v>#N/A</v>
      </c>
      <c r="U600" s="188">
        <v>20200040311</v>
      </c>
      <c r="V600" s="11" t="s">
        <v>1583</v>
      </c>
      <c r="W600" s="11"/>
      <c r="X600" s="11">
        <v>3.4574483709999999E-2</v>
      </c>
      <c r="Y600" s="11" t="b">
        <f t="shared" si="10"/>
        <v>0</v>
      </c>
    </row>
    <row r="601" spans="1:25" ht="29" x14ac:dyDescent="0.35">
      <c r="A601" s="11">
        <v>2021</v>
      </c>
      <c r="B601" s="11" t="s">
        <v>1980</v>
      </c>
      <c r="C601" s="11" t="s">
        <v>958</v>
      </c>
      <c r="D601" s="163">
        <v>110030437524</v>
      </c>
      <c r="E601" s="11" t="s">
        <v>535</v>
      </c>
      <c r="F601" s="11" t="s">
        <v>536</v>
      </c>
      <c r="G601" s="11" t="s">
        <v>956</v>
      </c>
      <c r="H601" s="11" t="s">
        <v>102</v>
      </c>
      <c r="I601" s="11" t="s">
        <v>1982</v>
      </c>
      <c r="J601" s="11">
        <v>38.060360000000003</v>
      </c>
      <c r="K601" s="11">
        <v>-120.53995999999999</v>
      </c>
      <c r="L601" s="11">
        <v>4952</v>
      </c>
      <c r="M601" s="11">
        <v>4952</v>
      </c>
      <c r="N601" s="175" t="str">
        <f>VLOOKUP(M601, '2017 SIC to NAICS'!A:D, 2)</f>
        <v>Sewerage Systems</v>
      </c>
      <c r="P601" s="187" t="str">
        <f>VLOOKUP(M601, '2017 SIC to NAICS'!A:D, 4)</f>
        <v>Sewage Treatment Facilities</v>
      </c>
      <c r="Q601" s="176" t="str">
        <f>IFERROR(VLOOKUP(O601, 'NAICS OES crosswalk'!A:C, 3, FALSE), VLOOKUP(M601, 'NAICS OES crosswalk'!A:C, 3, FALSE))</f>
        <v>Waste handling, disposal, and treatment</v>
      </c>
      <c r="U601" s="188">
        <v>180400100604</v>
      </c>
      <c r="V601" s="11" t="s">
        <v>959</v>
      </c>
      <c r="W601" s="11"/>
      <c r="X601" s="11">
        <v>3.3018447499999999E-2</v>
      </c>
      <c r="Y601" s="11" t="b">
        <f t="shared" si="10"/>
        <v>0</v>
      </c>
    </row>
    <row r="602" spans="1:25" x14ac:dyDescent="0.35">
      <c r="A602" s="11">
        <v>2021</v>
      </c>
      <c r="B602" s="11" t="s">
        <v>1980</v>
      </c>
      <c r="C602" s="11" t="s">
        <v>1747</v>
      </c>
      <c r="D602" s="163">
        <v>110070949081</v>
      </c>
      <c r="E602" s="11" t="s">
        <v>525</v>
      </c>
      <c r="F602" s="11" t="s">
        <v>396</v>
      </c>
      <c r="G602" s="11" t="s">
        <v>1733</v>
      </c>
      <c r="H602" s="11" t="s">
        <v>276</v>
      </c>
      <c r="I602" s="11" t="s">
        <v>1982</v>
      </c>
      <c r="J602" s="11">
        <v>38.840083999999997</v>
      </c>
      <c r="K602" s="11">
        <v>-77.048516000000006</v>
      </c>
      <c r="L602" s="11">
        <v>1794</v>
      </c>
      <c r="M602" s="11">
        <v>1794</v>
      </c>
      <c r="N602" s="175" t="str">
        <f>VLOOKUP(M602, '2017 SIC to NAICS'!A:D, 2)</f>
        <v>Excavation Work</v>
      </c>
      <c r="P602" s="187" t="str">
        <f>VLOOKUP(M602, '2017 SIC to NAICS'!A:D, 4)</f>
        <v>Site Preparation Contractors</v>
      </c>
      <c r="Q602" s="176" t="e">
        <f>IFERROR(VLOOKUP(O602, 'NAICS OES crosswalk'!A:C, 3, FALSE), VLOOKUP(M602, 'NAICS OES crosswalk'!A:C, 3, FALSE))</f>
        <v>#N/A</v>
      </c>
      <c r="U602" s="188">
        <v>20700100301</v>
      </c>
      <c r="V602" s="11" t="s">
        <v>1711</v>
      </c>
      <c r="W602" s="11"/>
      <c r="X602" s="11">
        <v>3.0301628571428499E-2</v>
      </c>
      <c r="Y602" s="11" t="b">
        <f t="shared" si="10"/>
        <v>0</v>
      </c>
    </row>
    <row r="603" spans="1:25" x14ac:dyDescent="0.35">
      <c r="A603" s="11">
        <v>2021</v>
      </c>
      <c r="B603" s="11" t="s">
        <v>1980</v>
      </c>
      <c r="C603" s="11" t="s">
        <v>990</v>
      </c>
      <c r="D603" s="163">
        <v>110070053140</v>
      </c>
      <c r="E603" s="11" t="s">
        <v>490</v>
      </c>
      <c r="F603" s="11" t="s">
        <v>491</v>
      </c>
      <c r="G603" s="11" t="s">
        <v>991</v>
      </c>
      <c r="H603" s="11" t="s">
        <v>492</v>
      </c>
      <c r="I603" s="11" t="s">
        <v>1982</v>
      </c>
      <c r="J603" s="11">
        <v>40.393799999999999</v>
      </c>
      <c r="K603" s="11">
        <v>-105.074</v>
      </c>
      <c r="L603" s="11">
        <v>7521</v>
      </c>
      <c r="M603" s="11">
        <v>7521</v>
      </c>
      <c r="N603" s="175" t="str">
        <f>VLOOKUP(M603, '2017 SIC to NAICS'!A:D, 2)</f>
        <v>Automobile Parking</v>
      </c>
      <c r="P603" s="187" t="str">
        <f>VLOOKUP(M603, '2017 SIC to NAICS'!A:D, 4)</f>
        <v>Parking Lots and Garages</v>
      </c>
      <c r="Q603" s="176" t="e">
        <f>IFERROR(VLOOKUP(O603, 'NAICS OES crosswalk'!A:C, 3, FALSE), VLOOKUP(M603, 'NAICS OES crosswalk'!A:C, 3, FALSE))</f>
        <v>#N/A</v>
      </c>
      <c r="U603" s="188">
        <v>101900060605</v>
      </c>
      <c r="V603" s="11" t="s">
        <v>992</v>
      </c>
      <c r="W603" s="11"/>
      <c r="X603" s="11">
        <v>3.9208815000000001E-2</v>
      </c>
      <c r="Y603" s="11" t="b">
        <f t="shared" si="10"/>
        <v>0</v>
      </c>
    </row>
    <row r="604" spans="1:25" ht="29" x14ac:dyDescent="0.35">
      <c r="A604" s="11">
        <v>2021</v>
      </c>
      <c r="B604" s="11" t="s">
        <v>1980</v>
      </c>
      <c r="C604" s="11" t="s">
        <v>1419</v>
      </c>
      <c r="D604" s="163">
        <v>110006739789</v>
      </c>
      <c r="E604" s="11" t="s">
        <v>549</v>
      </c>
      <c r="F604" s="11" t="s">
        <v>507</v>
      </c>
      <c r="G604" s="11" t="s">
        <v>1086</v>
      </c>
      <c r="H604" s="11" t="s">
        <v>181</v>
      </c>
      <c r="I604" s="11" t="s">
        <v>1982</v>
      </c>
      <c r="J604" s="11">
        <v>43.977820999999999</v>
      </c>
      <c r="K604" s="11">
        <v>-86.457807000000003</v>
      </c>
      <c r="L604" s="11">
        <v>9999</v>
      </c>
      <c r="M604" s="11">
        <v>9999</v>
      </c>
      <c r="N604" s="175" t="str">
        <f>VLOOKUP(M604, '2017 SIC to NAICS'!A:D, 2)</f>
        <v>Nonclassifiable Establishments</v>
      </c>
      <c r="O604" s="11">
        <v>562910</v>
      </c>
      <c r="P604" s="187">
        <f>VLOOKUP(M604, '2017 SIC to NAICS'!A:D, 4)</f>
        <v>0</v>
      </c>
      <c r="Q604" s="176" t="str">
        <f>IFERROR(VLOOKUP(O604, 'NAICS OES crosswalk'!A:C, 3, FALSE), VLOOKUP(M604, 'NAICS OES crosswalk'!A:C, 3, FALSE))</f>
        <v>Uncertain, possibly a remediation site</v>
      </c>
      <c r="U604" s="188">
        <v>40601010203</v>
      </c>
      <c r="V604" s="11" t="s">
        <v>1420</v>
      </c>
      <c r="W604" s="11"/>
      <c r="X604" s="11">
        <v>2.6652456000000001E-2</v>
      </c>
      <c r="Y604" s="11" t="b">
        <f t="shared" si="10"/>
        <v>0</v>
      </c>
    </row>
    <row r="605" spans="1:25" x14ac:dyDescent="0.35">
      <c r="A605" s="11">
        <v>2021</v>
      </c>
      <c r="B605" s="11" t="s">
        <v>1980</v>
      </c>
      <c r="C605" s="11" t="s">
        <v>947</v>
      </c>
      <c r="D605" s="163">
        <v>110000520026</v>
      </c>
      <c r="E605" s="11" t="s">
        <v>552</v>
      </c>
      <c r="F605" s="11" t="s">
        <v>553</v>
      </c>
      <c r="G605" s="11" t="s">
        <v>948</v>
      </c>
      <c r="H605" s="11" t="s">
        <v>102</v>
      </c>
      <c r="I605" s="11" t="s">
        <v>1982</v>
      </c>
      <c r="J605" s="11">
        <v>39.814332999999998</v>
      </c>
      <c r="K605" s="11">
        <v>-121.58030599999999</v>
      </c>
      <c r="L605" s="11">
        <v>4941</v>
      </c>
      <c r="M605" s="11">
        <v>4941</v>
      </c>
      <c r="N605" s="175" t="str">
        <f>VLOOKUP(M605, '2017 SIC to NAICS'!A:D, 2)</f>
        <v>Water Supply</v>
      </c>
      <c r="P605" s="187" t="str">
        <f>VLOOKUP(M605, '2017 SIC to NAICS'!A:D, 4)</f>
        <v>Water Supply and Irrigation Systems</v>
      </c>
      <c r="Q605" s="176" t="e">
        <f>IFERROR(VLOOKUP(O605, 'NAICS OES crosswalk'!A:C, 3, FALSE), VLOOKUP(M605, 'NAICS OES crosswalk'!A:C, 3, FALSE))</f>
        <v>#N/A</v>
      </c>
      <c r="U605" s="188">
        <v>180201580201</v>
      </c>
      <c r="V605" s="11" t="s">
        <v>949</v>
      </c>
      <c r="W605" s="11"/>
      <c r="X605" s="11">
        <v>2.6169385912499999E-2</v>
      </c>
      <c r="Y605" s="11" t="b">
        <f t="shared" si="10"/>
        <v>0</v>
      </c>
    </row>
    <row r="606" spans="1:25" x14ac:dyDescent="0.35">
      <c r="A606" s="11">
        <v>2021</v>
      </c>
      <c r="B606" s="11" t="s">
        <v>1980</v>
      </c>
      <c r="C606" s="11" t="s">
        <v>1513</v>
      </c>
      <c r="D606" s="163">
        <v>110070220772</v>
      </c>
      <c r="E606" s="11" t="s">
        <v>556</v>
      </c>
      <c r="F606" s="11" t="s">
        <v>557</v>
      </c>
      <c r="G606" s="11" t="s">
        <v>818</v>
      </c>
      <c r="H606" s="11" t="s">
        <v>254</v>
      </c>
      <c r="I606" s="11" t="s">
        <v>1982</v>
      </c>
      <c r="J606" s="11">
        <v>40.382820000000002</v>
      </c>
      <c r="K606" s="11">
        <v>-74.501608000000004</v>
      </c>
      <c r="L606" s="11">
        <v>3492</v>
      </c>
      <c r="M606" s="11">
        <v>3492</v>
      </c>
      <c r="N606" s="175" t="str">
        <f>VLOOKUP(M606, '2017 SIC to NAICS'!A:D, 2)</f>
        <v>Fluid Power Valves and Hose Fittings</v>
      </c>
      <c r="P606" s="187" t="str">
        <f>VLOOKUP(M606, '2017 SIC to NAICS'!A:D, 4)</f>
        <v>Fluid Power Valve and Hose Fitting
Manufacturing</v>
      </c>
      <c r="Q606" s="176" t="e">
        <f>IFERROR(VLOOKUP(O606, 'NAICS OES crosswalk'!A:C, 3, FALSE), VLOOKUP(M606, 'NAICS OES crosswalk'!A:C, 3, FALSE))</f>
        <v>#N/A</v>
      </c>
      <c r="U606" s="188">
        <v>20301050505</v>
      </c>
      <c r="V606" s="11" t="s">
        <v>1510</v>
      </c>
      <c r="W606" s="11"/>
      <c r="X606" s="11">
        <v>2.42508224025E-2</v>
      </c>
      <c r="Y606" s="11" t="b">
        <f t="shared" si="10"/>
        <v>0</v>
      </c>
    </row>
    <row r="607" spans="1:25" ht="29" x14ac:dyDescent="0.35">
      <c r="A607" s="11">
        <v>2021</v>
      </c>
      <c r="B607" s="11" t="s">
        <v>1980</v>
      </c>
      <c r="C607" s="11" t="s">
        <v>1637</v>
      </c>
      <c r="D607" s="163">
        <v>110001057533</v>
      </c>
      <c r="E607" s="11" t="s">
        <v>382</v>
      </c>
      <c r="F607" s="11" t="s">
        <v>383</v>
      </c>
      <c r="G607" s="11" t="s">
        <v>1517</v>
      </c>
      <c r="H607" s="11" t="s">
        <v>340</v>
      </c>
      <c r="I607" s="11" t="s">
        <v>1982</v>
      </c>
      <c r="J607" s="11">
        <v>40.231741999999997</v>
      </c>
      <c r="K607" s="11">
        <v>-78.917860000000005</v>
      </c>
      <c r="L607" s="11">
        <v>4952</v>
      </c>
      <c r="M607" s="11">
        <v>4952</v>
      </c>
      <c r="N607" s="175" t="str">
        <f>VLOOKUP(M607, '2017 SIC to NAICS'!A:D, 2)</f>
        <v>Sewerage Systems</v>
      </c>
      <c r="P607" s="187" t="str">
        <f>VLOOKUP(M607, '2017 SIC to NAICS'!A:D, 4)</f>
        <v>Sewage Treatment Facilities</v>
      </c>
      <c r="Q607" s="176" t="str">
        <f>IFERROR(VLOOKUP(O607, 'NAICS OES crosswalk'!A:C, 3, FALSE), VLOOKUP(M607, 'NAICS OES crosswalk'!A:C, 3, FALSE))</f>
        <v>Waste handling, disposal, and treatment</v>
      </c>
      <c r="U607" s="188">
        <v>50100070310</v>
      </c>
      <c r="V607" s="11" t="s">
        <v>1638</v>
      </c>
      <c r="W607" s="11"/>
      <c r="X607" s="11">
        <v>2.3854101412499999E-2</v>
      </c>
      <c r="Y607" s="11" t="b">
        <f t="shared" si="10"/>
        <v>0</v>
      </c>
    </row>
    <row r="608" spans="1:25" x14ac:dyDescent="0.35">
      <c r="A608" s="11">
        <v>2021</v>
      </c>
      <c r="B608" s="11" t="s">
        <v>1980</v>
      </c>
      <c r="C608" s="11" t="s">
        <v>735</v>
      </c>
      <c r="D608" s="163">
        <v>110004306938</v>
      </c>
      <c r="E608" s="11" t="s">
        <v>336</v>
      </c>
      <c r="F608" s="11" t="s">
        <v>337</v>
      </c>
      <c r="G608" s="11" t="s">
        <v>736</v>
      </c>
      <c r="H608" s="11" t="s">
        <v>221</v>
      </c>
      <c r="I608" s="11" t="s">
        <v>1982</v>
      </c>
      <c r="J608" s="11">
        <v>36.122100000000003</v>
      </c>
      <c r="K608" s="11">
        <v>-115.17139</v>
      </c>
      <c r="L608" s="11">
        <v>7011</v>
      </c>
      <c r="M608" s="11">
        <v>7011</v>
      </c>
      <c r="N608" s="175" t="str">
        <f>VLOOKUP(M608, '2017 SIC to NAICS'!A:D, 2)</f>
        <v>Hotels and Motels</v>
      </c>
      <c r="P608" s="187" t="str">
        <f>VLOOKUP(M608, '2017 SIC to NAICS'!A:D, 4)</f>
        <v>All Other Traveler Accommodation</v>
      </c>
      <c r="Q608" s="176" t="e">
        <f>IFERROR(VLOOKUP(O608, 'NAICS OES crosswalk'!A:C, 3, FALSE), VLOOKUP(M608, 'NAICS OES crosswalk'!A:C, 3, FALSE))</f>
        <v>#N/A</v>
      </c>
      <c r="U608" s="188">
        <v>150100150604</v>
      </c>
      <c r="V608" s="11" t="s">
        <v>738</v>
      </c>
      <c r="W608" s="11"/>
      <c r="X608" s="11">
        <v>2.3333957249999999E-2</v>
      </c>
      <c r="Y608" s="11" t="b">
        <f t="shared" si="10"/>
        <v>0</v>
      </c>
    </row>
    <row r="609" spans="1:25" x14ac:dyDescent="0.35">
      <c r="A609" s="11">
        <v>2021</v>
      </c>
      <c r="B609" s="11" t="s">
        <v>1980</v>
      </c>
      <c r="C609" s="11" t="s">
        <v>800</v>
      </c>
      <c r="D609" s="163">
        <v>110005812371</v>
      </c>
      <c r="E609" s="11" t="s">
        <v>353</v>
      </c>
      <c r="F609" s="11" t="s">
        <v>354</v>
      </c>
      <c r="G609" s="11" t="s">
        <v>801</v>
      </c>
      <c r="H609" s="11" t="s">
        <v>111</v>
      </c>
      <c r="I609" s="11" t="s">
        <v>1982</v>
      </c>
      <c r="J609" s="11">
        <v>42.304209</v>
      </c>
      <c r="K609" s="11">
        <v>-89.055548999999999</v>
      </c>
      <c r="L609" s="11">
        <v>3728</v>
      </c>
      <c r="M609" s="11">
        <v>3728</v>
      </c>
      <c r="N609" s="175" t="str">
        <f>VLOOKUP(M609, '2017 SIC to NAICS'!A:D, 2)</f>
        <v>Aircraft Parts and Auxiliary Equipment, NEC (research and development not
producing prototypes)</v>
      </c>
      <c r="P609" s="187" t="str">
        <f>VLOOKUP(M609, '2017 SIC to NAICS'!A:D, 4)</f>
        <v>Research and Development in Nanotechnology</v>
      </c>
      <c r="Q609" s="176" t="e">
        <f>IFERROR(VLOOKUP(O609, 'NAICS OES crosswalk'!A:C, 3, FALSE), VLOOKUP(M609, 'NAICS OES crosswalk'!A:C, 3, FALSE))</f>
        <v>#N/A</v>
      </c>
      <c r="U609" s="188">
        <v>70900050107</v>
      </c>
      <c r="V609" s="11" t="s">
        <v>802</v>
      </c>
      <c r="W609" s="11"/>
      <c r="X609" s="189">
        <v>2.2070713499999998E-2</v>
      </c>
      <c r="Y609" s="11" t="b">
        <f t="shared" si="10"/>
        <v>0</v>
      </c>
    </row>
    <row r="610" spans="1:25" x14ac:dyDescent="0.35">
      <c r="A610" s="11">
        <v>2021</v>
      </c>
      <c r="B610" s="11" t="s">
        <v>1980</v>
      </c>
      <c r="C610" s="11" t="s">
        <v>1412</v>
      </c>
      <c r="D610" s="163">
        <v>110006739832</v>
      </c>
      <c r="E610" s="11" t="s">
        <v>186</v>
      </c>
      <c r="F610" s="11" t="s">
        <v>187</v>
      </c>
      <c r="G610" s="11" t="s">
        <v>1413</v>
      </c>
      <c r="H610" s="11" t="s">
        <v>181</v>
      </c>
      <c r="I610" s="11" t="s">
        <v>1982</v>
      </c>
      <c r="J610" s="11">
        <v>43.064709999999998</v>
      </c>
      <c r="K610" s="11">
        <v>-86.233519999999999</v>
      </c>
      <c r="L610" s="11">
        <v>5812</v>
      </c>
      <c r="M610" s="11">
        <v>5812</v>
      </c>
      <c r="N610" s="175" t="str">
        <f>VLOOKUP(M610, '2017 SIC to NAICS'!A:D, 2)</f>
        <v>Eating Places</v>
      </c>
      <c r="O610" s="11">
        <v>531120</v>
      </c>
      <c r="P610" s="187" t="str">
        <f>VLOOKUP(M610, '2017 SIC to NAICS'!A:D, 4)</f>
        <v>Snack and Nonalcoholic Beverage Bars</v>
      </c>
      <c r="Q610" s="176" t="e">
        <f>IFERROR(VLOOKUP(O610, 'NAICS OES crosswalk'!A:C, 3, FALSE), VLOOKUP(M610, 'NAICS OES crosswalk'!A:C, 3, FALSE))</f>
        <v>#N/A</v>
      </c>
      <c r="U610" s="188">
        <v>40500060712</v>
      </c>
      <c r="V610" s="11" t="s">
        <v>1414</v>
      </c>
      <c r="W610" s="11"/>
      <c r="X610" s="11">
        <v>2.1791437274999999E-2</v>
      </c>
      <c r="Y610" s="11" t="b">
        <f t="shared" si="10"/>
        <v>0</v>
      </c>
    </row>
    <row r="611" spans="1:25" x14ac:dyDescent="0.35">
      <c r="A611" s="11">
        <v>2021</v>
      </c>
      <c r="B611" s="11" t="s">
        <v>1980</v>
      </c>
      <c r="C611" s="11" t="s">
        <v>1610</v>
      </c>
      <c r="D611" s="163">
        <v>110000701973</v>
      </c>
      <c r="E611" s="11" t="s">
        <v>550</v>
      </c>
      <c r="F611" s="11" t="s">
        <v>551</v>
      </c>
      <c r="G611" s="11" t="s">
        <v>1611</v>
      </c>
      <c r="H611" s="11" t="s">
        <v>340</v>
      </c>
      <c r="I611" s="11" t="s">
        <v>1982</v>
      </c>
      <c r="J611" s="11">
        <v>40.359177000000003</v>
      </c>
      <c r="K611" s="11">
        <v>-79.902659999999997</v>
      </c>
      <c r="L611" s="11">
        <v>8733</v>
      </c>
      <c r="M611" s="11">
        <v>8733</v>
      </c>
      <c r="N611" s="175" t="str">
        <f>VLOOKUP(M611, '2017 SIC to NAICS'!A:D, 2)</f>
        <v>Noncommercial Research Organizations</v>
      </c>
      <c r="P611" s="187" t="str">
        <f>VLOOKUP(M611, '2017 SIC to NAICS'!A:D, 4)</f>
        <v>Research and Development in the Social
Sciences and Humanities</v>
      </c>
      <c r="Q611" s="176" t="e">
        <f>IFERROR(VLOOKUP(O611, 'NAICS OES crosswalk'!A:C, 3, FALSE), VLOOKUP(M611, 'NAICS OES crosswalk'!A:C, 3, FALSE))</f>
        <v>#N/A</v>
      </c>
      <c r="U611" s="188">
        <v>50200050808</v>
      </c>
      <c r="V611" s="11" t="s">
        <v>1612</v>
      </c>
      <c r="W611" s="11"/>
      <c r="X611" s="11">
        <v>2.0560120000000001E-2</v>
      </c>
      <c r="Y611" s="11" t="b">
        <f t="shared" si="10"/>
        <v>0</v>
      </c>
    </row>
    <row r="612" spans="1:25" ht="29" x14ac:dyDescent="0.35">
      <c r="A612" s="11">
        <v>2021</v>
      </c>
      <c r="B612" s="11" t="s">
        <v>1980</v>
      </c>
      <c r="C612" s="11" t="s">
        <v>1649</v>
      </c>
      <c r="D612" s="163">
        <v>110020036209</v>
      </c>
      <c r="E612" s="11" t="s">
        <v>563</v>
      </c>
      <c r="F612" s="11" t="s">
        <v>564</v>
      </c>
      <c r="G612" s="11" t="s">
        <v>1650</v>
      </c>
      <c r="H612" s="11" t="s">
        <v>340</v>
      </c>
      <c r="I612" s="11" t="s">
        <v>1982</v>
      </c>
      <c r="J612" s="11">
        <v>41.795278000000003</v>
      </c>
      <c r="K612" s="11">
        <v>-77.299722000000003</v>
      </c>
      <c r="L612" s="11">
        <v>9999</v>
      </c>
      <c r="M612" s="11">
        <v>9999</v>
      </c>
      <c r="N612" s="175" t="str">
        <f>VLOOKUP(M612, '2017 SIC to NAICS'!A:D, 2)</f>
        <v>Nonclassifiable Establishments</v>
      </c>
      <c r="P612" s="187">
        <f>VLOOKUP(M612, '2017 SIC to NAICS'!A:D, 4)</f>
        <v>0</v>
      </c>
      <c r="Q612" s="176" t="str">
        <f>IFERROR(VLOOKUP(O612, 'NAICS OES crosswalk'!A:C, 3, FALSE), VLOOKUP(M612, 'NAICS OES crosswalk'!A:C, 3, FALSE))</f>
        <v>Uncertain, possibly a remediation site</v>
      </c>
      <c r="U612" s="188">
        <v>20502050303</v>
      </c>
      <c r="V612" s="11" t="s">
        <v>1651</v>
      </c>
      <c r="W612" s="11"/>
      <c r="X612" s="11">
        <v>2.03104330125E-2</v>
      </c>
      <c r="Y612" s="11" t="b">
        <f t="shared" si="10"/>
        <v>0</v>
      </c>
    </row>
    <row r="613" spans="1:25" x14ac:dyDescent="0.35">
      <c r="A613" s="11">
        <v>2021</v>
      </c>
      <c r="B613" s="11" t="s">
        <v>1980</v>
      </c>
      <c r="C613" s="11" t="s">
        <v>763</v>
      </c>
      <c r="D613" s="163">
        <v>110018199377</v>
      </c>
      <c r="E613" s="11" t="s">
        <v>109</v>
      </c>
      <c r="F613" s="11" t="s">
        <v>110</v>
      </c>
      <c r="G613" s="11" t="s">
        <v>764</v>
      </c>
      <c r="H613" s="11" t="s">
        <v>111</v>
      </c>
      <c r="I613" s="11" t="s">
        <v>1982</v>
      </c>
      <c r="J613" s="11">
        <v>41.692782000000001</v>
      </c>
      <c r="K613" s="11">
        <v>-87.951100999999994</v>
      </c>
      <c r="L613" s="11">
        <v>4226</v>
      </c>
      <c r="M613" s="11">
        <v>4226</v>
      </c>
      <c r="N613" s="175" t="str">
        <f>VLOOKUP(M613, '2017 SIC to NAICS'!A:D, 2)</f>
        <v>Special Warehousing and Storage, Nec</v>
      </c>
      <c r="P613" s="187" t="str">
        <f>VLOOKUP(M613, '2017 SIC to NAICS'!A:D, 4)</f>
        <v>Other Warehousing and Storage</v>
      </c>
      <c r="Q613" s="176" t="e">
        <f>IFERROR(VLOOKUP(O613, 'NAICS OES crosswalk'!A:C, 3, FALSE), VLOOKUP(M613, 'NAICS OES crosswalk'!A:C, 3, FALSE))</f>
        <v>#N/A</v>
      </c>
      <c r="U613" s="188">
        <v>71200040705</v>
      </c>
      <c r="V613" s="11" t="s">
        <v>767</v>
      </c>
      <c r="W613" s="11"/>
      <c r="X613" s="11">
        <v>1.934135E-2</v>
      </c>
      <c r="Y613" s="11" t="b">
        <f t="shared" si="10"/>
        <v>0</v>
      </c>
    </row>
    <row r="614" spans="1:25" ht="29" x14ac:dyDescent="0.35">
      <c r="A614" s="11">
        <v>2021</v>
      </c>
      <c r="B614" s="11" t="s">
        <v>1980</v>
      </c>
      <c r="C614" s="11" t="s">
        <v>778</v>
      </c>
      <c r="D614" s="163">
        <v>110064644782</v>
      </c>
      <c r="E614" s="11" t="s">
        <v>303</v>
      </c>
      <c r="F614" s="11" t="s">
        <v>304</v>
      </c>
      <c r="G614" s="11" t="s">
        <v>779</v>
      </c>
      <c r="H614" s="11" t="s">
        <v>91</v>
      </c>
      <c r="I614" s="11" t="s">
        <v>1981</v>
      </c>
      <c r="J614" s="11">
        <v>30.584540000000001</v>
      </c>
      <c r="K614" s="11">
        <v>-91.247479999999996</v>
      </c>
      <c r="L614" s="11">
        <v>4953</v>
      </c>
      <c r="M614" s="11">
        <v>4953</v>
      </c>
      <c r="N614" s="175" t="str">
        <f>VLOOKUP(M614, '2017 SIC to NAICS'!A:D, 2)</f>
        <v>Refuse Systems</v>
      </c>
      <c r="P614" s="187" t="str">
        <f>VLOOKUP(M614, '2017 SIC to NAICS'!A:D, 4)</f>
        <v>Materials Recovery Facilities</v>
      </c>
      <c r="Q614" s="176" t="str">
        <f>IFERROR(VLOOKUP(O614, 'NAICS OES crosswalk'!A:C, 3, FALSE), VLOOKUP(M614, 'NAICS OES crosswalk'!A:C, 3, FALSE))</f>
        <v>Waste handling, disposal, and treatment</v>
      </c>
      <c r="U614" s="188">
        <v>80702010401</v>
      </c>
      <c r="V614" s="11" t="s">
        <v>780</v>
      </c>
      <c r="W614" s="11"/>
      <c r="X614" s="11">
        <v>1.9068000000000002E-2</v>
      </c>
      <c r="Y614" s="11" t="b">
        <f t="shared" si="10"/>
        <v>0</v>
      </c>
    </row>
    <row r="615" spans="1:25" x14ac:dyDescent="0.35">
      <c r="A615" s="11">
        <v>2021</v>
      </c>
      <c r="B615" s="11" t="s">
        <v>1980</v>
      </c>
      <c r="C615" s="11" t="s">
        <v>1522</v>
      </c>
      <c r="D615" s="163">
        <v>110070219521</v>
      </c>
      <c r="E615" s="11" t="s">
        <v>471</v>
      </c>
      <c r="F615" s="11" t="s">
        <v>472</v>
      </c>
      <c r="G615" s="11" t="s">
        <v>1163</v>
      </c>
      <c r="H615" s="11" t="s">
        <v>254</v>
      </c>
      <c r="I615" s="11" t="s">
        <v>1982</v>
      </c>
      <c r="J615" s="11">
        <v>40.393389999999997</v>
      </c>
      <c r="K615" s="11">
        <v>-74.758080000000007</v>
      </c>
      <c r="M615" s="11"/>
      <c r="N615" s="175" t="e">
        <f>VLOOKUP(M615, '2017 SIC to NAICS'!A:D, 2)</f>
        <v>#N/A</v>
      </c>
      <c r="P615" s="187" t="e">
        <f>VLOOKUP(M615, '2017 SIC to NAICS'!A:D, 4)</f>
        <v>#N/A</v>
      </c>
      <c r="Q615" s="176" t="e">
        <f>IFERROR(VLOOKUP(O615, 'NAICS OES crosswalk'!A:C, 3, FALSE), VLOOKUP(M615, 'NAICS OES crosswalk'!A:C, 3, FALSE))</f>
        <v>#N/A</v>
      </c>
      <c r="U615" s="188">
        <v>20301050309</v>
      </c>
      <c r="V615" s="11" t="s">
        <v>1523</v>
      </c>
      <c r="W615" s="11"/>
      <c r="X615" s="11">
        <v>1.8891654149999999E-2</v>
      </c>
      <c r="Y615" s="11" t="b">
        <f t="shared" si="10"/>
        <v>0</v>
      </c>
    </row>
    <row r="616" spans="1:25" x14ac:dyDescent="0.35">
      <c r="A616" s="11">
        <v>2021</v>
      </c>
      <c r="B616" s="11" t="s">
        <v>1980</v>
      </c>
      <c r="C616" s="11" t="s">
        <v>1320</v>
      </c>
      <c r="D616" s="163">
        <v>110012254363</v>
      </c>
      <c r="E616" s="11" t="s">
        <v>686</v>
      </c>
      <c r="F616" s="11" t="s">
        <v>304</v>
      </c>
      <c r="G616" s="11" t="s">
        <v>779</v>
      </c>
      <c r="H616" s="11" t="s">
        <v>91</v>
      </c>
      <c r="I616" s="11" t="s">
        <v>1982</v>
      </c>
      <c r="J616" s="11">
        <v>30.563776000000001</v>
      </c>
      <c r="K616" s="11">
        <v>-91.212565999999995</v>
      </c>
      <c r="L616" s="11">
        <v>4491</v>
      </c>
      <c r="M616" s="11">
        <v>4491</v>
      </c>
      <c r="N616" s="175" t="str">
        <f>VLOOKUP(M616, '2017 SIC to NAICS'!A:D, 2)</f>
        <v>Marine Cargo Handling</v>
      </c>
      <c r="P616" s="187" t="str">
        <f>VLOOKUP(M616, '2017 SIC to NAICS'!A:D, 4)</f>
        <v>Marine Cargo Handling</v>
      </c>
      <c r="Q616" s="176" t="e">
        <f>IFERROR(VLOOKUP(O616, 'NAICS OES crosswalk'!A:C, 3, FALSE), VLOOKUP(M616, 'NAICS OES crosswalk'!A:C, 3, FALSE))</f>
        <v>#N/A</v>
      </c>
      <c r="U616" s="188">
        <v>80702010402</v>
      </c>
      <c r="V616" s="11" t="s">
        <v>1321</v>
      </c>
      <c r="W616" s="11"/>
      <c r="X616" s="11">
        <v>1.389780085E-5</v>
      </c>
      <c r="Y616" s="11" t="b">
        <f t="shared" si="10"/>
        <v>1</v>
      </c>
    </row>
    <row r="617" spans="1:25" x14ac:dyDescent="0.35">
      <c r="A617" s="11">
        <v>2021</v>
      </c>
      <c r="B617" s="11" t="s">
        <v>1980</v>
      </c>
      <c r="C617" s="11" t="s">
        <v>1471</v>
      </c>
      <c r="D617" s="163">
        <v>110054612558</v>
      </c>
      <c r="E617" s="11" t="s">
        <v>426</v>
      </c>
      <c r="F617" s="11" t="s">
        <v>427</v>
      </c>
      <c r="G617" s="11" t="s">
        <v>1144</v>
      </c>
      <c r="H617" s="11" t="s">
        <v>129</v>
      </c>
      <c r="I617" s="11" t="s">
        <v>1981</v>
      </c>
      <c r="J617" s="11">
        <v>39.423425000000002</v>
      </c>
      <c r="K617" s="11">
        <v>-91.025666000000001</v>
      </c>
      <c r="L617" s="11">
        <v>2869</v>
      </c>
      <c r="M617" s="11">
        <v>2869</v>
      </c>
      <c r="N617" s="175" t="str">
        <f>VLOOKUP(M617, '2017 SIC to NAICS'!A:D, 2)</f>
        <v>Industrial Organic Chemicals, Nec</v>
      </c>
      <c r="P617" s="187" t="str">
        <f>VLOOKUP(M617, '2017 SIC to NAICS'!A:D, 4)</f>
        <v>All Other Miscellaneous Chemical Product and Preparation Manufacturing</v>
      </c>
      <c r="Q617" s="176" t="str">
        <f>IFERROR(VLOOKUP(O617, 'NAICS OES crosswalk'!A:C, 3, FALSE), VLOOKUP(M617, 'NAICS OES crosswalk'!A:C, 3, FALSE))</f>
        <v>Manufacturing</v>
      </c>
      <c r="U617" s="188">
        <v>71100040702</v>
      </c>
      <c r="V617" s="11" t="s">
        <v>1472</v>
      </c>
      <c r="W617" s="11"/>
      <c r="X617" s="11">
        <v>1.843467E-2</v>
      </c>
      <c r="Y617" s="11" t="b">
        <f t="shared" si="10"/>
        <v>0</v>
      </c>
    </row>
    <row r="618" spans="1:25" x14ac:dyDescent="0.35">
      <c r="A618" s="11">
        <v>2021</v>
      </c>
      <c r="B618" s="11" t="s">
        <v>1980</v>
      </c>
      <c r="C618" s="11" t="s">
        <v>1706</v>
      </c>
      <c r="D618" s="163">
        <v>110035762822</v>
      </c>
      <c r="E618" s="11" t="s">
        <v>577</v>
      </c>
      <c r="F618" s="11" t="s">
        <v>578</v>
      </c>
      <c r="G618" s="11" t="s">
        <v>1707</v>
      </c>
      <c r="H618" s="11" t="s">
        <v>95</v>
      </c>
      <c r="I618" s="11" t="s">
        <v>1982</v>
      </c>
      <c r="J618" s="11">
        <v>30.265280000000001</v>
      </c>
      <c r="K618" s="11">
        <v>-97.746499999999997</v>
      </c>
      <c r="L618" s="11">
        <v>6513</v>
      </c>
      <c r="M618" s="11">
        <v>6513</v>
      </c>
      <c r="N618" s="175" t="str">
        <f>VLOOKUP(M618, '2017 SIC to NAICS'!A:D, 2)</f>
        <v>Apartment Building Operators</v>
      </c>
      <c r="P618" s="187" t="str">
        <f>VLOOKUP(M618, '2017 SIC to NAICS'!A:D, 4)</f>
        <v>Lessors of Residential Buildings and
Dwellings</v>
      </c>
      <c r="Q618" s="176" t="e">
        <f>IFERROR(VLOOKUP(O618, 'NAICS OES crosswalk'!A:C, 3, FALSE), VLOOKUP(M618, 'NAICS OES crosswalk'!A:C, 3, FALSE))</f>
        <v>#N/A</v>
      </c>
      <c r="U618" s="188">
        <v>120902050306</v>
      </c>
      <c r="V618" s="11" t="s">
        <v>1708</v>
      </c>
      <c r="W618" s="11"/>
      <c r="X618" s="11">
        <v>1.8377117464999999E-2</v>
      </c>
      <c r="Y618" s="11" t="b">
        <f t="shared" si="10"/>
        <v>0</v>
      </c>
    </row>
    <row r="619" spans="1:25" x14ac:dyDescent="0.35">
      <c r="A619" s="11">
        <v>2021</v>
      </c>
      <c r="B619" s="11" t="s">
        <v>1980</v>
      </c>
      <c r="C619" s="11" t="s">
        <v>1497</v>
      </c>
      <c r="D619" s="163">
        <v>110013317614</v>
      </c>
      <c r="E619" s="11" t="s">
        <v>561</v>
      </c>
      <c r="F619" s="11" t="s">
        <v>562</v>
      </c>
      <c r="G619" s="11" t="s">
        <v>1492</v>
      </c>
      <c r="H619" s="11" t="s">
        <v>254</v>
      </c>
      <c r="I619" s="11" t="s">
        <v>1981</v>
      </c>
      <c r="J619" s="11">
        <v>39.845474000000003</v>
      </c>
      <c r="K619" s="11">
        <v>-75.209485999999998</v>
      </c>
      <c r="L619" s="11">
        <v>2821</v>
      </c>
      <c r="M619" s="11">
        <v>2821</v>
      </c>
      <c r="N619" s="175" t="str">
        <f>VLOOKUP(M619, '2017 SIC to NAICS'!A:D, 2)</f>
        <v>Plastics Materials and Resins</v>
      </c>
      <c r="O619" s="11">
        <v>325211</v>
      </c>
      <c r="P619" s="187" t="str">
        <f>VLOOKUP(M619, '2017 SIC to NAICS'!A:D, 4)</f>
        <v>Plastics Material and Resin Manufacturing</v>
      </c>
      <c r="Q619" s="176" t="str">
        <f>IFERROR(VLOOKUP(O619, 'NAICS OES crosswalk'!A:C, 3, FALSE), VLOOKUP(M619, 'NAICS OES crosswalk'!A:C, 3, FALSE))</f>
        <v>Processing as a reactant</v>
      </c>
      <c r="U619" s="188">
        <v>20402020507</v>
      </c>
      <c r="V619" s="11" t="s">
        <v>1498</v>
      </c>
      <c r="W619" s="11"/>
      <c r="X619" s="11">
        <v>1.8136550000000001E-2</v>
      </c>
      <c r="Y619" s="11" t="b">
        <f t="shared" si="10"/>
        <v>0</v>
      </c>
    </row>
    <row r="620" spans="1:25" x14ac:dyDescent="0.35">
      <c r="A620" s="11">
        <v>2021</v>
      </c>
      <c r="B620" s="11" t="s">
        <v>1980</v>
      </c>
      <c r="C620" s="11" t="s">
        <v>1740</v>
      </c>
      <c r="D620" s="163">
        <v>110070884188</v>
      </c>
      <c r="E620" s="11" t="s">
        <v>579</v>
      </c>
      <c r="F620" s="11" t="s">
        <v>275</v>
      </c>
      <c r="G620" s="11" t="s">
        <v>1718</v>
      </c>
      <c r="H620" s="11" t="s">
        <v>276</v>
      </c>
      <c r="I620" s="11" t="s">
        <v>1982</v>
      </c>
      <c r="J620" s="11">
        <v>38.8568</v>
      </c>
      <c r="K620" s="11">
        <v>-77.049700000000001</v>
      </c>
      <c r="L620" s="11">
        <v>1794</v>
      </c>
      <c r="M620" s="11">
        <v>1794</v>
      </c>
      <c r="N620" s="175" t="str">
        <f>VLOOKUP(M620, '2017 SIC to NAICS'!A:D, 2)</f>
        <v>Excavation Work</v>
      </c>
      <c r="P620" s="187" t="str">
        <f>VLOOKUP(M620, '2017 SIC to NAICS'!A:D, 4)</f>
        <v>Site Preparation Contractors</v>
      </c>
      <c r="Q620" s="176" t="e">
        <f>IFERROR(VLOOKUP(O620, 'NAICS OES crosswalk'!A:C, 3, FALSE), VLOOKUP(M620, 'NAICS OES crosswalk'!A:C, 3, FALSE))</f>
        <v>#N/A</v>
      </c>
      <c r="U620" s="188">
        <v>20700100103</v>
      </c>
      <c r="V620" s="11" t="s">
        <v>1727</v>
      </c>
      <c r="W620" s="11"/>
      <c r="X620" s="11">
        <v>1.7495784E-2</v>
      </c>
      <c r="Y620" s="11" t="b">
        <f t="shared" si="10"/>
        <v>0</v>
      </c>
    </row>
    <row r="621" spans="1:25" x14ac:dyDescent="0.35">
      <c r="A621" s="11">
        <v>2021</v>
      </c>
      <c r="B621" s="11" t="s">
        <v>1980</v>
      </c>
      <c r="C621" s="11" t="s">
        <v>1468</v>
      </c>
      <c r="D621" s="163">
        <v>110000595909</v>
      </c>
      <c r="E621" s="11" t="s">
        <v>529</v>
      </c>
      <c r="F621" s="11" t="s">
        <v>128</v>
      </c>
      <c r="G621" s="11" t="s">
        <v>1132</v>
      </c>
      <c r="H621" s="11" t="s">
        <v>129</v>
      </c>
      <c r="I621" s="11" t="s">
        <v>1982</v>
      </c>
      <c r="J621" s="11">
        <v>38.539057</v>
      </c>
      <c r="K621" s="11">
        <v>-90.971136000000001</v>
      </c>
      <c r="L621" s="11">
        <v>3499</v>
      </c>
      <c r="M621" s="11">
        <v>3499</v>
      </c>
      <c r="N621" s="175" t="str">
        <f>VLOOKUP(M621, '2017 SIC to NAICS'!A:D, 2)</f>
        <v>Fabricated Metal Products, Nec</v>
      </c>
      <c r="P621" s="187" t="str">
        <f>VLOOKUP(M621, '2017 SIC to NAICS'!A:D, 4)</f>
        <v>Showcase, Partition, Shelving, and Locker
Manufacturing</v>
      </c>
      <c r="Q621" s="176" t="e">
        <f>IFERROR(VLOOKUP(O621, 'NAICS OES crosswalk'!A:C, 3, FALSE), VLOOKUP(M621, 'NAICS OES crosswalk'!A:C, 3, FALSE))</f>
        <v>#N/A</v>
      </c>
      <c r="U621" s="188">
        <v>103002000601</v>
      </c>
      <c r="V621" s="11" t="s">
        <v>1460</v>
      </c>
      <c r="W621" s="11"/>
      <c r="X621" s="11">
        <v>1.7161644199999999E-2</v>
      </c>
      <c r="Y621" s="11" t="b">
        <f t="shared" si="10"/>
        <v>0</v>
      </c>
    </row>
    <row r="622" spans="1:25" x14ac:dyDescent="0.35">
      <c r="A622" s="11">
        <v>2021</v>
      </c>
      <c r="B622" s="11" t="s">
        <v>1980</v>
      </c>
      <c r="C622" s="11" t="s">
        <v>1071</v>
      </c>
      <c r="D622" s="163">
        <v>110000747835</v>
      </c>
      <c r="E622" s="11" t="s">
        <v>312</v>
      </c>
      <c r="F622" s="11" t="s">
        <v>115</v>
      </c>
      <c r="G622" s="11" t="s">
        <v>1072</v>
      </c>
      <c r="H622" s="11" t="s">
        <v>108</v>
      </c>
      <c r="I622" s="11" t="s">
        <v>1981</v>
      </c>
      <c r="J622" s="11">
        <v>37.8125</v>
      </c>
      <c r="K622" s="11">
        <v>-87.05</v>
      </c>
      <c r="L622" s="11">
        <v>2821</v>
      </c>
      <c r="M622" s="11">
        <v>2821</v>
      </c>
      <c r="N622" s="175" t="str">
        <f>VLOOKUP(M622, '2017 SIC to NAICS'!A:D, 2)</f>
        <v>Plastics Materials and Resins</v>
      </c>
      <c r="O622" s="11">
        <v>325211</v>
      </c>
      <c r="P622" s="187" t="str">
        <f>VLOOKUP(M622, '2017 SIC to NAICS'!A:D, 4)</f>
        <v>Plastics Material and Resin Manufacturing</v>
      </c>
      <c r="Q622" s="176" t="str">
        <f>IFERROR(VLOOKUP(O622, 'NAICS OES crosswalk'!A:C, 3, FALSE), VLOOKUP(M622, 'NAICS OES crosswalk'!A:C, 3, FALSE))</f>
        <v>Processing as a reactant</v>
      </c>
      <c r="U622" s="188">
        <v>51402011202</v>
      </c>
      <c r="V622" s="11" t="s">
        <v>1073</v>
      </c>
      <c r="W622" s="11"/>
      <c r="X622" s="11">
        <v>1.6570999999999999E-2</v>
      </c>
      <c r="Y622" s="11" t="b">
        <f t="shared" si="10"/>
        <v>0</v>
      </c>
    </row>
    <row r="623" spans="1:25" x14ac:dyDescent="0.35">
      <c r="A623" s="11">
        <v>2021</v>
      </c>
      <c r="B623" s="11" t="s">
        <v>1980</v>
      </c>
      <c r="C623" s="11" t="s">
        <v>1309</v>
      </c>
      <c r="D623" s="163">
        <v>110000597355</v>
      </c>
      <c r="E623" s="11" t="s">
        <v>533</v>
      </c>
      <c r="F623" s="11" t="s">
        <v>534</v>
      </c>
      <c r="G623" s="11" t="s">
        <v>1310</v>
      </c>
      <c r="H623" s="11" t="s">
        <v>91</v>
      </c>
      <c r="I623" s="11" t="s">
        <v>1982</v>
      </c>
      <c r="J623" s="11">
        <v>30.486767</v>
      </c>
      <c r="K623" s="11">
        <v>-90.925479999999993</v>
      </c>
      <c r="L623" s="11">
        <v>2899</v>
      </c>
      <c r="M623" s="11">
        <v>2899</v>
      </c>
      <c r="N623" s="175" t="str">
        <f>VLOOKUP(M623, '2017 SIC to NAICS'!A:D, 2)</f>
        <v>Chemical Preparations, Nec</v>
      </c>
      <c r="P623" s="187" t="str">
        <f>VLOOKUP(M623, '2017 SIC to NAICS'!A:D, 4)</f>
        <v>All Other Miscellaneous Chemical Product and Preparation Manufacturing</v>
      </c>
      <c r="Q623" s="176" t="e">
        <f>IFERROR(VLOOKUP(O623, 'NAICS OES crosswalk'!A:C, 3, FALSE), VLOOKUP(M623, 'NAICS OES crosswalk'!A:C, 3, FALSE))</f>
        <v>#N/A</v>
      </c>
      <c r="U623" s="188">
        <v>80702020903</v>
      </c>
      <c r="V623" s="11" t="s">
        <v>1311</v>
      </c>
      <c r="W623" s="11"/>
      <c r="X623" s="11">
        <v>1.6570999999999999E-2</v>
      </c>
      <c r="Y623" s="11" t="b">
        <f t="shared" si="10"/>
        <v>0</v>
      </c>
    </row>
    <row r="624" spans="1:25" x14ac:dyDescent="0.35">
      <c r="A624" s="11">
        <v>2021</v>
      </c>
      <c r="B624" s="11" t="s">
        <v>1980</v>
      </c>
      <c r="C624" s="11" t="s">
        <v>1506</v>
      </c>
      <c r="D624" s="163">
        <v>110009721836</v>
      </c>
      <c r="E624" s="11" t="s">
        <v>568</v>
      </c>
      <c r="F624" s="11" t="s">
        <v>300</v>
      </c>
      <c r="G624" s="11" t="s">
        <v>1492</v>
      </c>
      <c r="H624" s="11" t="s">
        <v>254</v>
      </c>
      <c r="I624" s="11" t="s">
        <v>1982</v>
      </c>
      <c r="J624" s="11">
        <v>39.799250000000001</v>
      </c>
      <c r="K624" s="11">
        <v>-75.33296</v>
      </c>
      <c r="L624" s="11">
        <v>4213</v>
      </c>
      <c r="M624" s="11">
        <v>4213</v>
      </c>
      <c r="N624" s="175" t="str">
        <f>VLOOKUP(M624, '2017 SIC to NAICS'!A:D, 2)</f>
        <v>Trucking, Except Local</v>
      </c>
      <c r="O624" s="11">
        <v>484230</v>
      </c>
      <c r="P624" s="187" t="str">
        <f>VLOOKUP(M624, '2017 SIC to NAICS'!A:D, 4)</f>
        <v>Specialized Freight (except Used Goods)
Trucking, Long-Distance</v>
      </c>
      <c r="Q624" s="176" t="e">
        <f>IFERROR(VLOOKUP(O624, 'NAICS OES crosswalk'!A:C, 3, FALSE), VLOOKUP(M624, 'NAICS OES crosswalk'!A:C, 3, FALSE))</f>
        <v>#N/A</v>
      </c>
      <c r="U624" s="188">
        <v>20402020607</v>
      </c>
      <c r="V624" s="11" t="s">
        <v>1507</v>
      </c>
      <c r="W624" s="11"/>
      <c r="X624" s="11">
        <v>1.5735604269199999E-2</v>
      </c>
      <c r="Y624" s="11" t="b">
        <f t="shared" si="10"/>
        <v>0</v>
      </c>
    </row>
    <row r="625" spans="1:25" x14ac:dyDescent="0.35">
      <c r="A625" s="11">
        <v>2021</v>
      </c>
      <c r="B625" s="11" t="s">
        <v>1980</v>
      </c>
      <c r="C625" s="11" t="s">
        <v>735</v>
      </c>
      <c r="D625" s="163">
        <v>110004306938</v>
      </c>
      <c r="E625" s="11" t="s">
        <v>336</v>
      </c>
      <c r="F625" s="11" t="s">
        <v>337</v>
      </c>
      <c r="G625" s="11" t="s">
        <v>736</v>
      </c>
      <c r="H625" s="11" t="s">
        <v>221</v>
      </c>
      <c r="I625" s="11" t="s">
        <v>1982</v>
      </c>
      <c r="J625" s="11">
        <v>36.122100000000003</v>
      </c>
      <c r="K625" s="11">
        <v>-115.17139</v>
      </c>
      <c r="L625" s="11">
        <v>7011</v>
      </c>
      <c r="M625" s="11">
        <v>7011</v>
      </c>
      <c r="N625" s="175" t="str">
        <f>VLOOKUP(M625, '2017 SIC to NAICS'!A:D, 2)</f>
        <v>Hotels and Motels</v>
      </c>
      <c r="P625" s="187" t="str">
        <f>VLOOKUP(M625, '2017 SIC to NAICS'!A:D, 4)</f>
        <v>All Other Traveler Accommodation</v>
      </c>
      <c r="Q625" s="176" t="e">
        <f>IFERROR(VLOOKUP(O625, 'NAICS OES crosswalk'!A:C, 3, FALSE), VLOOKUP(M625, 'NAICS OES crosswalk'!A:C, 3, FALSE))</f>
        <v>#N/A</v>
      </c>
      <c r="U625" s="188">
        <v>150100150604</v>
      </c>
      <c r="V625" s="11" t="s">
        <v>738</v>
      </c>
      <c r="W625" s="11"/>
      <c r="X625" s="11">
        <v>1.53591041875E-2</v>
      </c>
      <c r="Y625" s="11" t="b">
        <f t="shared" si="10"/>
        <v>0</v>
      </c>
    </row>
    <row r="626" spans="1:25" ht="29" x14ac:dyDescent="0.35">
      <c r="A626" s="11">
        <v>2021</v>
      </c>
      <c r="B626" s="11" t="s">
        <v>1980</v>
      </c>
      <c r="C626" s="11" t="s">
        <v>1403</v>
      </c>
      <c r="D626" s="163">
        <v>110034151450</v>
      </c>
      <c r="E626" s="11" t="s">
        <v>584</v>
      </c>
      <c r="F626" s="11" t="s">
        <v>585</v>
      </c>
      <c r="G626" s="11" t="s">
        <v>1372</v>
      </c>
      <c r="H626" s="11" t="s">
        <v>181</v>
      </c>
      <c r="I626" s="11" t="s">
        <v>1982</v>
      </c>
      <c r="J626" s="11">
        <v>42.665671000000003</v>
      </c>
      <c r="K626" s="11">
        <v>-85.290707999999995</v>
      </c>
      <c r="L626" s="11">
        <v>4953</v>
      </c>
      <c r="M626" s="11">
        <v>4953</v>
      </c>
      <c r="N626" s="175" t="str">
        <f>VLOOKUP(M626, '2017 SIC to NAICS'!A:D, 2)</f>
        <v>Refuse Systems</v>
      </c>
      <c r="O626" s="11">
        <v>562212</v>
      </c>
      <c r="P626" s="187" t="str">
        <f>VLOOKUP(M626, '2017 SIC to NAICS'!A:D, 4)</f>
        <v>Materials Recovery Facilities</v>
      </c>
      <c r="Q626" s="176" t="str">
        <f>IFERROR(VLOOKUP(O626, 'NAICS OES crosswalk'!A:C, 3, FALSE), VLOOKUP(M626, 'NAICS OES crosswalk'!A:C, 3, FALSE))</f>
        <v>Waste handling, disposal, and treatment</v>
      </c>
      <c r="U626" s="188">
        <v>40500070402</v>
      </c>
      <c r="V626" s="11" t="s">
        <v>1404</v>
      </c>
      <c r="W626" s="11"/>
      <c r="X626" s="11">
        <v>1.5158925E-2</v>
      </c>
      <c r="Y626" s="11" t="b">
        <f t="shared" si="10"/>
        <v>0</v>
      </c>
    </row>
    <row r="627" spans="1:25" x14ac:dyDescent="0.35">
      <c r="A627" s="11">
        <v>2021</v>
      </c>
      <c r="B627" s="11" t="s">
        <v>1980</v>
      </c>
      <c r="C627" s="11" t="s">
        <v>1054</v>
      </c>
      <c r="D627" s="163">
        <v>110000433022</v>
      </c>
      <c r="E627" s="11" t="s">
        <v>407</v>
      </c>
      <c r="F627" s="11" t="s">
        <v>260</v>
      </c>
      <c r="G627" s="11" t="s">
        <v>795</v>
      </c>
      <c r="H627" s="11" t="s">
        <v>111</v>
      </c>
      <c r="I627" s="11" t="s">
        <v>1982</v>
      </c>
      <c r="J627" s="11">
        <v>41.305320000000002</v>
      </c>
      <c r="K627" s="11">
        <v>-88.561769999999996</v>
      </c>
      <c r="L627" s="11">
        <v>2821</v>
      </c>
      <c r="M627" s="11">
        <v>2821</v>
      </c>
      <c r="N627" s="175" t="str">
        <f>VLOOKUP(M627, '2017 SIC to NAICS'!A:D, 2)</f>
        <v>Plastics Materials and Resins</v>
      </c>
      <c r="P627" s="187" t="str">
        <f>VLOOKUP(M627, '2017 SIC to NAICS'!A:D, 4)</f>
        <v>Plastics Material and Resin Manufacturing</v>
      </c>
      <c r="Q627" s="176" t="str">
        <f>IFERROR(VLOOKUP(O627, 'NAICS OES crosswalk'!A:C, 3, FALSE), VLOOKUP(M627, 'NAICS OES crosswalk'!A:C, 3, FALSE))</f>
        <v>Processing as a reactant</v>
      </c>
      <c r="U627" s="188">
        <v>71200050705</v>
      </c>
      <c r="V627" s="11" t="s">
        <v>1055</v>
      </c>
      <c r="W627" s="11"/>
      <c r="X627" s="11">
        <v>2.81657287E-2</v>
      </c>
      <c r="Y627" s="11" t="b">
        <f t="shared" si="10"/>
        <v>0</v>
      </c>
    </row>
    <row r="628" spans="1:25" x14ac:dyDescent="0.35">
      <c r="A628" s="11">
        <v>2021</v>
      </c>
      <c r="B628" s="11" t="s">
        <v>1980</v>
      </c>
      <c r="C628" s="11" t="s">
        <v>1504</v>
      </c>
      <c r="D628" s="163">
        <v>110070210457</v>
      </c>
      <c r="E628" s="11" t="s">
        <v>650</v>
      </c>
      <c r="F628" s="11" t="s">
        <v>651</v>
      </c>
      <c r="G628" s="11" t="s">
        <v>1492</v>
      </c>
      <c r="H628" s="11" t="s">
        <v>254</v>
      </c>
      <c r="I628" s="11" t="s">
        <v>1982</v>
      </c>
      <c r="J628" s="11">
        <v>39.827696000000003</v>
      </c>
      <c r="K628" s="11">
        <v>-75.277782000000002</v>
      </c>
      <c r="L628" s="11">
        <v>2869</v>
      </c>
      <c r="M628" s="11">
        <v>2869</v>
      </c>
      <c r="N628" s="175" t="str">
        <f>VLOOKUP(M628, '2017 SIC to NAICS'!A:D, 2)</f>
        <v>Industrial Organic Chemicals, Nec</v>
      </c>
      <c r="P628" s="187" t="str">
        <f>VLOOKUP(M628, '2017 SIC to NAICS'!A:D, 4)</f>
        <v>All Other Miscellaneous Chemical Product and Preparation Manufacturing</v>
      </c>
      <c r="Q628" s="176" t="str">
        <f>IFERROR(VLOOKUP(O628, 'NAICS OES crosswalk'!A:C, 3, FALSE), VLOOKUP(M628, 'NAICS OES crosswalk'!A:C, 3, FALSE))</f>
        <v>Manufacturing</v>
      </c>
      <c r="U628" s="188">
        <v>20402020507</v>
      </c>
      <c r="V628" s="11" t="s">
        <v>1498</v>
      </c>
      <c r="W628" s="11"/>
      <c r="X628" s="11">
        <v>3.1019267275E-3</v>
      </c>
      <c r="Y628" s="11" t="b">
        <f t="shared" si="10"/>
        <v>0</v>
      </c>
    </row>
    <row r="629" spans="1:25" x14ac:dyDescent="0.35">
      <c r="A629" s="11">
        <v>2021</v>
      </c>
      <c r="B629" s="11" t="s">
        <v>1980</v>
      </c>
      <c r="C629" s="11" t="s">
        <v>1066</v>
      </c>
      <c r="D629" s="163">
        <v>110000400012</v>
      </c>
      <c r="E629" s="11" t="s">
        <v>580</v>
      </c>
      <c r="F629" s="11" t="s">
        <v>581</v>
      </c>
      <c r="G629" s="11" t="s">
        <v>1067</v>
      </c>
      <c r="H629" s="11" t="s">
        <v>151</v>
      </c>
      <c r="I629" s="11" t="s">
        <v>1982</v>
      </c>
      <c r="J629" s="11">
        <v>40.86168</v>
      </c>
      <c r="K629" s="11">
        <v>-85.599149999999995</v>
      </c>
      <c r="L629" s="11">
        <v>3714</v>
      </c>
      <c r="M629" s="11">
        <v>3714</v>
      </c>
      <c r="N629" s="175" t="str">
        <f>VLOOKUP(M629, '2017 SIC to NAICS'!A:D, 2)</f>
        <v>Motor Vehicle Parts and Accessories</v>
      </c>
      <c r="P629" s="187" t="str">
        <f>VLOOKUP(M629, '2017 SIC to NAICS'!A:D, 4)</f>
        <v>Other Motor Vehicle Parts Manufacturing</v>
      </c>
      <c r="Q629" s="176" t="e">
        <f>IFERROR(VLOOKUP(O629, 'NAICS OES crosswalk'!A:C, 3, FALSE), VLOOKUP(M629, 'NAICS OES crosswalk'!A:C, 3, FALSE))</f>
        <v>#N/A</v>
      </c>
      <c r="U629" s="188">
        <v>51201011303</v>
      </c>
      <c r="V629" s="11" t="s">
        <v>1068</v>
      </c>
      <c r="W629" s="11"/>
      <c r="X629" s="11">
        <v>1.3839133349999999E-2</v>
      </c>
      <c r="Y629" s="11" t="b">
        <f t="shared" si="10"/>
        <v>0</v>
      </c>
    </row>
    <row r="630" spans="1:25" x14ac:dyDescent="0.35">
      <c r="A630" s="11">
        <v>2021</v>
      </c>
      <c r="B630" s="11" t="s">
        <v>1980</v>
      </c>
      <c r="C630" s="11" t="s">
        <v>759</v>
      </c>
      <c r="D630" s="163">
        <v>110064624018</v>
      </c>
      <c r="E630" s="11" t="s">
        <v>334</v>
      </c>
      <c r="F630" s="11" t="s">
        <v>335</v>
      </c>
      <c r="G630" s="11" t="s">
        <v>335</v>
      </c>
      <c r="H630" s="11" t="s">
        <v>102</v>
      </c>
      <c r="I630" s="11" t="s">
        <v>1981</v>
      </c>
      <c r="J630" s="11">
        <v>33.990146000000003</v>
      </c>
      <c r="K630" s="11">
        <v>-118.36358</v>
      </c>
      <c r="L630" s="11">
        <v>2911</v>
      </c>
      <c r="M630" s="11">
        <v>2911</v>
      </c>
      <c r="N630" s="175" t="str">
        <f>VLOOKUP(M630, '2017 SIC to NAICS'!A:D, 2)</f>
        <v>Petroleum Refining</v>
      </c>
      <c r="P630" s="187" t="str">
        <f>VLOOKUP(M630, '2017 SIC to NAICS'!A:D, 4)</f>
        <v>Petroleum Refineries</v>
      </c>
      <c r="Q630" s="176" t="e">
        <f>IFERROR(VLOOKUP(O630, 'NAICS OES crosswalk'!A:C, 3, FALSE), VLOOKUP(M630, 'NAICS OES crosswalk'!A:C, 3, FALSE))</f>
        <v>#N/A</v>
      </c>
      <c r="U630" s="188">
        <v>180701040300</v>
      </c>
      <c r="V630" s="11" t="s">
        <v>762</v>
      </c>
      <c r="W630" s="11"/>
      <c r="X630" s="11">
        <v>1.3677097500000001E-2</v>
      </c>
      <c r="Y630" s="11" t="b">
        <f t="shared" si="10"/>
        <v>0</v>
      </c>
    </row>
    <row r="631" spans="1:25" x14ac:dyDescent="0.35">
      <c r="A631" s="11">
        <v>2021</v>
      </c>
      <c r="B631" s="11" t="s">
        <v>1980</v>
      </c>
      <c r="C631" s="11" t="s">
        <v>1345</v>
      </c>
      <c r="D631" s="163">
        <v>110037096674</v>
      </c>
      <c r="E631" s="11" t="s">
        <v>479</v>
      </c>
      <c r="F631" s="11" t="s">
        <v>480</v>
      </c>
      <c r="G631" s="11" t="s">
        <v>862</v>
      </c>
      <c r="H631" s="11" t="s">
        <v>481</v>
      </c>
      <c r="I631" s="11" t="s">
        <v>1982</v>
      </c>
      <c r="J631" s="11">
        <v>38.987340000000003</v>
      </c>
      <c r="K631" s="11">
        <v>-77.026660000000007</v>
      </c>
      <c r="L631" s="11">
        <v>1522</v>
      </c>
      <c r="M631" s="11">
        <v>1522</v>
      </c>
      <c r="N631" s="175" t="str">
        <f>VLOOKUP(M631, '2017 SIC to NAICS'!A:D, 2)</f>
        <v>Residential Construction, Nec</v>
      </c>
      <c r="P631" s="187" t="str">
        <f>VLOOKUP(M631, '2017 SIC to NAICS'!A:D, 4)</f>
        <v>Commercial and Institutional Building
Construction</v>
      </c>
      <c r="Q631" s="176" t="e">
        <f>IFERROR(VLOOKUP(O631, 'NAICS OES crosswalk'!A:C, 3, FALSE), VLOOKUP(M631, 'NAICS OES crosswalk'!A:C, 3, FALSE))</f>
        <v>#N/A</v>
      </c>
      <c r="U631" s="188">
        <v>20700100102</v>
      </c>
      <c r="V631" s="11" t="s">
        <v>1346</v>
      </c>
      <c r="W631" s="11"/>
      <c r="X631" s="11">
        <v>6.9468385462500004E-2</v>
      </c>
      <c r="Y631" s="11" t="b">
        <f t="shared" si="10"/>
        <v>0</v>
      </c>
    </row>
    <row r="632" spans="1:25" x14ac:dyDescent="0.35">
      <c r="A632" s="11">
        <v>2021</v>
      </c>
      <c r="B632" s="11" t="s">
        <v>1980</v>
      </c>
      <c r="C632" s="11" t="s">
        <v>1426</v>
      </c>
      <c r="D632" s="163">
        <v>110016695272</v>
      </c>
      <c r="E632" s="11" t="s">
        <v>597</v>
      </c>
      <c r="F632" s="11" t="s">
        <v>598</v>
      </c>
      <c r="G632" s="11" t="s">
        <v>1310</v>
      </c>
      <c r="H632" s="11" t="s">
        <v>181</v>
      </c>
      <c r="I632" s="11" t="s">
        <v>1982</v>
      </c>
      <c r="J632" s="11">
        <v>42.456085000000002</v>
      </c>
      <c r="K632" s="11">
        <v>-84.084230000000005</v>
      </c>
      <c r="L632" s="11">
        <v>9511</v>
      </c>
      <c r="M632" s="11">
        <v>9511</v>
      </c>
      <c r="N632" s="175" t="str">
        <f>VLOOKUP(M632, '2017 SIC to NAICS'!A:D, 2)</f>
        <v>Air, Water, and Solid Waste Management</v>
      </c>
      <c r="O632" s="11">
        <v>924110</v>
      </c>
      <c r="P632" s="187" t="str">
        <f>VLOOKUP(M632, '2017 SIC to NAICS'!A:D, 4)</f>
        <v>Administration of Air and Water Resource
and Solid Waste Management Programs</v>
      </c>
      <c r="Q632" s="176" t="e">
        <f>IFERROR(VLOOKUP(O632, 'NAICS OES crosswalk'!A:C, 3, FALSE), VLOOKUP(M632, 'NAICS OES crosswalk'!A:C, 3, FALSE))</f>
        <v>#N/A</v>
      </c>
      <c r="U632" s="188">
        <v>40900050305</v>
      </c>
      <c r="V632" s="11" t="s">
        <v>1427</v>
      </c>
      <c r="W632" s="11"/>
      <c r="X632" s="11">
        <v>1.312770475E-2</v>
      </c>
      <c r="Y632" s="11" t="b">
        <f t="shared" si="10"/>
        <v>0</v>
      </c>
    </row>
    <row r="633" spans="1:25" x14ac:dyDescent="0.35">
      <c r="A633" s="11">
        <v>2021</v>
      </c>
      <c r="B633" s="11" t="s">
        <v>1980</v>
      </c>
      <c r="C633" s="11" t="s">
        <v>759</v>
      </c>
      <c r="D633" s="163">
        <v>110064624018</v>
      </c>
      <c r="E633" s="11" t="s">
        <v>334</v>
      </c>
      <c r="F633" s="11" t="s">
        <v>335</v>
      </c>
      <c r="G633" s="11" t="s">
        <v>335</v>
      </c>
      <c r="H633" s="11" t="s">
        <v>102</v>
      </c>
      <c r="I633" s="11" t="s">
        <v>1981</v>
      </c>
      <c r="J633" s="11">
        <v>33.990146000000003</v>
      </c>
      <c r="K633" s="11">
        <v>-118.36358</v>
      </c>
      <c r="L633" s="11">
        <v>2911</v>
      </c>
      <c r="M633" s="11">
        <v>2911</v>
      </c>
      <c r="N633" s="175" t="str">
        <f>VLOOKUP(M633, '2017 SIC to NAICS'!A:D, 2)</f>
        <v>Petroleum Refining</v>
      </c>
      <c r="P633" s="187" t="str">
        <f>VLOOKUP(M633, '2017 SIC to NAICS'!A:D, 4)</f>
        <v>Petroleum Refineries</v>
      </c>
      <c r="Q633" s="176" t="e">
        <f>IFERROR(VLOOKUP(O633, 'NAICS OES crosswalk'!A:C, 3, FALSE), VLOOKUP(M633, 'NAICS OES crosswalk'!A:C, 3, FALSE))</f>
        <v>#N/A</v>
      </c>
      <c r="U633" s="188">
        <v>180701040300</v>
      </c>
      <c r="V633" s="11" t="s">
        <v>762</v>
      </c>
      <c r="W633" s="11"/>
      <c r="X633" s="11">
        <v>1.2710030000000001E-2</v>
      </c>
      <c r="Y633" s="11" t="b">
        <f t="shared" si="10"/>
        <v>0</v>
      </c>
    </row>
    <row r="634" spans="1:25" x14ac:dyDescent="0.35">
      <c r="A634" s="11">
        <v>2021</v>
      </c>
      <c r="B634" s="11" t="s">
        <v>1980</v>
      </c>
      <c r="C634" s="11" t="s">
        <v>1604</v>
      </c>
      <c r="D634" s="163">
        <v>110000487633</v>
      </c>
      <c r="E634" s="11" t="s">
        <v>599</v>
      </c>
      <c r="F634" s="11" t="s">
        <v>600</v>
      </c>
      <c r="G634" s="11" t="s">
        <v>1605</v>
      </c>
      <c r="H634" s="11" t="s">
        <v>601</v>
      </c>
      <c r="I634" s="11" t="s">
        <v>1982</v>
      </c>
      <c r="J634" s="11">
        <v>45.543847</v>
      </c>
      <c r="K634" s="11">
        <v>-122.46656299999999</v>
      </c>
      <c r="L634" s="11">
        <v>3728</v>
      </c>
      <c r="M634" s="11">
        <v>3728</v>
      </c>
      <c r="N634" s="175" t="str">
        <f>VLOOKUP(M634, '2017 SIC to NAICS'!A:D, 2)</f>
        <v>Aircraft Parts and Auxiliary Equipment, NEC (research and development not
producing prototypes)</v>
      </c>
      <c r="P634" s="187" t="str">
        <f>VLOOKUP(M634, '2017 SIC to NAICS'!A:D, 4)</f>
        <v>Research and Development in Nanotechnology</v>
      </c>
      <c r="Q634" s="176" t="e">
        <f>IFERROR(VLOOKUP(O634, 'NAICS OES crosswalk'!A:C, 3, FALSE), VLOOKUP(M634, 'NAICS OES crosswalk'!A:C, 3, FALSE))</f>
        <v>#N/A</v>
      </c>
      <c r="U634" s="188">
        <v>170900120201</v>
      </c>
      <c r="V634" s="11" t="s">
        <v>1606</v>
      </c>
      <c r="W634" s="11"/>
      <c r="X634" s="11">
        <v>1.25331948E-2</v>
      </c>
      <c r="Y634" s="11" t="b">
        <f t="shared" si="10"/>
        <v>0</v>
      </c>
    </row>
    <row r="635" spans="1:25" x14ac:dyDescent="0.35">
      <c r="A635" s="11">
        <v>2021</v>
      </c>
      <c r="B635" s="11" t="s">
        <v>1980</v>
      </c>
      <c r="C635" s="11" t="s">
        <v>1565</v>
      </c>
      <c r="D635" s="163">
        <v>110000734661</v>
      </c>
      <c r="E635" s="11" t="s">
        <v>516</v>
      </c>
      <c r="F635" s="11" t="s">
        <v>517</v>
      </c>
      <c r="G635" s="11" t="s">
        <v>831</v>
      </c>
      <c r="H635" s="11" t="s">
        <v>126</v>
      </c>
      <c r="I635" s="11" t="s">
        <v>1981</v>
      </c>
      <c r="J635" s="11">
        <v>43.047975999999998</v>
      </c>
      <c r="K635" s="11">
        <v>-78.859217000000001</v>
      </c>
      <c r="L635" s="11">
        <v>9511</v>
      </c>
      <c r="M635" s="11">
        <v>9511</v>
      </c>
      <c r="N635" s="175" t="str">
        <f>VLOOKUP(M635, '2017 SIC to NAICS'!A:D, 2)</f>
        <v>Air, Water, and Solid Waste Management</v>
      </c>
      <c r="P635" s="187" t="str">
        <f>VLOOKUP(M635, '2017 SIC to NAICS'!A:D, 4)</f>
        <v>Administration of Air and Water Resource
and Solid Waste Management Programs</v>
      </c>
      <c r="Q635" s="176" t="e">
        <f>IFERROR(VLOOKUP(O635, 'NAICS OES crosswalk'!A:C, 3, FALSE), VLOOKUP(M635, 'NAICS OES crosswalk'!A:C, 3, FALSE))</f>
        <v>#N/A</v>
      </c>
      <c r="U635" s="188">
        <v>41201040604</v>
      </c>
      <c r="V635" s="11" t="s">
        <v>1566</v>
      </c>
      <c r="W635" s="11"/>
      <c r="X635" s="11">
        <v>9.7632746465E-3</v>
      </c>
      <c r="Y635" s="11" t="b">
        <f t="shared" si="10"/>
        <v>0</v>
      </c>
    </row>
    <row r="636" spans="1:25" x14ac:dyDescent="0.35">
      <c r="A636" s="11">
        <v>2021</v>
      </c>
      <c r="B636" s="11" t="s">
        <v>1980</v>
      </c>
      <c r="C636" s="11" t="s">
        <v>1474</v>
      </c>
      <c r="D636" s="163">
        <v>110001512603</v>
      </c>
      <c r="E636" s="11" t="s">
        <v>558</v>
      </c>
      <c r="F636" s="11" t="s">
        <v>559</v>
      </c>
      <c r="G636" s="11" t="s">
        <v>1475</v>
      </c>
      <c r="H636" s="11" t="s">
        <v>560</v>
      </c>
      <c r="I636" s="11" t="s">
        <v>1982</v>
      </c>
      <c r="J636" s="11">
        <v>41.111856000000003</v>
      </c>
      <c r="K636" s="11">
        <v>-95.923699999999997</v>
      </c>
      <c r="L636" s="11">
        <v>9711</v>
      </c>
      <c r="M636" s="11">
        <v>9711</v>
      </c>
      <c r="N636" s="175" t="str">
        <f>VLOOKUP(M636, '2017 SIC to NAICS'!A:D, 2)</f>
        <v>National Security</v>
      </c>
      <c r="P636" s="187" t="str">
        <f>VLOOKUP(M636, '2017 SIC to NAICS'!A:D, 4)</f>
        <v>National Security</v>
      </c>
      <c r="Q636" s="176" t="e">
        <f>IFERROR(VLOOKUP(O636, 'NAICS OES crosswalk'!A:C, 3, FALSE), VLOOKUP(M636, 'NAICS OES crosswalk'!A:C, 3, FALSE))</f>
        <v>#N/A</v>
      </c>
      <c r="U636" s="188">
        <v>102300060206</v>
      </c>
      <c r="V636" s="11" t="s">
        <v>1476</v>
      </c>
      <c r="W636" s="11"/>
      <c r="X636" s="11">
        <v>1.1936376E-2</v>
      </c>
      <c r="Y636" s="11" t="b">
        <f t="shared" si="10"/>
        <v>0</v>
      </c>
    </row>
    <row r="637" spans="1:25" x14ac:dyDescent="0.35">
      <c r="A637" s="11">
        <v>2021</v>
      </c>
      <c r="B637" s="11" t="s">
        <v>1980</v>
      </c>
      <c r="C637" s="11" t="s">
        <v>763</v>
      </c>
      <c r="D637" s="163">
        <v>110018199377</v>
      </c>
      <c r="E637" s="11" t="s">
        <v>109</v>
      </c>
      <c r="F637" s="11" t="s">
        <v>110</v>
      </c>
      <c r="G637" s="11" t="s">
        <v>764</v>
      </c>
      <c r="H637" s="11" t="s">
        <v>111</v>
      </c>
      <c r="I637" s="11" t="s">
        <v>1982</v>
      </c>
      <c r="J637" s="11">
        <v>41.692782000000001</v>
      </c>
      <c r="K637" s="11">
        <v>-87.951100999999994</v>
      </c>
      <c r="L637" s="11">
        <v>4226</v>
      </c>
      <c r="M637" s="11">
        <v>4226</v>
      </c>
      <c r="N637" s="175" t="str">
        <f>VLOOKUP(M637, '2017 SIC to NAICS'!A:D, 2)</f>
        <v>Special Warehousing and Storage, Nec</v>
      </c>
      <c r="P637" s="187" t="str">
        <f>VLOOKUP(M637, '2017 SIC to NAICS'!A:D, 4)</f>
        <v>Other Warehousing and Storage</v>
      </c>
      <c r="Q637" s="176" t="e">
        <f>IFERROR(VLOOKUP(O637, 'NAICS OES crosswalk'!A:C, 3, FALSE), VLOOKUP(M637, 'NAICS OES crosswalk'!A:C, 3, FALSE))</f>
        <v>#N/A</v>
      </c>
      <c r="U637" s="188">
        <v>71200040705</v>
      </c>
      <c r="V637" s="11" t="s">
        <v>767</v>
      </c>
      <c r="W637" s="11"/>
      <c r="X637" s="11">
        <v>1.1742962500000001E-2</v>
      </c>
      <c r="Y637" s="11" t="b">
        <f t="shared" si="10"/>
        <v>0</v>
      </c>
    </row>
    <row r="638" spans="1:25" x14ac:dyDescent="0.35">
      <c r="A638" s="11">
        <v>2021</v>
      </c>
      <c r="B638" s="11" t="s">
        <v>1980</v>
      </c>
      <c r="C638" s="11" t="s">
        <v>1640</v>
      </c>
      <c r="D638" s="163">
        <v>110008476327</v>
      </c>
      <c r="E638" s="11" t="s">
        <v>609</v>
      </c>
      <c r="F638" s="11" t="s">
        <v>610</v>
      </c>
      <c r="G638" s="11" t="s">
        <v>1641</v>
      </c>
      <c r="H638" s="11" t="s">
        <v>340</v>
      </c>
      <c r="I638" s="11" t="s">
        <v>1982</v>
      </c>
      <c r="J638" s="11">
        <v>41.452778000000002</v>
      </c>
      <c r="K638" s="11">
        <v>-79.690278000000006</v>
      </c>
      <c r="L638" s="11">
        <v>2865</v>
      </c>
      <c r="M638" s="11">
        <v>2865</v>
      </c>
      <c r="N638" s="175" t="str">
        <f>VLOOKUP(M638, '2017 SIC to NAICS'!A:D, 2)</f>
        <v>Cyclic Crudes and Intermediates</v>
      </c>
      <c r="P638" s="187" t="str">
        <f>VLOOKUP(M638, '2017 SIC to NAICS'!A:D, 4)</f>
        <v>Cyclic Crude, Intermediate, and Gum and
Wood Chemical Manufacturing</v>
      </c>
      <c r="Q638" s="176" t="e">
        <f>IFERROR(VLOOKUP(O638, 'NAICS OES crosswalk'!A:C, 3, FALSE), VLOOKUP(M638, 'NAICS OES crosswalk'!A:C, 3, FALSE))</f>
        <v>#N/A</v>
      </c>
      <c r="U638" s="188">
        <v>50100030606</v>
      </c>
      <c r="V638" s="11" t="s">
        <v>1642</v>
      </c>
      <c r="W638" s="11"/>
      <c r="X638" s="11">
        <v>1.077115E-2</v>
      </c>
      <c r="Y638" s="11" t="b">
        <f t="shared" si="10"/>
        <v>0</v>
      </c>
    </row>
    <row r="639" spans="1:25" x14ac:dyDescent="0.35">
      <c r="A639" s="11">
        <v>2021</v>
      </c>
      <c r="B639" s="11" t="s">
        <v>1980</v>
      </c>
      <c r="C639" s="11" t="s">
        <v>1559</v>
      </c>
      <c r="D639" s="163">
        <v>110037274133</v>
      </c>
      <c r="E639" s="11" t="s">
        <v>657</v>
      </c>
      <c r="F639" s="11" t="s">
        <v>337</v>
      </c>
      <c r="G639" s="11" t="s">
        <v>823</v>
      </c>
      <c r="H639" s="11" t="s">
        <v>221</v>
      </c>
      <c r="I639" s="11" t="s">
        <v>1982</v>
      </c>
      <c r="J639" s="11">
        <v>36.119079999999997</v>
      </c>
      <c r="K639" s="11">
        <v>-115.15727</v>
      </c>
      <c r="L639" s="11">
        <v>6512</v>
      </c>
      <c r="M639" s="11">
        <v>6512</v>
      </c>
      <c r="N639" s="175" t="str">
        <f>VLOOKUP(M639, '2017 SIC to NAICS'!A:D, 2)</f>
        <v>Nonresidential Building Operators</v>
      </c>
      <c r="O639" s="11">
        <v>531210</v>
      </c>
      <c r="P639" s="187" t="str">
        <f>VLOOKUP(M639, '2017 SIC to NAICS'!A:D, 4)</f>
        <v>Promoters of Performing Arts, Sports, and
Similar Events with Facilities</v>
      </c>
      <c r="Q639" s="176" t="e">
        <f>IFERROR(VLOOKUP(O639, 'NAICS OES crosswalk'!A:C, 3, FALSE), VLOOKUP(M639, 'NAICS OES crosswalk'!A:C, 3, FALSE))</f>
        <v>#N/A</v>
      </c>
      <c r="U639" s="188">
        <v>150100150505</v>
      </c>
      <c r="V639" s="11" t="s">
        <v>825</v>
      </c>
      <c r="W639" s="11"/>
      <c r="X639" s="11">
        <v>6.4102759999999995E-4</v>
      </c>
      <c r="Y639" s="11" t="b">
        <f t="shared" si="10"/>
        <v>1</v>
      </c>
    </row>
    <row r="640" spans="1:25" x14ac:dyDescent="0.35">
      <c r="A640" s="11">
        <v>2021</v>
      </c>
      <c r="B640" s="11" t="s">
        <v>1980</v>
      </c>
      <c r="C640" s="11" t="s">
        <v>864</v>
      </c>
      <c r="D640" s="163">
        <v>110007915505</v>
      </c>
      <c r="E640" s="11" t="s">
        <v>543</v>
      </c>
      <c r="F640" s="11" t="s">
        <v>544</v>
      </c>
      <c r="G640" s="11" t="s">
        <v>865</v>
      </c>
      <c r="H640" s="11" t="s">
        <v>545</v>
      </c>
      <c r="I640" s="11" t="s">
        <v>1982</v>
      </c>
      <c r="J640" s="11">
        <v>33.917197000000002</v>
      </c>
      <c r="K640" s="11">
        <v>-88.101809000000003</v>
      </c>
      <c r="L640" s="11">
        <v>3537</v>
      </c>
      <c r="M640" s="11">
        <v>3537</v>
      </c>
      <c r="N640" s="175" t="str">
        <f>VLOOKUP(M640, '2017 SIC to NAICS'!A:D, 2)</f>
        <v>Industrial Trucks and Tractors</v>
      </c>
      <c r="O640" s="11">
        <v>333924</v>
      </c>
      <c r="P640" s="187" t="str">
        <f>VLOOKUP(M640, '2017 SIC to NAICS'!A:D, 4)</f>
        <v>Industrial Truck, Tractor, Trailer, and
Stacker Machinery Manufacturing</v>
      </c>
      <c r="Q640" s="176" t="e">
        <f>IFERROR(VLOOKUP(O640, 'NAICS OES crosswalk'!A:C, 3, FALSE), VLOOKUP(M640, 'NAICS OES crosswalk'!A:C, 3, FALSE))</f>
        <v>#N/A</v>
      </c>
      <c r="U640" s="188">
        <v>31601030202</v>
      </c>
      <c r="V640" s="11" t="s">
        <v>868</v>
      </c>
      <c r="W640" s="11"/>
      <c r="X640" s="11">
        <v>2.93924175E-2</v>
      </c>
      <c r="Y640" s="11" t="b">
        <f t="shared" si="10"/>
        <v>0</v>
      </c>
    </row>
    <row r="641" spans="1:25" x14ac:dyDescent="0.35">
      <c r="A641" s="11">
        <v>2021</v>
      </c>
      <c r="B641" s="11" t="s">
        <v>1980</v>
      </c>
      <c r="C641" s="11" t="s">
        <v>1748</v>
      </c>
      <c r="D641" s="163">
        <v>110055415732</v>
      </c>
      <c r="E641" s="11" t="s">
        <v>613</v>
      </c>
      <c r="F641" s="11" t="s">
        <v>396</v>
      </c>
      <c r="G641" s="11" t="s">
        <v>1715</v>
      </c>
      <c r="H641" s="11" t="s">
        <v>276</v>
      </c>
      <c r="I641" s="11" t="s">
        <v>1982</v>
      </c>
      <c r="J641" s="11">
        <v>38.741570000000003</v>
      </c>
      <c r="K641" s="11">
        <v>-77.086209999999994</v>
      </c>
      <c r="L641" s="11">
        <v>1794</v>
      </c>
      <c r="M641" s="11">
        <v>1794</v>
      </c>
      <c r="N641" s="175" t="str">
        <f>VLOOKUP(M641, '2017 SIC to NAICS'!A:D, 2)</f>
        <v>Excavation Work</v>
      </c>
      <c r="P641" s="187" t="str">
        <f>VLOOKUP(M641, '2017 SIC to NAICS'!A:D, 4)</f>
        <v>Site Preparation Contractors</v>
      </c>
      <c r="Q641" s="176" t="e">
        <f>IFERROR(VLOOKUP(O641, 'NAICS OES crosswalk'!A:C, 3, FALSE), VLOOKUP(M641, 'NAICS OES crosswalk'!A:C, 3, FALSE))</f>
        <v>#N/A</v>
      </c>
      <c r="U641" s="188">
        <v>20700100307</v>
      </c>
      <c r="V641" s="11" t="s">
        <v>1749</v>
      </c>
      <c r="W641" s="11"/>
      <c r="X641" s="11">
        <v>9.3201840000000005E-3</v>
      </c>
      <c r="Y641" s="11" t="b">
        <f t="shared" si="10"/>
        <v>0</v>
      </c>
    </row>
    <row r="642" spans="1:25" ht="29" x14ac:dyDescent="0.35">
      <c r="A642" s="11">
        <v>2021</v>
      </c>
      <c r="B642" s="11" t="s">
        <v>1980</v>
      </c>
      <c r="C642" s="11" t="s">
        <v>1461</v>
      </c>
      <c r="D642" s="163">
        <v>110000614746</v>
      </c>
      <c r="E642" s="11" t="s">
        <v>508</v>
      </c>
      <c r="F642" s="11" t="s">
        <v>509</v>
      </c>
      <c r="G642" s="11" t="s">
        <v>1175</v>
      </c>
      <c r="H642" s="11" t="s">
        <v>129</v>
      </c>
      <c r="I642" s="11" t="s">
        <v>1982</v>
      </c>
      <c r="J642" s="11">
        <v>39.248446999999999</v>
      </c>
      <c r="K642" s="11">
        <v>-94.293233000000001</v>
      </c>
      <c r="L642" s="11">
        <v>4953</v>
      </c>
      <c r="M642" s="11">
        <v>4953</v>
      </c>
      <c r="N642" s="175" t="str">
        <f>VLOOKUP(M642, '2017 SIC to NAICS'!A:D, 2)</f>
        <v>Refuse Systems</v>
      </c>
      <c r="P642" s="187" t="str">
        <f>VLOOKUP(M642, '2017 SIC to NAICS'!A:D, 4)</f>
        <v>Materials Recovery Facilities</v>
      </c>
      <c r="Q642" s="176" t="str">
        <f>IFERROR(VLOOKUP(O642, 'NAICS OES crosswalk'!A:C, 3, FALSE), VLOOKUP(M642, 'NAICS OES crosswalk'!A:C, 3, FALSE))</f>
        <v>Waste handling, disposal, and treatment</v>
      </c>
      <c r="U642" s="188">
        <v>103001010307</v>
      </c>
      <c r="V642" s="11" t="s">
        <v>1462</v>
      </c>
      <c r="W642" s="11"/>
      <c r="X642" s="11">
        <v>8.8882790882999999E-3</v>
      </c>
      <c r="Y642" s="11" t="b">
        <f t="shared" si="10"/>
        <v>0</v>
      </c>
    </row>
    <row r="643" spans="1:25" x14ac:dyDescent="0.35">
      <c r="A643" s="11">
        <v>2021</v>
      </c>
      <c r="B643" s="11" t="s">
        <v>1980</v>
      </c>
      <c r="C643" s="11" t="s">
        <v>752</v>
      </c>
      <c r="D643" s="163">
        <v>110000749021</v>
      </c>
      <c r="E643" s="11" t="s">
        <v>530</v>
      </c>
      <c r="F643" s="11" t="s">
        <v>531</v>
      </c>
      <c r="G643" s="11" t="s">
        <v>753</v>
      </c>
      <c r="H643" s="11" t="s">
        <v>276</v>
      </c>
      <c r="I643" s="11" t="s">
        <v>1982</v>
      </c>
      <c r="J643" s="11">
        <v>38.748759999999997</v>
      </c>
      <c r="K643" s="11">
        <v>-77.511420000000001</v>
      </c>
      <c r="L643" s="11">
        <v>4959</v>
      </c>
      <c r="M643" s="11">
        <v>4959</v>
      </c>
      <c r="N643" s="175" t="str">
        <f>VLOOKUP(M643, '2017 SIC to NAICS'!A:D, 2)</f>
        <v>Sanitary Services, Nec</v>
      </c>
      <c r="O643" s="11">
        <v>562910</v>
      </c>
      <c r="P643" s="187" t="str">
        <f>VLOOKUP(M643, '2017 SIC to NAICS'!A:D, 4)</f>
        <v>All Other Miscellaneous Waste
Management Services</v>
      </c>
      <c r="Q643" s="176" t="e">
        <f>IFERROR(VLOOKUP(O643, 'NAICS OES crosswalk'!A:C, 3, FALSE), VLOOKUP(M643, 'NAICS OES crosswalk'!A:C, 3, FALSE))</f>
        <v>#N/A</v>
      </c>
      <c r="U643" s="188">
        <v>20700100504</v>
      </c>
      <c r="V643" s="11" t="s">
        <v>756</v>
      </c>
      <c r="W643" s="11"/>
      <c r="X643" s="11">
        <v>1.8391314999999998E-2</v>
      </c>
      <c r="Y643" s="11" t="b">
        <f t="shared" si="10"/>
        <v>0</v>
      </c>
    </row>
    <row r="644" spans="1:25" x14ac:dyDescent="0.35">
      <c r="A644" s="11">
        <v>2021</v>
      </c>
      <c r="B644" s="11" t="s">
        <v>1980</v>
      </c>
      <c r="C644" s="11" t="s">
        <v>1430</v>
      </c>
      <c r="D644" s="163">
        <v>110000409406</v>
      </c>
      <c r="E644" s="11" t="s">
        <v>603</v>
      </c>
      <c r="F644" s="11" t="s">
        <v>604</v>
      </c>
      <c r="G644" s="11" t="s">
        <v>1401</v>
      </c>
      <c r="H644" s="11" t="s">
        <v>181</v>
      </c>
      <c r="I644" s="11" t="s">
        <v>1982</v>
      </c>
      <c r="J644" s="11">
        <v>42.04945</v>
      </c>
      <c r="K644" s="11">
        <v>-86.511949999999999</v>
      </c>
      <c r="L644" s="11">
        <v>3321</v>
      </c>
      <c r="M644" s="11">
        <v>3321</v>
      </c>
      <c r="N644" s="175" t="str">
        <f>VLOOKUP(M644, '2017 SIC to NAICS'!A:D, 2)</f>
        <v>Gray and Ductile Iron Foundries</v>
      </c>
      <c r="O644" s="11">
        <v>336340</v>
      </c>
      <c r="P644" s="187" t="str">
        <f>VLOOKUP(M644, '2017 SIC to NAICS'!A:D, 4)</f>
        <v>Iron Foundries</v>
      </c>
      <c r="Q644" s="176" t="e">
        <f>IFERROR(VLOOKUP(O644, 'NAICS OES crosswalk'!A:C, 3, FALSE), VLOOKUP(M644, 'NAICS OES crosswalk'!A:C, 3, FALSE))</f>
        <v>#N/A</v>
      </c>
      <c r="U644" s="188">
        <v>40500012607</v>
      </c>
      <c r="V644" s="11" t="s">
        <v>1431</v>
      </c>
      <c r="W644" s="11"/>
      <c r="X644" s="11">
        <v>7.9770038887500005E-3</v>
      </c>
      <c r="Y644" s="11" t="b">
        <f t="shared" si="10"/>
        <v>0</v>
      </c>
    </row>
    <row r="645" spans="1:25" x14ac:dyDescent="0.35">
      <c r="A645" s="11">
        <v>2021</v>
      </c>
      <c r="B645" s="11" t="s">
        <v>1980</v>
      </c>
      <c r="C645" s="11" t="s">
        <v>735</v>
      </c>
      <c r="D645" s="163">
        <v>110004306938</v>
      </c>
      <c r="E645" s="11" t="s">
        <v>336</v>
      </c>
      <c r="F645" s="11" t="s">
        <v>337</v>
      </c>
      <c r="G645" s="11" t="s">
        <v>736</v>
      </c>
      <c r="H645" s="11" t="s">
        <v>221</v>
      </c>
      <c r="I645" s="11" t="s">
        <v>1982</v>
      </c>
      <c r="J645" s="11">
        <v>36.122100000000003</v>
      </c>
      <c r="K645" s="11">
        <v>-115.17139</v>
      </c>
      <c r="L645" s="11">
        <v>7011</v>
      </c>
      <c r="M645" s="11">
        <v>7011</v>
      </c>
      <c r="N645" s="175" t="str">
        <f>VLOOKUP(M645, '2017 SIC to NAICS'!A:D, 2)</f>
        <v>Hotels and Motels</v>
      </c>
      <c r="P645" s="187" t="str">
        <f>VLOOKUP(M645, '2017 SIC to NAICS'!A:D, 4)</f>
        <v>All Other Traveler Accommodation</v>
      </c>
      <c r="Q645" s="176" t="e">
        <f>IFERROR(VLOOKUP(O645, 'NAICS OES crosswalk'!A:C, 3, FALSE), VLOOKUP(M645, 'NAICS OES crosswalk'!A:C, 3, FALSE))</f>
        <v>#N/A</v>
      </c>
      <c r="U645" s="188">
        <v>150100150604</v>
      </c>
      <c r="V645" s="11" t="s">
        <v>738</v>
      </c>
      <c r="W645" s="11"/>
      <c r="X645" s="11">
        <v>7.8228853124999997E-3</v>
      </c>
      <c r="Y645" s="11" t="b">
        <f t="shared" si="10"/>
        <v>0</v>
      </c>
    </row>
    <row r="646" spans="1:25" x14ac:dyDescent="0.35">
      <c r="A646" s="11">
        <v>2021</v>
      </c>
      <c r="B646" s="11" t="s">
        <v>1980</v>
      </c>
      <c r="C646" s="11" t="s">
        <v>1575</v>
      </c>
      <c r="D646" s="163">
        <v>110000324765</v>
      </c>
      <c r="E646" s="11" t="s">
        <v>605</v>
      </c>
      <c r="F646" s="11" t="s">
        <v>606</v>
      </c>
      <c r="G646" s="11" t="s">
        <v>1576</v>
      </c>
      <c r="H646" s="11" t="s">
        <v>126</v>
      </c>
      <c r="I646" s="11" t="s">
        <v>1982</v>
      </c>
      <c r="J646" s="11">
        <v>41.570210000000003</v>
      </c>
      <c r="K646" s="11">
        <v>-73.599559999999997</v>
      </c>
      <c r="L646" s="11">
        <v>3069</v>
      </c>
      <c r="M646" s="11">
        <v>3069</v>
      </c>
      <c r="N646" s="175" t="str">
        <f>VLOOKUP(M646, '2017 SIC to NAICS'!A:D, 2)</f>
        <v>Fabricated Rubber Products, Nec</v>
      </c>
      <c r="P646" s="187" t="str">
        <f>VLOOKUP(M646, '2017 SIC to NAICS'!A:D, 4)</f>
        <v>Doll, Toy, and Game Manufacturing</v>
      </c>
      <c r="Q646" s="176" t="e">
        <f>IFERROR(VLOOKUP(O646, 'NAICS OES crosswalk'!A:C, 3, FALSE), VLOOKUP(M646, 'NAICS OES crosswalk'!A:C, 3, FALSE))</f>
        <v>#N/A</v>
      </c>
      <c r="U646" s="188">
        <v>11000050505</v>
      </c>
      <c r="V646" s="11" t="s">
        <v>1577</v>
      </c>
      <c r="W646" s="11"/>
      <c r="X646" s="11">
        <v>7.7652778963750004E-3</v>
      </c>
      <c r="Y646" s="11" t="b">
        <f t="shared" si="10"/>
        <v>0</v>
      </c>
    </row>
    <row r="647" spans="1:25" x14ac:dyDescent="0.35">
      <c r="A647" s="11">
        <v>2021</v>
      </c>
      <c r="B647" s="11" t="s">
        <v>1980</v>
      </c>
      <c r="C647" s="11" t="s">
        <v>735</v>
      </c>
      <c r="D647" s="163">
        <v>110004306938</v>
      </c>
      <c r="E647" s="11" t="s">
        <v>336</v>
      </c>
      <c r="F647" s="11" t="s">
        <v>337</v>
      </c>
      <c r="G647" s="11" t="s">
        <v>736</v>
      </c>
      <c r="H647" s="11" t="s">
        <v>221</v>
      </c>
      <c r="I647" s="11" t="s">
        <v>1982</v>
      </c>
      <c r="J647" s="11">
        <v>36.122100000000003</v>
      </c>
      <c r="K647" s="11">
        <v>-115.17139</v>
      </c>
      <c r="L647" s="11">
        <v>7011</v>
      </c>
      <c r="M647" s="11">
        <v>7011</v>
      </c>
      <c r="N647" s="175" t="str">
        <f>VLOOKUP(M647, '2017 SIC to NAICS'!A:D, 2)</f>
        <v>Hotels and Motels</v>
      </c>
      <c r="P647" s="187" t="str">
        <f>VLOOKUP(M647, '2017 SIC to NAICS'!A:D, 4)</f>
        <v>All Other Traveler Accommodation</v>
      </c>
      <c r="Q647" s="176" t="e">
        <f>IFERROR(VLOOKUP(O647, 'NAICS OES crosswalk'!A:C, 3, FALSE), VLOOKUP(M647, 'NAICS OES crosswalk'!A:C, 3, FALSE))</f>
        <v>#N/A</v>
      </c>
      <c r="U647" s="188">
        <v>150100150604</v>
      </c>
      <c r="V647" s="11" t="s">
        <v>738</v>
      </c>
      <c r="W647" s="11"/>
      <c r="X647" s="11">
        <v>7.2771829374999996E-3</v>
      </c>
      <c r="Y647" s="11" t="b">
        <f t="shared" si="10"/>
        <v>0</v>
      </c>
    </row>
    <row r="648" spans="1:25" x14ac:dyDescent="0.35">
      <c r="A648" s="11">
        <v>2021</v>
      </c>
      <c r="B648" s="11" t="s">
        <v>1980</v>
      </c>
      <c r="C648" s="11" t="s">
        <v>752</v>
      </c>
      <c r="D648" s="163">
        <v>110000749021</v>
      </c>
      <c r="E648" s="11" t="s">
        <v>530</v>
      </c>
      <c r="F648" s="11" t="s">
        <v>531</v>
      </c>
      <c r="G648" s="11" t="s">
        <v>753</v>
      </c>
      <c r="H648" s="11" t="s">
        <v>276</v>
      </c>
      <c r="I648" s="11" t="s">
        <v>1982</v>
      </c>
      <c r="J648" s="11">
        <v>38.748759999999997</v>
      </c>
      <c r="K648" s="11">
        <v>-77.511420000000001</v>
      </c>
      <c r="L648" s="11">
        <v>4959</v>
      </c>
      <c r="M648" s="11">
        <v>4959</v>
      </c>
      <c r="N648" s="175" t="str">
        <f>VLOOKUP(M648, '2017 SIC to NAICS'!A:D, 2)</f>
        <v>Sanitary Services, Nec</v>
      </c>
      <c r="O648" s="11">
        <v>562910</v>
      </c>
      <c r="P648" s="187" t="str">
        <f>VLOOKUP(M648, '2017 SIC to NAICS'!A:D, 4)</f>
        <v>All Other Miscellaneous Waste
Management Services</v>
      </c>
      <c r="Q648" s="176" t="e">
        <f>IFERROR(VLOOKUP(O648, 'NAICS OES crosswalk'!A:C, 3, FALSE), VLOOKUP(M648, 'NAICS OES crosswalk'!A:C, 3, FALSE))</f>
        <v>#N/A</v>
      </c>
      <c r="U648" s="188">
        <v>20700100504</v>
      </c>
      <c r="V648" s="11" t="s">
        <v>756</v>
      </c>
      <c r="W648" s="11"/>
      <c r="X648" s="11">
        <v>4.7089185E-3</v>
      </c>
      <c r="Y648" s="11" t="b">
        <f t="shared" si="10"/>
        <v>0</v>
      </c>
    </row>
    <row r="649" spans="1:25" x14ac:dyDescent="0.35">
      <c r="A649" s="11">
        <v>2021</v>
      </c>
      <c r="B649" s="11" t="s">
        <v>1980</v>
      </c>
      <c r="C649" s="11" t="s">
        <v>752</v>
      </c>
      <c r="D649" s="163">
        <v>110000749021</v>
      </c>
      <c r="E649" s="11" t="s">
        <v>530</v>
      </c>
      <c r="F649" s="11" t="s">
        <v>531</v>
      </c>
      <c r="G649" s="11" t="s">
        <v>753</v>
      </c>
      <c r="H649" s="11" t="s">
        <v>276</v>
      </c>
      <c r="I649" s="11" t="s">
        <v>1982</v>
      </c>
      <c r="J649" s="11">
        <v>38.748759999999997</v>
      </c>
      <c r="K649" s="11">
        <v>-77.511420000000001</v>
      </c>
      <c r="L649" s="11">
        <v>4959</v>
      </c>
      <c r="M649" s="11">
        <v>4959</v>
      </c>
      <c r="N649" s="175" t="str">
        <f>VLOOKUP(M649, '2017 SIC to NAICS'!A:D, 2)</f>
        <v>Sanitary Services, Nec</v>
      </c>
      <c r="O649" s="11">
        <v>562910</v>
      </c>
      <c r="P649" s="187" t="str">
        <f>VLOOKUP(M649, '2017 SIC to NAICS'!A:D, 4)</f>
        <v>All Other Miscellaneous Waste
Management Services</v>
      </c>
      <c r="Q649" s="176" t="e">
        <f>IFERROR(VLOOKUP(O649, 'NAICS OES crosswalk'!A:C, 3, FALSE), VLOOKUP(M649, 'NAICS OES crosswalk'!A:C, 3, FALSE))</f>
        <v>#N/A</v>
      </c>
      <c r="U649" s="188">
        <v>20700100504</v>
      </c>
      <c r="V649" s="11" t="s">
        <v>756</v>
      </c>
      <c r="W649" s="11"/>
      <c r="X649" s="11">
        <v>4.5537334999999996E-3</v>
      </c>
      <c r="Y649" s="11" t="b">
        <f t="shared" si="10"/>
        <v>0</v>
      </c>
    </row>
    <row r="650" spans="1:25" x14ac:dyDescent="0.35">
      <c r="A650" s="11">
        <v>2021</v>
      </c>
      <c r="B650" s="11" t="s">
        <v>1980</v>
      </c>
      <c r="C650" s="11" t="s">
        <v>1003</v>
      </c>
      <c r="D650" s="163">
        <v>110000611703</v>
      </c>
      <c r="E650" s="11" t="s">
        <v>565</v>
      </c>
      <c r="F650" s="11" t="s">
        <v>566</v>
      </c>
      <c r="G650" s="11" t="s">
        <v>1004</v>
      </c>
      <c r="H650" s="11" t="s">
        <v>567</v>
      </c>
      <c r="I650" s="11" t="s">
        <v>1982</v>
      </c>
      <c r="J650" s="11">
        <v>34.632592000000002</v>
      </c>
      <c r="K650" s="11">
        <v>-84.927667999999997</v>
      </c>
      <c r="L650" s="11">
        <v>2821</v>
      </c>
      <c r="M650" s="11">
        <v>2821</v>
      </c>
      <c r="N650" s="175" t="str">
        <f>VLOOKUP(M650, '2017 SIC to NAICS'!A:D, 2)</f>
        <v>Plastics Materials and Resins</v>
      </c>
      <c r="O650" s="11">
        <v>325211</v>
      </c>
      <c r="P650" s="187" t="str">
        <f>VLOOKUP(M650, '2017 SIC to NAICS'!A:D, 4)</f>
        <v>Plastics Material and Resin Manufacturing</v>
      </c>
      <c r="Q650" s="176" t="str">
        <f>IFERROR(VLOOKUP(O650, 'NAICS OES crosswalk'!A:C, 3, FALSE), VLOOKUP(M650, 'NAICS OES crosswalk'!A:C, 3, FALSE))</f>
        <v>Processing as a reactant</v>
      </c>
      <c r="U650" s="188">
        <v>31501010504</v>
      </c>
      <c r="V650" s="11" t="s">
        <v>1005</v>
      </c>
      <c r="W650" s="11"/>
      <c r="X650" s="11">
        <v>7.0369999999999999E-3</v>
      </c>
      <c r="Y650" s="11" t="b">
        <f t="shared" si="10"/>
        <v>0</v>
      </c>
    </row>
    <row r="651" spans="1:25" x14ac:dyDescent="0.35">
      <c r="A651" s="11">
        <v>2021</v>
      </c>
      <c r="B651" s="11" t="s">
        <v>1980</v>
      </c>
      <c r="C651" s="11" t="s">
        <v>1734</v>
      </c>
      <c r="D651" s="163">
        <v>110070684897</v>
      </c>
      <c r="E651" s="11" t="s">
        <v>571</v>
      </c>
      <c r="F651" s="11" t="s">
        <v>572</v>
      </c>
      <c r="G651" s="11" t="s">
        <v>1735</v>
      </c>
      <c r="H651" s="11" t="s">
        <v>276</v>
      </c>
      <c r="I651" s="11" t="s">
        <v>1982</v>
      </c>
      <c r="J651" s="11">
        <v>38.920251999999998</v>
      </c>
      <c r="K651" s="11">
        <v>-77.231944999999996</v>
      </c>
      <c r="L651" s="11">
        <v>1794</v>
      </c>
      <c r="M651" s="11">
        <v>1794</v>
      </c>
      <c r="N651" s="175" t="str">
        <f>VLOOKUP(M651, '2017 SIC to NAICS'!A:D, 2)</f>
        <v>Excavation Work</v>
      </c>
      <c r="P651" s="187" t="str">
        <f>VLOOKUP(M651, '2017 SIC to NAICS'!A:D, 4)</f>
        <v>Site Preparation Contractors</v>
      </c>
      <c r="Q651" s="176" t="e">
        <f>IFERROR(VLOOKUP(O651, 'NAICS OES crosswalk'!A:C, 3, FALSE), VLOOKUP(M651, 'NAICS OES crosswalk'!A:C, 3, FALSE))</f>
        <v>#N/A</v>
      </c>
      <c r="U651" s="188">
        <v>20700081004</v>
      </c>
      <c r="V651" s="11" t="s">
        <v>1716</v>
      </c>
      <c r="W651" s="11"/>
      <c r="X651" s="11">
        <v>6.9788700550000001E-3</v>
      </c>
      <c r="Y651" s="11" t="b">
        <f t="shared" si="10"/>
        <v>0</v>
      </c>
    </row>
    <row r="652" spans="1:25" x14ac:dyDescent="0.35">
      <c r="A652" s="11">
        <v>2021</v>
      </c>
      <c r="B652" s="11" t="s">
        <v>1980</v>
      </c>
      <c r="C652" s="11" t="s">
        <v>752</v>
      </c>
      <c r="D652" s="163">
        <v>110000749021</v>
      </c>
      <c r="E652" s="11" t="s">
        <v>530</v>
      </c>
      <c r="F652" s="11" t="s">
        <v>531</v>
      </c>
      <c r="G652" s="11" t="s">
        <v>753</v>
      </c>
      <c r="H652" s="11" t="s">
        <v>276</v>
      </c>
      <c r="I652" s="11" t="s">
        <v>1982</v>
      </c>
      <c r="J652" s="11">
        <v>38.748759999999997</v>
      </c>
      <c r="K652" s="11">
        <v>-77.511420000000001</v>
      </c>
      <c r="L652" s="11">
        <v>4959</v>
      </c>
      <c r="M652" s="11">
        <v>4959</v>
      </c>
      <c r="N652" s="175" t="str">
        <f>VLOOKUP(M652, '2017 SIC to NAICS'!A:D, 2)</f>
        <v>Sanitary Services, Nec</v>
      </c>
      <c r="O652" s="11">
        <v>562910</v>
      </c>
      <c r="P652" s="187" t="str">
        <f>VLOOKUP(M652, '2017 SIC to NAICS'!A:D, 4)</f>
        <v>All Other Miscellaneous Waste
Management Services</v>
      </c>
      <c r="Q652" s="176" t="e">
        <f>IFERROR(VLOOKUP(O652, 'NAICS OES crosswalk'!A:C, 3, FALSE), VLOOKUP(M652, 'NAICS OES crosswalk'!A:C, 3, FALSE))</f>
        <v>#N/A</v>
      </c>
      <c r="U652" s="188">
        <v>20700100504</v>
      </c>
      <c r="V652" s="11" t="s">
        <v>756</v>
      </c>
      <c r="W652" s="11"/>
      <c r="X652" s="11">
        <v>2.10956975E-3</v>
      </c>
      <c r="Y652" s="11" t="b">
        <f t="shared" ref="Y652:Y699" si="11" xml:space="preserve"> X652 &lt;= _xlfn.PERCENTILE.INC($X$459:$X$700, 0.1)</f>
        <v>0</v>
      </c>
    </row>
    <row r="653" spans="1:25" x14ac:dyDescent="0.35">
      <c r="A653" s="11">
        <v>2021</v>
      </c>
      <c r="B653" s="11" t="s">
        <v>1980</v>
      </c>
      <c r="C653" s="11" t="s">
        <v>1554</v>
      </c>
      <c r="D653" s="163">
        <v>110008995490</v>
      </c>
      <c r="E653" s="11" t="s">
        <v>394</v>
      </c>
      <c r="F653" s="11" t="s">
        <v>337</v>
      </c>
      <c r="G653" s="11" t="s">
        <v>736</v>
      </c>
      <c r="H653" s="11" t="s">
        <v>221</v>
      </c>
      <c r="I653" s="11" t="s">
        <v>1982</v>
      </c>
      <c r="J653" s="11">
        <v>36.176639999999999</v>
      </c>
      <c r="K653" s="11">
        <v>-115.12891999999999</v>
      </c>
      <c r="L653" s="11">
        <v>6513</v>
      </c>
      <c r="M653" s="11">
        <v>6513</v>
      </c>
      <c r="N653" s="175" t="str">
        <f>VLOOKUP(M653, '2017 SIC to NAICS'!A:D, 2)</f>
        <v>Apartment Building Operators</v>
      </c>
      <c r="O653" s="11">
        <v>531311</v>
      </c>
      <c r="P653" s="187" t="str">
        <f>VLOOKUP(M653, '2017 SIC to NAICS'!A:D, 4)</f>
        <v>Lessors of Residential Buildings and
Dwellings</v>
      </c>
      <c r="Q653" s="176" t="e">
        <f>IFERROR(VLOOKUP(O653, 'NAICS OES crosswalk'!A:C, 3, FALSE), VLOOKUP(M653, 'NAICS OES crosswalk'!A:C, 3, FALSE))</f>
        <v>#N/A</v>
      </c>
      <c r="U653" s="188">
        <v>150100150604</v>
      </c>
      <c r="V653" s="11" t="s">
        <v>738</v>
      </c>
      <c r="W653" s="11"/>
      <c r="X653" s="11">
        <v>5.8714812500000003E-3</v>
      </c>
      <c r="Y653" s="11" t="b">
        <f t="shared" si="11"/>
        <v>0</v>
      </c>
    </row>
    <row r="654" spans="1:25" x14ac:dyDescent="0.35">
      <c r="A654" s="11">
        <v>2021</v>
      </c>
      <c r="B654" s="11" t="s">
        <v>1980</v>
      </c>
      <c r="C654" s="11" t="s">
        <v>996</v>
      </c>
      <c r="D654" s="163">
        <v>110000339027</v>
      </c>
      <c r="E654" s="11" t="s">
        <v>679</v>
      </c>
      <c r="F654" s="11" t="s">
        <v>680</v>
      </c>
      <c r="G654" s="11" t="s">
        <v>997</v>
      </c>
      <c r="H654" s="11" t="s">
        <v>515</v>
      </c>
      <c r="I654" s="11" t="s">
        <v>1981</v>
      </c>
      <c r="J654" s="11">
        <v>38.631867</v>
      </c>
      <c r="K654" s="11">
        <v>-75.628372999999996</v>
      </c>
      <c r="L654" s="11">
        <v>2821</v>
      </c>
      <c r="M654" s="11">
        <v>2821</v>
      </c>
      <c r="N654" s="175" t="str">
        <f>VLOOKUP(M654, '2017 SIC to NAICS'!A:D, 2)</f>
        <v>Plastics Materials and Resins</v>
      </c>
      <c r="P654" s="187" t="str">
        <f>VLOOKUP(M654, '2017 SIC to NAICS'!A:D, 4)</f>
        <v>Plastics Material and Resin Manufacturing</v>
      </c>
      <c r="Q654" s="176" t="str">
        <f>IFERROR(VLOOKUP(O654, 'NAICS OES crosswalk'!A:C, 3, FALSE), VLOOKUP(M654, 'NAICS OES crosswalk'!A:C, 3, FALSE))</f>
        <v>Processing as a reactant</v>
      </c>
      <c r="U654" s="188">
        <v>20801090405</v>
      </c>
      <c r="V654" s="11" t="s">
        <v>998</v>
      </c>
      <c r="W654" s="11"/>
      <c r="X654" s="11">
        <v>3.5185000000000001E-4</v>
      </c>
      <c r="Y654" s="11" t="b">
        <f t="shared" si="11"/>
        <v>1</v>
      </c>
    </row>
    <row r="655" spans="1:25" x14ac:dyDescent="0.35">
      <c r="A655" s="11">
        <v>2021</v>
      </c>
      <c r="B655" s="11" t="s">
        <v>1980</v>
      </c>
      <c r="C655" s="11" t="s">
        <v>1620</v>
      </c>
      <c r="D655" s="163">
        <v>110000584305</v>
      </c>
      <c r="E655" s="11" t="s">
        <v>624</v>
      </c>
      <c r="F655" s="11" t="s">
        <v>625</v>
      </c>
      <c r="G655" s="11" t="s">
        <v>1621</v>
      </c>
      <c r="H655" s="11" t="s">
        <v>340</v>
      </c>
      <c r="I655" s="11" t="s">
        <v>1982</v>
      </c>
      <c r="J655" s="11">
        <v>40.627648000000001</v>
      </c>
      <c r="K655" s="11">
        <v>-76.064880000000002</v>
      </c>
      <c r="L655" s="11">
        <v>3951</v>
      </c>
      <c r="M655" s="11">
        <v>3951</v>
      </c>
      <c r="N655" s="175" t="str">
        <f>VLOOKUP(M655, '2017 SIC to NAICS'!A:D, 2)</f>
        <v>Pens and Mechanical Pencils</v>
      </c>
      <c r="P655" s="187" t="str">
        <f>VLOOKUP(M655, '2017 SIC to NAICS'!A:D, 4)</f>
        <v>Office Supplies (except Paper)
Manufacturing</v>
      </c>
      <c r="Q655" s="176" t="e">
        <f>IFERROR(VLOOKUP(O655, 'NAICS OES crosswalk'!A:C, 3, FALSE), VLOOKUP(M655, 'NAICS OES crosswalk'!A:C, 3, FALSE))</f>
        <v>#N/A</v>
      </c>
      <c r="U655" s="188">
        <v>20402030205</v>
      </c>
      <c r="V655" s="11" t="s">
        <v>1622</v>
      </c>
      <c r="W655" s="11"/>
      <c r="X655" s="11">
        <v>5.8089300000000003E-3</v>
      </c>
      <c r="Y655" s="11" t="b">
        <f t="shared" si="11"/>
        <v>0</v>
      </c>
    </row>
    <row r="656" spans="1:25" ht="29" x14ac:dyDescent="0.35">
      <c r="A656" s="11">
        <v>2021</v>
      </c>
      <c r="B656" s="11" t="s">
        <v>1980</v>
      </c>
      <c r="C656" s="11" t="s">
        <v>778</v>
      </c>
      <c r="D656" s="163">
        <v>110064644782</v>
      </c>
      <c r="E656" s="11" t="s">
        <v>303</v>
      </c>
      <c r="F656" s="11" t="s">
        <v>304</v>
      </c>
      <c r="G656" s="11" t="s">
        <v>779</v>
      </c>
      <c r="H656" s="11" t="s">
        <v>91</v>
      </c>
      <c r="I656" s="11" t="s">
        <v>1981</v>
      </c>
      <c r="J656" s="11">
        <v>30.584540000000001</v>
      </c>
      <c r="K656" s="11">
        <v>-91.247479999999996</v>
      </c>
      <c r="L656" s="11">
        <v>4953</v>
      </c>
      <c r="M656" s="11">
        <v>4953</v>
      </c>
      <c r="N656" s="175" t="str">
        <f>VLOOKUP(M656, '2017 SIC to NAICS'!A:D, 2)</f>
        <v>Refuse Systems</v>
      </c>
      <c r="P656" s="187" t="str">
        <f>VLOOKUP(M656, '2017 SIC to NAICS'!A:D, 4)</f>
        <v>Materials Recovery Facilities</v>
      </c>
      <c r="Q656" s="176" t="str">
        <f>IFERROR(VLOOKUP(O656, 'NAICS OES crosswalk'!A:C, 3, FALSE), VLOOKUP(M656, 'NAICS OES crosswalk'!A:C, 3, FALSE))</f>
        <v>Waste handling, disposal, and treatment</v>
      </c>
      <c r="U656" s="188">
        <v>80702010401</v>
      </c>
      <c r="V656" s="11" t="s">
        <v>780</v>
      </c>
      <c r="W656" s="11"/>
      <c r="X656" s="11">
        <v>5.014368E-3</v>
      </c>
      <c r="Y656" s="11" t="b">
        <f t="shared" si="11"/>
        <v>0</v>
      </c>
    </row>
    <row r="657" spans="1:25" x14ac:dyDescent="0.35">
      <c r="A657" s="11">
        <v>2021</v>
      </c>
      <c r="B657" s="11" t="s">
        <v>1980</v>
      </c>
      <c r="C657" s="11" t="s">
        <v>1562</v>
      </c>
      <c r="D657" s="163">
        <v>110064418553</v>
      </c>
      <c r="E657" s="11" t="s">
        <v>626</v>
      </c>
      <c r="F657" s="11" t="s">
        <v>337</v>
      </c>
      <c r="G657" s="11" t="s">
        <v>736</v>
      </c>
      <c r="H657" s="11" t="s">
        <v>221</v>
      </c>
      <c r="I657" s="11" t="s">
        <v>1982</v>
      </c>
      <c r="J657" s="11">
        <v>36.19997</v>
      </c>
      <c r="K657" s="11">
        <v>-115.19658</v>
      </c>
      <c r="L657" s="11">
        <v>5541</v>
      </c>
      <c r="M657" s="11">
        <v>5541</v>
      </c>
      <c r="N657" s="175" t="str">
        <f>VLOOKUP(M657, '2017 SIC to NAICS'!A:D, 2)</f>
        <v>Gasoline Service Stations</v>
      </c>
      <c r="O657" s="11">
        <v>447110</v>
      </c>
      <c r="P657" s="187" t="str">
        <f>VLOOKUP(M657, '2017 SIC to NAICS'!A:D, 4)</f>
        <v>Other Gasoline Stations</v>
      </c>
      <c r="Q657" s="176" t="e">
        <f>IFERROR(VLOOKUP(O657, 'NAICS OES crosswalk'!A:C, 3, FALSE), VLOOKUP(M657, 'NAICS OES crosswalk'!A:C, 3, FALSE))</f>
        <v>#N/A</v>
      </c>
      <c r="U657" s="188">
        <v>150100150604</v>
      </c>
      <c r="V657" s="11" t="s">
        <v>738</v>
      </c>
      <c r="W657" s="11"/>
      <c r="X657" s="11">
        <v>4.9734899999999997E-3</v>
      </c>
      <c r="Y657" s="11" t="b">
        <f t="shared" si="11"/>
        <v>0</v>
      </c>
    </row>
    <row r="658" spans="1:25" x14ac:dyDescent="0.35">
      <c r="A658" s="11">
        <v>2021</v>
      </c>
      <c r="B658" s="11" t="s">
        <v>1980</v>
      </c>
      <c r="C658" s="11" t="s">
        <v>1645</v>
      </c>
      <c r="D658" s="163">
        <v>110017796330</v>
      </c>
      <c r="E658" s="11" t="s">
        <v>642</v>
      </c>
      <c r="F658" s="11" t="s">
        <v>643</v>
      </c>
      <c r="G658" s="11" t="s">
        <v>1646</v>
      </c>
      <c r="H658" s="11" t="s">
        <v>340</v>
      </c>
      <c r="I658" s="11" t="s">
        <v>1982</v>
      </c>
      <c r="J658" s="11">
        <v>40.725278000000003</v>
      </c>
      <c r="K658" s="11">
        <v>-77.056944000000001</v>
      </c>
      <c r="L658" s="11">
        <v>3645</v>
      </c>
      <c r="M658" s="11">
        <v>3645</v>
      </c>
      <c r="N658" s="175" t="str">
        <f>VLOOKUP(M658, '2017 SIC to NAICS'!A:D, 2)</f>
        <v>Residential Lighting Fixtures</v>
      </c>
      <c r="P658" s="187" t="str">
        <f>VLOOKUP(M658, '2017 SIC to NAICS'!A:D, 4)</f>
        <v>Residential Electric Lighting Fixture
Manufacturing</v>
      </c>
      <c r="Q658" s="176" t="e">
        <f>IFERROR(VLOOKUP(O658, 'NAICS OES crosswalk'!A:C, 3, FALSE), VLOOKUP(M658, 'NAICS OES crosswalk'!A:C, 3, FALSE))</f>
        <v>#N/A</v>
      </c>
      <c r="U658" s="188">
        <v>20503010601</v>
      </c>
      <c r="V658" s="11" t="s">
        <v>1647</v>
      </c>
      <c r="W658" s="11"/>
      <c r="X658" s="11">
        <v>4.0575200000000002E-3</v>
      </c>
      <c r="Y658" s="11" t="b">
        <f t="shared" si="11"/>
        <v>0</v>
      </c>
    </row>
    <row r="659" spans="1:25" x14ac:dyDescent="0.35">
      <c r="A659" s="11">
        <v>2021</v>
      </c>
      <c r="B659" s="11" t="s">
        <v>1980</v>
      </c>
      <c r="C659" s="11" t="s">
        <v>1592</v>
      </c>
      <c r="D659" s="163">
        <v>110000616414</v>
      </c>
      <c r="E659" s="11" t="s">
        <v>595</v>
      </c>
      <c r="F659" s="11" t="s">
        <v>596</v>
      </c>
      <c r="G659" s="11" t="s">
        <v>1593</v>
      </c>
      <c r="H659" s="11" t="s">
        <v>126</v>
      </c>
      <c r="I659" s="11" t="s">
        <v>1982</v>
      </c>
      <c r="J659" s="11">
        <v>43.211829000000002</v>
      </c>
      <c r="K659" s="11">
        <v>-77.929390999999995</v>
      </c>
      <c r="L659" s="11">
        <v>9511</v>
      </c>
      <c r="M659" s="11">
        <v>9511</v>
      </c>
      <c r="N659" s="175" t="str">
        <f>VLOOKUP(M659, '2017 SIC to NAICS'!A:D, 2)</f>
        <v>Air, Water, and Solid Waste Management</v>
      </c>
      <c r="P659" s="187" t="str">
        <f>VLOOKUP(M659, '2017 SIC to NAICS'!A:D, 4)</f>
        <v>Administration of Air and Water Resource
and Solid Waste Management Programs</v>
      </c>
      <c r="Q659" s="176" t="e">
        <f>IFERROR(VLOOKUP(O659, 'NAICS OES crosswalk'!A:C, 3, FALSE), VLOOKUP(M659, 'NAICS OES crosswalk'!A:C, 3, FALSE))</f>
        <v>#N/A</v>
      </c>
      <c r="U659" s="188">
        <v>41300010202</v>
      </c>
      <c r="V659" s="11" t="s">
        <v>1594</v>
      </c>
      <c r="W659" s="11"/>
      <c r="X659" s="11">
        <v>1.293446E-2</v>
      </c>
      <c r="Y659" s="11" t="b">
        <f t="shared" si="11"/>
        <v>0</v>
      </c>
    </row>
    <row r="660" spans="1:25" ht="29" x14ac:dyDescent="0.35">
      <c r="A660" s="11">
        <v>2021</v>
      </c>
      <c r="B660" s="11" t="s">
        <v>1980</v>
      </c>
      <c r="C660" s="11" t="s">
        <v>973</v>
      </c>
      <c r="D660" s="163">
        <v>110002043217</v>
      </c>
      <c r="E660" s="11" t="s">
        <v>646</v>
      </c>
      <c r="F660" s="11" t="s">
        <v>647</v>
      </c>
      <c r="G660" s="11" t="s">
        <v>790</v>
      </c>
      <c r="H660" s="11" t="s">
        <v>102</v>
      </c>
      <c r="I660" s="11" t="s">
        <v>1981</v>
      </c>
      <c r="J660" s="11">
        <v>33.147531999999998</v>
      </c>
      <c r="K660" s="11">
        <v>-115.54533000000001</v>
      </c>
      <c r="L660" s="11">
        <v>4952</v>
      </c>
      <c r="M660" s="11">
        <v>4952</v>
      </c>
      <c r="N660" s="175" t="str">
        <f>VLOOKUP(M660, '2017 SIC to NAICS'!A:D, 2)</f>
        <v>Sewerage Systems</v>
      </c>
      <c r="P660" s="187" t="str">
        <f>VLOOKUP(M660, '2017 SIC to NAICS'!A:D, 4)</f>
        <v>Sewage Treatment Facilities</v>
      </c>
      <c r="Q660" s="176" t="str">
        <f>IFERROR(VLOOKUP(O660, 'NAICS OES crosswalk'!A:C, 3, FALSE), VLOOKUP(M660, 'NAICS OES crosswalk'!A:C, 3, FALSE))</f>
        <v>Waste handling, disposal, and treatment</v>
      </c>
      <c r="U660" s="188">
        <v>181002040707</v>
      </c>
      <c r="V660" s="11" t="s">
        <v>974</v>
      </c>
      <c r="W660" s="11"/>
      <c r="X660" s="11">
        <v>3.8959005000000001E-3</v>
      </c>
      <c r="Y660" s="11" t="b">
        <f t="shared" si="11"/>
        <v>0</v>
      </c>
    </row>
    <row r="661" spans="1:25" x14ac:dyDescent="0.35">
      <c r="A661" s="11">
        <v>2021</v>
      </c>
      <c r="B661" s="11" t="s">
        <v>1980</v>
      </c>
      <c r="C661" s="11" t="s">
        <v>1694</v>
      </c>
      <c r="D661" s="163">
        <v>110000599479</v>
      </c>
      <c r="E661" s="11" t="s">
        <v>593</v>
      </c>
      <c r="F661" s="11" t="s">
        <v>594</v>
      </c>
      <c r="G661" s="11" t="s">
        <v>1695</v>
      </c>
      <c r="H661" s="11" t="s">
        <v>95</v>
      </c>
      <c r="I661" s="11" t="s">
        <v>1982</v>
      </c>
      <c r="J661" s="11">
        <v>29.458400000000001</v>
      </c>
      <c r="K661" s="11">
        <v>-95.330399999999997</v>
      </c>
      <c r="L661" s="11">
        <v>2869</v>
      </c>
      <c r="M661" s="11">
        <v>2869</v>
      </c>
      <c r="N661" s="175" t="str">
        <f>VLOOKUP(M661, '2017 SIC to NAICS'!A:D, 2)</f>
        <v>Industrial Organic Chemicals, Nec</v>
      </c>
      <c r="P661" s="187" t="str">
        <f>VLOOKUP(M661, '2017 SIC to NAICS'!A:D, 4)</f>
        <v>All Other Miscellaneous Chemical Product and Preparation Manufacturing</v>
      </c>
      <c r="Q661" s="176" t="str">
        <f>IFERROR(VLOOKUP(O661, 'NAICS OES crosswalk'!A:C, 3, FALSE), VLOOKUP(M661, 'NAICS OES crosswalk'!A:C, 3, FALSE))</f>
        <v>Manufacturing</v>
      </c>
      <c r="U661" s="188">
        <v>120402040400</v>
      </c>
      <c r="V661" s="11" t="s">
        <v>1696</v>
      </c>
      <c r="W661" s="11"/>
      <c r="X661" s="11">
        <v>1.4913900000000001E-2</v>
      </c>
      <c r="Y661" s="11" t="b">
        <f t="shared" si="11"/>
        <v>0</v>
      </c>
    </row>
    <row r="662" spans="1:25" x14ac:dyDescent="0.35">
      <c r="A662" s="11">
        <v>2021</v>
      </c>
      <c r="B662" s="11" t="s">
        <v>1980</v>
      </c>
      <c r="C662" s="11" t="s">
        <v>1316</v>
      </c>
      <c r="D662" s="163">
        <v>110000911309</v>
      </c>
      <c r="E662" s="11" t="s">
        <v>573</v>
      </c>
      <c r="F662" s="11" t="s">
        <v>209</v>
      </c>
      <c r="G662" s="11" t="s">
        <v>1299</v>
      </c>
      <c r="H662" s="11" t="s">
        <v>91</v>
      </c>
      <c r="I662" s="11" t="s">
        <v>1982</v>
      </c>
      <c r="J662" s="11">
        <v>30.233011999999999</v>
      </c>
      <c r="K662" s="11">
        <v>-91.022057000000004</v>
      </c>
      <c r="L662" s="11">
        <v>4789</v>
      </c>
      <c r="M662" s="11">
        <v>4789</v>
      </c>
      <c r="N662" s="175" t="str">
        <f>VLOOKUP(M662, '2017 SIC to NAICS'!A:D, 2)</f>
        <v>Transportation Services, Nec</v>
      </c>
      <c r="P662" s="187" t="str">
        <f>VLOOKUP(M662, '2017 SIC to NAICS'!A:D, 4)</f>
        <v>Food Service Contractors</v>
      </c>
      <c r="Q662" s="176" t="e">
        <f>IFERROR(VLOOKUP(O662, 'NAICS OES crosswalk'!A:C, 3, FALSE), VLOOKUP(M662, 'NAICS OES crosswalk'!A:C, 3, FALSE))</f>
        <v>#N/A</v>
      </c>
      <c r="U662" s="188">
        <v>80702040103</v>
      </c>
      <c r="V662" s="11" t="s">
        <v>1300</v>
      </c>
      <c r="W662" s="11"/>
      <c r="X662" s="11">
        <v>3.4713289551466602E-3</v>
      </c>
      <c r="Y662" s="11" t="b">
        <f t="shared" si="11"/>
        <v>0</v>
      </c>
    </row>
    <row r="663" spans="1:25" x14ac:dyDescent="0.35">
      <c r="A663" s="11">
        <v>2021</v>
      </c>
      <c r="B663" s="11" t="s">
        <v>1980</v>
      </c>
      <c r="C663" s="11" t="s">
        <v>1227</v>
      </c>
      <c r="D663" s="163">
        <v>110043544144</v>
      </c>
      <c r="E663" s="11" t="s">
        <v>586</v>
      </c>
      <c r="F663" s="11" t="s">
        <v>587</v>
      </c>
      <c r="G663" s="11" t="s">
        <v>457</v>
      </c>
      <c r="H663" s="11" t="s">
        <v>108</v>
      </c>
      <c r="I663" s="11" t="s">
        <v>1982</v>
      </c>
      <c r="J663" s="11">
        <v>38.072870000000002</v>
      </c>
      <c r="K663" s="11">
        <v>-84.484369999999998</v>
      </c>
      <c r="L663" s="11">
        <v>3579</v>
      </c>
      <c r="M663" s="11">
        <v>3579</v>
      </c>
      <c r="N663" s="175" t="str">
        <f>VLOOKUP(M663, '2017 SIC to NAICS'!A:D, 2)</f>
        <v>Office Machines, Nec</v>
      </c>
      <c r="O663" s="11">
        <v>333313</v>
      </c>
      <c r="P663" s="187" t="str">
        <f>VLOOKUP(M663, '2017 SIC to NAICS'!A:D, 4)</f>
        <v>Office Supplies (except Paper)
Manufacturing</v>
      </c>
      <c r="Q663" s="176" t="e">
        <f>IFERROR(VLOOKUP(O663, 'NAICS OES crosswalk'!A:C, 3, FALSE), VLOOKUP(M663, 'NAICS OES crosswalk'!A:C, 3, FALSE))</f>
        <v>#N/A</v>
      </c>
      <c r="U663" s="188">
        <v>51002050804</v>
      </c>
      <c r="V663" s="11" t="s">
        <v>1230</v>
      </c>
      <c r="W663" s="11"/>
      <c r="X663" s="11">
        <v>6.6046357499999998E-3</v>
      </c>
      <c r="Y663" s="11" t="b">
        <f t="shared" si="11"/>
        <v>0</v>
      </c>
    </row>
    <row r="664" spans="1:25" ht="29" x14ac:dyDescent="0.35">
      <c r="A664" s="11">
        <v>2021</v>
      </c>
      <c r="B664" s="11" t="s">
        <v>1980</v>
      </c>
      <c r="C664" s="11" t="s">
        <v>1062</v>
      </c>
      <c r="D664" s="163">
        <v>110009974117</v>
      </c>
      <c r="E664" s="11" t="s">
        <v>652</v>
      </c>
      <c r="F664" s="11" t="s">
        <v>201</v>
      </c>
      <c r="G664" s="11" t="s">
        <v>1063</v>
      </c>
      <c r="H664" s="11" t="s">
        <v>151</v>
      </c>
      <c r="I664" s="11" t="s">
        <v>1982</v>
      </c>
      <c r="J664" s="11">
        <v>39.264667000000003</v>
      </c>
      <c r="K664" s="11">
        <v>-85.231278000000003</v>
      </c>
      <c r="L664" s="11">
        <v>4953</v>
      </c>
      <c r="M664" s="11">
        <v>4953</v>
      </c>
      <c r="N664" s="175" t="str">
        <f>VLOOKUP(M664, '2017 SIC to NAICS'!A:D, 2)</f>
        <v>Refuse Systems</v>
      </c>
      <c r="P664" s="187" t="str">
        <f>VLOOKUP(M664, '2017 SIC to NAICS'!A:D, 4)</f>
        <v>Materials Recovery Facilities</v>
      </c>
      <c r="Q664" s="176" t="str">
        <f>IFERROR(VLOOKUP(O664, 'NAICS OES crosswalk'!A:C, 3, FALSE), VLOOKUP(M664, 'NAICS OES crosswalk'!A:C, 3, FALSE))</f>
        <v>Waste handling, disposal, and treatment</v>
      </c>
      <c r="U664" s="188">
        <v>50902030502</v>
      </c>
      <c r="V664" s="11" t="s">
        <v>1064</v>
      </c>
      <c r="W664" s="11"/>
      <c r="X664" s="11">
        <v>3.372435E-3</v>
      </c>
      <c r="Y664" s="11" t="b">
        <f t="shared" si="11"/>
        <v>0</v>
      </c>
    </row>
    <row r="665" spans="1:25" x14ac:dyDescent="0.35">
      <c r="A665" s="11">
        <v>2021</v>
      </c>
      <c r="B665" s="11" t="s">
        <v>1980</v>
      </c>
      <c r="C665" s="11" t="s">
        <v>1557</v>
      </c>
      <c r="D665" s="163">
        <v>110020039402</v>
      </c>
      <c r="E665" s="11" t="s">
        <v>654</v>
      </c>
      <c r="F665" s="11" t="s">
        <v>337</v>
      </c>
      <c r="G665" s="11" t="s">
        <v>823</v>
      </c>
      <c r="H665" s="11" t="s">
        <v>221</v>
      </c>
      <c r="I665" s="11" t="s">
        <v>1982</v>
      </c>
      <c r="J665" s="11">
        <v>36.137529999999998</v>
      </c>
      <c r="K665" s="11">
        <v>-115.15479000000001</v>
      </c>
      <c r="L665" s="11">
        <v>7011</v>
      </c>
      <c r="M665" s="11">
        <v>7011</v>
      </c>
      <c r="N665" s="175" t="str">
        <f>VLOOKUP(M665, '2017 SIC to NAICS'!A:D, 2)</f>
        <v>Hotels and Motels</v>
      </c>
      <c r="O665" s="11">
        <v>812990</v>
      </c>
      <c r="P665" s="187" t="str">
        <f>VLOOKUP(M665, '2017 SIC to NAICS'!A:D, 4)</f>
        <v>All Other Traveler Accommodation</v>
      </c>
      <c r="Q665" s="176" t="e">
        <f>IFERROR(VLOOKUP(O665, 'NAICS OES crosswalk'!A:C, 3, FALSE), VLOOKUP(M665, 'NAICS OES crosswalk'!A:C, 3, FALSE))</f>
        <v>#N/A</v>
      </c>
      <c r="U665" s="188">
        <v>150100150604</v>
      </c>
      <c r="V665" s="11" t="s">
        <v>738</v>
      </c>
      <c r="W665" s="11"/>
      <c r="X665" s="11">
        <v>3.3080986137137502E-3</v>
      </c>
      <c r="Y665" s="11" t="b">
        <f t="shared" si="11"/>
        <v>0</v>
      </c>
    </row>
    <row r="666" spans="1:25" x14ac:dyDescent="0.35">
      <c r="A666" s="11">
        <v>2021</v>
      </c>
      <c r="B666" s="11" t="s">
        <v>1980</v>
      </c>
      <c r="C666" s="11" t="s">
        <v>1588</v>
      </c>
      <c r="D666" s="163">
        <v>110000738916</v>
      </c>
      <c r="E666" s="11" t="s">
        <v>619</v>
      </c>
      <c r="F666" s="11" t="s">
        <v>620</v>
      </c>
      <c r="G666" s="11" t="s">
        <v>1589</v>
      </c>
      <c r="H666" s="11" t="s">
        <v>126</v>
      </c>
      <c r="I666" s="11" t="s">
        <v>1982</v>
      </c>
      <c r="J666" s="11">
        <v>43.089840000000002</v>
      </c>
      <c r="K666" s="11">
        <v>-75.280265</v>
      </c>
      <c r="L666" s="11">
        <v>3369</v>
      </c>
      <c r="M666" s="11">
        <v>3369</v>
      </c>
      <c r="N666" s="175" t="str">
        <f>VLOOKUP(M666, '2017 SIC to NAICS'!A:D, 2)</f>
        <v>Nonferrous Foundries, Nec</v>
      </c>
      <c r="P666" s="187" t="str">
        <f>VLOOKUP(M666, '2017 SIC to NAICS'!A:D, 4)</f>
        <v>Other Nonferrous Metal Foundries (except
Die-Casting)</v>
      </c>
      <c r="Q666" s="176" t="e">
        <f>IFERROR(VLOOKUP(O666, 'NAICS OES crosswalk'!A:C, 3, FALSE), VLOOKUP(M666, 'NAICS OES crosswalk'!A:C, 3, FALSE))</f>
        <v>#N/A</v>
      </c>
      <c r="U666" s="188">
        <v>20200040310</v>
      </c>
      <c r="V666" s="11" t="s">
        <v>1590</v>
      </c>
      <c r="W666" s="11"/>
      <c r="X666" s="11">
        <v>3.2383551599999998E-3</v>
      </c>
      <c r="Y666" s="11" t="b">
        <f t="shared" si="11"/>
        <v>0</v>
      </c>
    </row>
    <row r="667" spans="1:25" x14ac:dyDescent="0.35">
      <c r="A667" s="11">
        <v>2021</v>
      </c>
      <c r="B667" s="11" t="s">
        <v>1980</v>
      </c>
      <c r="C667" s="11" t="s">
        <v>1761</v>
      </c>
      <c r="D667" s="163">
        <v>110010910700</v>
      </c>
      <c r="E667" s="11" t="s">
        <v>329</v>
      </c>
      <c r="F667" s="11" t="s">
        <v>330</v>
      </c>
      <c r="G667" s="11" t="s">
        <v>1762</v>
      </c>
      <c r="H667" s="11" t="s">
        <v>331</v>
      </c>
      <c r="I667" s="11" t="s">
        <v>1982</v>
      </c>
      <c r="J667" s="11">
        <v>44.548050000000003</v>
      </c>
      <c r="K667" s="11">
        <v>-71.990520000000004</v>
      </c>
      <c r="M667" s="11"/>
      <c r="N667" s="175" t="e">
        <f>VLOOKUP(M667, '2017 SIC to NAICS'!A:D, 2)</f>
        <v>#N/A</v>
      </c>
      <c r="P667" s="187" t="e">
        <f>VLOOKUP(M667, '2017 SIC to NAICS'!A:D, 4)</f>
        <v>#N/A</v>
      </c>
      <c r="Q667" s="176" t="e">
        <f>IFERROR(VLOOKUP(O667, 'NAICS OES crosswalk'!A:C, 3, FALSE), VLOOKUP(M667, 'NAICS OES crosswalk'!A:C, 3, FALSE))</f>
        <v>#N/A</v>
      </c>
      <c r="U667" s="188">
        <v>10801020102</v>
      </c>
      <c r="V667" s="11" t="s">
        <v>1763</v>
      </c>
      <c r="W667" s="11"/>
      <c r="X667" s="11">
        <v>5.2990000000000003E-4</v>
      </c>
      <c r="Y667" s="11" t="b">
        <f t="shared" si="11"/>
        <v>1</v>
      </c>
    </row>
    <row r="668" spans="1:25" x14ac:dyDescent="0.35">
      <c r="A668" s="11">
        <v>2021</v>
      </c>
      <c r="B668" s="11" t="s">
        <v>1980</v>
      </c>
      <c r="C668" s="11" t="s">
        <v>1368</v>
      </c>
      <c r="D668" s="163">
        <v>110000410957</v>
      </c>
      <c r="E668" s="11" t="s">
        <v>405</v>
      </c>
      <c r="F668" s="11" t="s">
        <v>406</v>
      </c>
      <c r="G668" s="11" t="s">
        <v>406</v>
      </c>
      <c r="H668" s="11" t="s">
        <v>181</v>
      </c>
      <c r="I668" s="11" t="s">
        <v>1982</v>
      </c>
      <c r="J668" s="11">
        <v>43.215029999999999</v>
      </c>
      <c r="K668" s="11">
        <v>-86.245689999999996</v>
      </c>
      <c r="L668" s="11">
        <v>3714</v>
      </c>
      <c r="M668" s="11">
        <v>3714</v>
      </c>
      <c r="N668" s="175" t="str">
        <f>VLOOKUP(M668, '2017 SIC to NAICS'!A:D, 2)</f>
        <v>Motor Vehicle Parts and Accessories</v>
      </c>
      <c r="O668" s="11">
        <v>331511</v>
      </c>
      <c r="P668" s="187" t="str">
        <f>VLOOKUP(M668, '2017 SIC to NAICS'!A:D, 4)</f>
        <v>Other Motor Vehicle Parts Manufacturing</v>
      </c>
      <c r="Q668" s="176" t="e">
        <f>IFERROR(VLOOKUP(O668, 'NAICS OES crosswalk'!A:C, 3, FALSE), VLOOKUP(M668, 'NAICS OES crosswalk'!A:C, 3, FALSE))</f>
        <v>#N/A</v>
      </c>
      <c r="U668" s="188">
        <v>40601021004</v>
      </c>
      <c r="V668" s="11" t="s">
        <v>1369</v>
      </c>
      <c r="W668" s="11"/>
      <c r="X668" s="11">
        <v>0.20718711500000001</v>
      </c>
      <c r="Y668" s="11" t="b">
        <f t="shared" si="11"/>
        <v>0</v>
      </c>
    </row>
    <row r="669" spans="1:25" x14ac:dyDescent="0.35">
      <c r="A669" s="11">
        <v>2021</v>
      </c>
      <c r="B669" s="11" t="s">
        <v>1980</v>
      </c>
      <c r="C669" s="11" t="s">
        <v>988</v>
      </c>
      <c r="D669" s="163">
        <v>110070162955</v>
      </c>
      <c r="E669" s="11" t="s">
        <v>622</v>
      </c>
      <c r="F669" s="11" t="s">
        <v>623</v>
      </c>
      <c r="G669" s="11" t="s">
        <v>623</v>
      </c>
      <c r="H669" s="11" t="s">
        <v>492</v>
      </c>
      <c r="I669" s="11" t="s">
        <v>1982</v>
      </c>
      <c r="J669" s="11">
        <v>39.781474000000003</v>
      </c>
      <c r="K669" s="11">
        <v>-104.97438</v>
      </c>
      <c r="L669" s="11">
        <v>1629</v>
      </c>
      <c r="M669" s="11">
        <v>1629</v>
      </c>
      <c r="N669" s="175" t="str">
        <f>VLOOKUP(M669, '2017 SIC to NAICS'!A:D, 2)</f>
        <v>Heavy Construction, Nec</v>
      </c>
      <c r="P669" s="187" t="str">
        <f>VLOOKUP(M669, '2017 SIC to NAICS'!A:D, 4)</f>
        <v>Site Preparation Contractors</v>
      </c>
      <c r="Q669" s="176" t="e">
        <f>IFERROR(VLOOKUP(O669, 'NAICS OES crosswalk'!A:C, 3, FALSE), VLOOKUP(M669, 'NAICS OES crosswalk'!A:C, 3, FALSE))</f>
        <v>#N/A</v>
      </c>
      <c r="U669" s="188">
        <v>101900030304</v>
      </c>
      <c r="V669" s="11" t="s">
        <v>987</v>
      </c>
      <c r="W669" s="11"/>
      <c r="X669" s="11">
        <v>3.0584692500000002E-3</v>
      </c>
      <c r="Y669" s="11" t="b">
        <f t="shared" si="11"/>
        <v>0</v>
      </c>
    </row>
    <row r="670" spans="1:25" x14ac:dyDescent="0.35">
      <c r="A670" s="11">
        <v>2021</v>
      </c>
      <c r="B670" s="11" t="s">
        <v>1980</v>
      </c>
      <c r="C670" s="11" t="s">
        <v>826</v>
      </c>
      <c r="D670" s="163">
        <v>110064134459</v>
      </c>
      <c r="E670" s="11" t="s">
        <v>547</v>
      </c>
      <c r="F670" s="11" t="s">
        <v>337</v>
      </c>
      <c r="G670" s="11" t="s">
        <v>823</v>
      </c>
      <c r="H670" s="11" t="s">
        <v>221</v>
      </c>
      <c r="I670" s="11" t="s">
        <v>1982</v>
      </c>
      <c r="J670" s="11">
        <v>36.075400000000002</v>
      </c>
      <c r="K670" s="11">
        <v>-115.1669</v>
      </c>
      <c r="L670" s="11">
        <v>4581</v>
      </c>
      <c r="M670" s="11">
        <v>4581</v>
      </c>
      <c r="N670" s="175" t="str">
        <f>VLOOKUP(M670, '2017 SIC to NAICS'!A:D, 2)</f>
        <v>Airports, Flying Fields, and Services</v>
      </c>
      <c r="O670" s="11">
        <v>488119</v>
      </c>
      <c r="P670" s="187" t="str">
        <f>VLOOKUP(M670, '2017 SIC to NAICS'!A:D, 4)</f>
        <v>Reupholstery and Furniture Repair</v>
      </c>
      <c r="Q670" s="176" t="e">
        <f>IFERROR(VLOOKUP(O670, 'NAICS OES crosswalk'!A:C, 3, FALSE), VLOOKUP(M670, 'NAICS OES crosswalk'!A:C, 3, FALSE))</f>
        <v>#N/A</v>
      </c>
      <c r="U670" s="188">
        <v>150100150704</v>
      </c>
      <c r="V670" s="11" t="s">
        <v>827</v>
      </c>
      <c r="W670" s="11"/>
      <c r="X670" s="11">
        <v>3.8610785000000002E-3</v>
      </c>
      <c r="Y670" s="11" t="b">
        <f t="shared" si="11"/>
        <v>0</v>
      </c>
    </row>
    <row r="671" spans="1:25" x14ac:dyDescent="0.35">
      <c r="A671" s="11">
        <v>2021</v>
      </c>
      <c r="B671" s="11" t="s">
        <v>1980</v>
      </c>
      <c r="C671" s="11" t="s">
        <v>1509</v>
      </c>
      <c r="D671" s="163">
        <v>110070220269</v>
      </c>
      <c r="E671" s="11" t="s">
        <v>659</v>
      </c>
      <c r="F671" s="11" t="s">
        <v>660</v>
      </c>
      <c r="G671" s="11" t="s">
        <v>818</v>
      </c>
      <c r="H671" s="11" t="s">
        <v>254</v>
      </c>
      <c r="I671" s="11" t="s">
        <v>1982</v>
      </c>
      <c r="J671" s="11">
        <v>40.471558999999999</v>
      </c>
      <c r="K671" s="11">
        <v>-74.446973</v>
      </c>
      <c r="L671" s="11">
        <v>3053</v>
      </c>
      <c r="M671" s="11">
        <v>3053</v>
      </c>
      <c r="N671" s="175" t="str">
        <f>VLOOKUP(M671, '2017 SIC to NAICS'!A:D, 2)</f>
        <v>Gaskets; Packing and Sealing Devices</v>
      </c>
      <c r="P671" s="187" t="str">
        <f>VLOOKUP(M671, '2017 SIC to NAICS'!A:D, 4)</f>
        <v>Gasket, Packing, and Sealing Device
Manufacturing</v>
      </c>
      <c r="Q671" s="176" t="e">
        <f>IFERROR(VLOOKUP(O671, 'NAICS OES crosswalk'!A:C, 3, FALSE), VLOOKUP(M671, 'NAICS OES crosswalk'!A:C, 3, FALSE))</f>
        <v>#N/A</v>
      </c>
      <c r="U671" s="188">
        <v>20301050505</v>
      </c>
      <c r="V671" s="11" t="s">
        <v>1510</v>
      </c>
      <c r="W671" s="11"/>
      <c r="X671" s="11">
        <v>1.9154791135000001E-3</v>
      </c>
      <c r="Y671" s="11" t="b">
        <f t="shared" si="11"/>
        <v>0</v>
      </c>
    </row>
    <row r="672" spans="1:25" x14ac:dyDescent="0.35">
      <c r="A672" s="11">
        <v>2021</v>
      </c>
      <c r="B672" s="11" t="s">
        <v>1980</v>
      </c>
      <c r="C672" s="11" t="s">
        <v>826</v>
      </c>
      <c r="D672" s="163">
        <v>110064134459</v>
      </c>
      <c r="E672" s="11" t="s">
        <v>547</v>
      </c>
      <c r="F672" s="11" t="s">
        <v>337</v>
      </c>
      <c r="G672" s="11" t="s">
        <v>823</v>
      </c>
      <c r="H672" s="11" t="s">
        <v>221</v>
      </c>
      <c r="I672" s="11" t="s">
        <v>1982</v>
      </c>
      <c r="J672" s="11">
        <v>36.075400000000002</v>
      </c>
      <c r="K672" s="11">
        <v>-115.1669</v>
      </c>
      <c r="L672" s="11">
        <v>4581</v>
      </c>
      <c r="M672" s="11">
        <v>4581</v>
      </c>
      <c r="N672" s="175" t="str">
        <f>VLOOKUP(M672, '2017 SIC to NAICS'!A:D, 2)</f>
        <v>Airports, Flying Fields, and Services</v>
      </c>
      <c r="O672" s="11">
        <v>488119</v>
      </c>
      <c r="P672" s="187" t="str">
        <f>VLOOKUP(M672, '2017 SIC to NAICS'!A:D, 4)</f>
        <v>Reupholstery and Furniture Repair</v>
      </c>
      <c r="Q672" s="176" t="e">
        <f>IFERROR(VLOOKUP(O672, 'NAICS OES crosswalk'!A:C, 3, FALSE), VLOOKUP(M672, 'NAICS OES crosswalk'!A:C, 3, FALSE))</f>
        <v>#N/A</v>
      </c>
      <c r="U672" s="188">
        <v>150100150704</v>
      </c>
      <c r="V672" s="11" t="s">
        <v>827</v>
      </c>
      <c r="W672" s="11"/>
      <c r="X672" s="11">
        <v>2.1833772500000001E-3</v>
      </c>
      <c r="Y672" s="11" t="b">
        <f t="shared" si="11"/>
        <v>0</v>
      </c>
    </row>
    <row r="673" spans="1:25" x14ac:dyDescent="0.35">
      <c r="A673" s="11">
        <v>2021</v>
      </c>
      <c r="B673" s="11" t="s">
        <v>1980</v>
      </c>
      <c r="C673" s="11" t="s">
        <v>1608</v>
      </c>
      <c r="D673" s="163">
        <v>110000487447</v>
      </c>
      <c r="E673" s="11" t="s">
        <v>655</v>
      </c>
      <c r="F673" s="11" t="s">
        <v>600</v>
      </c>
      <c r="G673" s="11" t="s">
        <v>1605</v>
      </c>
      <c r="H673" s="11" t="s">
        <v>601</v>
      </c>
      <c r="I673" s="11" t="s">
        <v>1982</v>
      </c>
      <c r="J673" s="11">
        <v>45.548641000000003</v>
      </c>
      <c r="K673" s="11">
        <v>-122.72292299999999</v>
      </c>
      <c r="L673" s="11">
        <v>5169</v>
      </c>
      <c r="M673" s="11">
        <v>5169</v>
      </c>
      <c r="N673" s="175" t="str">
        <f>VLOOKUP(M673, '2017 SIC to NAICS'!A:D, 2)</f>
        <v>Chemicals and Allied Products, Nec</v>
      </c>
      <c r="P673" s="187" t="str">
        <f>VLOOKUP(M673, '2017 SIC to NAICS'!A:D, 4)</f>
        <v>Wholesale Trade Agents and Brokers</v>
      </c>
      <c r="Q673" s="176" t="e">
        <f>IFERROR(VLOOKUP(O673, 'NAICS OES crosswalk'!A:C, 3, FALSE), VLOOKUP(M673, 'NAICS OES crosswalk'!A:C, 3, FALSE))</f>
        <v>#N/A</v>
      </c>
      <c r="U673" s="188">
        <v>170900120202</v>
      </c>
      <c r="V673" s="11" t="s">
        <v>1609</v>
      </c>
      <c r="W673" s="11"/>
      <c r="X673" s="11">
        <v>1.7917971983999999E-3</v>
      </c>
      <c r="Y673" s="11" t="b">
        <f t="shared" si="11"/>
        <v>0</v>
      </c>
    </row>
    <row r="674" spans="1:25" x14ac:dyDescent="0.35">
      <c r="A674" s="11">
        <v>2021</v>
      </c>
      <c r="B674" s="11" t="s">
        <v>1980</v>
      </c>
      <c r="C674" s="11" t="s">
        <v>1515</v>
      </c>
      <c r="D674" s="163">
        <v>110070212323</v>
      </c>
      <c r="E674" s="11" t="s">
        <v>662</v>
      </c>
      <c r="F674" s="11" t="s">
        <v>557</v>
      </c>
      <c r="G674" s="11" t="s">
        <v>818</v>
      </c>
      <c r="H674" s="11" t="s">
        <v>254</v>
      </c>
      <c r="I674" s="11" t="s">
        <v>1982</v>
      </c>
      <c r="J674" s="11">
        <v>40.428542</v>
      </c>
      <c r="K674" s="11">
        <v>-74.518662000000006</v>
      </c>
      <c r="M674" s="11"/>
      <c r="N674" s="175" t="e">
        <f>VLOOKUP(M674, '2017 SIC to NAICS'!A:D, 2)</f>
        <v>#N/A</v>
      </c>
      <c r="P674" s="187" t="e">
        <f>VLOOKUP(M674, '2017 SIC to NAICS'!A:D, 4)</f>
        <v>#N/A</v>
      </c>
      <c r="Q674" s="176" t="e">
        <f>IFERROR(VLOOKUP(O674, 'NAICS OES crosswalk'!A:C, 3, FALSE), VLOOKUP(M674, 'NAICS OES crosswalk'!A:C, 3, FALSE))</f>
        <v>#N/A</v>
      </c>
      <c r="U674" s="188">
        <v>20301050505</v>
      </c>
      <c r="V674" s="11" t="s">
        <v>1510</v>
      </c>
      <c r="W674" s="11"/>
      <c r="X674" s="11">
        <v>1.7742859715999999E-3</v>
      </c>
      <c r="Y674" s="11" t="b">
        <f t="shared" si="11"/>
        <v>0</v>
      </c>
    </row>
    <row r="675" spans="1:25" ht="29" x14ac:dyDescent="0.35">
      <c r="A675" s="11">
        <v>2021</v>
      </c>
      <c r="B675" s="11" t="s">
        <v>1980</v>
      </c>
      <c r="C675" s="11" t="s">
        <v>1400</v>
      </c>
      <c r="D675" s="163">
        <v>110001847761</v>
      </c>
      <c r="E675" s="11" t="s">
        <v>497</v>
      </c>
      <c r="F675" s="11" t="s">
        <v>498</v>
      </c>
      <c r="G675" s="11" t="s">
        <v>1401</v>
      </c>
      <c r="H675" s="11" t="s">
        <v>181</v>
      </c>
      <c r="I675" s="11" t="s">
        <v>1982</v>
      </c>
      <c r="J675" s="11">
        <v>41.775967999999999</v>
      </c>
      <c r="K675" s="11">
        <v>-86.654864000000003</v>
      </c>
      <c r="L675" s="11">
        <v>4953</v>
      </c>
      <c r="M675" s="11">
        <v>4953</v>
      </c>
      <c r="N675" s="175" t="str">
        <f>VLOOKUP(M675, '2017 SIC to NAICS'!A:D, 2)</f>
        <v>Refuse Systems</v>
      </c>
      <c r="O675" s="11">
        <v>562212</v>
      </c>
      <c r="P675" s="187" t="str">
        <f>VLOOKUP(M675, '2017 SIC to NAICS'!A:D, 4)</f>
        <v>Materials Recovery Facilities</v>
      </c>
      <c r="Q675" s="176" t="str">
        <f>IFERROR(VLOOKUP(O675, 'NAICS OES crosswalk'!A:C, 3, FALSE), VLOOKUP(M675, 'NAICS OES crosswalk'!A:C, 3, FALSE))</f>
        <v>Waste handling, disposal, and treatment</v>
      </c>
      <c r="U675" s="188">
        <v>40400010206</v>
      </c>
      <c r="V675" s="11" t="s">
        <v>1402</v>
      </c>
      <c r="W675" s="11"/>
      <c r="X675" s="11">
        <v>1.6623720000000001E-3</v>
      </c>
      <c r="Y675" s="11" t="b">
        <f t="shared" si="11"/>
        <v>0</v>
      </c>
    </row>
    <row r="676" spans="1:25" x14ac:dyDescent="0.35">
      <c r="A676" s="11">
        <v>2021</v>
      </c>
      <c r="B676" s="11" t="s">
        <v>1980</v>
      </c>
      <c r="C676" s="11" t="s">
        <v>1385</v>
      </c>
      <c r="D676" s="163">
        <v>110009900312</v>
      </c>
      <c r="E676" s="11" t="s">
        <v>648</v>
      </c>
      <c r="F676" s="11" t="s">
        <v>378</v>
      </c>
      <c r="G676" s="11" t="s">
        <v>814</v>
      </c>
      <c r="H676" s="11" t="s">
        <v>181</v>
      </c>
      <c r="I676" s="11" t="s">
        <v>1982</v>
      </c>
      <c r="J676" s="11">
        <v>42.672580000000004</v>
      </c>
      <c r="K676" s="11">
        <v>-84.663955999999999</v>
      </c>
      <c r="L676" s="11">
        <v>9199</v>
      </c>
      <c r="M676" s="11">
        <v>9199</v>
      </c>
      <c r="N676" s="175" t="str">
        <f>VLOOKUP(M676, '2017 SIC to NAICS'!A:D, 2)</f>
        <v>General Government, Nec</v>
      </c>
      <c r="O676" s="11">
        <v>921190</v>
      </c>
      <c r="P676" s="187" t="str">
        <f>VLOOKUP(M676, '2017 SIC to NAICS'!A:D, 4)</f>
        <v>Other General Government Support</v>
      </c>
      <c r="Q676" s="176" t="e">
        <f>IFERROR(VLOOKUP(O676, 'NAICS OES crosswalk'!A:C, 3, FALSE), VLOOKUP(M676, 'NAICS OES crosswalk'!A:C, 3, FALSE))</f>
        <v>#N/A</v>
      </c>
      <c r="U676" s="188">
        <v>40500040703</v>
      </c>
      <c r="V676" s="11" t="s">
        <v>1386</v>
      </c>
      <c r="W676" s="11"/>
      <c r="X676" s="11">
        <v>4.0279281818181804E-3</v>
      </c>
      <c r="Y676" s="11" t="b">
        <f t="shared" si="11"/>
        <v>0</v>
      </c>
    </row>
    <row r="677" spans="1:25" x14ac:dyDescent="0.35">
      <c r="A677" s="11">
        <v>2021</v>
      </c>
      <c r="B677" s="11" t="s">
        <v>1980</v>
      </c>
      <c r="C677" s="11" t="s">
        <v>986</v>
      </c>
      <c r="D677" s="163">
        <v>110056125376</v>
      </c>
      <c r="E677" s="11" t="s">
        <v>641</v>
      </c>
      <c r="F677" s="11" t="s">
        <v>623</v>
      </c>
      <c r="G677" s="11" t="s">
        <v>623</v>
      </c>
      <c r="H677" s="11" t="s">
        <v>492</v>
      </c>
      <c r="I677" s="11" t="s">
        <v>1982</v>
      </c>
      <c r="J677" s="11">
        <v>39.754530000000003</v>
      </c>
      <c r="K677" s="11">
        <v>-105.00681</v>
      </c>
      <c r="L677" s="11">
        <v>1799</v>
      </c>
      <c r="M677" s="11">
        <v>1799</v>
      </c>
      <c r="N677" s="175" t="str">
        <f>VLOOKUP(M677, '2017 SIC to NAICS'!A:D, 2)</f>
        <v>Special Trade Contractors, Nec</v>
      </c>
      <c r="P677" s="187" t="str">
        <f>VLOOKUP(M677, '2017 SIC to NAICS'!A:D, 4)</f>
        <v>Remediation Services</v>
      </c>
      <c r="Q677" s="176" t="e">
        <f>IFERROR(VLOOKUP(O677, 'NAICS OES crosswalk'!A:C, 3, FALSE), VLOOKUP(M677, 'NAICS OES crosswalk'!A:C, 3, FALSE))</f>
        <v>#N/A</v>
      </c>
      <c r="U677" s="188">
        <v>101900030304</v>
      </c>
      <c r="V677" s="11" t="s">
        <v>987</v>
      </c>
      <c r="W677" s="11"/>
      <c r="X677" s="11">
        <v>1.2431454000000001E-3</v>
      </c>
      <c r="Y677" s="11" t="b">
        <f t="shared" si="11"/>
        <v>0</v>
      </c>
    </row>
    <row r="678" spans="1:25" ht="29" x14ac:dyDescent="0.35">
      <c r="A678" s="11">
        <v>2021</v>
      </c>
      <c r="B678" s="11" t="s">
        <v>1980</v>
      </c>
      <c r="C678" s="11" t="s">
        <v>1091</v>
      </c>
      <c r="D678" s="163">
        <v>110000736730</v>
      </c>
      <c r="E678" s="11" t="s">
        <v>277</v>
      </c>
      <c r="F678" s="11" t="s">
        <v>278</v>
      </c>
      <c r="G678" s="11" t="s">
        <v>1092</v>
      </c>
      <c r="H678" s="11" t="s">
        <v>108</v>
      </c>
      <c r="I678" s="11" t="s">
        <v>1981</v>
      </c>
      <c r="J678" s="11">
        <v>36.856732000000001</v>
      </c>
      <c r="K678" s="11">
        <v>-86.889048000000003</v>
      </c>
      <c r="L678" s="11">
        <v>4952</v>
      </c>
      <c r="M678" s="11">
        <v>4952</v>
      </c>
      <c r="N678" s="175" t="str">
        <f>VLOOKUP(M678, '2017 SIC to NAICS'!A:D, 2)</f>
        <v>Sewerage Systems</v>
      </c>
      <c r="O678" s="11">
        <v>221320</v>
      </c>
      <c r="P678" s="187" t="str">
        <f>VLOOKUP(M678, '2017 SIC to NAICS'!A:D, 4)</f>
        <v>Sewage Treatment Facilities</v>
      </c>
      <c r="Q678" s="176" t="str">
        <f>IFERROR(VLOOKUP(O678, 'NAICS OES crosswalk'!A:C, 3, FALSE), VLOOKUP(M678, 'NAICS OES crosswalk'!A:C, 3, FALSE))</f>
        <v>Waste handling, disposal, and treatment</v>
      </c>
      <c r="U678" s="188">
        <v>51100030204</v>
      </c>
      <c r="V678" s="11" t="s">
        <v>1093</v>
      </c>
      <c r="W678" s="11"/>
      <c r="X678" s="11">
        <v>8.0819212500000005E-4</v>
      </c>
      <c r="Y678" s="11" t="b">
        <f t="shared" si="11"/>
        <v>0</v>
      </c>
    </row>
    <row r="679" spans="1:25" ht="29" x14ac:dyDescent="0.35">
      <c r="A679" s="11">
        <v>2021</v>
      </c>
      <c r="B679" s="11" t="s">
        <v>1980</v>
      </c>
      <c r="C679" s="11" t="s">
        <v>935</v>
      </c>
      <c r="D679" s="163">
        <v>110000730745</v>
      </c>
      <c r="E679" s="11" t="s">
        <v>671</v>
      </c>
      <c r="F679" s="11" t="s">
        <v>672</v>
      </c>
      <c r="G679" s="11" t="s">
        <v>889</v>
      </c>
      <c r="H679" s="11" t="s">
        <v>102</v>
      </c>
      <c r="I679" s="11" t="s">
        <v>1981</v>
      </c>
      <c r="J679" s="11">
        <v>40.162660000000002</v>
      </c>
      <c r="K679" s="11">
        <v>-122.22068</v>
      </c>
      <c r="L679" s="11">
        <v>4952</v>
      </c>
      <c r="M679" s="11">
        <v>4952</v>
      </c>
      <c r="N679" s="175" t="str">
        <f>VLOOKUP(M679, '2017 SIC to NAICS'!A:D, 2)</f>
        <v>Sewerage Systems</v>
      </c>
      <c r="P679" s="187" t="str">
        <f>VLOOKUP(M679, '2017 SIC to NAICS'!A:D, 4)</f>
        <v>Sewage Treatment Facilities</v>
      </c>
      <c r="Q679" s="176" t="str">
        <f>IFERROR(VLOOKUP(O679, 'NAICS OES crosswalk'!A:C, 3, FALSE), VLOOKUP(M679, 'NAICS OES crosswalk'!A:C, 3, FALSE))</f>
        <v>Waste handling, disposal, and treatment</v>
      </c>
      <c r="U679" s="188">
        <v>180201550405</v>
      </c>
      <c r="V679" s="11" t="s">
        <v>936</v>
      </c>
      <c r="W679" s="11"/>
      <c r="X679" s="11">
        <v>7.5336640000000002E-4</v>
      </c>
      <c r="Y679" s="11" t="b">
        <f t="shared" si="11"/>
        <v>1</v>
      </c>
    </row>
    <row r="680" spans="1:25" x14ac:dyDescent="0.35">
      <c r="A680" s="11">
        <v>2021</v>
      </c>
      <c r="B680" s="11" t="s">
        <v>1980</v>
      </c>
      <c r="C680" s="11" t="s">
        <v>1347</v>
      </c>
      <c r="D680" s="163">
        <v>110041245015</v>
      </c>
      <c r="E680" s="11" t="s">
        <v>673</v>
      </c>
      <c r="F680" s="11" t="s">
        <v>674</v>
      </c>
      <c r="G680" s="11" t="s">
        <v>1250</v>
      </c>
      <c r="H680" s="11" t="s">
        <v>481</v>
      </c>
      <c r="I680" s="11" t="s">
        <v>1982</v>
      </c>
      <c r="J680" s="11">
        <v>39.567390000000003</v>
      </c>
      <c r="K680" s="11">
        <v>-76.920410000000004</v>
      </c>
      <c r="M680" s="11"/>
      <c r="N680" s="175" t="e">
        <f>VLOOKUP(M680, '2017 SIC to NAICS'!A:D, 2)</f>
        <v>#N/A</v>
      </c>
      <c r="P680" s="187" t="e">
        <f>VLOOKUP(M680, '2017 SIC to NAICS'!A:D, 4)</f>
        <v>#N/A</v>
      </c>
      <c r="Q680" s="176" t="e">
        <f>IFERROR(VLOOKUP(O680, 'NAICS OES crosswalk'!A:C, 3, FALSE), VLOOKUP(M680, 'NAICS OES crosswalk'!A:C, 3, FALSE))</f>
        <v>#N/A</v>
      </c>
      <c r="U680" s="188">
        <v>20600030802</v>
      </c>
      <c r="V680" s="11" t="s">
        <v>1348</v>
      </c>
      <c r="W680" s="11"/>
      <c r="X680" s="11">
        <v>7.3911587500000001E-4</v>
      </c>
      <c r="Y680" s="11" t="b">
        <f t="shared" si="11"/>
        <v>1</v>
      </c>
    </row>
    <row r="681" spans="1:25" ht="29" x14ac:dyDescent="0.35">
      <c r="A681" s="11">
        <v>2021</v>
      </c>
      <c r="B681" s="11" t="s">
        <v>1980</v>
      </c>
      <c r="C681" s="11" t="s">
        <v>1723</v>
      </c>
      <c r="D681" s="163">
        <v>110054919406</v>
      </c>
      <c r="E681" s="11" t="s">
        <v>614</v>
      </c>
      <c r="F681" s="11" t="s">
        <v>615</v>
      </c>
      <c r="G681" s="11" t="s">
        <v>1482</v>
      </c>
      <c r="H681" s="11" t="s">
        <v>276</v>
      </c>
      <c r="I681" s="11" t="s">
        <v>1982</v>
      </c>
      <c r="J681" s="11">
        <v>38.814979999999998</v>
      </c>
      <c r="K681" s="11">
        <v>-78.2834</v>
      </c>
      <c r="L681" s="11">
        <v>4953</v>
      </c>
      <c r="M681" s="11">
        <v>4953</v>
      </c>
      <c r="N681" s="175" t="str">
        <f>VLOOKUP(M681, '2017 SIC to NAICS'!A:D, 2)</f>
        <v>Refuse Systems</v>
      </c>
      <c r="P681" s="187" t="str">
        <f>VLOOKUP(M681, '2017 SIC to NAICS'!A:D, 4)</f>
        <v>Materials Recovery Facilities</v>
      </c>
      <c r="Q681" s="176" t="str">
        <f>IFERROR(VLOOKUP(O681, 'NAICS OES crosswalk'!A:C, 3, FALSE), VLOOKUP(M681, 'NAICS OES crosswalk'!A:C, 3, FALSE))</f>
        <v>Waste handling, disposal, and treatment</v>
      </c>
      <c r="U681" s="188">
        <v>20700051002</v>
      </c>
      <c r="V681" s="11" t="s">
        <v>1724</v>
      </c>
      <c r="W681" s="11"/>
      <c r="X681" s="11">
        <v>7.0008173774999995E-4</v>
      </c>
      <c r="Y681" s="11" t="b">
        <f t="shared" si="11"/>
        <v>1</v>
      </c>
    </row>
    <row r="682" spans="1:25" x14ac:dyDescent="0.35">
      <c r="A682" s="11">
        <v>2021</v>
      </c>
      <c r="B682" s="11" t="s">
        <v>1980</v>
      </c>
      <c r="C682" s="11" t="s">
        <v>824</v>
      </c>
      <c r="D682" s="163">
        <v>110059861065</v>
      </c>
      <c r="E682" s="11" t="s">
        <v>677</v>
      </c>
      <c r="F682" s="11" t="s">
        <v>337</v>
      </c>
      <c r="G682" s="11" t="s">
        <v>823</v>
      </c>
      <c r="H682" s="11" t="s">
        <v>221</v>
      </c>
      <c r="I682" s="11" t="s">
        <v>1982</v>
      </c>
      <c r="J682" s="11">
        <v>36.108890000000002</v>
      </c>
      <c r="K682" s="11">
        <v>-115.18118</v>
      </c>
      <c r="L682" s="11">
        <v>6531</v>
      </c>
      <c r="M682" s="11">
        <v>6531</v>
      </c>
      <c r="N682" s="175" t="str">
        <f>VLOOKUP(M682, '2017 SIC to NAICS'!A:D, 2)</f>
        <v>Real Estate Agents and Managers</v>
      </c>
      <c r="P682" s="187" t="str">
        <f>VLOOKUP(M682, '2017 SIC to NAICS'!A:D, 4)</f>
        <v>Other Similar Organizations (except Business, Professional, Labor, and
Political Organizations)</v>
      </c>
      <c r="Q682" s="176" t="e">
        <f>IFERROR(VLOOKUP(O682, 'NAICS OES crosswalk'!A:C, 3, FALSE), VLOOKUP(M682, 'NAICS OES crosswalk'!A:C, 3, FALSE))</f>
        <v>#N/A</v>
      </c>
      <c r="U682" s="188">
        <v>150100150505</v>
      </c>
      <c r="V682" s="11" t="s">
        <v>825</v>
      </c>
      <c r="W682" s="11"/>
      <c r="X682" s="11">
        <v>6.8730868750000004E-4</v>
      </c>
      <c r="Y682" s="11" t="b">
        <f t="shared" si="11"/>
        <v>1</v>
      </c>
    </row>
    <row r="683" spans="1:25" x14ac:dyDescent="0.35">
      <c r="A683" s="11">
        <v>2021</v>
      </c>
      <c r="B683" s="11" t="s">
        <v>1980</v>
      </c>
      <c r="C683" s="11" t="s">
        <v>1739</v>
      </c>
      <c r="D683" s="163">
        <v>110070882213</v>
      </c>
      <c r="E683" s="11" t="s">
        <v>430</v>
      </c>
      <c r="F683" s="11" t="s">
        <v>275</v>
      </c>
      <c r="G683" s="11" t="s">
        <v>1718</v>
      </c>
      <c r="H683" s="11" t="s">
        <v>276</v>
      </c>
      <c r="I683" s="11" t="s">
        <v>1982</v>
      </c>
      <c r="J683" s="11">
        <v>38.86157</v>
      </c>
      <c r="K683" s="11">
        <v>-77.053929999999994</v>
      </c>
      <c r="L683" s="11">
        <v>7521</v>
      </c>
      <c r="M683" s="11">
        <v>7521</v>
      </c>
      <c r="N683" s="175" t="str">
        <f>VLOOKUP(M683, '2017 SIC to NAICS'!A:D, 2)</f>
        <v>Automobile Parking</v>
      </c>
      <c r="P683" s="187" t="str">
        <f>VLOOKUP(M683, '2017 SIC to NAICS'!A:D, 4)</f>
        <v>Parking Lots and Garages</v>
      </c>
      <c r="Q683" s="176" t="e">
        <f>IFERROR(VLOOKUP(O683, 'NAICS OES crosswalk'!A:C, 3, FALSE), VLOOKUP(M683, 'NAICS OES crosswalk'!A:C, 3, FALSE))</f>
        <v>#N/A</v>
      </c>
      <c r="U683" s="188">
        <v>20700100103</v>
      </c>
      <c r="V683" s="11" t="s">
        <v>1727</v>
      </c>
      <c r="W683" s="11"/>
      <c r="X683" s="11">
        <v>3.7453331999999999E-2</v>
      </c>
      <c r="Y683" s="11" t="b">
        <f t="shared" si="11"/>
        <v>0</v>
      </c>
    </row>
    <row r="684" spans="1:25" x14ac:dyDescent="0.35">
      <c r="A684" s="11">
        <v>2021</v>
      </c>
      <c r="B684" s="11" t="s">
        <v>1980</v>
      </c>
      <c r="C684" s="11" t="s">
        <v>1698</v>
      </c>
      <c r="D684" s="163">
        <v>110000463677</v>
      </c>
      <c r="E684" s="11" t="s">
        <v>649</v>
      </c>
      <c r="F684" s="11" t="s">
        <v>421</v>
      </c>
      <c r="G684" s="11" t="s">
        <v>747</v>
      </c>
      <c r="H684" s="11" t="s">
        <v>95</v>
      </c>
      <c r="I684" s="11" t="s">
        <v>1982</v>
      </c>
      <c r="J684" s="11">
        <v>29.726065999999999</v>
      </c>
      <c r="K684" s="11">
        <v>-95.079583999999997</v>
      </c>
      <c r="L684" s="11">
        <v>2821</v>
      </c>
      <c r="M684" s="11">
        <v>2821</v>
      </c>
      <c r="N684" s="175" t="str">
        <f>VLOOKUP(M684, '2017 SIC to NAICS'!A:D, 2)</f>
        <v>Plastics Materials and Resins</v>
      </c>
      <c r="P684" s="187" t="str">
        <f>VLOOKUP(M684, '2017 SIC to NAICS'!A:D, 4)</f>
        <v>Plastics Material and Resin Manufacturing</v>
      </c>
      <c r="Q684" s="176" t="str">
        <f>IFERROR(VLOOKUP(O684, 'NAICS OES crosswalk'!A:C, 3, FALSE), VLOOKUP(M684, 'NAICS OES crosswalk'!A:C, 3, FALSE))</f>
        <v>Processing as a reactant</v>
      </c>
      <c r="U684" s="188">
        <v>120401040706</v>
      </c>
      <c r="V684" s="11" t="s">
        <v>750</v>
      </c>
      <c r="W684" s="11"/>
      <c r="X684" s="11">
        <v>3.0490640000000002E-3</v>
      </c>
      <c r="Y684" s="11" t="b">
        <f t="shared" si="11"/>
        <v>0</v>
      </c>
    </row>
    <row r="685" spans="1:25" ht="29" x14ac:dyDescent="0.35">
      <c r="A685" s="11">
        <v>2021</v>
      </c>
      <c r="B685" s="11" t="s">
        <v>1980</v>
      </c>
      <c r="C685" s="11" t="s">
        <v>778</v>
      </c>
      <c r="D685" s="163">
        <v>110064644782</v>
      </c>
      <c r="E685" s="11" t="s">
        <v>303</v>
      </c>
      <c r="F685" s="11" t="s">
        <v>304</v>
      </c>
      <c r="G685" s="11" t="s">
        <v>779</v>
      </c>
      <c r="H685" s="11" t="s">
        <v>91</v>
      </c>
      <c r="I685" s="11" t="s">
        <v>1981</v>
      </c>
      <c r="J685" s="11">
        <v>30.584540000000001</v>
      </c>
      <c r="K685" s="11">
        <v>-91.247479999999996</v>
      </c>
      <c r="L685" s="11">
        <v>4953</v>
      </c>
      <c r="M685" s="11">
        <v>4953</v>
      </c>
      <c r="N685" s="175" t="str">
        <f>VLOOKUP(M685, '2017 SIC to NAICS'!A:D, 2)</f>
        <v>Refuse Systems</v>
      </c>
      <c r="P685" s="187" t="str">
        <f>VLOOKUP(M685, '2017 SIC to NAICS'!A:D, 4)</f>
        <v>Materials Recovery Facilities</v>
      </c>
      <c r="Q685" s="176" t="str">
        <f>IFERROR(VLOOKUP(O685, 'NAICS OES crosswalk'!A:C, 3, FALSE), VLOOKUP(M685, 'NAICS OES crosswalk'!A:C, 3, FALSE))</f>
        <v>Waste handling, disposal, and treatment</v>
      </c>
      <c r="U685" s="188">
        <v>80702010401</v>
      </c>
      <c r="V685" s="11" t="s">
        <v>780</v>
      </c>
      <c r="W685" s="11"/>
      <c r="X685" s="11">
        <v>5.0143680000000002E-4</v>
      </c>
      <c r="Y685" s="11" t="b">
        <f t="shared" si="11"/>
        <v>1</v>
      </c>
    </row>
    <row r="686" spans="1:25" ht="29" x14ac:dyDescent="0.35">
      <c r="A686" s="11">
        <v>2021</v>
      </c>
      <c r="B686" s="11" t="s">
        <v>1980</v>
      </c>
      <c r="C686" s="11" t="s">
        <v>1675</v>
      </c>
      <c r="D686" s="163">
        <v>110002311551</v>
      </c>
      <c r="E686" s="11" t="s">
        <v>666</v>
      </c>
      <c r="F686" s="11" t="s">
        <v>667</v>
      </c>
      <c r="G686" s="11" t="s">
        <v>667</v>
      </c>
      <c r="H686" s="11" t="s">
        <v>194</v>
      </c>
      <c r="I686" s="11" t="s">
        <v>1982</v>
      </c>
      <c r="J686" s="11">
        <v>33.773513999999999</v>
      </c>
      <c r="K686" s="11">
        <v>-81.904872999999995</v>
      </c>
      <c r="L686" s="11">
        <v>4952</v>
      </c>
      <c r="M686" s="11">
        <v>4952</v>
      </c>
      <c r="N686" s="175" t="str">
        <f>VLOOKUP(M686, '2017 SIC to NAICS'!A:D, 2)</f>
        <v>Sewerage Systems</v>
      </c>
      <c r="O686" s="11">
        <v>562910</v>
      </c>
      <c r="P686" s="187" t="str">
        <f>VLOOKUP(M686, '2017 SIC to NAICS'!A:D, 4)</f>
        <v>Sewage Treatment Facilities</v>
      </c>
      <c r="Q686" s="176" t="str">
        <f>IFERROR(VLOOKUP(O686, 'NAICS OES crosswalk'!A:C, 3, FALSE), VLOOKUP(M686, 'NAICS OES crosswalk'!A:C, 3, FALSE))</f>
        <v>Waste handling, disposal, and treatment</v>
      </c>
      <c r="U686" s="188">
        <v>30601070207</v>
      </c>
      <c r="V686" s="11" t="s">
        <v>1676</v>
      </c>
      <c r="W686" s="11"/>
      <c r="X686" s="11">
        <v>4.8845425000000001E-4</v>
      </c>
      <c r="Y686" s="11" t="b">
        <f t="shared" si="11"/>
        <v>1</v>
      </c>
    </row>
    <row r="687" spans="1:25" x14ac:dyDescent="0.35">
      <c r="A687" s="11">
        <v>2021</v>
      </c>
      <c r="B687" s="11" t="s">
        <v>1980</v>
      </c>
      <c r="C687" s="11" t="s">
        <v>989</v>
      </c>
      <c r="D687" s="163">
        <v>110070097711</v>
      </c>
      <c r="E687" s="11" t="s">
        <v>691</v>
      </c>
      <c r="F687" s="11" t="s">
        <v>623</v>
      </c>
      <c r="G687" s="11" t="s">
        <v>623</v>
      </c>
      <c r="H687" s="11" t="s">
        <v>492</v>
      </c>
      <c r="I687" s="11" t="s">
        <v>1982</v>
      </c>
      <c r="J687" s="11">
        <v>39.744531000000002</v>
      </c>
      <c r="K687" s="11">
        <v>-104.95984</v>
      </c>
      <c r="L687" s="11">
        <v>6513</v>
      </c>
      <c r="M687" s="11">
        <v>6513</v>
      </c>
      <c r="N687" s="175" t="str">
        <f>VLOOKUP(M687, '2017 SIC to NAICS'!A:D, 2)</f>
        <v>Apartment Building Operators</v>
      </c>
      <c r="P687" s="187" t="str">
        <f>VLOOKUP(M687, '2017 SIC to NAICS'!A:D, 4)</f>
        <v>Lessors of Residential Buildings and
Dwellings</v>
      </c>
      <c r="Q687" s="176" t="e">
        <f>IFERROR(VLOOKUP(O687, 'NAICS OES crosswalk'!A:C, 3, FALSE), VLOOKUP(M687, 'NAICS OES crosswalk'!A:C, 3, FALSE))</f>
        <v>#N/A</v>
      </c>
      <c r="U687" s="188">
        <v>101900030304</v>
      </c>
      <c r="V687" s="11" t="s">
        <v>987</v>
      </c>
      <c r="W687" s="11"/>
      <c r="X687" s="11">
        <v>3.2778100000000003E-4</v>
      </c>
      <c r="Y687" s="11" t="b">
        <f t="shared" si="11"/>
        <v>1</v>
      </c>
    </row>
    <row r="688" spans="1:25" x14ac:dyDescent="0.35">
      <c r="A688" s="11">
        <v>2021</v>
      </c>
      <c r="B688" s="11" t="s">
        <v>1980</v>
      </c>
      <c r="C688" s="11" t="s">
        <v>1717</v>
      </c>
      <c r="D688" s="163">
        <v>110070546877</v>
      </c>
      <c r="E688" s="11" t="s">
        <v>616</v>
      </c>
      <c r="F688" s="11" t="s">
        <v>275</v>
      </c>
      <c r="G688" s="11" t="s">
        <v>1718</v>
      </c>
      <c r="H688" s="11" t="s">
        <v>276</v>
      </c>
      <c r="I688" s="11" t="s">
        <v>1982</v>
      </c>
      <c r="J688" s="11">
        <v>38.861800000000002</v>
      </c>
      <c r="K688" s="11">
        <v>-77.086969999999994</v>
      </c>
      <c r="L688" s="11">
        <v>1794</v>
      </c>
      <c r="M688" s="11">
        <v>1794</v>
      </c>
      <c r="N688" s="175" t="str">
        <f>VLOOKUP(M688, '2017 SIC to NAICS'!A:D, 2)</f>
        <v>Excavation Work</v>
      </c>
      <c r="P688" s="187" t="str">
        <f>VLOOKUP(M688, '2017 SIC to NAICS'!A:D, 4)</f>
        <v>Site Preparation Contractors</v>
      </c>
      <c r="Q688" s="176" t="e">
        <f>IFERROR(VLOOKUP(O688, 'NAICS OES crosswalk'!A:C, 3, FALSE), VLOOKUP(M688, 'NAICS OES crosswalk'!A:C, 3, FALSE))</f>
        <v>#N/A</v>
      </c>
      <c r="U688" s="188">
        <v>20700100301</v>
      </c>
      <c r="V688" s="11" t="s">
        <v>1711</v>
      </c>
      <c r="W688" s="11"/>
      <c r="X688" s="11">
        <v>2.8654940529999998E-4</v>
      </c>
      <c r="Y688" s="11" t="b">
        <f t="shared" si="11"/>
        <v>1</v>
      </c>
    </row>
    <row r="689" spans="1:25" x14ac:dyDescent="0.35">
      <c r="A689" s="11">
        <v>2021</v>
      </c>
      <c r="B689" s="11" t="s">
        <v>1980</v>
      </c>
      <c r="C689" s="11" t="s">
        <v>824</v>
      </c>
      <c r="D689" s="163">
        <v>110059861065</v>
      </c>
      <c r="E689" s="11" t="s">
        <v>677</v>
      </c>
      <c r="F689" s="11" t="s">
        <v>337</v>
      </c>
      <c r="G689" s="11" t="s">
        <v>823</v>
      </c>
      <c r="H689" s="11" t="s">
        <v>221</v>
      </c>
      <c r="I689" s="11" t="s">
        <v>1982</v>
      </c>
      <c r="J689" s="11">
        <v>36.108890000000002</v>
      </c>
      <c r="K689" s="11">
        <v>-115.18118</v>
      </c>
      <c r="L689" s="11">
        <v>6531</v>
      </c>
      <c r="M689" s="11">
        <v>6531</v>
      </c>
      <c r="N689" s="175" t="str">
        <f>VLOOKUP(M689, '2017 SIC to NAICS'!A:D, 2)</f>
        <v>Real Estate Agents and Managers</v>
      </c>
      <c r="P689" s="187" t="str">
        <f>VLOOKUP(M689, '2017 SIC to NAICS'!A:D, 4)</f>
        <v>Other Similar Organizations (except Business, Professional, Labor, and
Political Organizations)</v>
      </c>
      <c r="Q689" s="176" t="e">
        <f>IFERROR(VLOOKUP(O689, 'NAICS OES crosswalk'!A:C, 3, FALSE), VLOOKUP(M689, 'NAICS OES crosswalk'!A:C, 3, FALSE))</f>
        <v>#N/A</v>
      </c>
      <c r="U689" s="188">
        <v>150100150505</v>
      </c>
      <c r="V689" s="11" t="s">
        <v>825</v>
      </c>
      <c r="W689" s="11"/>
      <c r="X689" s="11">
        <v>2.1206408750000001E-4</v>
      </c>
      <c r="Y689" s="11" t="b">
        <f t="shared" si="11"/>
        <v>1</v>
      </c>
    </row>
    <row r="690" spans="1:25" ht="29" x14ac:dyDescent="0.35">
      <c r="A690" s="11">
        <v>2021</v>
      </c>
      <c r="B690" s="11" t="s">
        <v>1980</v>
      </c>
      <c r="C690" s="11" t="s">
        <v>1525</v>
      </c>
      <c r="D690" s="163">
        <v>110070213656</v>
      </c>
      <c r="E690" s="11" t="s">
        <v>687</v>
      </c>
      <c r="F690" s="11" t="s">
        <v>688</v>
      </c>
      <c r="G690" s="11" t="s">
        <v>1526</v>
      </c>
      <c r="H690" s="11" t="s">
        <v>254</v>
      </c>
      <c r="I690" s="11" t="s">
        <v>1982</v>
      </c>
      <c r="J690" s="11">
        <v>40.891950000000001</v>
      </c>
      <c r="K690" s="11">
        <v>-74.249369999999999</v>
      </c>
      <c r="L690" s="11">
        <v>9999</v>
      </c>
      <c r="M690" s="11">
        <v>9999</v>
      </c>
      <c r="N690" s="175" t="str">
        <f>VLOOKUP(M690, '2017 SIC to NAICS'!A:D, 2)</f>
        <v>Nonclassifiable Establishments</v>
      </c>
      <c r="P690" s="187">
        <f>VLOOKUP(M690, '2017 SIC to NAICS'!A:D, 4)</f>
        <v>0</v>
      </c>
      <c r="Q690" s="176" t="str">
        <f>IFERROR(VLOOKUP(O690, 'NAICS OES crosswalk'!A:C, 3, FALSE), VLOOKUP(M690, 'NAICS OES crosswalk'!A:C, 3, FALSE))</f>
        <v>Uncertain, possibly a remediation site</v>
      </c>
      <c r="U690" s="188">
        <v>20301030801</v>
      </c>
      <c r="V690" s="11" t="s">
        <v>1527</v>
      </c>
      <c r="W690" s="11"/>
      <c r="X690" s="11">
        <v>1.7693088480000001E-4</v>
      </c>
      <c r="Y690" s="11" t="b">
        <f t="shared" si="11"/>
        <v>1</v>
      </c>
    </row>
    <row r="691" spans="1:25" x14ac:dyDescent="0.35">
      <c r="A691" s="11">
        <v>2021</v>
      </c>
      <c r="B691" s="11" t="s">
        <v>1980</v>
      </c>
      <c r="C691" s="11" t="s">
        <v>1486</v>
      </c>
      <c r="D691" s="163">
        <v>110041022274</v>
      </c>
      <c r="E691" s="11" t="s">
        <v>699</v>
      </c>
      <c r="F691" s="11" t="s">
        <v>700</v>
      </c>
      <c r="G691" s="11" t="s">
        <v>1487</v>
      </c>
      <c r="H691" s="11" t="s">
        <v>254</v>
      </c>
      <c r="I691" s="11" t="s">
        <v>1981</v>
      </c>
      <c r="J691" s="11">
        <v>39.766944000000002</v>
      </c>
      <c r="K691" s="11">
        <v>-75.421361000000005</v>
      </c>
      <c r="L691" s="11">
        <v>2821</v>
      </c>
      <c r="M691" s="11">
        <v>2821</v>
      </c>
      <c r="N691" s="175" t="str">
        <f>VLOOKUP(M691, '2017 SIC to NAICS'!A:D, 2)</f>
        <v>Plastics Materials and Resins</v>
      </c>
      <c r="O691" s="11">
        <v>325211</v>
      </c>
      <c r="P691" s="187" t="str">
        <f>VLOOKUP(M691, '2017 SIC to NAICS'!A:D, 4)</f>
        <v>Plastics Material and Resin Manufacturing</v>
      </c>
      <c r="Q691" s="176" t="str">
        <f>IFERROR(VLOOKUP(O691, 'NAICS OES crosswalk'!A:C, 3, FALSE), VLOOKUP(M691, 'NAICS OES crosswalk'!A:C, 3, FALSE))</f>
        <v>Processing as a reactant</v>
      </c>
      <c r="U691" s="188">
        <v>20402060103</v>
      </c>
      <c r="V691" s="11" t="s">
        <v>1488</v>
      </c>
      <c r="W691" s="11"/>
      <c r="X691" s="11">
        <v>1.3499999999999999E-5</v>
      </c>
      <c r="Y691" s="11" t="b">
        <f t="shared" si="11"/>
        <v>1</v>
      </c>
    </row>
    <row r="692" spans="1:25" x14ac:dyDescent="0.35">
      <c r="A692" s="11">
        <v>2021</v>
      </c>
      <c r="B692" s="11" t="s">
        <v>1980</v>
      </c>
      <c r="C692" s="11" t="s">
        <v>781</v>
      </c>
      <c r="D692" s="163">
        <v>110000440416</v>
      </c>
      <c r="E692" s="11" t="s">
        <v>198</v>
      </c>
      <c r="F692" s="11" t="s">
        <v>199</v>
      </c>
      <c r="G692" s="11" t="s">
        <v>782</v>
      </c>
      <c r="H692" s="11" t="s">
        <v>129</v>
      </c>
      <c r="I692" s="11" t="s">
        <v>1982</v>
      </c>
      <c r="J692" s="11">
        <v>38.209220000000002</v>
      </c>
      <c r="K692" s="11">
        <v>-90.476910000000004</v>
      </c>
      <c r="L692" s="11">
        <v>1795</v>
      </c>
      <c r="M692" s="11">
        <v>1795</v>
      </c>
      <c r="N692" s="175" t="str">
        <f>VLOOKUP(M692, '2017 SIC to NAICS'!A:D, 2)</f>
        <v>Wrecking and Demolition Work</v>
      </c>
      <c r="P692" s="187" t="str">
        <f>VLOOKUP(M692, '2017 SIC to NAICS'!A:D, 4)</f>
        <v>Site Preparation Contractors</v>
      </c>
      <c r="Q692" s="176" t="e">
        <f>IFERROR(VLOOKUP(O692, 'NAICS OES crosswalk'!A:C, 3, FALSE), VLOOKUP(M692, 'NAICS OES crosswalk'!A:C, 3, FALSE))</f>
        <v>#N/A</v>
      </c>
      <c r="U692" s="188">
        <v>71401010802</v>
      </c>
      <c r="V692" s="11" t="s">
        <v>783</v>
      </c>
      <c r="W692" s="11"/>
      <c r="X692" s="11">
        <v>1.04466E-4</v>
      </c>
      <c r="Y692" s="11" t="b">
        <f t="shared" si="11"/>
        <v>1</v>
      </c>
    </row>
    <row r="693" spans="1:25" x14ac:dyDescent="0.35">
      <c r="A693" s="11">
        <v>2021</v>
      </c>
      <c r="B693" s="11" t="s">
        <v>1980</v>
      </c>
      <c r="C693" s="11" t="s">
        <v>1732</v>
      </c>
      <c r="D693" s="163">
        <v>110070598729</v>
      </c>
      <c r="E693" s="11" t="s">
        <v>665</v>
      </c>
      <c r="F693" s="11" t="s">
        <v>396</v>
      </c>
      <c r="G693" s="11" t="s">
        <v>1733</v>
      </c>
      <c r="H693" s="11" t="s">
        <v>276</v>
      </c>
      <c r="I693" s="11" t="s">
        <v>1982</v>
      </c>
      <c r="J693" s="11">
        <v>38.840600000000002</v>
      </c>
      <c r="K693" s="11">
        <v>-77.068200000000004</v>
      </c>
      <c r="L693" s="11">
        <v>1794</v>
      </c>
      <c r="M693" s="11">
        <v>1794</v>
      </c>
      <c r="N693" s="175" t="str">
        <f>VLOOKUP(M693, '2017 SIC to NAICS'!A:D, 2)</f>
        <v>Excavation Work</v>
      </c>
      <c r="P693" s="187" t="str">
        <f>VLOOKUP(M693, '2017 SIC to NAICS'!A:D, 4)</f>
        <v>Site Preparation Contractors</v>
      </c>
      <c r="Q693" s="176" t="e">
        <f>IFERROR(VLOOKUP(O693, 'NAICS OES crosswalk'!A:C, 3, FALSE), VLOOKUP(M693, 'NAICS OES crosswalk'!A:C, 3, FALSE))</f>
        <v>#N/A</v>
      </c>
      <c r="U693" s="188">
        <v>20700100301</v>
      </c>
      <c r="V693" s="11" t="s">
        <v>1711</v>
      </c>
      <c r="W693" s="11"/>
      <c r="X693" s="11">
        <v>9.9821805000000001E-5</v>
      </c>
      <c r="Y693" s="11" t="b">
        <f t="shared" si="11"/>
        <v>1</v>
      </c>
    </row>
    <row r="694" spans="1:25" x14ac:dyDescent="0.35">
      <c r="A694" s="11">
        <v>2021</v>
      </c>
      <c r="B694" s="11" t="s">
        <v>1980</v>
      </c>
      <c r="C694" s="11" t="s">
        <v>1710</v>
      </c>
      <c r="D694" s="163">
        <v>110010844426</v>
      </c>
      <c r="E694" s="11" t="s">
        <v>696</v>
      </c>
      <c r="F694" s="11" t="s">
        <v>275</v>
      </c>
      <c r="G694" s="11" t="s">
        <v>275</v>
      </c>
      <c r="H694" s="11" t="s">
        <v>276</v>
      </c>
      <c r="I694" s="11" t="s">
        <v>1982</v>
      </c>
      <c r="J694" s="11">
        <v>38.88223</v>
      </c>
      <c r="K694" s="11">
        <v>-77.112300000000005</v>
      </c>
      <c r="L694" s="11">
        <v>4959</v>
      </c>
      <c r="M694" s="11">
        <v>4959</v>
      </c>
      <c r="N694" s="175" t="str">
        <f>VLOOKUP(M694, '2017 SIC to NAICS'!A:D, 2)</f>
        <v>Sanitary Services, Nec</v>
      </c>
      <c r="O694" s="11">
        <v>562910</v>
      </c>
      <c r="P694" s="187" t="str">
        <f>VLOOKUP(M694, '2017 SIC to NAICS'!A:D, 4)</f>
        <v>All Other Miscellaneous Waste
Management Services</v>
      </c>
      <c r="Q694" s="176" t="e">
        <f>IFERROR(VLOOKUP(O694, 'NAICS OES crosswalk'!A:C, 3, FALSE), VLOOKUP(M694, 'NAICS OES crosswalk'!A:C, 3, FALSE))</f>
        <v>#N/A</v>
      </c>
      <c r="U694" s="188">
        <v>20700100301</v>
      </c>
      <c r="V694" s="11" t="s">
        <v>1711</v>
      </c>
      <c r="W694" s="11"/>
      <c r="X694" s="11">
        <v>8.2891499999999997E-5</v>
      </c>
      <c r="Y694" s="11" t="b">
        <f t="shared" si="11"/>
        <v>1</v>
      </c>
    </row>
    <row r="695" spans="1:25" x14ac:dyDescent="0.35">
      <c r="A695" s="11">
        <v>2021</v>
      </c>
      <c r="B695" s="11" t="s">
        <v>1980</v>
      </c>
      <c r="C695" s="11" t="s">
        <v>1596</v>
      </c>
      <c r="D695" s="163">
        <v>110002321345</v>
      </c>
      <c r="E695" s="11" t="s">
        <v>629</v>
      </c>
      <c r="F695" s="11" t="s">
        <v>620</v>
      </c>
      <c r="G695" s="11" t="s">
        <v>1589</v>
      </c>
      <c r="H695" s="11" t="s">
        <v>126</v>
      </c>
      <c r="I695" s="11" t="s">
        <v>1982</v>
      </c>
      <c r="J695" s="11">
        <v>43.107216000000001</v>
      </c>
      <c r="K695" s="11">
        <v>-75.225815999999995</v>
      </c>
      <c r="L695" s="11">
        <v>5169</v>
      </c>
      <c r="M695" s="11">
        <v>5169</v>
      </c>
      <c r="N695" s="175" t="str">
        <f>VLOOKUP(M695, '2017 SIC to NAICS'!A:D, 2)</f>
        <v>Chemicals and Allied Products, Nec</v>
      </c>
      <c r="P695" s="187" t="str">
        <f>VLOOKUP(M695, '2017 SIC to NAICS'!A:D, 4)</f>
        <v>Wholesale Trade Agents and Brokers</v>
      </c>
      <c r="Q695" s="176" t="e">
        <f>IFERROR(VLOOKUP(O695, 'NAICS OES crosswalk'!A:C, 3, FALSE), VLOOKUP(M695, 'NAICS OES crosswalk'!A:C, 3, FALSE))</f>
        <v>#N/A</v>
      </c>
      <c r="U695" s="188">
        <v>20200040311</v>
      </c>
      <c r="V695" s="11" t="s">
        <v>1583</v>
      </c>
      <c r="W695" s="11"/>
      <c r="X695" s="11">
        <v>5.7760614E-3</v>
      </c>
      <c r="Y695" s="11" t="b">
        <f t="shared" si="11"/>
        <v>0</v>
      </c>
    </row>
    <row r="696" spans="1:25" x14ac:dyDescent="0.35">
      <c r="A696" s="11">
        <v>2021</v>
      </c>
      <c r="B696" s="11" t="s">
        <v>1980</v>
      </c>
      <c r="C696" s="11" t="s">
        <v>845</v>
      </c>
      <c r="D696" s="163">
        <v>110008011490</v>
      </c>
      <c r="E696" s="11" t="s">
        <v>445</v>
      </c>
      <c r="F696" s="11" t="s">
        <v>446</v>
      </c>
      <c r="G696" s="11" t="s">
        <v>846</v>
      </c>
      <c r="H696" s="11" t="s">
        <v>126</v>
      </c>
      <c r="I696" s="11" t="s">
        <v>1982</v>
      </c>
      <c r="J696" s="11">
        <v>42.805160000000001</v>
      </c>
      <c r="K696" s="11">
        <v>-78.64658</v>
      </c>
      <c r="L696" s="11">
        <v>3492</v>
      </c>
      <c r="M696" s="11">
        <v>3492</v>
      </c>
      <c r="N696" s="175" t="str">
        <f>VLOOKUP(M696, '2017 SIC to NAICS'!A:D, 2)</f>
        <v>Fluid Power Valves and Hose Fittings</v>
      </c>
      <c r="P696" s="187" t="str">
        <f>VLOOKUP(M696, '2017 SIC to NAICS'!A:D, 4)</f>
        <v>Fluid Power Valve and Hose Fitting
Manufacturing</v>
      </c>
      <c r="Q696" s="176" t="e">
        <f>IFERROR(VLOOKUP(O696, 'NAICS OES crosswalk'!A:C, 3, FALSE), VLOOKUP(M696, 'NAICS OES crosswalk'!A:C, 3, FALSE))</f>
        <v>#N/A</v>
      </c>
      <c r="U696" s="188">
        <v>41201030206</v>
      </c>
      <c r="V696" s="11" t="s">
        <v>847</v>
      </c>
      <c r="W696" s="11"/>
      <c r="X696" s="11">
        <v>6.3232209999999997E-2</v>
      </c>
      <c r="Y696" s="11" t="b">
        <f t="shared" si="11"/>
        <v>0</v>
      </c>
    </row>
    <row r="697" spans="1:25" x14ac:dyDescent="0.35">
      <c r="A697" s="11">
        <v>2021</v>
      </c>
      <c r="B697" s="11" t="s">
        <v>1980</v>
      </c>
      <c r="C697" s="11" t="s">
        <v>829</v>
      </c>
      <c r="D697" s="163">
        <v>110059844156</v>
      </c>
      <c r="E697" s="11" t="s">
        <v>512</v>
      </c>
      <c r="F697" s="11" t="s">
        <v>337</v>
      </c>
      <c r="G697" s="11" t="s">
        <v>823</v>
      </c>
      <c r="H697" s="11" t="s">
        <v>221</v>
      </c>
      <c r="I697" s="11" t="s">
        <v>1982</v>
      </c>
      <c r="J697" s="11">
        <v>36.131489999999999</v>
      </c>
      <c r="K697" s="11">
        <v>-115.15483</v>
      </c>
      <c r="L697" s="11">
        <v>1799</v>
      </c>
      <c r="M697" s="11">
        <v>1799</v>
      </c>
      <c r="N697" s="175" t="str">
        <f>VLOOKUP(M697, '2017 SIC to NAICS'!A:D, 2)</f>
        <v>Special Trade Contractors, Nec</v>
      </c>
      <c r="O697" s="11">
        <v>562910</v>
      </c>
      <c r="P697" s="187" t="str">
        <f>VLOOKUP(M697, '2017 SIC to NAICS'!A:D, 4)</f>
        <v>Remediation Services</v>
      </c>
      <c r="Q697" s="176" t="e">
        <f>IFERROR(VLOOKUP(O697, 'NAICS OES crosswalk'!A:C, 3, FALSE), VLOOKUP(M697, 'NAICS OES crosswalk'!A:C, 3, FALSE))</f>
        <v>#N/A</v>
      </c>
      <c r="U697" s="188">
        <v>150100150604</v>
      </c>
      <c r="V697" s="11" t="s">
        <v>738</v>
      </c>
      <c r="W697" s="11"/>
      <c r="X697" s="11">
        <v>1.9040868312500001E-5</v>
      </c>
      <c r="Y697" s="11" t="b">
        <f t="shared" si="11"/>
        <v>1</v>
      </c>
    </row>
    <row r="698" spans="1:25" x14ac:dyDescent="0.35">
      <c r="A698" s="11">
        <v>2021</v>
      </c>
      <c r="B698" s="11" t="s">
        <v>1980</v>
      </c>
      <c r="C698" s="11" t="s">
        <v>1516</v>
      </c>
      <c r="D698" s="163">
        <v>110070217974</v>
      </c>
      <c r="E698" s="11" t="s">
        <v>684</v>
      </c>
      <c r="F698" s="11" t="s">
        <v>685</v>
      </c>
      <c r="G698" s="11" t="s">
        <v>1517</v>
      </c>
      <c r="H698" s="11" t="s">
        <v>254</v>
      </c>
      <c r="I698" s="11" t="s">
        <v>1982</v>
      </c>
      <c r="J698" s="11">
        <v>40.52516</v>
      </c>
      <c r="K698" s="11">
        <v>-74.601039999999998</v>
      </c>
      <c r="L698" s="11">
        <v>2851</v>
      </c>
      <c r="M698" s="11">
        <v>2851</v>
      </c>
      <c r="N698" s="175" t="str">
        <f>VLOOKUP(M698, '2017 SIC to NAICS'!A:D, 2)</f>
        <v>Paints and Allied Products</v>
      </c>
      <c r="P698" s="187" t="str">
        <f>VLOOKUP(M698, '2017 SIC to NAICS'!A:D, 4)</f>
        <v>Paint and Coating Manufacturing</v>
      </c>
      <c r="Q698" s="176" t="e">
        <f>IFERROR(VLOOKUP(O698, 'NAICS OES crosswalk'!A:C, 3, FALSE), VLOOKUP(M698, 'NAICS OES crosswalk'!A:C, 3, FALSE))</f>
        <v>#N/A</v>
      </c>
      <c r="U698" s="188">
        <v>20301050311</v>
      </c>
      <c r="V698" s="11" t="s">
        <v>1520</v>
      </c>
      <c r="W698" s="11"/>
      <c r="X698" s="11">
        <v>1.8753418379999998E-5</v>
      </c>
      <c r="Y698" s="11" t="b">
        <f t="shared" si="11"/>
        <v>1</v>
      </c>
    </row>
    <row r="699" spans="1:25" x14ac:dyDescent="0.35">
      <c r="A699" s="11">
        <v>2021</v>
      </c>
      <c r="B699" s="11" t="s">
        <v>1980</v>
      </c>
      <c r="C699" s="11" t="s">
        <v>845</v>
      </c>
      <c r="D699" s="163">
        <v>110008011490</v>
      </c>
      <c r="E699" s="11" t="s">
        <v>445</v>
      </c>
      <c r="F699" s="11" t="s">
        <v>446</v>
      </c>
      <c r="G699" s="11" t="s">
        <v>846</v>
      </c>
      <c r="H699" s="11" t="s">
        <v>126</v>
      </c>
      <c r="I699" s="11" t="s">
        <v>1982</v>
      </c>
      <c r="J699" s="11">
        <v>42.805160000000001</v>
      </c>
      <c r="K699" s="11">
        <v>-78.64658</v>
      </c>
      <c r="L699" s="11">
        <v>3492</v>
      </c>
      <c r="M699" s="11">
        <v>3492</v>
      </c>
      <c r="N699" s="175" t="str">
        <f>VLOOKUP(M699, '2017 SIC to NAICS'!A:D, 2)</f>
        <v>Fluid Power Valves and Hose Fittings</v>
      </c>
      <c r="P699" s="187" t="str">
        <f>VLOOKUP(M699, '2017 SIC to NAICS'!A:D, 4)</f>
        <v>Fluid Power Valve and Hose Fitting
Manufacturing</v>
      </c>
      <c r="Q699" s="176" t="e">
        <f>IFERROR(VLOOKUP(O699, 'NAICS OES crosswalk'!A:C, 3, FALSE), VLOOKUP(M699, 'NAICS OES crosswalk'!A:C, 3, FALSE))</f>
        <v>#N/A</v>
      </c>
      <c r="U699" s="188">
        <v>41201030206</v>
      </c>
      <c r="V699" s="11" t="s">
        <v>847</v>
      </c>
      <c r="W699" s="11"/>
      <c r="X699" s="11">
        <v>3.1706945000000001E-3</v>
      </c>
      <c r="Y699" s="11" t="b">
        <f t="shared" si="11"/>
        <v>0</v>
      </c>
    </row>
    <row r="700" spans="1:25" x14ac:dyDescent="0.35">
      <c r="A700" s="11">
        <v>2021</v>
      </c>
      <c r="B700" s="11" t="s">
        <v>1980</v>
      </c>
      <c r="C700" s="11" t="s">
        <v>1303</v>
      </c>
      <c r="D700" s="163">
        <v>110007015871</v>
      </c>
      <c r="E700" s="11" t="s">
        <v>418</v>
      </c>
      <c r="F700" s="11" t="s">
        <v>419</v>
      </c>
      <c r="G700" s="11" t="s">
        <v>1304</v>
      </c>
      <c r="H700" s="11" t="s">
        <v>91</v>
      </c>
      <c r="I700" s="11" t="s">
        <v>1981</v>
      </c>
      <c r="J700" s="11">
        <v>30.048590999999998</v>
      </c>
      <c r="K700" s="11">
        <v>-90.630941000000007</v>
      </c>
      <c r="L700" s="11">
        <v>2869</v>
      </c>
      <c r="M700" s="11">
        <v>2869</v>
      </c>
      <c r="N700" s="175" t="str">
        <f>VLOOKUP(M700, '2017 SIC to NAICS'!A:D, 2)</f>
        <v>Industrial Organic Chemicals, Nec</v>
      </c>
      <c r="P700" s="187" t="str">
        <f>VLOOKUP(M700, '2017 SIC to NAICS'!A:D, 4)</f>
        <v>All Other Miscellaneous Chemical Product and Preparation Manufacturing</v>
      </c>
      <c r="Q700" s="176" t="str">
        <f>IFERROR(VLOOKUP(O700, 'NAICS OES crosswalk'!A:C, 3, FALSE), VLOOKUP(M700, 'NAICS OES crosswalk'!A:C, 3, FALSE))</f>
        <v>Manufacturing</v>
      </c>
      <c r="U700" s="188">
        <v>80702040302</v>
      </c>
      <c r="V700" s="11" t="s">
        <v>1305</v>
      </c>
      <c r="W700" s="11"/>
      <c r="X700" s="11">
        <v>0.16571</v>
      </c>
      <c r="Y700" s="11" t="b">
        <f xml:space="preserve"> X700 &lt;= _xlfn.PERCENTILE.INC($X$459:$X$700, 0.1)</f>
        <v>0</v>
      </c>
    </row>
    <row r="701" spans="1:25" ht="29" x14ac:dyDescent="0.35">
      <c r="A701" s="11">
        <v>2022</v>
      </c>
      <c r="B701" s="11" t="s">
        <v>1980</v>
      </c>
      <c r="C701" s="11" t="s">
        <v>1690</v>
      </c>
      <c r="D701" s="163">
        <v>110034247580</v>
      </c>
      <c r="E701" s="11" t="s">
        <v>104</v>
      </c>
      <c r="F701" s="11" t="s">
        <v>105</v>
      </c>
      <c r="G701" s="11" t="s">
        <v>1691</v>
      </c>
      <c r="H701" s="11" t="s">
        <v>95</v>
      </c>
      <c r="I701" s="11" t="s">
        <v>1981</v>
      </c>
      <c r="J701" s="11">
        <v>27.523085999999999</v>
      </c>
      <c r="K701" s="11">
        <v>-97.832245</v>
      </c>
      <c r="L701" s="11">
        <v>4952</v>
      </c>
      <c r="M701" s="11">
        <v>4952</v>
      </c>
      <c r="N701" s="175" t="str">
        <f>VLOOKUP(M701, '2017 SIC to NAICS'!A:D, 2)</f>
        <v>Sewerage Systems</v>
      </c>
      <c r="P701" s="187" t="str">
        <f>VLOOKUP(M701, '2017 SIC to NAICS'!A:D, 4)</f>
        <v>Sewage Treatment Facilities</v>
      </c>
      <c r="Q701" s="176" t="str">
        <f>IFERROR(VLOOKUP(O701, 'NAICS OES crosswalk'!A:C, 3, FALSE), VLOOKUP(M701, 'NAICS OES crosswalk'!A:C, 3, FALSE))</f>
        <v>Waste handling, disposal, and treatment</v>
      </c>
      <c r="U701" s="188">
        <v>121102040409</v>
      </c>
      <c r="V701" s="11" t="s">
        <v>1692</v>
      </c>
      <c r="W701" s="11"/>
      <c r="X701" s="11">
        <v>26769.313364384001</v>
      </c>
      <c r="Y701" s="11" t="b">
        <f xml:space="preserve"> X701 &lt;= _xlfn.PERCENTILE.INC($X$701:$X$906, 0.1)</f>
        <v>0</v>
      </c>
    </row>
    <row r="702" spans="1:25" ht="29" x14ac:dyDescent="0.35">
      <c r="A702" s="11">
        <v>2022</v>
      </c>
      <c r="B702" s="11" t="s">
        <v>1980</v>
      </c>
      <c r="C702" s="11" t="s">
        <v>1215</v>
      </c>
      <c r="D702" s="163">
        <v>110000732379</v>
      </c>
      <c r="E702" s="11" t="s">
        <v>106</v>
      </c>
      <c r="F702" s="11" t="s">
        <v>107</v>
      </c>
      <c r="G702" s="11" t="s">
        <v>782</v>
      </c>
      <c r="H702" s="11" t="s">
        <v>108</v>
      </c>
      <c r="I702" s="11" t="s">
        <v>1981</v>
      </c>
      <c r="J702" s="11">
        <v>38.08614</v>
      </c>
      <c r="K702" s="11">
        <v>-85.898780000000002</v>
      </c>
      <c r="L702" s="11">
        <v>4952</v>
      </c>
      <c r="M702" s="11">
        <v>4952</v>
      </c>
      <c r="N702" s="175" t="str">
        <f>VLOOKUP(M702, '2017 SIC to NAICS'!A:D, 2)</f>
        <v>Sewerage Systems</v>
      </c>
      <c r="O702" s="11">
        <v>221320</v>
      </c>
      <c r="P702" s="187" t="str">
        <f>VLOOKUP(M702, '2017 SIC to NAICS'!A:D, 4)</f>
        <v>Sewage Treatment Facilities</v>
      </c>
      <c r="Q702" s="176" t="str">
        <f>IFERROR(VLOOKUP(O702, 'NAICS OES crosswalk'!A:C, 3, FALSE), VLOOKUP(M702, 'NAICS OES crosswalk'!A:C, 3, FALSE))</f>
        <v>Waste handling, disposal, and treatment</v>
      </c>
      <c r="U702" s="190" t="s">
        <v>1217</v>
      </c>
      <c r="V702" s="11" t="s">
        <v>1216</v>
      </c>
      <c r="W702" s="11"/>
      <c r="X702" s="11">
        <v>107.309954375</v>
      </c>
      <c r="Y702" s="11" t="b">
        <f t="shared" ref="Y702:Y765" si="12" xml:space="preserve"> X702 &lt;= _xlfn.PERCENTILE.INC($X$701:$X$906, 0.1)</f>
        <v>0</v>
      </c>
    </row>
    <row r="703" spans="1:25" x14ac:dyDescent="0.35">
      <c r="A703" s="11">
        <v>2022</v>
      </c>
      <c r="B703" s="11" t="s">
        <v>1980</v>
      </c>
      <c r="C703" s="11" t="s">
        <v>1284</v>
      </c>
      <c r="D703" s="163">
        <v>110000494894</v>
      </c>
      <c r="E703" s="11" t="s">
        <v>89</v>
      </c>
      <c r="F703" s="11" t="s">
        <v>90</v>
      </c>
      <c r="G703" s="11" t="s">
        <v>771</v>
      </c>
      <c r="H703" s="11" t="s">
        <v>91</v>
      </c>
      <c r="I703" s="11" t="s">
        <v>1981</v>
      </c>
      <c r="J703" s="11">
        <v>30.223500000000001</v>
      </c>
      <c r="K703" s="11">
        <v>-93.286900000000003</v>
      </c>
      <c r="L703" s="11">
        <v>2869</v>
      </c>
      <c r="M703" s="11">
        <v>2869</v>
      </c>
      <c r="N703" s="175" t="str">
        <f>VLOOKUP(M703, '2017 SIC to NAICS'!A:D, 2)</f>
        <v>Industrial Organic Chemicals, Nec</v>
      </c>
      <c r="P703" s="187" t="str">
        <f>VLOOKUP(M703, '2017 SIC to NAICS'!A:D, 4)</f>
        <v>All Other Miscellaneous Chemical Product and Preparation Manufacturing</v>
      </c>
      <c r="Q703" s="176" t="str">
        <f>IFERROR(VLOOKUP(O703, 'NAICS OES crosswalk'!A:C, 3, FALSE), VLOOKUP(M703, 'NAICS OES crosswalk'!A:C, 3, FALSE))</f>
        <v>Manufacturing</v>
      </c>
      <c r="U703" s="190" t="s">
        <v>1288</v>
      </c>
      <c r="V703" s="11" t="s">
        <v>1286</v>
      </c>
      <c r="W703" s="11"/>
      <c r="X703" s="11">
        <v>48.838990500000001</v>
      </c>
      <c r="Y703" s="11" t="b">
        <f t="shared" si="12"/>
        <v>0</v>
      </c>
    </row>
    <row r="704" spans="1:25" ht="29" x14ac:dyDescent="0.35">
      <c r="A704" s="11">
        <v>2022</v>
      </c>
      <c r="B704" s="11" t="s">
        <v>1980</v>
      </c>
      <c r="C704" s="11" t="s">
        <v>1272</v>
      </c>
      <c r="D704" s="163">
        <v>110031112659</v>
      </c>
      <c r="E704" s="11" t="s">
        <v>118</v>
      </c>
      <c r="F704" s="11" t="s">
        <v>119</v>
      </c>
      <c r="G704" s="11" t="s">
        <v>1219</v>
      </c>
      <c r="H704" s="11" t="s">
        <v>108</v>
      </c>
      <c r="I704" s="11" t="s">
        <v>1981</v>
      </c>
      <c r="J704" s="11">
        <v>37.801943999999999</v>
      </c>
      <c r="K704" s="11">
        <v>-84.261111</v>
      </c>
      <c r="L704" s="11">
        <v>4952</v>
      </c>
      <c r="M704" s="11">
        <v>4952</v>
      </c>
      <c r="N704" s="175" t="str">
        <f>VLOOKUP(M704, '2017 SIC to NAICS'!A:D, 2)</f>
        <v>Sewerage Systems</v>
      </c>
      <c r="O704" s="11">
        <v>221320</v>
      </c>
      <c r="P704" s="187" t="str">
        <f>VLOOKUP(M704, '2017 SIC to NAICS'!A:D, 4)</f>
        <v>Sewage Treatment Facilities</v>
      </c>
      <c r="Q704" s="176" t="str">
        <f>IFERROR(VLOOKUP(O704, 'NAICS OES crosswalk'!A:C, 3, FALSE), VLOOKUP(M704, 'NAICS OES crosswalk'!A:C, 3, FALSE))</f>
        <v>Waste handling, disposal, and treatment</v>
      </c>
      <c r="U704" s="190" t="s">
        <v>1274</v>
      </c>
      <c r="V704" s="11" t="s">
        <v>1273</v>
      </c>
      <c r="W704" s="11"/>
      <c r="X704" s="11">
        <v>34.448325875000002</v>
      </c>
      <c r="Y704" s="11" t="b">
        <f t="shared" si="12"/>
        <v>0</v>
      </c>
    </row>
    <row r="705" spans="1:25" ht="29" x14ac:dyDescent="0.35">
      <c r="A705" s="11">
        <v>2022</v>
      </c>
      <c r="B705" s="11" t="s">
        <v>1980</v>
      </c>
      <c r="C705" s="11" t="s">
        <v>1199</v>
      </c>
      <c r="D705" s="163">
        <v>110000732351</v>
      </c>
      <c r="E705" s="11" t="s">
        <v>130</v>
      </c>
      <c r="F705" s="11" t="s">
        <v>131</v>
      </c>
      <c r="G705" s="11" t="s">
        <v>1200</v>
      </c>
      <c r="H705" s="11" t="s">
        <v>108</v>
      </c>
      <c r="I705" s="11" t="s">
        <v>1981</v>
      </c>
      <c r="J705" s="11">
        <v>37.621431000000001</v>
      </c>
      <c r="K705" s="11">
        <v>-84.733756</v>
      </c>
      <c r="L705" s="11">
        <v>4952</v>
      </c>
      <c r="M705" s="11">
        <v>4952</v>
      </c>
      <c r="N705" s="175" t="str">
        <f>VLOOKUP(M705, '2017 SIC to NAICS'!A:D, 2)</f>
        <v>Sewerage Systems</v>
      </c>
      <c r="O705" s="11">
        <v>221320</v>
      </c>
      <c r="P705" s="187" t="str">
        <f>VLOOKUP(M705, '2017 SIC to NAICS'!A:D, 4)</f>
        <v>Sewage Treatment Facilities</v>
      </c>
      <c r="Q705" s="176" t="str">
        <f>IFERROR(VLOOKUP(O705, 'NAICS OES crosswalk'!A:C, 3, FALSE), VLOOKUP(M705, 'NAICS OES crosswalk'!A:C, 3, FALSE))</f>
        <v>Waste handling, disposal, and treatment</v>
      </c>
      <c r="U705" s="190" t="s">
        <v>1202</v>
      </c>
      <c r="V705" s="11" t="s">
        <v>1201</v>
      </c>
      <c r="W705" s="11"/>
      <c r="X705" s="11">
        <v>20.412031875</v>
      </c>
      <c r="Y705" s="11" t="b">
        <f t="shared" si="12"/>
        <v>0</v>
      </c>
    </row>
    <row r="706" spans="1:25" ht="29" x14ac:dyDescent="0.35">
      <c r="A706" s="11">
        <v>2022</v>
      </c>
      <c r="B706" s="11" t="s">
        <v>1980</v>
      </c>
      <c r="C706" s="11" t="s">
        <v>1236</v>
      </c>
      <c r="D706" s="163">
        <v>110043485421</v>
      </c>
      <c r="E706" s="11" t="s">
        <v>123</v>
      </c>
      <c r="F706" s="11" t="s">
        <v>107</v>
      </c>
      <c r="G706" s="11" t="s">
        <v>782</v>
      </c>
      <c r="H706" s="11" t="s">
        <v>108</v>
      </c>
      <c r="I706" s="11" t="s">
        <v>1981</v>
      </c>
      <c r="J706" s="11">
        <v>38.122354000000001</v>
      </c>
      <c r="K706" s="11">
        <v>-85.587648000000002</v>
      </c>
      <c r="L706" s="11">
        <v>4952</v>
      </c>
      <c r="M706" s="11">
        <v>4952</v>
      </c>
      <c r="N706" s="175" t="str">
        <f>VLOOKUP(M706, '2017 SIC to NAICS'!A:D, 2)</f>
        <v>Sewerage Systems</v>
      </c>
      <c r="O706" s="11">
        <v>221320</v>
      </c>
      <c r="P706" s="187" t="str">
        <f>VLOOKUP(M706, '2017 SIC to NAICS'!A:D, 4)</f>
        <v>Sewage Treatment Facilities</v>
      </c>
      <c r="Q706" s="176" t="str">
        <f>IFERROR(VLOOKUP(O706, 'NAICS OES crosswalk'!A:C, 3, FALSE), VLOOKUP(M706, 'NAICS OES crosswalk'!A:C, 3, FALSE))</f>
        <v>Waste handling, disposal, and treatment</v>
      </c>
      <c r="U706" s="190" t="s">
        <v>1238</v>
      </c>
      <c r="V706" s="11" t="s">
        <v>1237</v>
      </c>
      <c r="W706" s="11"/>
      <c r="X706" s="11">
        <v>20.066650625000001</v>
      </c>
      <c r="Y706" s="11" t="b">
        <f t="shared" si="12"/>
        <v>0</v>
      </c>
    </row>
    <row r="707" spans="1:25" ht="29" x14ac:dyDescent="0.35">
      <c r="A707" s="11">
        <v>2022</v>
      </c>
      <c r="B707" s="11" t="s">
        <v>1980</v>
      </c>
      <c r="C707" s="11" t="s">
        <v>1119</v>
      </c>
      <c r="D707" s="163">
        <v>110000571373</v>
      </c>
      <c r="E707" s="11" t="s">
        <v>116</v>
      </c>
      <c r="F707" s="11" t="s">
        <v>117</v>
      </c>
      <c r="G707" s="11" t="s">
        <v>1120</v>
      </c>
      <c r="H707" s="11" t="s">
        <v>108</v>
      </c>
      <c r="I707" s="11" t="s">
        <v>1981</v>
      </c>
      <c r="J707" s="11">
        <v>37.642310000000002</v>
      </c>
      <c r="K707" s="11">
        <v>-85.903570000000002</v>
      </c>
      <c r="L707" s="11">
        <v>4952</v>
      </c>
      <c r="M707" s="11">
        <v>4952</v>
      </c>
      <c r="N707" s="175" t="str">
        <f>VLOOKUP(M707, '2017 SIC to NAICS'!A:D, 2)</f>
        <v>Sewerage Systems</v>
      </c>
      <c r="O707" s="11">
        <v>221320</v>
      </c>
      <c r="P707" s="187" t="str">
        <f>VLOOKUP(M707, '2017 SIC to NAICS'!A:D, 4)</f>
        <v>Sewage Treatment Facilities</v>
      </c>
      <c r="Q707" s="176" t="str">
        <f>IFERROR(VLOOKUP(O707, 'NAICS OES crosswalk'!A:C, 3, FALSE), VLOOKUP(M707, 'NAICS OES crosswalk'!A:C, 3, FALSE))</f>
        <v>Waste handling, disposal, and treatment</v>
      </c>
      <c r="U707" s="190" t="s">
        <v>1122</v>
      </c>
      <c r="V707" s="11" t="s">
        <v>1121</v>
      </c>
      <c r="W707" s="11"/>
      <c r="X707" s="11">
        <v>20.0321125</v>
      </c>
      <c r="Y707" s="11" t="b">
        <f t="shared" si="12"/>
        <v>0</v>
      </c>
    </row>
    <row r="708" spans="1:25" x14ac:dyDescent="0.35">
      <c r="A708" s="11">
        <v>2022</v>
      </c>
      <c r="B708" s="11" t="s">
        <v>1980</v>
      </c>
      <c r="C708" s="11" t="s">
        <v>1027</v>
      </c>
      <c r="D708" s="163">
        <v>110000746211</v>
      </c>
      <c r="E708" s="11" t="s">
        <v>121</v>
      </c>
      <c r="F708" s="11" t="s">
        <v>122</v>
      </c>
      <c r="G708" s="11" t="s">
        <v>1028</v>
      </c>
      <c r="H708" s="11" t="s">
        <v>111</v>
      </c>
      <c r="I708" s="11" t="s">
        <v>1981</v>
      </c>
      <c r="J708" s="11">
        <v>39.795811999999998</v>
      </c>
      <c r="K708" s="11">
        <v>-88.347945999999993</v>
      </c>
      <c r="L708" s="11">
        <v>2869</v>
      </c>
      <c r="M708" s="11">
        <v>2869</v>
      </c>
      <c r="N708" s="175" t="str">
        <f>VLOOKUP(M708, '2017 SIC to NAICS'!A:D, 2)</f>
        <v>Industrial Organic Chemicals, Nec</v>
      </c>
      <c r="P708" s="187" t="str">
        <f>VLOOKUP(M708, '2017 SIC to NAICS'!A:D, 4)</f>
        <v>All Other Miscellaneous Chemical Product and Preparation Manufacturing</v>
      </c>
      <c r="Q708" s="176" t="str">
        <f>IFERROR(VLOOKUP(O708, 'NAICS OES crosswalk'!A:C, 3, FALSE), VLOOKUP(M708, 'NAICS OES crosswalk'!A:C, 3, FALSE))</f>
        <v>Manufacturing</v>
      </c>
      <c r="U708" s="190" t="s">
        <v>1031</v>
      </c>
      <c r="V708" s="11" t="s">
        <v>1029</v>
      </c>
      <c r="W708" s="11"/>
      <c r="X708" s="11">
        <v>18.096893999999999</v>
      </c>
      <c r="Y708" s="11" t="b">
        <f t="shared" si="12"/>
        <v>0</v>
      </c>
    </row>
    <row r="709" spans="1:25" ht="29" x14ac:dyDescent="0.35">
      <c r="A709" s="11">
        <v>2022</v>
      </c>
      <c r="B709" s="11" t="s">
        <v>1980</v>
      </c>
      <c r="C709" s="11" t="s">
        <v>1239</v>
      </c>
      <c r="D709" s="163">
        <v>110043486457</v>
      </c>
      <c r="E709" s="11" t="s">
        <v>138</v>
      </c>
      <c r="F709" s="11" t="s">
        <v>107</v>
      </c>
      <c r="G709" s="11" t="s">
        <v>782</v>
      </c>
      <c r="H709" s="11" t="s">
        <v>108</v>
      </c>
      <c r="I709" s="11" t="s">
        <v>1981</v>
      </c>
      <c r="J709" s="11">
        <v>38.236699999999999</v>
      </c>
      <c r="K709" s="11">
        <v>-85.466710000000006</v>
      </c>
      <c r="L709" s="11">
        <v>4952</v>
      </c>
      <c r="M709" s="11">
        <v>4952</v>
      </c>
      <c r="N709" s="175" t="str">
        <f>VLOOKUP(M709, '2017 SIC to NAICS'!A:D, 2)</f>
        <v>Sewerage Systems</v>
      </c>
      <c r="O709" s="11">
        <v>221320</v>
      </c>
      <c r="P709" s="187" t="str">
        <f>VLOOKUP(M709, '2017 SIC to NAICS'!A:D, 4)</f>
        <v>Sewage Treatment Facilities</v>
      </c>
      <c r="Q709" s="176" t="str">
        <f>IFERROR(VLOOKUP(O709, 'NAICS OES crosswalk'!A:C, 3, FALSE), VLOOKUP(M709, 'NAICS OES crosswalk'!A:C, 3, FALSE))</f>
        <v>Waste handling, disposal, and treatment</v>
      </c>
      <c r="U709" s="190" t="s">
        <v>1241</v>
      </c>
      <c r="V709" s="11" t="s">
        <v>1240</v>
      </c>
      <c r="W709" s="11"/>
      <c r="X709" s="11">
        <v>14.457659124999999</v>
      </c>
      <c r="Y709" s="11" t="b">
        <f t="shared" si="12"/>
        <v>0</v>
      </c>
    </row>
    <row r="710" spans="1:25" ht="29" x14ac:dyDescent="0.35">
      <c r="A710" s="11">
        <v>2022</v>
      </c>
      <c r="B710" s="11" t="s">
        <v>1980</v>
      </c>
      <c r="C710" s="11" t="s">
        <v>1128</v>
      </c>
      <c r="D710" s="163">
        <v>110000732271</v>
      </c>
      <c r="E710" s="11" t="s">
        <v>139</v>
      </c>
      <c r="F710" s="11" t="s">
        <v>107</v>
      </c>
      <c r="G710" s="11" t="s">
        <v>782</v>
      </c>
      <c r="H710" s="11" t="s">
        <v>108</v>
      </c>
      <c r="I710" s="11" t="s">
        <v>1981</v>
      </c>
      <c r="J710" s="11">
        <v>38.322221999999996</v>
      </c>
      <c r="K710" s="11">
        <v>-85.555000000000007</v>
      </c>
      <c r="L710" s="11">
        <v>4952</v>
      </c>
      <c r="M710" s="11">
        <v>4952</v>
      </c>
      <c r="N710" s="175" t="str">
        <f>VLOOKUP(M710, '2017 SIC to NAICS'!A:D, 2)</f>
        <v>Sewerage Systems</v>
      </c>
      <c r="O710" s="11">
        <v>221320</v>
      </c>
      <c r="P710" s="187" t="str">
        <f>VLOOKUP(M710, '2017 SIC to NAICS'!A:D, 4)</f>
        <v>Sewage Treatment Facilities</v>
      </c>
      <c r="Q710" s="176" t="str">
        <f>IFERROR(VLOOKUP(O710, 'NAICS OES crosswalk'!A:C, 3, FALSE), VLOOKUP(M710, 'NAICS OES crosswalk'!A:C, 3, FALSE))</f>
        <v>Waste handling, disposal, and treatment</v>
      </c>
      <c r="U710" s="190" t="s">
        <v>1130</v>
      </c>
      <c r="V710" s="11" t="s">
        <v>1129</v>
      </c>
      <c r="W710" s="11"/>
      <c r="X710" s="11">
        <v>14.24352275</v>
      </c>
      <c r="Y710" s="11" t="b">
        <f t="shared" si="12"/>
        <v>0</v>
      </c>
    </row>
    <row r="711" spans="1:25" x14ac:dyDescent="0.35">
      <c r="A711" s="11">
        <v>2022</v>
      </c>
      <c r="B711" s="11" t="s">
        <v>1980</v>
      </c>
      <c r="C711" s="11" t="s">
        <v>784</v>
      </c>
      <c r="D711" s="163">
        <v>110000460901</v>
      </c>
      <c r="E711" s="11" t="s">
        <v>146</v>
      </c>
      <c r="F711" s="11" t="s">
        <v>94</v>
      </c>
      <c r="G711" s="11" t="s">
        <v>747</v>
      </c>
      <c r="H711" s="11" t="s">
        <v>95</v>
      </c>
      <c r="I711" s="11" t="s">
        <v>1981</v>
      </c>
      <c r="J711" s="11">
        <v>29.718139000000001</v>
      </c>
      <c r="K711" s="11">
        <v>-95.268749999999997</v>
      </c>
      <c r="L711" s="11">
        <v>2819</v>
      </c>
      <c r="M711" s="11">
        <v>2819</v>
      </c>
      <c r="N711" s="175" t="str">
        <f>VLOOKUP(M711, '2017 SIC to NAICS'!A:D, 2)</f>
        <v>Industrial Inorganic Chemicals, Nec</v>
      </c>
      <c r="P711" s="187" t="str">
        <f>VLOOKUP(M711, '2017 SIC to NAICS'!A:D, 4)</f>
        <v>Alumina Refining and Primary Aluminum
Production</v>
      </c>
      <c r="Q711" s="176" t="str">
        <f>IFERROR(VLOOKUP(O711, 'NAICS OES crosswalk'!A:C, 3, FALSE), VLOOKUP(M711, 'NAICS OES crosswalk'!A:C, 3, FALSE))</f>
        <v>Processing as a reactant</v>
      </c>
      <c r="U711" s="188">
        <v>120401040502</v>
      </c>
      <c r="V711" s="11" t="s">
        <v>787</v>
      </c>
      <c r="W711" s="11"/>
      <c r="X711" s="11">
        <v>11.50436</v>
      </c>
      <c r="Y711" s="11" t="b">
        <f t="shared" si="12"/>
        <v>0</v>
      </c>
    </row>
    <row r="712" spans="1:25" x14ac:dyDescent="0.35">
      <c r="A712" s="11">
        <v>2022</v>
      </c>
      <c r="B712" s="11" t="s">
        <v>1980</v>
      </c>
      <c r="C712" s="11" t="s">
        <v>784</v>
      </c>
      <c r="D712" s="163">
        <v>110000460901</v>
      </c>
      <c r="E712" s="11" t="s">
        <v>146</v>
      </c>
      <c r="F712" s="11" t="s">
        <v>94</v>
      </c>
      <c r="G712" s="11" t="s">
        <v>747</v>
      </c>
      <c r="H712" s="11" t="s">
        <v>95</v>
      </c>
      <c r="I712" s="11" t="s">
        <v>1981</v>
      </c>
      <c r="J712" s="11">
        <v>29.718139000000001</v>
      </c>
      <c r="K712" s="11">
        <v>-95.268749999999997</v>
      </c>
      <c r="L712" s="11">
        <v>2819</v>
      </c>
      <c r="M712" s="11">
        <v>2819</v>
      </c>
      <c r="N712" s="175" t="str">
        <f>VLOOKUP(M712, '2017 SIC to NAICS'!A:D, 2)</f>
        <v>Industrial Inorganic Chemicals, Nec</v>
      </c>
      <c r="P712" s="187" t="str">
        <f>VLOOKUP(M712, '2017 SIC to NAICS'!A:D, 4)</f>
        <v>Alumina Refining and Primary Aluminum
Production</v>
      </c>
      <c r="Q712" s="176" t="str">
        <f>IFERROR(VLOOKUP(O712, 'NAICS OES crosswalk'!A:C, 3, FALSE), VLOOKUP(M712, 'NAICS OES crosswalk'!A:C, 3, FALSE))</f>
        <v>Processing as a reactant</v>
      </c>
      <c r="U712" s="188">
        <v>120401040502</v>
      </c>
      <c r="V712" s="11" t="s">
        <v>787</v>
      </c>
      <c r="W712" s="11"/>
      <c r="X712" s="11">
        <v>11.50436</v>
      </c>
      <c r="Y712" s="11" t="b">
        <f t="shared" si="12"/>
        <v>0</v>
      </c>
    </row>
    <row r="713" spans="1:25" x14ac:dyDescent="0.35">
      <c r="A713" s="11">
        <v>2022</v>
      </c>
      <c r="B713" s="11" t="s">
        <v>1980</v>
      </c>
      <c r="C713" s="11" t="s">
        <v>784</v>
      </c>
      <c r="D713" s="163">
        <v>110000460901</v>
      </c>
      <c r="E713" s="11" t="s">
        <v>146</v>
      </c>
      <c r="F713" s="11" t="s">
        <v>94</v>
      </c>
      <c r="G713" s="11" t="s">
        <v>747</v>
      </c>
      <c r="H713" s="11" t="s">
        <v>95</v>
      </c>
      <c r="I713" s="11" t="s">
        <v>1981</v>
      </c>
      <c r="J713" s="11">
        <v>29.718139000000001</v>
      </c>
      <c r="K713" s="11">
        <v>-95.268749999999997</v>
      </c>
      <c r="L713" s="11">
        <v>2819</v>
      </c>
      <c r="M713" s="11">
        <v>2819</v>
      </c>
      <c r="N713" s="175" t="str">
        <f>VLOOKUP(M713, '2017 SIC to NAICS'!A:D, 2)</f>
        <v>Industrial Inorganic Chemicals, Nec</v>
      </c>
      <c r="P713" s="187" t="str">
        <f>VLOOKUP(M713, '2017 SIC to NAICS'!A:D, 4)</f>
        <v>Alumina Refining and Primary Aluminum
Production</v>
      </c>
      <c r="Q713" s="176" t="str">
        <f>IFERROR(VLOOKUP(O713, 'NAICS OES crosswalk'!A:C, 3, FALSE), VLOOKUP(M713, 'NAICS OES crosswalk'!A:C, 3, FALSE))</f>
        <v>Processing as a reactant</v>
      </c>
      <c r="U713" s="188">
        <v>120401040502</v>
      </c>
      <c r="V713" s="11" t="s">
        <v>787</v>
      </c>
      <c r="W713" s="11"/>
      <c r="X713" s="11">
        <v>10.764340000000001</v>
      </c>
      <c r="Y713" s="11" t="b">
        <f t="shared" si="12"/>
        <v>0</v>
      </c>
    </row>
    <row r="714" spans="1:25" x14ac:dyDescent="0.35">
      <c r="A714" s="11">
        <v>2022</v>
      </c>
      <c r="B714" s="11" t="s">
        <v>1980</v>
      </c>
      <c r="C714" s="11" t="s">
        <v>830</v>
      </c>
      <c r="D714" s="163">
        <v>110000326521</v>
      </c>
      <c r="E714" s="11" t="s">
        <v>124</v>
      </c>
      <c r="F714" s="11" t="s">
        <v>125</v>
      </c>
      <c r="G714" s="11" t="s">
        <v>831</v>
      </c>
      <c r="H714" s="11" t="s">
        <v>126</v>
      </c>
      <c r="I714" s="11" t="s">
        <v>1981</v>
      </c>
      <c r="J714" s="11">
        <v>43.165965999999997</v>
      </c>
      <c r="K714" s="11">
        <v>-78.740509000000003</v>
      </c>
      <c r="L714" s="11">
        <v>3714</v>
      </c>
      <c r="M714" s="11">
        <v>3714</v>
      </c>
      <c r="N714" s="175" t="str">
        <f>VLOOKUP(M714, '2017 SIC to NAICS'!A:D, 2)</f>
        <v>Motor Vehicle Parts and Accessories</v>
      </c>
      <c r="P714" s="187" t="str">
        <f>VLOOKUP(M714, '2017 SIC to NAICS'!A:D, 4)</f>
        <v>Other Motor Vehicle Parts Manufacturing</v>
      </c>
      <c r="Q714" s="176" t="e">
        <f>IFERROR(VLOOKUP(O714, 'NAICS OES crosswalk'!A:C, 3, FALSE), VLOOKUP(M714, 'NAICS OES crosswalk'!A:C, 3, FALSE))</f>
        <v>#N/A</v>
      </c>
      <c r="U714" s="190" t="s">
        <v>836</v>
      </c>
      <c r="V714" s="11" t="s">
        <v>834</v>
      </c>
      <c r="W714" s="11"/>
      <c r="X714" s="11">
        <v>9.2193137499999995</v>
      </c>
      <c r="Y714" s="11" t="b">
        <f t="shared" si="12"/>
        <v>0</v>
      </c>
    </row>
    <row r="715" spans="1:25" ht="29" x14ac:dyDescent="0.35">
      <c r="A715" s="11">
        <v>2022</v>
      </c>
      <c r="B715" s="11" t="s">
        <v>1980</v>
      </c>
      <c r="C715" s="11" t="s">
        <v>1081</v>
      </c>
      <c r="D715" s="163">
        <v>110000732208</v>
      </c>
      <c r="E715" s="11" t="s">
        <v>164</v>
      </c>
      <c r="F715" s="11" t="s">
        <v>165</v>
      </c>
      <c r="G715" s="11" t="s">
        <v>1082</v>
      </c>
      <c r="H715" s="11" t="s">
        <v>108</v>
      </c>
      <c r="I715" s="11" t="s">
        <v>1981</v>
      </c>
      <c r="J715" s="11">
        <v>38.217222</v>
      </c>
      <c r="K715" s="11">
        <v>-84.564166999999998</v>
      </c>
      <c r="L715" s="11">
        <v>4952</v>
      </c>
      <c r="M715" s="11">
        <v>4952</v>
      </c>
      <c r="N715" s="175" t="str">
        <f>VLOOKUP(M715, '2017 SIC to NAICS'!A:D, 2)</f>
        <v>Sewerage Systems</v>
      </c>
      <c r="O715" s="11">
        <v>221320</v>
      </c>
      <c r="P715" s="187" t="str">
        <f>VLOOKUP(M715, '2017 SIC to NAICS'!A:D, 4)</f>
        <v>Sewage Treatment Facilities</v>
      </c>
      <c r="Q715" s="176" t="str">
        <f>IFERROR(VLOOKUP(O715, 'NAICS OES crosswalk'!A:C, 3, FALSE), VLOOKUP(M715, 'NAICS OES crosswalk'!A:C, 3, FALSE))</f>
        <v>Waste handling, disposal, and treatment</v>
      </c>
      <c r="U715" s="190" t="s">
        <v>1084</v>
      </c>
      <c r="V715" s="11" t="s">
        <v>1083</v>
      </c>
      <c r="W715" s="11"/>
      <c r="X715" s="11">
        <v>8.7726837500000006</v>
      </c>
      <c r="Y715" s="11" t="b">
        <f t="shared" si="12"/>
        <v>0</v>
      </c>
    </row>
    <row r="716" spans="1:25" x14ac:dyDescent="0.35">
      <c r="A716" s="11">
        <v>2022</v>
      </c>
      <c r="B716" s="11" t="s">
        <v>1980</v>
      </c>
      <c r="C716" s="11" t="s">
        <v>1057</v>
      </c>
      <c r="D716" s="163">
        <v>110000403670</v>
      </c>
      <c r="E716" s="11" t="s">
        <v>149</v>
      </c>
      <c r="F716" s="11" t="s">
        <v>150</v>
      </c>
      <c r="G716" s="11" t="s">
        <v>1058</v>
      </c>
      <c r="H716" s="11" t="s">
        <v>151</v>
      </c>
      <c r="I716" s="11" t="s">
        <v>1981</v>
      </c>
      <c r="J716" s="11">
        <v>37.907200000000003</v>
      </c>
      <c r="K716" s="11">
        <v>-87.927099999999996</v>
      </c>
      <c r="L716" s="11">
        <v>2821</v>
      </c>
      <c r="M716" s="11">
        <v>2821</v>
      </c>
      <c r="N716" s="175" t="str">
        <f>VLOOKUP(M716, '2017 SIC to NAICS'!A:D, 2)</f>
        <v>Plastics Materials and Resins</v>
      </c>
      <c r="P716" s="187" t="str">
        <f>VLOOKUP(M716, '2017 SIC to NAICS'!A:D, 4)</f>
        <v>Plastics Material and Resin Manufacturing</v>
      </c>
      <c r="Q716" s="176" t="str">
        <f>IFERROR(VLOOKUP(O716, 'NAICS OES crosswalk'!A:C, 3, FALSE), VLOOKUP(M716, 'NAICS OES crosswalk'!A:C, 3, FALSE))</f>
        <v>Processing as a reactant</v>
      </c>
      <c r="U716" s="190" t="s">
        <v>1061</v>
      </c>
      <c r="V716" s="11" t="s">
        <v>1059</v>
      </c>
      <c r="W716" s="11"/>
      <c r="X716" s="11">
        <v>6.6828799999999999</v>
      </c>
      <c r="Y716" s="11" t="b">
        <f t="shared" si="12"/>
        <v>0</v>
      </c>
    </row>
    <row r="717" spans="1:25" ht="29" x14ac:dyDescent="0.35">
      <c r="A717" s="11">
        <v>2022</v>
      </c>
      <c r="B717" s="11" t="s">
        <v>1980</v>
      </c>
      <c r="C717" s="11" t="s">
        <v>1232</v>
      </c>
      <c r="D717" s="163">
        <v>110002041380</v>
      </c>
      <c r="E717" s="11" t="s">
        <v>136</v>
      </c>
      <c r="F717" s="11" t="s">
        <v>137</v>
      </c>
      <c r="G717" s="11" t="s">
        <v>1233</v>
      </c>
      <c r="H717" s="11" t="s">
        <v>108</v>
      </c>
      <c r="I717" s="11" t="s">
        <v>1981</v>
      </c>
      <c r="J717" s="11">
        <v>37.318492999999997</v>
      </c>
      <c r="K717" s="11">
        <v>-87.549857000000003</v>
      </c>
      <c r="L717" s="11">
        <v>4952</v>
      </c>
      <c r="M717" s="11">
        <v>4952</v>
      </c>
      <c r="N717" s="175" t="str">
        <f>VLOOKUP(M717, '2017 SIC to NAICS'!A:D, 2)</f>
        <v>Sewerage Systems</v>
      </c>
      <c r="O717" s="11">
        <v>221320</v>
      </c>
      <c r="P717" s="187" t="str">
        <f>VLOOKUP(M717, '2017 SIC to NAICS'!A:D, 4)</f>
        <v>Sewage Treatment Facilities</v>
      </c>
      <c r="Q717" s="176" t="str">
        <f>IFERROR(VLOOKUP(O717, 'NAICS OES crosswalk'!A:C, 3, FALSE), VLOOKUP(M717, 'NAICS OES crosswalk'!A:C, 3, FALSE))</f>
        <v>Waste handling, disposal, and treatment</v>
      </c>
      <c r="U717" s="190" t="s">
        <v>1235</v>
      </c>
      <c r="V717" s="11" t="s">
        <v>1234</v>
      </c>
      <c r="W717" s="11"/>
      <c r="X717" s="11">
        <v>6.4088944750000003</v>
      </c>
      <c r="Y717" s="11" t="b">
        <f t="shared" si="12"/>
        <v>0</v>
      </c>
    </row>
    <row r="718" spans="1:25" x14ac:dyDescent="0.35">
      <c r="A718" s="11">
        <v>2022</v>
      </c>
      <c r="B718" s="11" t="s">
        <v>1980</v>
      </c>
      <c r="C718" s="11" t="s">
        <v>1371</v>
      </c>
      <c r="D718" s="163">
        <v>110000410190</v>
      </c>
      <c r="E718" s="11" t="s">
        <v>179</v>
      </c>
      <c r="F718" s="11" t="s">
        <v>180</v>
      </c>
      <c r="G718" s="11" t="s">
        <v>1372</v>
      </c>
      <c r="H718" s="11" t="s">
        <v>181</v>
      </c>
      <c r="I718" s="11" t="s">
        <v>1982</v>
      </c>
      <c r="J718" s="11">
        <v>42.718290000000003</v>
      </c>
      <c r="K718" s="11">
        <v>-85.463239999999999</v>
      </c>
      <c r="L718" s="11">
        <v>3639</v>
      </c>
      <c r="M718" s="11">
        <v>3639</v>
      </c>
      <c r="N718" s="175" t="str">
        <f>VLOOKUP(M718, '2017 SIC to NAICS'!A:D, 2)</f>
        <v>Household Appliances, Nec</v>
      </c>
      <c r="O718" s="11">
        <v>335220</v>
      </c>
      <c r="P718" s="187" t="str">
        <f>VLOOKUP(M718, '2017 SIC to NAICS'!A:D, 4)</f>
        <v>Major Household Appliance Manufacturing</v>
      </c>
      <c r="Q718" s="176" t="e">
        <f>IFERROR(VLOOKUP(O718, 'NAICS OES crosswalk'!A:C, 3, FALSE), VLOOKUP(M718, 'NAICS OES crosswalk'!A:C, 3, FALSE))</f>
        <v>#N/A</v>
      </c>
      <c r="U718" s="190" t="s">
        <v>1374</v>
      </c>
      <c r="V718" s="11" t="s">
        <v>1373</v>
      </c>
      <c r="W718" s="11"/>
      <c r="X718" s="11">
        <v>5.7667624120000003</v>
      </c>
      <c r="Y718" s="11" t="b">
        <f t="shared" si="12"/>
        <v>0</v>
      </c>
    </row>
    <row r="719" spans="1:25" x14ac:dyDescent="0.35">
      <c r="A719" s="11">
        <v>2022</v>
      </c>
      <c r="B719" s="11" t="s">
        <v>1980</v>
      </c>
      <c r="C719" s="11" t="s">
        <v>1412</v>
      </c>
      <c r="D719" s="163">
        <v>110006739832</v>
      </c>
      <c r="E719" s="11" t="s">
        <v>186</v>
      </c>
      <c r="F719" s="11" t="s">
        <v>187</v>
      </c>
      <c r="G719" s="11" t="s">
        <v>1413</v>
      </c>
      <c r="H719" s="11" t="s">
        <v>181</v>
      </c>
      <c r="I719" s="11" t="s">
        <v>1982</v>
      </c>
      <c r="J719" s="11">
        <v>43.064709999999998</v>
      </c>
      <c r="K719" s="11">
        <v>-86.233519999999999</v>
      </c>
      <c r="L719" s="11">
        <v>5812</v>
      </c>
      <c r="M719" s="11">
        <v>5812</v>
      </c>
      <c r="N719" s="175" t="str">
        <f>VLOOKUP(M719, '2017 SIC to NAICS'!A:D, 2)</f>
        <v>Eating Places</v>
      </c>
      <c r="O719" s="11">
        <v>531120</v>
      </c>
      <c r="P719" s="187" t="str">
        <f>VLOOKUP(M719, '2017 SIC to NAICS'!A:D, 4)</f>
        <v>Snack and Nonalcoholic Beverage Bars</v>
      </c>
      <c r="Q719" s="176" t="e">
        <f>IFERROR(VLOOKUP(O719, 'NAICS OES crosswalk'!A:C, 3, FALSE), VLOOKUP(M719, 'NAICS OES crosswalk'!A:C, 3, FALSE))</f>
        <v>#N/A</v>
      </c>
      <c r="U719" s="190" t="s">
        <v>1415</v>
      </c>
      <c r="V719" s="11" t="s">
        <v>1414</v>
      </c>
      <c r="W719" s="11"/>
      <c r="X719" s="11">
        <v>5.5843581143999996</v>
      </c>
      <c r="Y719" s="11" t="b">
        <f t="shared" si="12"/>
        <v>0</v>
      </c>
    </row>
    <row r="720" spans="1:25" x14ac:dyDescent="0.35">
      <c r="A720" s="11">
        <v>2022</v>
      </c>
      <c r="B720" s="11" t="s">
        <v>1980</v>
      </c>
      <c r="C720" s="11" t="s">
        <v>1662</v>
      </c>
      <c r="D720" s="163">
        <v>110000915984</v>
      </c>
      <c r="E720" s="11" t="s">
        <v>192</v>
      </c>
      <c r="F720" s="11" t="s">
        <v>193</v>
      </c>
      <c r="G720" s="11" t="s">
        <v>1663</v>
      </c>
      <c r="H720" s="11" t="s">
        <v>194</v>
      </c>
      <c r="I720" s="11" t="s">
        <v>1981</v>
      </c>
      <c r="J720" s="11">
        <v>35.118552999999999</v>
      </c>
      <c r="K720" s="11">
        <v>-81.559533000000002</v>
      </c>
      <c r="L720" s="11">
        <v>2261</v>
      </c>
      <c r="M720" s="11">
        <v>2261</v>
      </c>
      <c r="N720" s="175" t="str">
        <f>VLOOKUP(M720, '2017 SIC to NAICS'!A:D, 2)</f>
        <v>Finishing Plants, Cotton</v>
      </c>
      <c r="O720" s="11">
        <v>313310</v>
      </c>
      <c r="P720" s="187" t="str">
        <f>VLOOKUP(M720, '2017 SIC to NAICS'!A:D, 4)</f>
        <v>Textile and Fabric Finishing Mills</v>
      </c>
      <c r="Q720" s="176" t="e">
        <f>IFERROR(VLOOKUP(O720, 'NAICS OES crosswalk'!A:C, 3, FALSE), VLOOKUP(M720, 'NAICS OES crosswalk'!A:C, 3, FALSE))</f>
        <v>#N/A</v>
      </c>
      <c r="U720" s="190" t="s">
        <v>1667</v>
      </c>
      <c r="V720" s="11" t="s">
        <v>1666</v>
      </c>
      <c r="W720" s="11"/>
      <c r="X720" s="11">
        <v>4.8967305000000003</v>
      </c>
      <c r="Y720" s="11" t="b">
        <f t="shared" si="12"/>
        <v>0</v>
      </c>
    </row>
    <row r="721" spans="1:25" ht="29" x14ac:dyDescent="0.35">
      <c r="A721" s="11">
        <v>2022</v>
      </c>
      <c r="B721" s="11" t="s">
        <v>1980</v>
      </c>
      <c r="C721" s="11" t="s">
        <v>1112</v>
      </c>
      <c r="D721" s="163">
        <v>110064612557</v>
      </c>
      <c r="E721" s="11" t="s">
        <v>152</v>
      </c>
      <c r="F721" s="11" t="s">
        <v>153</v>
      </c>
      <c r="G721" s="11" t="s">
        <v>1113</v>
      </c>
      <c r="H721" s="11" t="s">
        <v>108</v>
      </c>
      <c r="I721" s="11" t="s">
        <v>1981</v>
      </c>
      <c r="J721" s="11">
        <v>37.671391</v>
      </c>
      <c r="K721" s="11">
        <v>-87.828888000000006</v>
      </c>
      <c r="L721" s="11">
        <v>4952</v>
      </c>
      <c r="M721" s="11">
        <v>4952</v>
      </c>
      <c r="N721" s="175" t="str">
        <f>VLOOKUP(M721, '2017 SIC to NAICS'!A:D, 2)</f>
        <v>Sewerage Systems</v>
      </c>
      <c r="O721" s="11">
        <v>221320</v>
      </c>
      <c r="P721" s="187" t="str">
        <f>VLOOKUP(M721, '2017 SIC to NAICS'!A:D, 4)</f>
        <v>Sewage Treatment Facilities</v>
      </c>
      <c r="Q721" s="176" t="str">
        <f>IFERROR(VLOOKUP(O721, 'NAICS OES crosswalk'!A:C, 3, FALSE), VLOOKUP(M721, 'NAICS OES crosswalk'!A:C, 3, FALSE))</f>
        <v>Waste handling, disposal, and treatment</v>
      </c>
      <c r="U721" s="190" t="s">
        <v>1115</v>
      </c>
      <c r="V721" s="11" t="s">
        <v>1114</v>
      </c>
      <c r="W721" s="11"/>
      <c r="X721" s="11">
        <v>3.5712421249999999</v>
      </c>
      <c r="Y721" s="11" t="b">
        <f t="shared" si="12"/>
        <v>0</v>
      </c>
    </row>
    <row r="722" spans="1:25" ht="29" x14ac:dyDescent="0.35">
      <c r="A722" s="11">
        <v>2022</v>
      </c>
      <c r="B722" s="11" t="s">
        <v>1980</v>
      </c>
      <c r="C722" s="11" t="s">
        <v>1101</v>
      </c>
      <c r="D722" s="163">
        <v>110001855635</v>
      </c>
      <c r="E722" s="11" t="s">
        <v>177</v>
      </c>
      <c r="F722" s="11" t="s">
        <v>178</v>
      </c>
      <c r="G722" s="11" t="s">
        <v>1077</v>
      </c>
      <c r="H722" s="11" t="s">
        <v>108</v>
      </c>
      <c r="I722" s="11" t="s">
        <v>1981</v>
      </c>
      <c r="J722" s="11">
        <v>36.866140000000001</v>
      </c>
      <c r="K722" s="11">
        <v>-88.342470000000006</v>
      </c>
      <c r="L722" s="11">
        <v>4952</v>
      </c>
      <c r="M722" s="11">
        <v>4952</v>
      </c>
      <c r="N722" s="175" t="str">
        <f>VLOOKUP(M722, '2017 SIC to NAICS'!A:D, 2)</f>
        <v>Sewerage Systems</v>
      </c>
      <c r="O722" s="11">
        <v>221320</v>
      </c>
      <c r="P722" s="187" t="str">
        <f>VLOOKUP(M722, '2017 SIC to NAICS'!A:D, 4)</f>
        <v>Sewage Treatment Facilities</v>
      </c>
      <c r="Q722" s="176" t="str">
        <f>IFERROR(VLOOKUP(O722, 'NAICS OES crosswalk'!A:C, 3, FALSE), VLOOKUP(M722, 'NAICS OES crosswalk'!A:C, 3, FALSE))</f>
        <v>Waste handling, disposal, and treatment</v>
      </c>
      <c r="U722" s="190" t="s">
        <v>1103</v>
      </c>
      <c r="V722" s="11" t="s">
        <v>1102</v>
      </c>
      <c r="W722" s="11"/>
      <c r="X722" s="11">
        <v>3.4641739375</v>
      </c>
      <c r="Y722" s="11" t="b">
        <f t="shared" si="12"/>
        <v>0</v>
      </c>
    </row>
    <row r="723" spans="1:25" ht="29" x14ac:dyDescent="0.35">
      <c r="A723" s="11">
        <v>2022</v>
      </c>
      <c r="B723" s="11" t="s">
        <v>1980</v>
      </c>
      <c r="C723" s="11" t="s">
        <v>913</v>
      </c>
      <c r="D723" s="163">
        <v>110064252419</v>
      </c>
      <c r="E723" s="11" t="s">
        <v>216</v>
      </c>
      <c r="F723" s="11" t="s">
        <v>119</v>
      </c>
      <c r="G723" s="11" t="s">
        <v>886</v>
      </c>
      <c r="H723" s="11" t="s">
        <v>102</v>
      </c>
      <c r="I723" s="11" t="s">
        <v>1981</v>
      </c>
      <c r="J723" s="11">
        <v>37.977150000000002</v>
      </c>
      <c r="K723" s="11">
        <v>-122.33269</v>
      </c>
      <c r="L723" s="11">
        <v>4952</v>
      </c>
      <c r="M723" s="11">
        <v>4952</v>
      </c>
      <c r="N723" s="175" t="str">
        <f>VLOOKUP(M723, '2017 SIC to NAICS'!A:D, 2)</f>
        <v>Sewerage Systems</v>
      </c>
      <c r="P723" s="187" t="str">
        <f>VLOOKUP(M723, '2017 SIC to NAICS'!A:D, 4)</f>
        <v>Sewage Treatment Facilities</v>
      </c>
      <c r="Q723" s="176" t="str">
        <f>IFERROR(VLOOKUP(O723, 'NAICS OES crosswalk'!A:C, 3, FALSE), VLOOKUP(M723, 'NAICS OES crosswalk'!A:C, 3, FALSE))</f>
        <v>Waste handling, disposal, and treatment</v>
      </c>
      <c r="U723" s="188">
        <v>180500020702</v>
      </c>
      <c r="V723" s="11" t="s">
        <v>914</v>
      </c>
      <c r="W723" s="11"/>
      <c r="X723" s="11">
        <v>3.1705998750000002</v>
      </c>
      <c r="Y723" s="11" t="b">
        <f t="shared" si="12"/>
        <v>0</v>
      </c>
    </row>
    <row r="724" spans="1:25" x14ac:dyDescent="0.35">
      <c r="A724" s="11">
        <v>2022</v>
      </c>
      <c r="B724" s="11" t="s">
        <v>1980</v>
      </c>
      <c r="C724" s="11" t="s">
        <v>1018</v>
      </c>
      <c r="D724" s="163">
        <v>110006777247</v>
      </c>
      <c r="E724" s="11" t="s">
        <v>230</v>
      </c>
      <c r="F724" s="11" t="s">
        <v>231</v>
      </c>
      <c r="G724" s="11" t="s">
        <v>1011</v>
      </c>
      <c r="H724" s="11" t="s">
        <v>156</v>
      </c>
      <c r="I724" s="11" t="s">
        <v>1982</v>
      </c>
      <c r="J724" s="11">
        <v>21.994944</v>
      </c>
      <c r="K724" s="11">
        <v>-159.75363899999999</v>
      </c>
      <c r="L724" s="11">
        <v>913</v>
      </c>
      <c r="M724" s="11">
        <v>913</v>
      </c>
      <c r="N724" s="175" t="str">
        <f>VLOOKUP(M724, '2017 SIC to NAICS'!A:D, 2)</f>
        <v>Shellfish</v>
      </c>
      <c r="P724" s="187" t="str">
        <f>VLOOKUP(M724, '2017 SIC to NAICS'!A:D, 4)</f>
        <v>Shellfish Fishing</v>
      </c>
      <c r="Q724" s="176" t="e">
        <f>IFERROR(VLOOKUP(O724, 'NAICS OES crosswalk'!A:C, 3, FALSE), VLOOKUP(M724, 'NAICS OES crosswalk'!A:C, 3, FALSE))</f>
        <v>#N/A</v>
      </c>
      <c r="U724" s="188">
        <v>200700000501</v>
      </c>
      <c r="V724" s="11" t="s">
        <v>1019</v>
      </c>
      <c r="W724" s="11"/>
      <c r="X724" s="11">
        <v>2.866664375</v>
      </c>
      <c r="Y724" s="11" t="b">
        <f t="shared" si="12"/>
        <v>0</v>
      </c>
    </row>
    <row r="725" spans="1:25" ht="29" x14ac:dyDescent="0.35">
      <c r="A725" s="11">
        <v>2022</v>
      </c>
      <c r="B725" s="11" t="s">
        <v>1980</v>
      </c>
      <c r="C725" s="11" t="s">
        <v>1262</v>
      </c>
      <c r="D725" s="163">
        <v>110022905588</v>
      </c>
      <c r="E725" s="11" t="s">
        <v>235</v>
      </c>
      <c r="F725" s="11" t="s">
        <v>236</v>
      </c>
      <c r="G725" s="11" t="s">
        <v>1190</v>
      </c>
      <c r="H725" s="11" t="s">
        <v>108</v>
      </c>
      <c r="I725" s="11" t="s">
        <v>1981</v>
      </c>
      <c r="J725" s="11">
        <v>38.417499999999997</v>
      </c>
      <c r="K725" s="11">
        <v>-85.611109999999996</v>
      </c>
      <c r="L725" s="11">
        <v>4952</v>
      </c>
      <c r="M725" s="11">
        <v>4952</v>
      </c>
      <c r="N725" s="175" t="str">
        <f>VLOOKUP(M725, '2017 SIC to NAICS'!A:D, 2)</f>
        <v>Sewerage Systems</v>
      </c>
      <c r="O725" s="11">
        <v>221320</v>
      </c>
      <c r="P725" s="187" t="str">
        <f>VLOOKUP(M725, '2017 SIC to NAICS'!A:D, 4)</f>
        <v>Sewage Treatment Facilities</v>
      </c>
      <c r="Q725" s="176" t="str">
        <f>IFERROR(VLOOKUP(O725, 'NAICS OES crosswalk'!A:C, 3, FALSE), VLOOKUP(M725, 'NAICS OES crosswalk'!A:C, 3, FALSE))</f>
        <v>Waste handling, disposal, and treatment</v>
      </c>
      <c r="U725" s="190" t="s">
        <v>1264</v>
      </c>
      <c r="V725" s="11" t="s">
        <v>1263</v>
      </c>
      <c r="W725" s="11"/>
      <c r="X725" s="11">
        <v>2.756142375</v>
      </c>
      <c r="Y725" s="11" t="b">
        <f t="shared" si="12"/>
        <v>0</v>
      </c>
    </row>
    <row r="726" spans="1:25" ht="29" x14ac:dyDescent="0.35">
      <c r="A726" s="11">
        <v>2022</v>
      </c>
      <c r="B726" s="11" t="s">
        <v>1980</v>
      </c>
      <c r="C726" s="11" t="s">
        <v>1258</v>
      </c>
      <c r="D726" s="163">
        <v>110020737540</v>
      </c>
      <c r="E726" s="11" t="s">
        <v>228</v>
      </c>
      <c r="F726" s="11" t="s">
        <v>229</v>
      </c>
      <c r="G726" s="11" t="s">
        <v>1259</v>
      </c>
      <c r="H726" s="11" t="s">
        <v>108</v>
      </c>
      <c r="I726" s="11" t="s">
        <v>1981</v>
      </c>
      <c r="J726" s="11">
        <v>38.395000000000003</v>
      </c>
      <c r="K726" s="11">
        <v>-84.302222</v>
      </c>
      <c r="L726" s="11">
        <v>4952</v>
      </c>
      <c r="M726" s="11">
        <v>4952</v>
      </c>
      <c r="N726" s="175" t="str">
        <f>VLOOKUP(M726, '2017 SIC to NAICS'!A:D, 2)</f>
        <v>Sewerage Systems</v>
      </c>
      <c r="O726" s="11">
        <v>221320</v>
      </c>
      <c r="P726" s="187" t="str">
        <f>VLOOKUP(M726, '2017 SIC to NAICS'!A:D, 4)</f>
        <v>Sewage Treatment Facilities</v>
      </c>
      <c r="Q726" s="176" t="str">
        <f>IFERROR(VLOOKUP(O726, 'NAICS OES crosswalk'!A:C, 3, FALSE), VLOOKUP(M726, 'NAICS OES crosswalk'!A:C, 3, FALSE))</f>
        <v>Waste handling, disposal, and treatment</v>
      </c>
      <c r="U726" s="190" t="s">
        <v>1261</v>
      </c>
      <c r="V726" s="11" t="s">
        <v>1260</v>
      </c>
      <c r="W726" s="11"/>
      <c r="X726" s="11">
        <v>2.7457809375000002</v>
      </c>
      <c r="Y726" s="11" t="b">
        <f t="shared" si="12"/>
        <v>0</v>
      </c>
    </row>
    <row r="727" spans="1:25" ht="29" x14ac:dyDescent="0.35">
      <c r="A727" s="11">
        <v>2022</v>
      </c>
      <c r="B727" s="11" t="s">
        <v>1980</v>
      </c>
      <c r="C727" s="11" t="s">
        <v>1139</v>
      </c>
      <c r="D727" s="163">
        <v>110009696356</v>
      </c>
      <c r="E727" s="11" t="s">
        <v>196</v>
      </c>
      <c r="F727" s="11" t="s">
        <v>197</v>
      </c>
      <c r="G727" s="11" t="s">
        <v>1140</v>
      </c>
      <c r="H727" s="11" t="s">
        <v>108</v>
      </c>
      <c r="I727" s="11" t="s">
        <v>1981</v>
      </c>
      <c r="J727" s="11">
        <v>37.108094000000001</v>
      </c>
      <c r="K727" s="11">
        <v>-85.303033999999997</v>
      </c>
      <c r="L727" s="11">
        <v>4952</v>
      </c>
      <c r="M727" s="11">
        <v>4952</v>
      </c>
      <c r="N727" s="175" t="str">
        <f>VLOOKUP(M727, '2017 SIC to NAICS'!A:D, 2)</f>
        <v>Sewerage Systems</v>
      </c>
      <c r="O727" s="11">
        <v>221320</v>
      </c>
      <c r="P727" s="187" t="str">
        <f>VLOOKUP(M727, '2017 SIC to NAICS'!A:D, 4)</f>
        <v>Sewage Treatment Facilities</v>
      </c>
      <c r="Q727" s="176" t="str">
        <f>IFERROR(VLOOKUP(O727, 'NAICS OES crosswalk'!A:C, 3, FALSE), VLOOKUP(M727, 'NAICS OES crosswalk'!A:C, 3, FALSE))</f>
        <v>Waste handling, disposal, and treatment</v>
      </c>
      <c r="U727" s="190" t="s">
        <v>1142</v>
      </c>
      <c r="V727" s="11" t="s">
        <v>1141</v>
      </c>
      <c r="W727" s="11"/>
      <c r="X727" s="11">
        <v>2.4763835625000001</v>
      </c>
      <c r="Y727" s="11" t="b">
        <f t="shared" si="12"/>
        <v>0</v>
      </c>
    </row>
    <row r="728" spans="1:25" ht="29" x14ac:dyDescent="0.35">
      <c r="A728" s="11">
        <v>2022</v>
      </c>
      <c r="B728" s="11" t="s">
        <v>1980</v>
      </c>
      <c r="C728" s="11" t="s">
        <v>975</v>
      </c>
      <c r="D728" s="163">
        <v>110000525842</v>
      </c>
      <c r="E728" s="11" t="s">
        <v>242</v>
      </c>
      <c r="F728" s="11" t="s">
        <v>243</v>
      </c>
      <c r="G728" s="11" t="s">
        <v>964</v>
      </c>
      <c r="H728" s="11" t="s">
        <v>102</v>
      </c>
      <c r="I728" s="11" t="s">
        <v>1981</v>
      </c>
      <c r="J728" s="11">
        <v>34.055900000000001</v>
      </c>
      <c r="K728" s="11">
        <v>-117.36134</v>
      </c>
      <c r="L728" s="11">
        <v>4952</v>
      </c>
      <c r="M728" s="11">
        <v>4952</v>
      </c>
      <c r="N728" s="175" t="str">
        <f>VLOOKUP(M728, '2017 SIC to NAICS'!A:D, 2)</f>
        <v>Sewerage Systems</v>
      </c>
      <c r="P728" s="187" t="str">
        <f>VLOOKUP(M728, '2017 SIC to NAICS'!A:D, 4)</f>
        <v>Sewage Treatment Facilities</v>
      </c>
      <c r="Q728" s="176" t="str">
        <f>IFERROR(VLOOKUP(O728, 'NAICS OES crosswalk'!A:C, 3, FALSE), VLOOKUP(M728, 'NAICS OES crosswalk'!A:C, 3, FALSE))</f>
        <v>Waste handling, disposal, and treatment</v>
      </c>
      <c r="U728" s="188">
        <v>180702030804</v>
      </c>
      <c r="V728" s="11" t="s">
        <v>976</v>
      </c>
      <c r="W728" s="11"/>
      <c r="X728" s="11">
        <v>2.3969326275</v>
      </c>
      <c r="Y728" s="11" t="b">
        <f t="shared" si="12"/>
        <v>0</v>
      </c>
    </row>
    <row r="729" spans="1:25" x14ac:dyDescent="0.35">
      <c r="A729" s="11">
        <v>2022</v>
      </c>
      <c r="B729" s="11" t="s">
        <v>1980</v>
      </c>
      <c r="C729" s="11" t="s">
        <v>1463</v>
      </c>
      <c r="D729" s="163">
        <v>110000595981</v>
      </c>
      <c r="E729" s="11" t="s">
        <v>217</v>
      </c>
      <c r="F729" s="11" t="s">
        <v>218</v>
      </c>
      <c r="G729" s="11" t="s">
        <v>1464</v>
      </c>
      <c r="H729" s="11" t="s">
        <v>129</v>
      </c>
      <c r="I729" s="11" t="s">
        <v>1982</v>
      </c>
      <c r="J729" s="11">
        <v>39.662540999999997</v>
      </c>
      <c r="K729" s="11">
        <v>-91.301670000000001</v>
      </c>
      <c r="L729" s="11">
        <v>3241</v>
      </c>
      <c r="M729" s="11">
        <v>3241</v>
      </c>
      <c r="N729" s="175" t="str">
        <f>VLOOKUP(M729, '2017 SIC to NAICS'!A:D, 2)</f>
        <v>Cement, Hydraulic</v>
      </c>
      <c r="P729" s="187" t="str">
        <f>VLOOKUP(M729, '2017 SIC to NAICS'!A:D, 4)</f>
        <v>Cement Manufacturing</v>
      </c>
      <c r="Q729" s="176" t="e">
        <f>IFERROR(VLOOKUP(O729, 'NAICS OES crosswalk'!A:C, 3, FALSE), VLOOKUP(M729, 'NAICS OES crosswalk'!A:C, 3, FALSE))</f>
        <v>#N/A</v>
      </c>
      <c r="U729" s="190" t="s">
        <v>1467</v>
      </c>
      <c r="V729" s="11" t="s">
        <v>1465</v>
      </c>
      <c r="W729" s="11"/>
      <c r="X729" s="11">
        <v>2.2104400000000002</v>
      </c>
      <c r="Y729" s="11" t="b">
        <f t="shared" si="12"/>
        <v>0</v>
      </c>
    </row>
    <row r="730" spans="1:25" x14ac:dyDescent="0.35">
      <c r="A730" s="11">
        <v>2022</v>
      </c>
      <c r="B730" s="11" t="s">
        <v>1980</v>
      </c>
      <c r="C730" s="11" t="s">
        <v>870</v>
      </c>
      <c r="D730" s="163">
        <v>110017432937</v>
      </c>
      <c r="E730" s="11" t="s">
        <v>200</v>
      </c>
      <c r="F730" s="11" t="s">
        <v>201</v>
      </c>
      <c r="G730" s="11" t="s">
        <v>871</v>
      </c>
      <c r="H730" s="11" t="s">
        <v>202</v>
      </c>
      <c r="I730" s="11" t="s">
        <v>1981</v>
      </c>
      <c r="J730" s="11">
        <v>35.722341999999998</v>
      </c>
      <c r="K730" s="11">
        <v>-91.524983000000006</v>
      </c>
      <c r="L730" s="11">
        <v>2865</v>
      </c>
      <c r="M730" s="11">
        <v>2865</v>
      </c>
      <c r="N730" s="175" t="str">
        <f>VLOOKUP(M730, '2017 SIC to NAICS'!A:D, 2)</f>
        <v>Cyclic Crudes and Intermediates</v>
      </c>
      <c r="O730" s="11">
        <v>325199</v>
      </c>
      <c r="P730" s="187" t="str">
        <f>VLOOKUP(M730, '2017 SIC to NAICS'!A:D, 4)</f>
        <v>Cyclic Crude, Intermediate, and Gum and
Wood Chemical Manufacturing</v>
      </c>
      <c r="Q730" s="176" t="str">
        <f>IFERROR(VLOOKUP(O730, 'NAICS OES crosswalk'!A:C, 3, FALSE), VLOOKUP(M730, 'NAICS OES crosswalk'!A:C, 3, FALSE))</f>
        <v>Manufacturing</v>
      </c>
      <c r="U730" s="188">
        <v>110100040704</v>
      </c>
      <c r="V730" s="11" t="s">
        <v>874</v>
      </c>
      <c r="W730" s="11"/>
      <c r="X730" s="11">
        <v>2.0747800000000001</v>
      </c>
      <c r="Y730" s="11" t="b">
        <f t="shared" si="12"/>
        <v>0</v>
      </c>
    </row>
    <row r="731" spans="1:25" ht="29" x14ac:dyDescent="0.35">
      <c r="A731" s="11">
        <v>2022</v>
      </c>
      <c r="B731" s="11" t="s">
        <v>1980</v>
      </c>
      <c r="C731" s="11" t="s">
        <v>1015</v>
      </c>
      <c r="D731" s="163">
        <v>110013786698</v>
      </c>
      <c r="E731" s="11" t="s">
        <v>250</v>
      </c>
      <c r="F731" s="11" t="s">
        <v>251</v>
      </c>
      <c r="G731" s="11" t="s">
        <v>1016</v>
      </c>
      <c r="H731" s="11" t="s">
        <v>156</v>
      </c>
      <c r="I731" s="11" t="s">
        <v>1981</v>
      </c>
      <c r="J731" s="11">
        <v>19.713750000000001</v>
      </c>
      <c r="K731" s="11">
        <v>-155.01927800000001</v>
      </c>
      <c r="L731" s="11">
        <v>4952</v>
      </c>
      <c r="M731" s="11">
        <v>4952</v>
      </c>
      <c r="N731" s="175" t="str">
        <f>VLOOKUP(M731, '2017 SIC to NAICS'!A:D, 2)</f>
        <v>Sewerage Systems</v>
      </c>
      <c r="P731" s="187" t="str">
        <f>VLOOKUP(M731, '2017 SIC to NAICS'!A:D, 4)</f>
        <v>Sewage Treatment Facilities</v>
      </c>
      <c r="Q731" s="176" t="str">
        <f>IFERROR(VLOOKUP(O731, 'NAICS OES crosswalk'!A:C, 3, FALSE), VLOOKUP(M731, 'NAICS OES crosswalk'!A:C, 3, FALSE))</f>
        <v>Waste handling, disposal, and treatment</v>
      </c>
      <c r="U731" s="188">
        <v>200100000407</v>
      </c>
      <c r="V731" s="11" t="s">
        <v>1017</v>
      </c>
      <c r="W731" s="11"/>
      <c r="X731" s="11">
        <v>2.0032112500000001</v>
      </c>
      <c r="Y731" s="11" t="b">
        <f t="shared" si="12"/>
        <v>0</v>
      </c>
    </row>
    <row r="732" spans="1:25" x14ac:dyDescent="0.35">
      <c r="A732" s="11">
        <v>2022</v>
      </c>
      <c r="B732" s="11" t="s">
        <v>1980</v>
      </c>
      <c r="C732" s="11" t="s">
        <v>1477</v>
      </c>
      <c r="D732" s="163">
        <v>110041133163</v>
      </c>
      <c r="E732" s="11" t="s">
        <v>252</v>
      </c>
      <c r="F732" s="11" t="s">
        <v>253</v>
      </c>
      <c r="G732" s="11" t="s">
        <v>1113</v>
      </c>
      <c r="H732" s="11" t="s">
        <v>254</v>
      </c>
      <c r="I732" s="11" t="s">
        <v>1981</v>
      </c>
      <c r="J732" s="11">
        <v>40.640135000000001</v>
      </c>
      <c r="K732" s="11">
        <v>-74.218879999999999</v>
      </c>
      <c r="L732" s="11">
        <v>2911</v>
      </c>
      <c r="M732" s="11">
        <v>2911</v>
      </c>
      <c r="N732" s="175" t="str">
        <f>VLOOKUP(M732, '2017 SIC to NAICS'!A:D, 2)</f>
        <v>Petroleum Refining</v>
      </c>
      <c r="O732" s="11">
        <v>324110</v>
      </c>
      <c r="P732" s="187" t="str">
        <f>VLOOKUP(M732, '2017 SIC to NAICS'!A:D, 4)</f>
        <v>Petroleum Refineries</v>
      </c>
      <c r="Q732" s="176" t="e">
        <f>IFERROR(VLOOKUP(O732, 'NAICS OES crosswalk'!A:C, 3, FALSE), VLOOKUP(M732, 'NAICS OES crosswalk'!A:C, 3, FALSE))</f>
        <v>#N/A</v>
      </c>
      <c r="U732" s="190" t="s">
        <v>1480</v>
      </c>
      <c r="V732" s="11" t="s">
        <v>1478</v>
      </c>
      <c r="W732" s="11"/>
      <c r="X732" s="11">
        <v>1.9950000000000001</v>
      </c>
      <c r="Y732" s="11" t="b">
        <f t="shared" si="12"/>
        <v>0</v>
      </c>
    </row>
    <row r="733" spans="1:25" x14ac:dyDescent="0.35">
      <c r="A733" s="11">
        <v>2022</v>
      </c>
      <c r="B733" s="11" t="s">
        <v>1980</v>
      </c>
      <c r="C733" s="11" t="s">
        <v>1454</v>
      </c>
      <c r="D733" s="163">
        <v>110000443226</v>
      </c>
      <c r="E733" s="11" t="s">
        <v>157</v>
      </c>
      <c r="F733" s="11" t="s">
        <v>158</v>
      </c>
      <c r="G733" s="11" t="s">
        <v>434</v>
      </c>
      <c r="H733" s="11" t="s">
        <v>129</v>
      </c>
      <c r="I733" s="11" t="s">
        <v>1981</v>
      </c>
      <c r="J733" s="11">
        <v>38.969749999999998</v>
      </c>
      <c r="K733" s="11">
        <v>-94.465860000000006</v>
      </c>
      <c r="L733" s="11">
        <v>2879</v>
      </c>
      <c r="M733" s="11">
        <v>2879</v>
      </c>
      <c r="N733" s="175" t="str">
        <f>VLOOKUP(M733, '2017 SIC to NAICS'!A:D, 2)</f>
        <v>Agricultural Chemicals, Nec</v>
      </c>
      <c r="P733" s="187" t="str">
        <f>VLOOKUP(M733, '2017 SIC to NAICS'!A:D, 4)</f>
        <v>Pesticide and Other Agricultural Chemical
Manufacturing</v>
      </c>
      <c r="Q733" s="176" t="e">
        <f>IFERROR(VLOOKUP(O733, 'NAICS OES crosswalk'!A:C, 3, FALSE), VLOOKUP(M733, 'NAICS OES crosswalk'!A:C, 3, FALSE))</f>
        <v>#N/A</v>
      </c>
      <c r="U733" s="188">
        <v>103001010204</v>
      </c>
      <c r="V733" s="11" t="s">
        <v>1457</v>
      </c>
      <c r="W733" s="11"/>
      <c r="X733" s="11">
        <v>1.6571</v>
      </c>
      <c r="Y733" s="11" t="b">
        <f t="shared" si="12"/>
        <v>0</v>
      </c>
    </row>
    <row r="734" spans="1:25" x14ac:dyDescent="0.35">
      <c r="A734" s="11">
        <v>2022</v>
      </c>
      <c r="B734" s="11" t="s">
        <v>1980</v>
      </c>
      <c r="C734" s="11" t="s">
        <v>830</v>
      </c>
      <c r="D734" s="163">
        <v>110000326521</v>
      </c>
      <c r="E734" s="11" t="s">
        <v>124</v>
      </c>
      <c r="F734" s="11" t="s">
        <v>125</v>
      </c>
      <c r="G734" s="11" t="s">
        <v>831</v>
      </c>
      <c r="H734" s="11" t="s">
        <v>126</v>
      </c>
      <c r="I734" s="11" t="s">
        <v>1981</v>
      </c>
      <c r="J734" s="11">
        <v>43.165965999999997</v>
      </c>
      <c r="K734" s="11">
        <v>-78.740509000000003</v>
      </c>
      <c r="L734" s="11">
        <v>3714</v>
      </c>
      <c r="M734" s="11">
        <v>3714</v>
      </c>
      <c r="N734" s="175" t="str">
        <f>VLOOKUP(M734, '2017 SIC to NAICS'!A:D, 2)</f>
        <v>Motor Vehicle Parts and Accessories</v>
      </c>
      <c r="P734" s="187" t="str">
        <f>VLOOKUP(M734, '2017 SIC to NAICS'!A:D, 4)</f>
        <v>Other Motor Vehicle Parts Manufacturing</v>
      </c>
      <c r="Q734" s="176" t="e">
        <f>IFERROR(VLOOKUP(O734, 'NAICS OES crosswalk'!A:C, 3, FALSE), VLOOKUP(M734, 'NAICS OES crosswalk'!A:C, 3, FALSE))</f>
        <v>#N/A</v>
      </c>
      <c r="U734" s="190" t="s">
        <v>836</v>
      </c>
      <c r="V734" s="11" t="s">
        <v>834</v>
      </c>
      <c r="W734" s="11"/>
      <c r="X734" s="11">
        <v>1.4856125</v>
      </c>
      <c r="Y734" s="11" t="b">
        <f t="shared" si="12"/>
        <v>0</v>
      </c>
    </row>
    <row r="735" spans="1:25" ht="29" x14ac:dyDescent="0.35">
      <c r="A735" s="11">
        <v>2022</v>
      </c>
      <c r="B735" s="11" t="s">
        <v>1980</v>
      </c>
      <c r="C735" s="11" t="s">
        <v>1155</v>
      </c>
      <c r="D735" s="163">
        <v>110064268260</v>
      </c>
      <c r="E735" s="11" t="s">
        <v>246</v>
      </c>
      <c r="F735" s="11" t="s">
        <v>247</v>
      </c>
      <c r="G735" s="11" t="s">
        <v>1156</v>
      </c>
      <c r="H735" s="11" t="s">
        <v>108</v>
      </c>
      <c r="I735" s="11" t="s">
        <v>1982</v>
      </c>
      <c r="J735" s="11">
        <v>38.369734999999999</v>
      </c>
      <c r="K735" s="11">
        <v>-85.180234999999996</v>
      </c>
      <c r="L735" s="11">
        <v>4952</v>
      </c>
      <c r="M735" s="11">
        <v>4952</v>
      </c>
      <c r="N735" s="175" t="str">
        <f>VLOOKUP(M735, '2017 SIC to NAICS'!A:D, 2)</f>
        <v>Sewerage Systems</v>
      </c>
      <c r="O735" s="11">
        <v>221320</v>
      </c>
      <c r="P735" s="187" t="str">
        <f>VLOOKUP(M735, '2017 SIC to NAICS'!A:D, 4)</f>
        <v>Sewage Treatment Facilities</v>
      </c>
      <c r="Q735" s="176" t="str">
        <f>IFERROR(VLOOKUP(O735, 'NAICS OES crosswalk'!A:C, 3, FALSE), VLOOKUP(M735, 'NAICS OES crosswalk'!A:C, 3, FALSE))</f>
        <v>Waste handling, disposal, and treatment</v>
      </c>
      <c r="U735" s="190" t="s">
        <v>1158</v>
      </c>
      <c r="V735" s="11" t="s">
        <v>1157</v>
      </c>
      <c r="W735" s="11"/>
      <c r="X735" s="11">
        <v>1.3746173749999999</v>
      </c>
      <c r="Y735" s="11" t="b">
        <f t="shared" si="12"/>
        <v>0</v>
      </c>
    </row>
    <row r="736" spans="1:25" ht="29" x14ac:dyDescent="0.35">
      <c r="A736" s="11">
        <v>2022</v>
      </c>
      <c r="B736" s="11" t="s">
        <v>1980</v>
      </c>
      <c r="C736" s="11" t="s">
        <v>1023</v>
      </c>
      <c r="D736" s="163">
        <v>110041973460</v>
      </c>
      <c r="E736" s="11" t="s">
        <v>267</v>
      </c>
      <c r="F736" s="11" t="s">
        <v>268</v>
      </c>
      <c r="G736" s="11" t="s">
        <v>155</v>
      </c>
      <c r="H736" s="11" t="s">
        <v>156</v>
      </c>
      <c r="I736" s="11" t="s">
        <v>1981</v>
      </c>
      <c r="J736" s="11">
        <v>21.438638999999998</v>
      </c>
      <c r="K736" s="11">
        <v>-157.75847200000001</v>
      </c>
      <c r="L736" s="11">
        <v>4952</v>
      </c>
      <c r="M736" s="11">
        <v>4952</v>
      </c>
      <c r="N736" s="175" t="str">
        <f>VLOOKUP(M736, '2017 SIC to NAICS'!A:D, 2)</f>
        <v>Sewerage Systems</v>
      </c>
      <c r="P736" s="187" t="str">
        <f>VLOOKUP(M736, '2017 SIC to NAICS'!A:D, 4)</f>
        <v>Sewage Treatment Facilities</v>
      </c>
      <c r="Q736" s="176" t="str">
        <f>IFERROR(VLOOKUP(O736, 'NAICS OES crosswalk'!A:C, 3, FALSE), VLOOKUP(M736, 'NAICS OES crosswalk'!A:C, 3, FALSE))</f>
        <v>Waste handling, disposal, and treatment</v>
      </c>
      <c r="U736" s="188">
        <v>200600000205</v>
      </c>
      <c r="V736" s="11" t="s">
        <v>1024</v>
      </c>
      <c r="W736" s="11"/>
      <c r="X736" s="11">
        <v>1.2924166374999999</v>
      </c>
      <c r="Y736" s="11" t="b">
        <f t="shared" si="12"/>
        <v>0</v>
      </c>
    </row>
    <row r="737" spans="1:25" x14ac:dyDescent="0.35">
      <c r="A737" s="11">
        <v>2022</v>
      </c>
      <c r="B737" s="11" t="s">
        <v>1980</v>
      </c>
      <c r="C737" s="11" t="s">
        <v>1076</v>
      </c>
      <c r="D737" s="163">
        <v>110000741608</v>
      </c>
      <c r="E737" s="11" t="s">
        <v>168</v>
      </c>
      <c r="F737" s="11" t="s">
        <v>169</v>
      </c>
      <c r="G737" s="11" t="s">
        <v>1077</v>
      </c>
      <c r="H737" s="11" t="s">
        <v>108</v>
      </c>
      <c r="I737" s="11" t="s">
        <v>1981</v>
      </c>
      <c r="J737" s="11">
        <v>37.047736999999998</v>
      </c>
      <c r="K737" s="11">
        <v>-88.35866</v>
      </c>
      <c r="L737" s="11">
        <v>2869</v>
      </c>
      <c r="M737" s="11">
        <v>2869</v>
      </c>
      <c r="N737" s="175" t="str">
        <f>VLOOKUP(M737, '2017 SIC to NAICS'!A:D, 2)</f>
        <v>Industrial Organic Chemicals, Nec</v>
      </c>
      <c r="O737" s="11">
        <v>325110</v>
      </c>
      <c r="P737" s="187" t="str">
        <f>VLOOKUP(M737, '2017 SIC to NAICS'!A:D, 4)</f>
        <v>All Other Miscellaneous Chemical Product and Preparation Manufacturing</v>
      </c>
      <c r="Q737" s="176" t="str">
        <f>IFERROR(VLOOKUP(O737, 'NAICS OES crosswalk'!A:C, 3, FALSE), VLOOKUP(M737, 'NAICS OES crosswalk'!A:C, 3, FALSE))</f>
        <v>Processing as a reactant</v>
      </c>
      <c r="U737" s="190" t="s">
        <v>1079</v>
      </c>
      <c r="V737" s="11" t="s">
        <v>1078</v>
      </c>
      <c r="W737" s="11"/>
      <c r="X737" s="11">
        <v>1.2428250000000001</v>
      </c>
      <c r="Y737" s="11" t="b">
        <f t="shared" si="12"/>
        <v>0</v>
      </c>
    </row>
    <row r="738" spans="1:25" ht="15" customHeight="1" x14ac:dyDescent="0.35">
      <c r="A738" s="11">
        <v>2022</v>
      </c>
      <c r="B738" s="11" t="s">
        <v>1980</v>
      </c>
      <c r="C738" s="11" t="s">
        <v>1080</v>
      </c>
      <c r="D738" s="163">
        <v>110039998214</v>
      </c>
      <c r="E738" s="11" t="s">
        <v>114</v>
      </c>
      <c r="F738" s="11" t="s">
        <v>115</v>
      </c>
      <c r="G738" s="11" t="s">
        <v>1072</v>
      </c>
      <c r="H738" s="11" t="s">
        <v>108</v>
      </c>
      <c r="I738" s="11" t="s">
        <v>1981</v>
      </c>
      <c r="J738" s="11">
        <v>37.790278000000001</v>
      </c>
      <c r="K738" s="11">
        <v>-87.140277999999995</v>
      </c>
      <c r="L738" s="11">
        <v>4952</v>
      </c>
      <c r="M738" s="11">
        <v>4952</v>
      </c>
      <c r="N738" s="175" t="str">
        <f>VLOOKUP(M738, '2017 SIC to NAICS'!A:D, 2)</f>
        <v>Sewerage Systems</v>
      </c>
      <c r="O738" s="11">
        <v>221320</v>
      </c>
      <c r="P738" s="187" t="str">
        <f>VLOOKUP(M738, '2017 SIC to NAICS'!A:D, 4)</f>
        <v>Sewage Treatment Facilities</v>
      </c>
      <c r="Q738" s="176" t="str">
        <f>IFERROR(VLOOKUP(O738, 'NAICS OES crosswalk'!A:C, 3, FALSE), VLOOKUP(M738, 'NAICS OES crosswalk'!A:C, 3, FALSE))</f>
        <v>Waste handling, disposal, and treatment</v>
      </c>
      <c r="U738" s="190" t="s">
        <v>1075</v>
      </c>
      <c r="V738" s="11" t="s">
        <v>1073</v>
      </c>
      <c r="W738" s="11"/>
      <c r="X738" s="11">
        <v>1.24051274325</v>
      </c>
      <c r="Y738" s="11" t="b">
        <f t="shared" si="12"/>
        <v>0</v>
      </c>
    </row>
    <row r="739" spans="1:25" ht="29" x14ac:dyDescent="0.35">
      <c r="A739" s="11">
        <v>2022</v>
      </c>
      <c r="B739" s="11" t="s">
        <v>1980</v>
      </c>
      <c r="C739" s="11" t="s">
        <v>1545</v>
      </c>
      <c r="D739" s="163">
        <v>110024409433</v>
      </c>
      <c r="E739" s="11" t="s">
        <v>295</v>
      </c>
      <c r="F739" s="11" t="s">
        <v>296</v>
      </c>
      <c r="G739" s="11" t="s">
        <v>1546</v>
      </c>
      <c r="H739" s="11" t="s">
        <v>288</v>
      </c>
      <c r="I739" s="11" t="s">
        <v>1981</v>
      </c>
      <c r="J739" s="11">
        <v>35.639485000000001</v>
      </c>
      <c r="K739" s="11">
        <v>-109.080939</v>
      </c>
      <c r="L739" s="11">
        <v>4952</v>
      </c>
      <c r="M739" s="11">
        <v>4952</v>
      </c>
      <c r="N739" s="175" t="str">
        <f>VLOOKUP(M739, '2017 SIC to NAICS'!A:D, 2)</f>
        <v>Sewerage Systems</v>
      </c>
      <c r="P739" s="187" t="str">
        <f>VLOOKUP(M739, '2017 SIC to NAICS'!A:D, 4)</f>
        <v>Sewage Treatment Facilities</v>
      </c>
      <c r="Q739" s="176" t="str">
        <f>IFERROR(VLOOKUP(O739, 'NAICS OES crosswalk'!A:C, 3, FALSE), VLOOKUP(M739, 'NAICS OES crosswalk'!A:C, 3, FALSE))</f>
        <v>Waste handling, disposal, and treatment</v>
      </c>
      <c r="U739" s="188">
        <v>150200060604</v>
      </c>
      <c r="V739" s="11" t="s">
        <v>1547</v>
      </c>
      <c r="W739" s="11"/>
      <c r="X739" s="11">
        <v>1.1604810000000001</v>
      </c>
      <c r="Y739" s="11" t="b">
        <f t="shared" si="12"/>
        <v>0</v>
      </c>
    </row>
    <row r="740" spans="1:25" ht="29" x14ac:dyDescent="0.35">
      <c r="A740" s="11">
        <v>2022</v>
      </c>
      <c r="B740" s="11" t="s">
        <v>1980</v>
      </c>
      <c r="C740" s="11" t="s">
        <v>778</v>
      </c>
      <c r="D740" s="163">
        <v>110064644782</v>
      </c>
      <c r="E740" s="11" t="s">
        <v>303</v>
      </c>
      <c r="F740" s="11" t="s">
        <v>304</v>
      </c>
      <c r="G740" s="11" t="s">
        <v>779</v>
      </c>
      <c r="H740" s="11" t="s">
        <v>91</v>
      </c>
      <c r="I740" s="11" t="s">
        <v>1981</v>
      </c>
      <c r="J740" s="11">
        <v>30.584540000000001</v>
      </c>
      <c r="K740" s="11">
        <v>-91.247479999999996</v>
      </c>
      <c r="L740" s="11">
        <v>4953</v>
      </c>
      <c r="M740" s="11">
        <v>4953</v>
      </c>
      <c r="N740" s="175" t="str">
        <f>VLOOKUP(M740, '2017 SIC to NAICS'!A:D, 2)</f>
        <v>Refuse Systems</v>
      </c>
      <c r="P740" s="187" t="str">
        <f>VLOOKUP(M740, '2017 SIC to NAICS'!A:D, 4)</f>
        <v>Materials Recovery Facilities</v>
      </c>
      <c r="Q740" s="176" t="str">
        <f>IFERROR(VLOOKUP(O740, 'NAICS OES crosswalk'!A:C, 3, FALSE), VLOOKUP(M740, 'NAICS OES crosswalk'!A:C, 3, FALSE))</f>
        <v>Waste handling, disposal, and treatment</v>
      </c>
      <c r="U740" s="190" t="s">
        <v>806</v>
      </c>
      <c r="V740" s="11" t="s">
        <v>780</v>
      </c>
      <c r="W740" s="11"/>
      <c r="X740" s="11">
        <v>0.99645802500000002</v>
      </c>
      <c r="Y740" s="11" t="b">
        <f t="shared" si="12"/>
        <v>0</v>
      </c>
    </row>
    <row r="741" spans="1:25" ht="29" x14ac:dyDescent="0.35">
      <c r="A741" s="11">
        <v>2022</v>
      </c>
      <c r="B741" s="11" t="s">
        <v>1980</v>
      </c>
      <c r="C741" s="11" t="s">
        <v>1540</v>
      </c>
      <c r="D741" s="163">
        <v>110024409344</v>
      </c>
      <c r="E741" s="11" t="s">
        <v>286</v>
      </c>
      <c r="F741" s="11" t="s">
        <v>287</v>
      </c>
      <c r="G741" s="11" t="s">
        <v>1541</v>
      </c>
      <c r="H741" s="11" t="s">
        <v>288</v>
      </c>
      <c r="I741" s="11" t="s">
        <v>1981</v>
      </c>
      <c r="J741" s="11">
        <v>36.091380999999998</v>
      </c>
      <c r="K741" s="11">
        <v>-111.289585</v>
      </c>
      <c r="L741" s="11">
        <v>4952</v>
      </c>
      <c r="M741" s="11">
        <v>4952</v>
      </c>
      <c r="N741" s="175" t="str">
        <f>VLOOKUP(M741, '2017 SIC to NAICS'!A:D, 2)</f>
        <v>Sewerage Systems</v>
      </c>
      <c r="P741" s="187" t="str">
        <f>VLOOKUP(M741, '2017 SIC to NAICS'!A:D, 4)</f>
        <v>Sewage Treatment Facilities</v>
      </c>
      <c r="Q741" s="176" t="str">
        <f>IFERROR(VLOOKUP(O741, 'NAICS OES crosswalk'!A:C, 3, FALSE), VLOOKUP(M741, 'NAICS OES crosswalk'!A:C, 3, FALSE))</f>
        <v>Waste handling, disposal, and treatment</v>
      </c>
      <c r="U741" s="188">
        <v>150200181004</v>
      </c>
      <c r="V741" s="11" t="s">
        <v>1542</v>
      </c>
      <c r="W741" s="11"/>
      <c r="X741" s="11">
        <v>0.99173056000000004</v>
      </c>
      <c r="Y741" s="11" t="b">
        <f t="shared" si="12"/>
        <v>0</v>
      </c>
    </row>
    <row r="742" spans="1:25" ht="29" x14ac:dyDescent="0.35">
      <c r="A742" s="11">
        <v>2022</v>
      </c>
      <c r="B742" s="11" t="s">
        <v>1980</v>
      </c>
      <c r="C742" s="11" t="s">
        <v>1283</v>
      </c>
      <c r="D742" s="163">
        <v>110064615590</v>
      </c>
      <c r="E742" s="11" t="s">
        <v>289</v>
      </c>
      <c r="F742" s="11" t="s">
        <v>290</v>
      </c>
      <c r="G742" s="11" t="s">
        <v>1190</v>
      </c>
      <c r="H742" s="11" t="s">
        <v>108</v>
      </c>
      <c r="I742" s="11" t="s">
        <v>1981</v>
      </c>
      <c r="J742" s="11">
        <v>38.32978</v>
      </c>
      <c r="K742" s="11">
        <v>-85.540719999999993</v>
      </c>
      <c r="L742" s="11">
        <v>4952</v>
      </c>
      <c r="M742" s="11">
        <v>4952</v>
      </c>
      <c r="N742" s="175" t="str">
        <f>VLOOKUP(M742, '2017 SIC to NAICS'!A:D, 2)</f>
        <v>Sewerage Systems</v>
      </c>
      <c r="O742" s="11">
        <v>221320</v>
      </c>
      <c r="P742" s="187" t="str">
        <f>VLOOKUP(M742, '2017 SIC to NAICS'!A:D, 4)</f>
        <v>Sewage Treatment Facilities</v>
      </c>
      <c r="Q742" s="176" t="str">
        <f>IFERROR(VLOOKUP(O742, 'NAICS OES crosswalk'!A:C, 3, FALSE), VLOOKUP(M742, 'NAICS OES crosswalk'!A:C, 3, FALSE))</f>
        <v>Waste handling, disposal, and treatment</v>
      </c>
      <c r="U742" s="190" t="s">
        <v>1130</v>
      </c>
      <c r="V742" s="11" t="s">
        <v>1129</v>
      </c>
      <c r="W742" s="11"/>
      <c r="X742" s="11">
        <v>0.97397512500000005</v>
      </c>
      <c r="Y742" s="11" t="b">
        <f t="shared" si="12"/>
        <v>0</v>
      </c>
    </row>
    <row r="743" spans="1:25" x14ac:dyDescent="0.35">
      <c r="A743" s="11">
        <v>2022</v>
      </c>
      <c r="B743" s="11" t="s">
        <v>1980</v>
      </c>
      <c r="C743" s="11" t="s">
        <v>1496</v>
      </c>
      <c r="D743" s="163">
        <v>110007970142</v>
      </c>
      <c r="E743" s="11" t="s">
        <v>293</v>
      </c>
      <c r="F743" s="11" t="s">
        <v>294</v>
      </c>
      <c r="G743" s="11" t="s">
        <v>1487</v>
      </c>
      <c r="H743" s="11" t="s">
        <v>254</v>
      </c>
      <c r="I743" s="11" t="s">
        <v>1981</v>
      </c>
      <c r="J743" s="11">
        <v>39.698279999999997</v>
      </c>
      <c r="K743" s="11">
        <v>-75.503974999999997</v>
      </c>
      <c r="L743" s="11">
        <v>2869</v>
      </c>
      <c r="M743" s="11">
        <v>2869</v>
      </c>
      <c r="N743" s="175" t="str">
        <f>VLOOKUP(M743, '2017 SIC to NAICS'!A:D, 2)</f>
        <v>Industrial Organic Chemicals, Nec</v>
      </c>
      <c r="P743" s="187" t="str">
        <f>VLOOKUP(M743, '2017 SIC to NAICS'!A:D, 4)</f>
        <v>All Other Miscellaneous Chemical Product and Preparation Manufacturing</v>
      </c>
      <c r="Q743" s="176" t="str">
        <f>IFERROR(VLOOKUP(O743, 'NAICS OES crosswalk'!A:C, 3, FALSE), VLOOKUP(M743, 'NAICS OES crosswalk'!A:C, 3, FALSE))</f>
        <v>Manufacturing</v>
      </c>
      <c r="U743" s="190" t="s">
        <v>1490</v>
      </c>
      <c r="V743" s="11" t="s">
        <v>1488</v>
      </c>
      <c r="W743" s="11"/>
      <c r="X743" s="11">
        <v>0.97099999999999997</v>
      </c>
      <c r="Y743" s="11" t="b">
        <f t="shared" si="12"/>
        <v>0</v>
      </c>
    </row>
    <row r="744" spans="1:25" x14ac:dyDescent="0.35">
      <c r="A744" s="11">
        <v>2022</v>
      </c>
      <c r="B744" s="11" t="s">
        <v>1980</v>
      </c>
      <c r="C744" s="11" t="s">
        <v>1491</v>
      </c>
      <c r="D744" s="163">
        <v>110000582003</v>
      </c>
      <c r="E744" s="11" t="s">
        <v>299</v>
      </c>
      <c r="F744" s="11" t="s">
        <v>300</v>
      </c>
      <c r="G744" s="11" t="s">
        <v>1492</v>
      </c>
      <c r="H744" s="11" t="s">
        <v>254</v>
      </c>
      <c r="I744" s="11" t="s">
        <v>1981</v>
      </c>
      <c r="J744" s="11">
        <v>39.80142</v>
      </c>
      <c r="K744" s="11">
        <v>-75.354990000000001</v>
      </c>
      <c r="L744" s="11">
        <v>2869</v>
      </c>
      <c r="M744" s="11">
        <v>2869</v>
      </c>
      <c r="N744" s="175" t="str">
        <f>VLOOKUP(M744, '2017 SIC to NAICS'!A:D, 2)</f>
        <v>Industrial Organic Chemicals, Nec</v>
      </c>
      <c r="O744" s="11">
        <v>325199</v>
      </c>
      <c r="P744" s="187" t="str">
        <f>VLOOKUP(M744, '2017 SIC to NAICS'!A:D, 4)</f>
        <v>All Other Miscellaneous Chemical Product and Preparation Manufacturing</v>
      </c>
      <c r="Q744" s="176" t="str">
        <f>IFERROR(VLOOKUP(O744, 'NAICS OES crosswalk'!A:C, 3, FALSE), VLOOKUP(M744, 'NAICS OES crosswalk'!A:C, 3, FALSE))</f>
        <v>Manufacturing</v>
      </c>
      <c r="U744" s="190" t="s">
        <v>1495</v>
      </c>
      <c r="V744" s="11" t="s">
        <v>1493</v>
      </c>
      <c r="W744" s="11"/>
      <c r="X744" s="11">
        <v>0.90149999999999997</v>
      </c>
      <c r="Y744" s="11" t="b">
        <f t="shared" si="12"/>
        <v>0</v>
      </c>
    </row>
    <row r="745" spans="1:25" x14ac:dyDescent="0.35">
      <c r="A745" s="11">
        <v>2022</v>
      </c>
      <c r="B745" s="11" t="s">
        <v>1980</v>
      </c>
      <c r="C745" s="11" t="s">
        <v>1071</v>
      </c>
      <c r="D745" s="163">
        <v>110000747835</v>
      </c>
      <c r="E745" s="11" t="s">
        <v>312</v>
      </c>
      <c r="F745" s="11" t="s">
        <v>115</v>
      </c>
      <c r="G745" s="11" t="s">
        <v>1072</v>
      </c>
      <c r="H745" s="11" t="s">
        <v>108</v>
      </c>
      <c r="I745" s="11" t="s">
        <v>1981</v>
      </c>
      <c r="J745" s="11">
        <v>37.8125</v>
      </c>
      <c r="K745" s="11">
        <v>-87.05</v>
      </c>
      <c r="L745" s="11">
        <v>2821</v>
      </c>
      <c r="M745" s="11">
        <v>2821</v>
      </c>
      <c r="N745" s="175" t="str">
        <f>VLOOKUP(M745, '2017 SIC to NAICS'!A:D, 2)</f>
        <v>Plastics Materials and Resins</v>
      </c>
      <c r="O745" s="11">
        <v>325211</v>
      </c>
      <c r="P745" s="187" t="str">
        <f>VLOOKUP(M745, '2017 SIC to NAICS'!A:D, 4)</f>
        <v>Plastics Material and Resin Manufacturing</v>
      </c>
      <c r="Q745" s="176" t="str">
        <f>IFERROR(VLOOKUP(O745, 'NAICS OES crosswalk'!A:C, 3, FALSE), VLOOKUP(M745, 'NAICS OES crosswalk'!A:C, 3, FALSE))</f>
        <v>Processing as a reactant</v>
      </c>
      <c r="U745" s="190" t="s">
        <v>1075</v>
      </c>
      <c r="V745" s="11" t="s">
        <v>1073</v>
      </c>
      <c r="W745" s="11"/>
      <c r="X745" s="11">
        <v>0.89140380299999999</v>
      </c>
      <c r="Y745" s="11" t="b">
        <f t="shared" si="12"/>
        <v>0</v>
      </c>
    </row>
    <row r="746" spans="1:25" ht="29" x14ac:dyDescent="0.35">
      <c r="A746" s="11">
        <v>2022</v>
      </c>
      <c r="B746" s="11" t="s">
        <v>1980</v>
      </c>
      <c r="C746" s="11" t="s">
        <v>1585</v>
      </c>
      <c r="D746" s="163">
        <v>110009827143</v>
      </c>
      <c r="E746" s="11" t="s">
        <v>310</v>
      </c>
      <c r="F746" s="11" t="s">
        <v>311</v>
      </c>
      <c r="G746" s="11" t="s">
        <v>311</v>
      </c>
      <c r="H746" s="11" t="s">
        <v>126</v>
      </c>
      <c r="I746" s="11" t="s">
        <v>1982</v>
      </c>
      <c r="J746" s="11">
        <v>42.593527999999999</v>
      </c>
      <c r="K746" s="11">
        <v>-76.155360999999999</v>
      </c>
      <c r="L746" s="11">
        <v>9999</v>
      </c>
      <c r="M746" s="11">
        <v>9999</v>
      </c>
      <c r="N746" s="175" t="str">
        <f>VLOOKUP(M746, '2017 SIC to NAICS'!A:D, 2)</f>
        <v>Nonclassifiable Establishments</v>
      </c>
      <c r="P746" s="187">
        <f>VLOOKUP(M746, '2017 SIC to NAICS'!A:D, 4)</f>
        <v>0</v>
      </c>
      <c r="Q746" s="176" t="str">
        <f>IFERROR(VLOOKUP(O746, 'NAICS OES crosswalk'!A:C, 3, FALSE), VLOOKUP(M746, 'NAICS OES crosswalk'!A:C, 3, FALSE))</f>
        <v>Uncertain, possibly a remediation site</v>
      </c>
      <c r="U746" s="190" t="s">
        <v>1587</v>
      </c>
      <c r="V746" s="11" t="s">
        <v>1586</v>
      </c>
      <c r="W746" s="11"/>
      <c r="X746" s="11">
        <v>0.88666199999999995</v>
      </c>
      <c r="Y746" s="11" t="b">
        <f t="shared" si="12"/>
        <v>0</v>
      </c>
    </row>
    <row r="747" spans="1:25" ht="29" x14ac:dyDescent="0.35">
      <c r="A747" s="11">
        <v>2022</v>
      </c>
      <c r="B747" s="11" t="s">
        <v>1980</v>
      </c>
      <c r="C747" s="11" t="s">
        <v>1382</v>
      </c>
      <c r="D747" s="163">
        <v>110006040989</v>
      </c>
      <c r="E747" s="11" t="s">
        <v>307</v>
      </c>
      <c r="F747" s="11" t="s">
        <v>308</v>
      </c>
      <c r="G747" s="11" t="s">
        <v>1365</v>
      </c>
      <c r="H747" s="11" t="s">
        <v>181</v>
      </c>
      <c r="I747" s="11" t="s">
        <v>1982</v>
      </c>
      <c r="J747" s="11">
        <v>42.338805999999998</v>
      </c>
      <c r="K747" s="11">
        <v>-85.144028000000006</v>
      </c>
      <c r="L747" s="11">
        <v>9999</v>
      </c>
      <c r="M747" s="11">
        <v>9999</v>
      </c>
      <c r="N747" s="175" t="str">
        <f>VLOOKUP(M747, '2017 SIC to NAICS'!A:D, 2)</f>
        <v>Nonclassifiable Establishments</v>
      </c>
      <c r="O747" s="11">
        <v>562910</v>
      </c>
      <c r="P747" s="187">
        <f>VLOOKUP(M747, '2017 SIC to NAICS'!A:D, 4)</f>
        <v>0</v>
      </c>
      <c r="Q747" s="176" t="str">
        <f>IFERROR(VLOOKUP(O747, 'NAICS OES crosswalk'!A:C, 3, FALSE), VLOOKUP(M747, 'NAICS OES crosswalk'!A:C, 3, FALSE))</f>
        <v>Uncertain, possibly a remediation site</v>
      </c>
      <c r="U747" s="190" t="s">
        <v>1384</v>
      </c>
      <c r="V747" s="11" t="s">
        <v>1383</v>
      </c>
      <c r="W747" s="11"/>
      <c r="X747" s="11">
        <v>0.87463780000000002</v>
      </c>
      <c r="Y747" s="11" t="b">
        <f t="shared" si="12"/>
        <v>0</v>
      </c>
    </row>
    <row r="748" spans="1:25" x14ac:dyDescent="0.35">
      <c r="A748" s="11">
        <v>2022</v>
      </c>
      <c r="B748" s="11" t="s">
        <v>1980</v>
      </c>
      <c r="C748" s="11" t="s">
        <v>1290</v>
      </c>
      <c r="D748" s="163">
        <v>110000597426</v>
      </c>
      <c r="E748" s="11" t="s">
        <v>318</v>
      </c>
      <c r="F748" s="11" t="s">
        <v>319</v>
      </c>
      <c r="G748" s="11" t="s">
        <v>1291</v>
      </c>
      <c r="H748" s="11" t="s">
        <v>91</v>
      </c>
      <c r="I748" s="11" t="s">
        <v>1981</v>
      </c>
      <c r="J748" s="11">
        <v>30.241299999999999</v>
      </c>
      <c r="K748" s="11">
        <v>-91.100899999999996</v>
      </c>
      <c r="L748" s="11">
        <v>2819</v>
      </c>
      <c r="M748" s="11">
        <v>2819</v>
      </c>
      <c r="N748" s="175" t="str">
        <f>VLOOKUP(M748, '2017 SIC to NAICS'!A:D, 2)</f>
        <v>Industrial Inorganic Chemicals, Nec</v>
      </c>
      <c r="P748" s="187" t="str">
        <f>VLOOKUP(M748, '2017 SIC to NAICS'!A:D, 4)</f>
        <v>Alumina Refining and Primary Aluminum
Production</v>
      </c>
      <c r="Q748" s="176" t="str">
        <f>IFERROR(VLOOKUP(O748, 'NAICS OES crosswalk'!A:C, 3, FALSE), VLOOKUP(M748, 'NAICS OES crosswalk'!A:C, 3, FALSE))</f>
        <v>Processing as a reactant</v>
      </c>
      <c r="U748" s="190" t="s">
        <v>1294</v>
      </c>
      <c r="V748" s="11" t="s">
        <v>1292</v>
      </c>
      <c r="W748" s="11"/>
      <c r="X748" s="11">
        <v>0.82855000000000001</v>
      </c>
      <c r="Y748" s="11" t="b">
        <f t="shared" si="12"/>
        <v>0</v>
      </c>
    </row>
    <row r="749" spans="1:25" x14ac:dyDescent="0.35">
      <c r="A749" s="11">
        <v>2022</v>
      </c>
      <c r="B749" s="11" t="s">
        <v>1980</v>
      </c>
      <c r="C749" s="11" t="s">
        <v>841</v>
      </c>
      <c r="D749" s="163">
        <v>110000324391</v>
      </c>
      <c r="E749" s="11" t="s">
        <v>315</v>
      </c>
      <c r="F749" s="11" t="s">
        <v>316</v>
      </c>
      <c r="G749" s="11" t="s">
        <v>842</v>
      </c>
      <c r="H749" s="11" t="s">
        <v>126</v>
      </c>
      <c r="I749" s="11" t="s">
        <v>1981</v>
      </c>
      <c r="J749" s="11">
        <v>42.575806</v>
      </c>
      <c r="K749" s="11">
        <v>-73.859943999999999</v>
      </c>
      <c r="L749" s="11">
        <v>2821</v>
      </c>
      <c r="M749" s="11">
        <v>2821</v>
      </c>
      <c r="N749" s="175" t="str">
        <f>VLOOKUP(M749, '2017 SIC to NAICS'!A:D, 2)</f>
        <v>Plastics Materials and Resins</v>
      </c>
      <c r="P749" s="187" t="str">
        <f>VLOOKUP(M749, '2017 SIC to NAICS'!A:D, 4)</f>
        <v>Plastics Material and Resin Manufacturing</v>
      </c>
      <c r="Q749" s="176" t="str">
        <f>IFERROR(VLOOKUP(O749, 'NAICS OES crosswalk'!A:C, 3, FALSE), VLOOKUP(M749, 'NAICS OES crosswalk'!A:C, 3, FALSE))</f>
        <v>Processing as a reactant</v>
      </c>
      <c r="U749" s="190" t="s">
        <v>844</v>
      </c>
      <c r="V749" s="11" t="s">
        <v>843</v>
      </c>
      <c r="W749" s="11"/>
      <c r="X749" s="11">
        <v>0.82855000000000001</v>
      </c>
      <c r="Y749" s="11" t="b">
        <f t="shared" si="12"/>
        <v>0</v>
      </c>
    </row>
    <row r="750" spans="1:25" x14ac:dyDescent="0.35">
      <c r="A750" s="11">
        <v>2022</v>
      </c>
      <c r="B750" s="11" t="s">
        <v>1980</v>
      </c>
      <c r="C750" s="11" t="s">
        <v>1449</v>
      </c>
      <c r="D750" s="163">
        <v>110067874312</v>
      </c>
      <c r="E750" s="11" t="s">
        <v>326</v>
      </c>
      <c r="F750" s="11" t="s">
        <v>327</v>
      </c>
      <c r="G750" s="11" t="s">
        <v>1450</v>
      </c>
      <c r="H750" s="11" t="s">
        <v>328</v>
      </c>
      <c r="I750" s="11" t="s">
        <v>1982</v>
      </c>
      <c r="J750" s="11">
        <v>44.980027999999997</v>
      </c>
      <c r="K750" s="11">
        <v>-93.264069000000006</v>
      </c>
      <c r="L750" s="11">
        <v>1799</v>
      </c>
      <c r="M750" s="11">
        <v>1799</v>
      </c>
      <c r="N750" s="175" t="str">
        <f>VLOOKUP(M750, '2017 SIC to NAICS'!A:D, 2)</f>
        <v>Special Trade Contractors, Nec</v>
      </c>
      <c r="P750" s="187" t="str">
        <f>VLOOKUP(M750, '2017 SIC to NAICS'!A:D, 4)</f>
        <v>Remediation Services</v>
      </c>
      <c r="Q750" s="176" t="e">
        <f>IFERROR(VLOOKUP(O750, 'NAICS OES crosswalk'!A:C, 3, FALSE), VLOOKUP(M750, 'NAICS OES crosswalk'!A:C, 3, FALSE))</f>
        <v>#N/A</v>
      </c>
      <c r="U750" s="190" t="s">
        <v>1452</v>
      </c>
      <c r="V750" s="11" t="s">
        <v>1451</v>
      </c>
      <c r="W750" s="11"/>
      <c r="X750" s="11">
        <v>0.77983187700000001</v>
      </c>
      <c r="Y750" s="11" t="b">
        <f t="shared" si="12"/>
        <v>0</v>
      </c>
    </row>
    <row r="751" spans="1:25" x14ac:dyDescent="0.35">
      <c r="A751" s="11">
        <v>2022</v>
      </c>
      <c r="B751" s="11" t="s">
        <v>1980</v>
      </c>
      <c r="C751" s="11" t="s">
        <v>759</v>
      </c>
      <c r="D751" s="163">
        <v>110064624018</v>
      </c>
      <c r="E751" s="11" t="s">
        <v>334</v>
      </c>
      <c r="F751" s="11" t="s">
        <v>335</v>
      </c>
      <c r="G751" s="11" t="s">
        <v>335</v>
      </c>
      <c r="H751" s="11" t="s">
        <v>102</v>
      </c>
      <c r="I751" s="11" t="s">
        <v>1981</v>
      </c>
      <c r="J751" s="11">
        <v>33.990146000000003</v>
      </c>
      <c r="K751" s="11">
        <v>-118.36358</v>
      </c>
      <c r="L751" s="11">
        <v>2911</v>
      </c>
      <c r="M751" s="11">
        <v>2911</v>
      </c>
      <c r="N751" s="175" t="str">
        <f>VLOOKUP(M751, '2017 SIC to NAICS'!A:D, 2)</f>
        <v>Petroleum Refining</v>
      </c>
      <c r="P751" s="187" t="str">
        <f>VLOOKUP(M751, '2017 SIC to NAICS'!A:D, 4)</f>
        <v>Petroleum Refineries</v>
      </c>
      <c r="Q751" s="176" t="e">
        <f>IFERROR(VLOOKUP(O751, 'NAICS OES crosswalk'!A:C, 3, FALSE), VLOOKUP(M751, 'NAICS OES crosswalk'!A:C, 3, FALSE))</f>
        <v>#N/A</v>
      </c>
      <c r="U751" s="188">
        <v>180701040300</v>
      </c>
      <c r="V751" s="11" t="s">
        <v>762</v>
      </c>
      <c r="W751" s="11"/>
      <c r="X751" s="11">
        <v>0.69490707500000004</v>
      </c>
      <c r="Y751" s="11" t="b">
        <f t="shared" si="12"/>
        <v>0</v>
      </c>
    </row>
    <row r="752" spans="1:25" ht="29" x14ac:dyDescent="0.35">
      <c r="A752" s="11">
        <v>2022</v>
      </c>
      <c r="B752" s="11" t="s">
        <v>1980</v>
      </c>
      <c r="C752" s="11" t="s">
        <v>1147</v>
      </c>
      <c r="D752" s="163">
        <v>110006367136</v>
      </c>
      <c r="E752" s="11" t="s">
        <v>320</v>
      </c>
      <c r="F752" s="11" t="s">
        <v>321</v>
      </c>
      <c r="G752" s="11" t="s">
        <v>1148</v>
      </c>
      <c r="H752" s="11" t="s">
        <v>108</v>
      </c>
      <c r="I752" s="11" t="s">
        <v>1981</v>
      </c>
      <c r="J752" s="11">
        <v>37.021974</v>
      </c>
      <c r="K752" s="11">
        <v>-88.512833000000001</v>
      </c>
      <c r="L752" s="11">
        <v>4952</v>
      </c>
      <c r="M752" s="11">
        <v>4952</v>
      </c>
      <c r="N752" s="175" t="str">
        <f>VLOOKUP(M752, '2017 SIC to NAICS'!A:D, 2)</f>
        <v>Sewerage Systems</v>
      </c>
      <c r="O752" s="11">
        <v>221320</v>
      </c>
      <c r="P752" s="187" t="str">
        <f>VLOOKUP(M752, '2017 SIC to NAICS'!A:D, 4)</f>
        <v>Sewage Treatment Facilities</v>
      </c>
      <c r="Q752" s="176" t="str">
        <f>IFERROR(VLOOKUP(O752, 'NAICS OES crosswalk'!A:C, 3, FALSE), VLOOKUP(M752, 'NAICS OES crosswalk'!A:C, 3, FALSE))</f>
        <v>Waste handling, disposal, and treatment</v>
      </c>
      <c r="U752" s="190" t="s">
        <v>1150</v>
      </c>
      <c r="V752" s="11" t="s">
        <v>1149</v>
      </c>
      <c r="W752" s="11"/>
      <c r="X752" s="11">
        <v>0.66589505000000004</v>
      </c>
      <c r="Y752" s="11" t="b">
        <f t="shared" si="12"/>
        <v>0</v>
      </c>
    </row>
    <row r="753" spans="1:25" x14ac:dyDescent="0.35">
      <c r="A753" s="11">
        <v>2022</v>
      </c>
      <c r="B753" s="11" t="s">
        <v>1980</v>
      </c>
      <c r="C753" s="11" t="s">
        <v>1619</v>
      </c>
      <c r="D753" s="163">
        <v>110059344473</v>
      </c>
      <c r="E753" s="11" t="s">
        <v>338</v>
      </c>
      <c r="F753" s="11" t="s">
        <v>339</v>
      </c>
      <c r="G753" s="11" t="s">
        <v>1616</v>
      </c>
      <c r="H753" s="11" t="s">
        <v>340</v>
      </c>
      <c r="I753" s="11" t="s">
        <v>1981</v>
      </c>
      <c r="J753" s="11">
        <v>40.655278000000003</v>
      </c>
      <c r="K753" s="11">
        <v>-80.356388999999993</v>
      </c>
      <c r="L753" s="11">
        <v>2821</v>
      </c>
      <c r="M753" s="11">
        <v>2821</v>
      </c>
      <c r="N753" s="175" t="str">
        <f>VLOOKUP(M753, '2017 SIC to NAICS'!A:D, 2)</f>
        <v>Plastics Materials and Resins</v>
      </c>
      <c r="O753" s="11">
        <v>325211</v>
      </c>
      <c r="P753" s="187" t="str">
        <f>VLOOKUP(M753, '2017 SIC to NAICS'!A:D, 4)</f>
        <v>Plastics Material and Resin Manufacturing</v>
      </c>
      <c r="Q753" s="176" t="str">
        <f>IFERROR(VLOOKUP(O753, 'NAICS OES crosswalk'!A:C, 3, FALSE), VLOOKUP(M753, 'NAICS OES crosswalk'!A:C, 3, FALSE))</f>
        <v>Processing as a reactant</v>
      </c>
      <c r="U753" s="190" t="s">
        <v>1618</v>
      </c>
      <c r="V753" s="11" t="s">
        <v>1617</v>
      </c>
      <c r="W753" s="11"/>
      <c r="X753" s="11">
        <v>0.66283999999999998</v>
      </c>
      <c r="Y753" s="11" t="b">
        <f t="shared" si="12"/>
        <v>0</v>
      </c>
    </row>
    <row r="754" spans="1:25" x14ac:dyDescent="0.35">
      <c r="A754" s="11">
        <v>2022</v>
      </c>
      <c r="B754" s="11" t="s">
        <v>1980</v>
      </c>
      <c r="C754" s="11" t="s">
        <v>837</v>
      </c>
      <c r="D754" s="163">
        <v>110011779147</v>
      </c>
      <c r="E754" s="11" t="s">
        <v>172</v>
      </c>
      <c r="F754" s="11" t="s">
        <v>173</v>
      </c>
      <c r="G754" s="11" t="s">
        <v>838</v>
      </c>
      <c r="H754" s="11" t="s">
        <v>126</v>
      </c>
      <c r="I754" s="11" t="s">
        <v>1982</v>
      </c>
      <c r="J754" s="11">
        <v>43.075907999999998</v>
      </c>
      <c r="K754" s="11">
        <v>-76.089072000000002</v>
      </c>
      <c r="L754" s="11">
        <v>3585</v>
      </c>
      <c r="M754" s="11">
        <v>3585</v>
      </c>
      <c r="N754" s="175" t="str">
        <f>VLOOKUP(M754, '2017 SIC to NAICS'!A:D, 2)</f>
        <v>Refrigeration and Heating Equipment</v>
      </c>
      <c r="P754" s="187" t="str">
        <f>VLOOKUP(M754, '2017 SIC to NAICS'!A:D, 4)</f>
        <v>Other Motor Vehicle Parts Manufacturing</v>
      </c>
      <c r="Q754" s="176" t="e">
        <f>IFERROR(VLOOKUP(O754, 'NAICS OES crosswalk'!A:C, 3, FALSE), VLOOKUP(M754, 'NAICS OES crosswalk'!A:C, 3, FALSE))</f>
        <v>#N/A</v>
      </c>
      <c r="U754" s="190" t="s">
        <v>1564</v>
      </c>
      <c r="V754" s="11" t="s">
        <v>839</v>
      </c>
      <c r="W754" s="11"/>
      <c r="X754" s="11">
        <v>0.61810942499999999</v>
      </c>
      <c r="Y754" s="11" t="b">
        <f t="shared" si="12"/>
        <v>0</v>
      </c>
    </row>
    <row r="755" spans="1:25" x14ac:dyDescent="0.35">
      <c r="A755" s="11">
        <v>2022</v>
      </c>
      <c r="B755" s="11" t="s">
        <v>1980</v>
      </c>
      <c r="C755" s="11" t="s">
        <v>1555</v>
      </c>
      <c r="D755" s="163">
        <v>110043808467</v>
      </c>
      <c r="E755" s="11" t="s">
        <v>346</v>
      </c>
      <c r="F755" s="11" t="s">
        <v>347</v>
      </c>
      <c r="G755" s="11" t="s">
        <v>823</v>
      </c>
      <c r="H755" s="11" t="s">
        <v>221</v>
      </c>
      <c r="I755" s="11" t="s">
        <v>1982</v>
      </c>
      <c r="J755" s="11">
        <v>36.035440000000001</v>
      </c>
      <c r="K755" s="11">
        <v>-114.99994</v>
      </c>
      <c r="L755" s="11">
        <v>1799</v>
      </c>
      <c r="M755" s="11">
        <v>1799</v>
      </c>
      <c r="N755" s="175" t="str">
        <f>VLOOKUP(M755, '2017 SIC to NAICS'!A:D, 2)</f>
        <v>Special Trade Contractors, Nec</v>
      </c>
      <c r="O755" s="11">
        <v>541990</v>
      </c>
      <c r="P755" s="187" t="str">
        <f>VLOOKUP(M755, '2017 SIC to NAICS'!A:D, 4)</f>
        <v>Remediation Services</v>
      </c>
      <c r="Q755" s="176" t="e">
        <f>IFERROR(VLOOKUP(O755, 'NAICS OES crosswalk'!A:C, 3, FALSE), VLOOKUP(M755, 'NAICS OES crosswalk'!A:C, 3, FALSE))</f>
        <v>#N/A</v>
      </c>
      <c r="U755" s="188">
        <v>150100150708</v>
      </c>
      <c r="V755" s="11" t="s">
        <v>1556</v>
      </c>
      <c r="W755" s="11"/>
      <c r="X755" s="11">
        <v>0.58161294100000005</v>
      </c>
      <c r="Y755" s="11" t="b">
        <f t="shared" si="12"/>
        <v>0</v>
      </c>
    </row>
    <row r="756" spans="1:25" x14ac:dyDescent="0.35">
      <c r="A756" s="11">
        <v>2022</v>
      </c>
      <c r="B756" s="11" t="s">
        <v>1980</v>
      </c>
      <c r="C756" s="11" t="s">
        <v>1709</v>
      </c>
      <c r="D756" s="163">
        <v>110060340162</v>
      </c>
      <c r="E756" s="11" t="s">
        <v>313</v>
      </c>
      <c r="F756" s="11" t="s">
        <v>314</v>
      </c>
      <c r="G756" s="11" t="s">
        <v>747</v>
      </c>
      <c r="H756" s="11" t="s">
        <v>95</v>
      </c>
      <c r="I756" s="11" t="s">
        <v>1982</v>
      </c>
      <c r="J756" s="11">
        <v>29.738610999999999</v>
      </c>
      <c r="K756" s="11">
        <v>-95.166944000000001</v>
      </c>
      <c r="L756" s="11">
        <v>2869</v>
      </c>
      <c r="M756" s="11">
        <v>2869</v>
      </c>
      <c r="N756" s="175" t="str">
        <f>VLOOKUP(M756, '2017 SIC to NAICS'!A:D, 2)</f>
        <v>Industrial Organic Chemicals, Nec</v>
      </c>
      <c r="P756" s="187" t="str">
        <f>VLOOKUP(M756, '2017 SIC to NAICS'!A:D, 4)</f>
        <v>All Other Miscellaneous Chemical Product and Preparation Manufacturing</v>
      </c>
      <c r="Q756" s="176" t="str">
        <f>IFERROR(VLOOKUP(O756, 'NAICS OES crosswalk'!A:C, 3, FALSE), VLOOKUP(M756, 'NAICS OES crosswalk'!A:C, 3, FALSE))</f>
        <v>Manufacturing</v>
      </c>
      <c r="U756" s="188">
        <v>120401040703</v>
      </c>
      <c r="V756" s="11" t="s">
        <v>1688</v>
      </c>
      <c r="W756" s="11"/>
      <c r="X756" s="11">
        <v>0.56642524999999999</v>
      </c>
      <c r="Y756" s="11" t="b">
        <f t="shared" si="12"/>
        <v>0</v>
      </c>
    </row>
    <row r="757" spans="1:25" ht="29" x14ac:dyDescent="0.35">
      <c r="A757" s="11">
        <v>2022</v>
      </c>
      <c r="B757" s="11" t="s">
        <v>1980</v>
      </c>
      <c r="C757" s="11" t="s">
        <v>1212</v>
      </c>
      <c r="D757" s="163">
        <v>110043734983</v>
      </c>
      <c r="E757" s="11" t="s">
        <v>120</v>
      </c>
      <c r="F757" s="11" t="s">
        <v>115</v>
      </c>
      <c r="G757" s="11" t="s">
        <v>1072</v>
      </c>
      <c r="H757" s="11" t="s">
        <v>108</v>
      </c>
      <c r="I757" s="11" t="s">
        <v>1981</v>
      </c>
      <c r="J757" s="11">
        <v>37.770769999999999</v>
      </c>
      <c r="K757" s="11">
        <v>-87.065669999999997</v>
      </c>
      <c r="L757" s="11">
        <v>4952</v>
      </c>
      <c r="M757" s="11">
        <v>4952</v>
      </c>
      <c r="N757" s="175" t="str">
        <f>VLOOKUP(M757, '2017 SIC to NAICS'!A:D, 2)</f>
        <v>Sewerage Systems</v>
      </c>
      <c r="O757" s="11">
        <v>221320</v>
      </c>
      <c r="P757" s="187" t="str">
        <f>VLOOKUP(M757, '2017 SIC to NAICS'!A:D, 4)</f>
        <v>Sewage Treatment Facilities</v>
      </c>
      <c r="Q757" s="176" t="str">
        <f>IFERROR(VLOOKUP(O757, 'NAICS OES crosswalk'!A:C, 3, FALSE), VLOOKUP(M757, 'NAICS OES crosswalk'!A:C, 3, FALSE))</f>
        <v>Waste handling, disposal, and treatment</v>
      </c>
      <c r="U757" s="190" t="s">
        <v>1214</v>
      </c>
      <c r="V757" s="11" t="s">
        <v>1213</v>
      </c>
      <c r="W757" s="11"/>
      <c r="X757" s="11">
        <v>0.54100519000000002</v>
      </c>
      <c r="Y757" s="11" t="b">
        <f t="shared" si="12"/>
        <v>0</v>
      </c>
    </row>
    <row r="758" spans="1:25" ht="29" x14ac:dyDescent="0.35">
      <c r="A758" s="11">
        <v>2022</v>
      </c>
      <c r="B758" s="11" t="s">
        <v>1980</v>
      </c>
      <c r="C758" s="11" t="s">
        <v>770</v>
      </c>
      <c r="D758" s="163">
        <v>110000613685</v>
      </c>
      <c r="E758" s="11" t="s">
        <v>355</v>
      </c>
      <c r="F758" s="11" t="s">
        <v>90</v>
      </c>
      <c r="G758" s="11" t="s">
        <v>771</v>
      </c>
      <c r="H758" s="11" t="s">
        <v>91</v>
      </c>
      <c r="I758" s="11" t="s">
        <v>1982</v>
      </c>
      <c r="J758" s="11">
        <v>30.321895000000001</v>
      </c>
      <c r="K758" s="11">
        <v>-93.300735000000003</v>
      </c>
      <c r="L758" s="11">
        <v>4953</v>
      </c>
      <c r="M758" s="11">
        <v>4953</v>
      </c>
      <c r="N758" s="175" t="str">
        <f>VLOOKUP(M758, '2017 SIC to NAICS'!A:D, 2)</f>
        <v>Refuse Systems</v>
      </c>
      <c r="P758" s="187" t="str">
        <f>VLOOKUP(M758, '2017 SIC to NAICS'!A:D, 4)</f>
        <v>Materials Recovery Facilities</v>
      </c>
      <c r="Q758" s="176" t="str">
        <f>IFERROR(VLOOKUP(O758, 'NAICS OES crosswalk'!A:C, 3, FALSE), VLOOKUP(M758, 'NAICS OES crosswalk'!A:C, 3, FALSE))</f>
        <v>Waste handling, disposal, and treatment</v>
      </c>
      <c r="U758" s="190" t="s">
        <v>773</v>
      </c>
      <c r="V758" s="11" t="s">
        <v>772</v>
      </c>
      <c r="W758" s="11"/>
      <c r="X758" s="11">
        <v>0.47317231250000003</v>
      </c>
      <c r="Y758" s="11" t="b">
        <f t="shared" si="12"/>
        <v>0</v>
      </c>
    </row>
    <row r="759" spans="1:25" x14ac:dyDescent="0.35">
      <c r="A759" s="11">
        <v>2022</v>
      </c>
      <c r="B759" s="11" t="s">
        <v>1980</v>
      </c>
      <c r="C759" s="11" t="s">
        <v>841</v>
      </c>
      <c r="D759" s="163">
        <v>110000324391</v>
      </c>
      <c r="E759" s="11" t="s">
        <v>315</v>
      </c>
      <c r="F759" s="11" t="s">
        <v>316</v>
      </c>
      <c r="G759" s="11" t="s">
        <v>842</v>
      </c>
      <c r="H759" s="11" t="s">
        <v>126</v>
      </c>
      <c r="I759" s="11" t="s">
        <v>1981</v>
      </c>
      <c r="J759" s="11">
        <v>42.575806</v>
      </c>
      <c r="K759" s="11">
        <v>-73.859943999999999</v>
      </c>
      <c r="L759" s="11">
        <v>2821</v>
      </c>
      <c r="M759" s="11">
        <v>2821</v>
      </c>
      <c r="N759" s="175" t="str">
        <f>VLOOKUP(M759, '2017 SIC to NAICS'!A:D, 2)</f>
        <v>Plastics Materials and Resins</v>
      </c>
      <c r="P759" s="187" t="str">
        <f>VLOOKUP(M759, '2017 SIC to NAICS'!A:D, 4)</f>
        <v>Plastics Material and Resin Manufacturing</v>
      </c>
      <c r="Q759" s="176" t="str">
        <f>IFERROR(VLOOKUP(O759, 'NAICS OES crosswalk'!A:C, 3, FALSE), VLOOKUP(M759, 'NAICS OES crosswalk'!A:C, 3, FALSE))</f>
        <v>Processing as a reactant</v>
      </c>
      <c r="U759" s="190" t="s">
        <v>844</v>
      </c>
      <c r="V759" s="11" t="s">
        <v>843</v>
      </c>
      <c r="W759" s="11"/>
      <c r="X759" s="11">
        <v>0.45876699999999998</v>
      </c>
      <c r="Y759" s="11" t="b">
        <f t="shared" si="12"/>
        <v>0</v>
      </c>
    </row>
    <row r="760" spans="1:25" x14ac:dyDescent="0.35">
      <c r="A760" s="11">
        <v>2022</v>
      </c>
      <c r="B760" s="11" t="s">
        <v>1980</v>
      </c>
      <c r="C760" s="11" t="s">
        <v>794</v>
      </c>
      <c r="D760" s="163">
        <v>110000433013</v>
      </c>
      <c r="E760" s="11" t="s">
        <v>259</v>
      </c>
      <c r="F760" s="11" t="s">
        <v>260</v>
      </c>
      <c r="G760" s="11" t="s">
        <v>795</v>
      </c>
      <c r="H760" s="11" t="s">
        <v>111</v>
      </c>
      <c r="I760" s="11" t="s">
        <v>1981</v>
      </c>
      <c r="J760" s="11">
        <v>41.412897000000001</v>
      </c>
      <c r="K760" s="11">
        <v>-88.329773000000003</v>
      </c>
      <c r="L760" s="11">
        <v>2821</v>
      </c>
      <c r="M760" s="11">
        <v>2821</v>
      </c>
      <c r="N760" s="175" t="str">
        <f>VLOOKUP(M760, '2017 SIC to NAICS'!A:D, 2)</f>
        <v>Plastics Materials and Resins</v>
      </c>
      <c r="P760" s="187" t="str">
        <f>VLOOKUP(M760, '2017 SIC to NAICS'!A:D, 4)</f>
        <v>Plastics Material and Resin Manufacturing</v>
      </c>
      <c r="Q760" s="176" t="str">
        <f>IFERROR(VLOOKUP(O760, 'NAICS OES crosswalk'!A:C, 3, FALSE), VLOOKUP(M760, 'NAICS OES crosswalk'!A:C, 3, FALSE))</f>
        <v>Processing as a reactant</v>
      </c>
      <c r="U760" s="190" t="s">
        <v>799</v>
      </c>
      <c r="V760" s="11" t="s">
        <v>798</v>
      </c>
      <c r="W760" s="11"/>
      <c r="X760" s="11">
        <v>0.44659979999999999</v>
      </c>
      <c r="Y760" s="11" t="b">
        <f t="shared" si="12"/>
        <v>0</v>
      </c>
    </row>
    <row r="761" spans="1:25" x14ac:dyDescent="0.35">
      <c r="A761" s="11">
        <v>2022</v>
      </c>
      <c r="B761" s="11" t="s">
        <v>1980</v>
      </c>
      <c r="C761" s="11" t="s">
        <v>1032</v>
      </c>
      <c r="D761" s="163">
        <v>110000432504</v>
      </c>
      <c r="E761" s="11" t="s">
        <v>351</v>
      </c>
      <c r="F761" s="11" t="s">
        <v>352</v>
      </c>
      <c r="G761" s="11" t="s">
        <v>1033</v>
      </c>
      <c r="H761" s="11" t="s">
        <v>111</v>
      </c>
      <c r="I761" s="11" t="s">
        <v>1981</v>
      </c>
      <c r="J761" s="11">
        <v>41.441667000000002</v>
      </c>
      <c r="K761" s="11">
        <v>-88.159719999999993</v>
      </c>
      <c r="L761" s="11">
        <v>2843</v>
      </c>
      <c r="M761" s="11">
        <v>2843</v>
      </c>
      <c r="N761" s="175" t="str">
        <f>VLOOKUP(M761, '2017 SIC to NAICS'!A:D, 2)</f>
        <v>Surface Active Agents</v>
      </c>
      <c r="P761" s="187" t="str">
        <f>VLOOKUP(M761, '2017 SIC to NAICS'!A:D, 4)</f>
        <v>Surface Active Agent Manufacturing</v>
      </c>
      <c r="Q761" s="176" t="str">
        <f>IFERROR(VLOOKUP(O761, 'NAICS OES crosswalk'!A:C, 3, FALSE), VLOOKUP(M761, 'NAICS OES crosswalk'!A:C, 3, FALSE))</f>
        <v>Processing as a reactant</v>
      </c>
      <c r="U761" s="190" t="s">
        <v>1038</v>
      </c>
      <c r="V761" s="11" t="s">
        <v>1036</v>
      </c>
      <c r="W761" s="11"/>
      <c r="X761" s="11">
        <v>0.41495599999999999</v>
      </c>
      <c r="Y761" s="11" t="b">
        <f t="shared" si="12"/>
        <v>0</v>
      </c>
    </row>
    <row r="762" spans="1:25" x14ac:dyDescent="0.35">
      <c r="A762" s="11">
        <v>2022</v>
      </c>
      <c r="B762" s="11" t="s">
        <v>1980</v>
      </c>
      <c r="C762" s="11" t="s">
        <v>1308</v>
      </c>
      <c r="D762" s="163">
        <v>110056972432</v>
      </c>
      <c r="E762" s="11" t="s">
        <v>364</v>
      </c>
      <c r="F762" s="11" t="s">
        <v>319</v>
      </c>
      <c r="G762" s="11" t="s">
        <v>1291</v>
      </c>
      <c r="H762" s="11" t="s">
        <v>91</v>
      </c>
      <c r="I762" s="11" t="s">
        <v>1981</v>
      </c>
      <c r="J762" s="11">
        <v>30.250833</v>
      </c>
      <c r="K762" s="11">
        <v>-91.092277999999993</v>
      </c>
      <c r="L762" s="11">
        <v>2869</v>
      </c>
      <c r="M762" s="11">
        <v>2869</v>
      </c>
      <c r="N762" s="175" t="str">
        <f>VLOOKUP(M762, '2017 SIC to NAICS'!A:D, 2)</f>
        <v>Industrial Organic Chemicals, Nec</v>
      </c>
      <c r="P762" s="187" t="str">
        <f>VLOOKUP(M762, '2017 SIC to NAICS'!A:D, 4)</f>
        <v>All Other Miscellaneous Chemical Product and Preparation Manufacturing</v>
      </c>
      <c r="Q762" s="176" t="str">
        <f>IFERROR(VLOOKUP(O762, 'NAICS OES crosswalk'!A:C, 3, FALSE), VLOOKUP(M762, 'NAICS OES crosswalk'!A:C, 3, FALSE))</f>
        <v>Manufacturing</v>
      </c>
      <c r="U762" s="190" t="s">
        <v>1294</v>
      </c>
      <c r="V762" s="11" t="s">
        <v>1292</v>
      </c>
      <c r="W762" s="11"/>
      <c r="X762" s="11">
        <v>0.414275</v>
      </c>
      <c r="Y762" s="11" t="b">
        <f t="shared" si="12"/>
        <v>0</v>
      </c>
    </row>
    <row r="763" spans="1:25" x14ac:dyDescent="0.35">
      <c r="A763" s="11">
        <v>2022</v>
      </c>
      <c r="B763" s="11" t="s">
        <v>1980</v>
      </c>
      <c r="C763" s="11" t="s">
        <v>759</v>
      </c>
      <c r="D763" s="163">
        <v>110064624018</v>
      </c>
      <c r="E763" s="11" t="s">
        <v>334</v>
      </c>
      <c r="F763" s="11" t="s">
        <v>335</v>
      </c>
      <c r="G763" s="11" t="s">
        <v>335</v>
      </c>
      <c r="H763" s="11" t="s">
        <v>102</v>
      </c>
      <c r="I763" s="11" t="s">
        <v>1981</v>
      </c>
      <c r="J763" s="11">
        <v>33.990146000000003</v>
      </c>
      <c r="K763" s="11">
        <v>-118.36358</v>
      </c>
      <c r="L763" s="11">
        <v>2911</v>
      </c>
      <c r="M763" s="11">
        <v>2911</v>
      </c>
      <c r="N763" s="175" t="str">
        <f>VLOOKUP(M763, '2017 SIC to NAICS'!A:D, 2)</f>
        <v>Petroleum Refining</v>
      </c>
      <c r="P763" s="187" t="str">
        <f>VLOOKUP(M763, '2017 SIC to NAICS'!A:D, 4)</f>
        <v>Petroleum Refineries</v>
      </c>
      <c r="Q763" s="176" t="e">
        <f>IFERROR(VLOOKUP(O763, 'NAICS OES crosswalk'!A:C, 3, FALSE), VLOOKUP(M763, 'NAICS OES crosswalk'!A:C, 3, FALSE))</f>
        <v>#N/A</v>
      </c>
      <c r="U763" s="188">
        <v>180701040300</v>
      </c>
      <c r="V763" s="11" t="s">
        <v>762</v>
      </c>
      <c r="W763" s="11"/>
      <c r="X763" s="11">
        <v>0.41169444999999999</v>
      </c>
      <c r="Y763" s="11" t="b">
        <f t="shared" si="12"/>
        <v>0</v>
      </c>
    </row>
    <row r="764" spans="1:25" ht="29" x14ac:dyDescent="0.35">
      <c r="A764" s="11">
        <v>2022</v>
      </c>
      <c r="B764" s="11" t="s">
        <v>1980</v>
      </c>
      <c r="C764" s="11" t="s">
        <v>1010</v>
      </c>
      <c r="D764" s="163">
        <v>110010731262</v>
      </c>
      <c r="E764" s="11" t="s">
        <v>365</v>
      </c>
      <c r="F764" s="11" t="s">
        <v>366</v>
      </c>
      <c r="G764" s="11" t="s">
        <v>1011</v>
      </c>
      <c r="H764" s="11" t="s">
        <v>156</v>
      </c>
      <c r="I764" s="11" t="s">
        <v>1981</v>
      </c>
      <c r="J764" s="11">
        <v>22.079093</v>
      </c>
      <c r="K764" s="11">
        <v>-159.35138900000001</v>
      </c>
      <c r="L764" s="11">
        <v>4952</v>
      </c>
      <c r="M764" s="11">
        <v>4952</v>
      </c>
      <c r="N764" s="175" t="str">
        <f>VLOOKUP(M764, '2017 SIC to NAICS'!A:D, 2)</f>
        <v>Sewerage Systems</v>
      </c>
      <c r="P764" s="187" t="str">
        <f>VLOOKUP(M764, '2017 SIC to NAICS'!A:D, 4)</f>
        <v>Sewage Treatment Facilities</v>
      </c>
      <c r="Q764" s="176" t="str">
        <f>IFERROR(VLOOKUP(O764, 'NAICS OES crosswalk'!A:C, 3, FALSE), VLOOKUP(M764, 'NAICS OES crosswalk'!A:C, 3, FALSE))</f>
        <v>Waste handling, disposal, and treatment</v>
      </c>
      <c r="U764" s="188">
        <v>200700000202</v>
      </c>
      <c r="V764" s="11" t="s">
        <v>1012</v>
      </c>
      <c r="W764" s="11"/>
      <c r="X764" s="11">
        <v>0.40810248500000001</v>
      </c>
      <c r="Y764" s="11" t="b">
        <f t="shared" si="12"/>
        <v>0</v>
      </c>
    </row>
    <row r="765" spans="1:25" ht="29" x14ac:dyDescent="0.35">
      <c r="A765" s="11">
        <v>2022</v>
      </c>
      <c r="B765" s="11" t="s">
        <v>1980</v>
      </c>
      <c r="C765" s="11" t="s">
        <v>770</v>
      </c>
      <c r="D765" s="163">
        <v>110000613685</v>
      </c>
      <c r="E765" s="11" t="s">
        <v>355</v>
      </c>
      <c r="F765" s="11" t="s">
        <v>90</v>
      </c>
      <c r="G765" s="11" t="s">
        <v>771</v>
      </c>
      <c r="H765" s="11" t="s">
        <v>91</v>
      </c>
      <c r="I765" s="11" t="s">
        <v>1982</v>
      </c>
      <c r="J765" s="11">
        <v>30.321895000000001</v>
      </c>
      <c r="K765" s="11">
        <v>-93.300735000000003</v>
      </c>
      <c r="L765" s="11">
        <v>4953</v>
      </c>
      <c r="M765" s="11">
        <v>4953</v>
      </c>
      <c r="N765" s="175" t="str">
        <f>VLOOKUP(M765, '2017 SIC to NAICS'!A:D, 2)</f>
        <v>Refuse Systems</v>
      </c>
      <c r="P765" s="187" t="str">
        <f>VLOOKUP(M765, '2017 SIC to NAICS'!A:D, 4)</f>
        <v>Materials Recovery Facilities</v>
      </c>
      <c r="Q765" s="176" t="str">
        <f>IFERROR(VLOOKUP(O765, 'NAICS OES crosswalk'!A:C, 3, FALSE), VLOOKUP(M765, 'NAICS OES crosswalk'!A:C, 3, FALSE))</f>
        <v>Waste handling, disposal, and treatment</v>
      </c>
      <c r="U765" s="190" t="s">
        <v>773</v>
      </c>
      <c r="V765" s="11" t="s">
        <v>772</v>
      </c>
      <c r="W765" s="11"/>
      <c r="X765" s="11">
        <v>0.34883506250000001</v>
      </c>
      <c r="Y765" s="11" t="b">
        <f t="shared" si="12"/>
        <v>0</v>
      </c>
    </row>
    <row r="766" spans="1:25" ht="15" customHeight="1" x14ac:dyDescent="0.35">
      <c r="A766" s="11">
        <v>2022</v>
      </c>
      <c r="B766" s="11" t="s">
        <v>1980</v>
      </c>
      <c r="C766" s="11" t="s">
        <v>1668</v>
      </c>
      <c r="D766" s="163">
        <v>110000854246</v>
      </c>
      <c r="E766" s="11" t="s">
        <v>374</v>
      </c>
      <c r="F766" s="11" t="s">
        <v>197</v>
      </c>
      <c r="G766" s="11" t="s">
        <v>1669</v>
      </c>
      <c r="H766" s="11" t="s">
        <v>194</v>
      </c>
      <c r="I766" s="11" t="s">
        <v>1981</v>
      </c>
      <c r="J766" s="11">
        <v>34.047221999999998</v>
      </c>
      <c r="K766" s="11">
        <v>-81.151360999999994</v>
      </c>
      <c r="L766" s="11">
        <v>2824</v>
      </c>
      <c r="M766" s="11">
        <v>2824</v>
      </c>
      <c r="N766" s="175" t="str">
        <f>VLOOKUP(M766, '2017 SIC to NAICS'!A:D, 2)</f>
        <v>Organic Fibers, Noncellulosic</v>
      </c>
      <c r="O766" s="11">
        <v>325220</v>
      </c>
      <c r="P766" s="187" t="str">
        <f>VLOOKUP(M766, '2017 SIC to NAICS'!A:D, 4)</f>
        <v>Artificial and Synthetic Fibers and
Filaments Manufacturing</v>
      </c>
      <c r="Q766" s="176" t="e">
        <f>IFERROR(VLOOKUP(O766, 'NAICS OES crosswalk'!A:C, 3, FALSE), VLOOKUP(M766, 'NAICS OES crosswalk'!A:C, 3, FALSE))</f>
        <v>#N/A</v>
      </c>
      <c r="U766" s="190" t="s">
        <v>1674</v>
      </c>
      <c r="V766" s="11" t="s">
        <v>1672</v>
      </c>
      <c r="W766" s="11"/>
      <c r="X766" s="11">
        <v>0.33141999999999999</v>
      </c>
      <c r="Y766" s="11" t="b">
        <f t="shared" ref="Y766:Y829" si="13" xml:space="preserve"> X766 &lt;= _xlfn.PERCENTILE.INC($X$701:$X$906, 0.1)</f>
        <v>0</v>
      </c>
    </row>
    <row r="767" spans="1:25" x14ac:dyDescent="0.35">
      <c r="A767" s="11">
        <v>2022</v>
      </c>
      <c r="B767" s="11" t="s">
        <v>1980</v>
      </c>
      <c r="C767" s="11" t="s">
        <v>735</v>
      </c>
      <c r="D767" s="163">
        <v>110004306938</v>
      </c>
      <c r="E767" s="11" t="s">
        <v>336</v>
      </c>
      <c r="F767" s="11" t="s">
        <v>337</v>
      </c>
      <c r="G767" s="11" t="s">
        <v>736</v>
      </c>
      <c r="H767" s="11" t="s">
        <v>221</v>
      </c>
      <c r="I767" s="11" t="s">
        <v>1982</v>
      </c>
      <c r="J767" s="11">
        <v>36.122100000000003</v>
      </c>
      <c r="K767" s="11">
        <v>-115.17139</v>
      </c>
      <c r="L767" s="11">
        <v>7011</v>
      </c>
      <c r="M767" s="11">
        <v>7011</v>
      </c>
      <c r="N767" s="175" t="str">
        <f>VLOOKUP(M767, '2017 SIC to NAICS'!A:D, 2)</f>
        <v>Hotels and Motels</v>
      </c>
      <c r="P767" s="187" t="str">
        <f>VLOOKUP(M767, '2017 SIC to NAICS'!A:D, 4)</f>
        <v>All Other Traveler Accommodation</v>
      </c>
      <c r="Q767" s="176" t="e">
        <f>IFERROR(VLOOKUP(O767, 'NAICS OES crosswalk'!A:C, 3, FALSE), VLOOKUP(M767, 'NAICS OES crosswalk'!A:C, 3, FALSE))</f>
        <v>#N/A</v>
      </c>
      <c r="U767" s="188">
        <v>150100150604</v>
      </c>
      <c r="V767" s="11" t="s">
        <v>738</v>
      </c>
      <c r="W767" s="11"/>
      <c r="X767" s="11">
        <v>0.32990817</v>
      </c>
      <c r="Y767" s="11" t="b">
        <f t="shared" si="13"/>
        <v>0</v>
      </c>
    </row>
    <row r="768" spans="1:25" ht="29" x14ac:dyDescent="0.35">
      <c r="A768" s="11">
        <v>2022</v>
      </c>
      <c r="B768" s="11" t="s">
        <v>1980</v>
      </c>
      <c r="C768" s="11" t="s">
        <v>944</v>
      </c>
      <c r="D768" s="163">
        <v>110039801462</v>
      </c>
      <c r="E768" s="11" t="s">
        <v>388</v>
      </c>
      <c r="F768" s="11" t="s">
        <v>389</v>
      </c>
      <c r="G768" s="11" t="s">
        <v>945</v>
      </c>
      <c r="H768" s="11" t="s">
        <v>102</v>
      </c>
      <c r="I768" s="11" t="s">
        <v>1981</v>
      </c>
      <c r="J768" s="11">
        <v>37.795589999999997</v>
      </c>
      <c r="K768" s="11">
        <v>-121.26000999999999</v>
      </c>
      <c r="L768" s="11">
        <v>4952</v>
      </c>
      <c r="M768" s="11">
        <v>4952</v>
      </c>
      <c r="N768" s="175" t="str">
        <f>VLOOKUP(M768, '2017 SIC to NAICS'!A:D, 2)</f>
        <v>Sewerage Systems</v>
      </c>
      <c r="P768" s="187" t="str">
        <f>VLOOKUP(M768, '2017 SIC to NAICS'!A:D, 4)</f>
        <v>Sewage Treatment Facilities</v>
      </c>
      <c r="Q768" s="176" t="str">
        <f>IFERROR(VLOOKUP(O768, 'NAICS OES crosswalk'!A:C, 3, FALSE), VLOOKUP(M768, 'NAICS OES crosswalk'!A:C, 3, FALSE))</f>
        <v>Waste handling, disposal, and treatment</v>
      </c>
      <c r="U768" s="188">
        <v>180400030204</v>
      </c>
      <c r="V768" s="11" t="s">
        <v>946</v>
      </c>
      <c r="W768" s="11"/>
      <c r="X768" s="191">
        <v>0.27096562666666602</v>
      </c>
      <c r="Y768" s="11" t="b">
        <f t="shared" si="13"/>
        <v>0</v>
      </c>
    </row>
    <row r="769" spans="1:25" x14ac:dyDescent="0.35">
      <c r="A769" s="11">
        <v>2022</v>
      </c>
      <c r="B769" s="11" t="s">
        <v>1980</v>
      </c>
      <c r="C769" s="11" t="s">
        <v>855</v>
      </c>
      <c r="D769" s="163">
        <v>110000373621</v>
      </c>
      <c r="E769" s="11" t="s">
        <v>324</v>
      </c>
      <c r="F769" s="11" t="s">
        <v>325</v>
      </c>
      <c r="G769" s="11" t="s">
        <v>856</v>
      </c>
      <c r="H769" s="11" t="s">
        <v>161</v>
      </c>
      <c r="I769" s="11" t="s">
        <v>1982</v>
      </c>
      <c r="J769" s="11">
        <v>35.607599999999998</v>
      </c>
      <c r="K769" s="11">
        <v>-89.237700000000004</v>
      </c>
      <c r="L769" s="11">
        <v>3087</v>
      </c>
      <c r="M769" s="11">
        <v>3087</v>
      </c>
      <c r="N769" s="175" t="str">
        <f>VLOOKUP(M769, '2017 SIC to NAICS'!A:D, 2)</f>
        <v>Custom Compound Purchased Resins</v>
      </c>
      <c r="O769" s="11">
        <v>325991</v>
      </c>
      <c r="P769" s="187" t="str">
        <f>VLOOKUP(M769, '2017 SIC to NAICS'!A:D, 4)</f>
        <v>Custom Compounding of Purchased
Resins</v>
      </c>
      <c r="Q769" s="176" t="e">
        <f>IFERROR(VLOOKUP(O769, 'NAICS OES crosswalk'!A:C, 3, FALSE), VLOOKUP(M769, 'NAICS OES crosswalk'!A:C, 3, FALSE))</f>
        <v>#N/A</v>
      </c>
      <c r="U769" s="190" t="s">
        <v>860</v>
      </c>
      <c r="V769" s="11" t="s">
        <v>859</v>
      </c>
      <c r="W769" s="11"/>
      <c r="X769" s="11">
        <v>0.26939737499999999</v>
      </c>
      <c r="Y769" s="11" t="b">
        <f t="shared" si="13"/>
        <v>0</v>
      </c>
    </row>
    <row r="770" spans="1:25" x14ac:dyDescent="0.35">
      <c r="A770" s="11">
        <v>2022</v>
      </c>
      <c r="B770" s="11" t="s">
        <v>1980</v>
      </c>
      <c r="C770" s="11" t="s">
        <v>1422</v>
      </c>
      <c r="D770" s="163">
        <v>110003597395</v>
      </c>
      <c r="E770" s="11" t="s">
        <v>386</v>
      </c>
      <c r="F770" s="11" t="s">
        <v>387</v>
      </c>
      <c r="G770" s="11" t="s">
        <v>1423</v>
      </c>
      <c r="H770" s="11" t="s">
        <v>181</v>
      </c>
      <c r="I770" s="11" t="s">
        <v>1982</v>
      </c>
      <c r="J770" s="11">
        <v>42.591610000000003</v>
      </c>
      <c r="K770" s="11">
        <v>-83.602609999999999</v>
      </c>
      <c r="L770" s="11">
        <v>1799</v>
      </c>
      <c r="M770" s="11">
        <v>1799</v>
      </c>
      <c r="N770" s="175" t="str">
        <f>VLOOKUP(M770, '2017 SIC to NAICS'!A:D, 2)</f>
        <v>Special Trade Contractors, Nec</v>
      </c>
      <c r="O770" s="11">
        <v>562910</v>
      </c>
      <c r="P770" s="187" t="str">
        <f>VLOOKUP(M770, '2017 SIC to NAICS'!A:D, 4)</f>
        <v>Remediation Services</v>
      </c>
      <c r="Q770" s="176" t="e">
        <f>IFERROR(VLOOKUP(O770, 'NAICS OES crosswalk'!A:C, 3, FALSE), VLOOKUP(M770, 'NAICS OES crosswalk'!A:C, 3, FALSE))</f>
        <v>#N/A</v>
      </c>
      <c r="U770" s="190" t="s">
        <v>1425</v>
      </c>
      <c r="V770" s="11" t="s">
        <v>1424</v>
      </c>
      <c r="W770" s="11"/>
      <c r="X770" s="11">
        <v>0.25225832725000003</v>
      </c>
      <c r="Y770" s="11" t="b">
        <f t="shared" si="13"/>
        <v>0</v>
      </c>
    </row>
    <row r="771" spans="1:25" x14ac:dyDescent="0.35">
      <c r="A771" s="11">
        <v>2022</v>
      </c>
      <c r="B771" s="11" t="s">
        <v>1980</v>
      </c>
      <c r="C771" s="11" t="s">
        <v>763</v>
      </c>
      <c r="D771" s="163">
        <v>110018199377</v>
      </c>
      <c r="E771" s="11" t="s">
        <v>109</v>
      </c>
      <c r="F771" s="11" t="s">
        <v>110</v>
      </c>
      <c r="G771" s="11" t="s">
        <v>764</v>
      </c>
      <c r="H771" s="11" t="s">
        <v>111</v>
      </c>
      <c r="I771" s="11" t="s">
        <v>1982</v>
      </c>
      <c r="J771" s="11">
        <v>41.692782000000001</v>
      </c>
      <c r="K771" s="11">
        <v>-87.951100999999994</v>
      </c>
      <c r="L771" s="11">
        <v>4226</v>
      </c>
      <c r="M771" s="11">
        <v>4226</v>
      </c>
      <c r="N771" s="175" t="str">
        <f>VLOOKUP(M771, '2017 SIC to NAICS'!A:D, 2)</f>
        <v>Special Warehousing and Storage, Nec</v>
      </c>
      <c r="P771" s="187" t="str">
        <f>VLOOKUP(M771, '2017 SIC to NAICS'!A:D, 4)</f>
        <v>Other Warehousing and Storage</v>
      </c>
      <c r="Q771" s="176" t="e">
        <f>IFERROR(VLOOKUP(O771, 'NAICS OES crosswalk'!A:C, 3, FALSE), VLOOKUP(M771, 'NAICS OES crosswalk'!A:C, 3, FALSE))</f>
        <v>#N/A</v>
      </c>
      <c r="U771" s="190" t="s">
        <v>769</v>
      </c>
      <c r="V771" s="11" t="s">
        <v>767</v>
      </c>
      <c r="W771" s="11"/>
      <c r="X771" s="11">
        <v>0.24674415</v>
      </c>
      <c r="Y771" s="11" t="b">
        <f t="shared" si="13"/>
        <v>0</v>
      </c>
    </row>
    <row r="772" spans="1:25" x14ac:dyDescent="0.35">
      <c r="A772" s="11">
        <v>2022</v>
      </c>
      <c r="B772" s="11" t="s">
        <v>1980</v>
      </c>
      <c r="C772" s="11" t="s">
        <v>1392</v>
      </c>
      <c r="D772" s="163">
        <v>110000412296</v>
      </c>
      <c r="E772" s="11" t="s">
        <v>390</v>
      </c>
      <c r="F772" s="11" t="s">
        <v>391</v>
      </c>
      <c r="G772" s="11" t="s">
        <v>1393</v>
      </c>
      <c r="H772" s="11" t="s">
        <v>181</v>
      </c>
      <c r="I772" s="11" t="s">
        <v>1982</v>
      </c>
      <c r="J772" s="11">
        <v>45.145420000000001</v>
      </c>
      <c r="K772" s="11">
        <v>-84.660679999999999</v>
      </c>
      <c r="L772" s="11">
        <v>1799</v>
      </c>
      <c r="M772" s="11">
        <v>1799</v>
      </c>
      <c r="N772" s="175" t="str">
        <f>VLOOKUP(M772, '2017 SIC to NAICS'!A:D, 2)</f>
        <v>Special Trade Contractors, Nec</v>
      </c>
      <c r="O772" s="11">
        <v>331420</v>
      </c>
      <c r="P772" s="187" t="str">
        <f>VLOOKUP(M772, '2017 SIC to NAICS'!A:D, 4)</f>
        <v>Remediation Services</v>
      </c>
      <c r="Q772" s="176" t="e">
        <f>IFERROR(VLOOKUP(O772, 'NAICS OES crosswalk'!A:C, 3, FALSE), VLOOKUP(M772, 'NAICS OES crosswalk'!A:C, 3, FALSE))</f>
        <v>#N/A</v>
      </c>
      <c r="U772" s="190" t="s">
        <v>1395</v>
      </c>
      <c r="V772" s="11" t="s">
        <v>1394</v>
      </c>
      <c r="W772" s="11"/>
      <c r="X772" s="11">
        <v>0.23822733225000001</v>
      </c>
      <c r="Y772" s="11" t="b">
        <f t="shared" si="13"/>
        <v>0</v>
      </c>
    </row>
    <row r="773" spans="1:25" x14ac:dyDescent="0.35">
      <c r="A773" s="11">
        <v>2022</v>
      </c>
      <c r="B773" s="11" t="s">
        <v>1980</v>
      </c>
      <c r="C773" s="11" t="s">
        <v>1655</v>
      </c>
      <c r="D773" s="163">
        <v>110000581255</v>
      </c>
      <c r="E773" s="11" t="s">
        <v>398</v>
      </c>
      <c r="F773" s="11" t="s">
        <v>399</v>
      </c>
      <c r="G773" s="11" t="s">
        <v>1656</v>
      </c>
      <c r="H773" s="11" t="s">
        <v>400</v>
      </c>
      <c r="I773" s="11" t="s">
        <v>1982</v>
      </c>
      <c r="J773" s="11">
        <v>41.633920000000003</v>
      </c>
      <c r="K773" s="11">
        <v>-71.493690000000001</v>
      </c>
      <c r="L773" s="11">
        <v>3315</v>
      </c>
      <c r="M773" s="11">
        <v>3315</v>
      </c>
      <c r="N773" s="175" t="str">
        <f>VLOOKUP(M773, '2017 SIC to NAICS'!A:D, 2)</f>
        <v>Steel Wire and Related Products</v>
      </c>
      <c r="P773" s="187" t="str">
        <f>VLOOKUP(M773, '2017 SIC to NAICS'!A:D, 4)</f>
        <v>Other Fabricated Wire Product
Manufacturing</v>
      </c>
      <c r="Q773" s="176" t="e">
        <f>IFERROR(VLOOKUP(O773, 'NAICS OES crosswalk'!A:C, 3, FALSE), VLOOKUP(M773, 'NAICS OES crosswalk'!A:C, 3, FALSE))</f>
        <v>#N/A</v>
      </c>
      <c r="U773" s="190" t="s">
        <v>1658</v>
      </c>
      <c r="V773" s="11" t="s">
        <v>1657</v>
      </c>
      <c r="W773" s="11"/>
      <c r="X773" s="11">
        <v>0.233113608</v>
      </c>
      <c r="Y773" s="11" t="b">
        <f t="shared" si="13"/>
        <v>0</v>
      </c>
    </row>
    <row r="774" spans="1:25" ht="29" x14ac:dyDescent="0.35">
      <c r="A774" s="11">
        <v>2022</v>
      </c>
      <c r="B774" s="11" t="s">
        <v>1980</v>
      </c>
      <c r="C774" s="11" t="s">
        <v>930</v>
      </c>
      <c r="D774" s="163">
        <v>110039782349</v>
      </c>
      <c r="E774" s="11" t="s">
        <v>370</v>
      </c>
      <c r="F774" s="11" t="s">
        <v>371</v>
      </c>
      <c r="G774" s="11" t="s">
        <v>931</v>
      </c>
      <c r="H774" s="11" t="s">
        <v>102</v>
      </c>
      <c r="I774" s="11" t="s">
        <v>1981</v>
      </c>
      <c r="J774" s="11">
        <v>38.662149999999997</v>
      </c>
      <c r="K774" s="11">
        <v>-121.71407000000001</v>
      </c>
      <c r="L774" s="11">
        <v>4952</v>
      </c>
      <c r="M774" s="11">
        <v>4952</v>
      </c>
      <c r="N774" s="175" t="str">
        <f>VLOOKUP(M774, '2017 SIC to NAICS'!A:D, 2)</f>
        <v>Sewerage Systems</v>
      </c>
      <c r="P774" s="187" t="str">
        <f>VLOOKUP(M774, '2017 SIC to NAICS'!A:D, 4)</f>
        <v>Sewage Treatment Facilities</v>
      </c>
      <c r="Q774" s="176" t="str">
        <f>IFERROR(VLOOKUP(O774, 'NAICS OES crosswalk'!A:C, 3, FALSE), VLOOKUP(M774, 'NAICS OES crosswalk'!A:C, 3, FALSE))</f>
        <v>Waste handling, disposal, and treatment</v>
      </c>
      <c r="U774" s="188">
        <v>180201630302</v>
      </c>
      <c r="V774" s="11" t="s">
        <v>932</v>
      </c>
      <c r="W774" s="11"/>
      <c r="X774" s="11">
        <v>0.227935728</v>
      </c>
      <c r="Y774" s="11" t="b">
        <f t="shared" si="13"/>
        <v>0</v>
      </c>
    </row>
    <row r="775" spans="1:25" ht="29" x14ac:dyDescent="0.35">
      <c r="A775" s="11">
        <v>2022</v>
      </c>
      <c r="B775" s="11" t="s">
        <v>1980</v>
      </c>
      <c r="C775" s="11" t="s">
        <v>1416</v>
      </c>
      <c r="D775" s="163">
        <v>110006739878</v>
      </c>
      <c r="E775" s="11" t="s">
        <v>356</v>
      </c>
      <c r="F775" s="11" t="s">
        <v>357</v>
      </c>
      <c r="G775" s="11" t="s">
        <v>1389</v>
      </c>
      <c r="H775" s="11" t="s">
        <v>181</v>
      </c>
      <c r="I775" s="11" t="s">
        <v>1982</v>
      </c>
      <c r="J775" s="11">
        <v>44.250408</v>
      </c>
      <c r="K775" s="11">
        <v>-85.402265</v>
      </c>
      <c r="L775" s="11">
        <v>9999</v>
      </c>
      <c r="M775" s="11">
        <v>9999</v>
      </c>
      <c r="N775" s="175" t="str">
        <f>VLOOKUP(M775, '2017 SIC to NAICS'!A:D, 2)</f>
        <v>Nonclassifiable Establishments</v>
      </c>
      <c r="O775" s="11">
        <v>562910</v>
      </c>
      <c r="P775" s="187">
        <f>VLOOKUP(M775, '2017 SIC to NAICS'!A:D, 4)</f>
        <v>0</v>
      </c>
      <c r="Q775" s="176" t="str">
        <f>IFERROR(VLOOKUP(O775, 'NAICS OES crosswalk'!A:C, 3, FALSE), VLOOKUP(M775, 'NAICS OES crosswalk'!A:C, 3, FALSE))</f>
        <v>Uncertain, possibly a remediation site</v>
      </c>
      <c r="U775" s="190" t="s">
        <v>1418</v>
      </c>
      <c r="V775" s="11" t="s">
        <v>1417</v>
      </c>
      <c r="W775" s="11"/>
      <c r="X775" s="11">
        <v>0.22743126320000001</v>
      </c>
      <c r="Y775" s="11" t="b">
        <f t="shared" si="13"/>
        <v>0</v>
      </c>
    </row>
    <row r="776" spans="1:25" x14ac:dyDescent="0.35">
      <c r="A776" s="11">
        <v>2022</v>
      </c>
      <c r="B776" s="11" t="s">
        <v>1980</v>
      </c>
      <c r="C776" s="11" t="s">
        <v>822</v>
      </c>
      <c r="D776" s="163">
        <v>110015972562</v>
      </c>
      <c r="E776" s="11" t="s">
        <v>381</v>
      </c>
      <c r="F776" s="11" t="s">
        <v>337</v>
      </c>
      <c r="G776" s="11" t="s">
        <v>823</v>
      </c>
      <c r="H776" s="11" t="s">
        <v>221</v>
      </c>
      <c r="I776" s="11" t="s">
        <v>1982</v>
      </c>
      <c r="J776" s="11">
        <v>36.116160999999998</v>
      </c>
      <c r="K776" s="11">
        <v>-115.172741</v>
      </c>
      <c r="L776" s="11">
        <v>7011</v>
      </c>
      <c r="M776" s="11">
        <v>7011</v>
      </c>
      <c r="N776" s="175" t="str">
        <f>VLOOKUP(M776, '2017 SIC to NAICS'!A:D, 2)</f>
        <v>Hotels and Motels</v>
      </c>
      <c r="O776" s="11">
        <v>721120</v>
      </c>
      <c r="P776" s="187" t="str">
        <f>VLOOKUP(M776, '2017 SIC to NAICS'!A:D, 4)</f>
        <v>All Other Traveler Accommodation</v>
      </c>
      <c r="Q776" s="176" t="e">
        <f>IFERROR(VLOOKUP(O776, 'NAICS OES crosswalk'!A:C, 3, FALSE), VLOOKUP(M776, 'NAICS OES crosswalk'!A:C, 3, FALSE))</f>
        <v>#N/A</v>
      </c>
      <c r="U776" s="188">
        <v>150100150604</v>
      </c>
      <c r="V776" s="11" t="s">
        <v>738</v>
      </c>
      <c r="W776" s="11"/>
      <c r="X776" s="11">
        <v>0.2241765700875</v>
      </c>
      <c r="Y776" s="11" t="b">
        <f t="shared" si="13"/>
        <v>0</v>
      </c>
    </row>
    <row r="777" spans="1:25" x14ac:dyDescent="0.35">
      <c r="A777" s="11">
        <v>2022</v>
      </c>
      <c r="B777" s="11" t="s">
        <v>1980</v>
      </c>
      <c r="C777" s="11" t="s">
        <v>1355</v>
      </c>
      <c r="D777" s="163">
        <v>110009291872</v>
      </c>
      <c r="E777" s="11" t="s">
        <v>428</v>
      </c>
      <c r="F777" s="11" t="s">
        <v>429</v>
      </c>
      <c r="G777" s="11" t="s">
        <v>406</v>
      </c>
      <c r="H777" s="11" t="s">
        <v>181</v>
      </c>
      <c r="I777" s="11" t="s">
        <v>1982</v>
      </c>
      <c r="J777" s="11">
        <v>43.394015000000003</v>
      </c>
      <c r="K777" s="11">
        <v>-86.397982999999996</v>
      </c>
      <c r="L777" s="11">
        <v>2869</v>
      </c>
      <c r="M777" s="11">
        <v>2869</v>
      </c>
      <c r="N777" s="175" t="str">
        <f>VLOOKUP(M777, '2017 SIC to NAICS'!A:D, 2)</f>
        <v>Industrial Organic Chemicals, Nec</v>
      </c>
      <c r="P777" s="187" t="str">
        <f>VLOOKUP(M777, '2017 SIC to NAICS'!A:D, 4)</f>
        <v>All Other Miscellaneous Chemical Product and Preparation Manufacturing</v>
      </c>
      <c r="Q777" s="176" t="str">
        <f>IFERROR(VLOOKUP(O777, 'NAICS OES crosswalk'!A:C, 3, FALSE), VLOOKUP(M777, 'NAICS OES crosswalk'!A:C, 3, FALSE))</f>
        <v>Manufacturing</v>
      </c>
      <c r="U777" s="190" t="s">
        <v>1357</v>
      </c>
      <c r="V777" s="11" t="s">
        <v>1356</v>
      </c>
      <c r="W777" s="11"/>
      <c r="X777" s="11">
        <v>0.13325349880000001</v>
      </c>
      <c r="Y777" s="11" t="b">
        <f t="shared" si="13"/>
        <v>0</v>
      </c>
    </row>
    <row r="778" spans="1:25" x14ac:dyDescent="0.35">
      <c r="A778" s="11">
        <v>2022</v>
      </c>
      <c r="B778" s="11" t="s">
        <v>1980</v>
      </c>
      <c r="C778" s="11" t="s">
        <v>861</v>
      </c>
      <c r="D778" s="163">
        <v>110000748095</v>
      </c>
      <c r="E778" s="11" t="s">
        <v>282</v>
      </c>
      <c r="F778" s="11" t="s">
        <v>283</v>
      </c>
      <c r="G778" s="11" t="s">
        <v>862</v>
      </c>
      <c r="H778" s="11" t="s">
        <v>95</v>
      </c>
      <c r="I778" s="11" t="s">
        <v>1981</v>
      </c>
      <c r="J778" s="11">
        <v>30.311361000000002</v>
      </c>
      <c r="K778" s="11">
        <v>-95.387083000000004</v>
      </c>
      <c r="L778" s="11">
        <v>2869</v>
      </c>
      <c r="M778" s="11">
        <v>2869</v>
      </c>
      <c r="N778" s="175" t="str">
        <f>VLOOKUP(M778, '2017 SIC to NAICS'!A:D, 2)</f>
        <v>Industrial Organic Chemicals, Nec</v>
      </c>
      <c r="P778" s="187" t="str">
        <f>VLOOKUP(M778, '2017 SIC to NAICS'!A:D, 4)</f>
        <v>All Other Miscellaneous Chemical Product and Preparation Manufacturing</v>
      </c>
      <c r="Q778" s="176" t="str">
        <f>IFERROR(VLOOKUP(O778, 'NAICS OES crosswalk'!A:C, 3, FALSE), VLOOKUP(M778, 'NAICS OES crosswalk'!A:C, 3, FALSE))</f>
        <v>Manufacturing</v>
      </c>
      <c r="U778" s="188">
        <v>120401010403</v>
      </c>
      <c r="V778" s="11" t="s">
        <v>863</v>
      </c>
      <c r="W778" s="11"/>
      <c r="X778" s="11">
        <v>0.2071375</v>
      </c>
      <c r="Y778" s="11" t="b">
        <f t="shared" si="13"/>
        <v>0</v>
      </c>
    </row>
    <row r="779" spans="1:25" x14ac:dyDescent="0.35">
      <c r="A779" s="11">
        <v>2022</v>
      </c>
      <c r="B779" s="11" t="s">
        <v>1980</v>
      </c>
      <c r="C779" s="11" t="s">
        <v>1406</v>
      </c>
      <c r="D779" s="163">
        <v>110009900116</v>
      </c>
      <c r="E779" s="11" t="s">
        <v>408</v>
      </c>
      <c r="F779" s="11" t="s">
        <v>409</v>
      </c>
      <c r="G779" s="11" t="s">
        <v>604</v>
      </c>
      <c r="H779" s="11" t="s">
        <v>181</v>
      </c>
      <c r="I779" s="11" t="s">
        <v>1982</v>
      </c>
      <c r="J779" s="11">
        <v>41.804830000000003</v>
      </c>
      <c r="K779" s="11">
        <v>-85.413839999999993</v>
      </c>
      <c r="L779" s="11">
        <v>2591</v>
      </c>
      <c r="M779" s="11">
        <v>2591</v>
      </c>
      <c r="N779" s="175" t="str">
        <f>VLOOKUP(M779, '2017 SIC to NAICS'!A:D, 2)</f>
        <v>Drapery Hardware and Blinds and Shades</v>
      </c>
      <c r="O779" s="11">
        <v>562910</v>
      </c>
      <c r="P779" s="187" t="str">
        <f>VLOOKUP(M779, '2017 SIC to NAICS'!A:D, 4)</f>
        <v>Blind and Shade Manufacturing</v>
      </c>
      <c r="Q779" s="176" t="e">
        <f>IFERROR(VLOOKUP(O779, 'NAICS OES crosswalk'!A:C, 3, FALSE), VLOOKUP(M779, 'NAICS OES crosswalk'!A:C, 3, FALSE))</f>
        <v>#N/A</v>
      </c>
      <c r="U779" s="190" t="s">
        <v>1408</v>
      </c>
      <c r="V779" s="11" t="s">
        <v>1407</v>
      </c>
      <c r="W779" s="11"/>
      <c r="X779" s="11">
        <v>0.19716822000000001</v>
      </c>
      <c r="Y779" s="11" t="b">
        <f t="shared" si="13"/>
        <v>0</v>
      </c>
    </row>
    <row r="780" spans="1:25" x14ac:dyDescent="0.35">
      <c r="A780" s="11">
        <v>2022</v>
      </c>
      <c r="B780" s="11" t="s">
        <v>1980</v>
      </c>
      <c r="C780" s="11" t="s">
        <v>1323</v>
      </c>
      <c r="D780" s="163">
        <v>110000834688</v>
      </c>
      <c r="E780" s="11" t="s">
        <v>368</v>
      </c>
      <c r="F780" s="11" t="s">
        <v>369</v>
      </c>
      <c r="G780" s="11" t="s">
        <v>1324</v>
      </c>
      <c r="H780" s="11" t="s">
        <v>91</v>
      </c>
      <c r="I780" s="11" t="s">
        <v>1982</v>
      </c>
      <c r="J780" s="11">
        <v>29.924576999999999</v>
      </c>
      <c r="K780" s="11">
        <v>-90.145308</v>
      </c>
      <c r="L780" s="11">
        <v>4226</v>
      </c>
      <c r="M780" s="11">
        <v>4226</v>
      </c>
      <c r="N780" s="175" t="str">
        <f>VLOOKUP(M780, '2017 SIC to NAICS'!A:D, 2)</f>
        <v>Special Warehousing and Storage, Nec</v>
      </c>
      <c r="P780" s="187" t="str">
        <f>VLOOKUP(M780, '2017 SIC to NAICS'!A:D, 4)</f>
        <v>Other Warehousing and Storage</v>
      </c>
      <c r="Q780" s="176" t="e">
        <f>IFERROR(VLOOKUP(O780, 'NAICS OES crosswalk'!A:C, 3, FALSE), VLOOKUP(M780, 'NAICS OES crosswalk'!A:C, 3, FALSE))</f>
        <v>#N/A</v>
      </c>
      <c r="U780" s="190" t="s">
        <v>1326</v>
      </c>
      <c r="V780" s="11" t="s">
        <v>1325</v>
      </c>
      <c r="W780" s="11"/>
      <c r="X780" s="11">
        <v>0.19499544075</v>
      </c>
      <c r="Y780" s="11" t="b">
        <f t="shared" si="13"/>
        <v>0</v>
      </c>
    </row>
    <row r="781" spans="1:25" x14ac:dyDescent="0.35">
      <c r="A781" s="11">
        <v>2022</v>
      </c>
      <c r="B781" s="11" t="s">
        <v>1980</v>
      </c>
      <c r="C781" s="11" t="s">
        <v>794</v>
      </c>
      <c r="D781" s="163">
        <v>110000433013</v>
      </c>
      <c r="E781" s="11" t="s">
        <v>259</v>
      </c>
      <c r="F781" s="11" t="s">
        <v>260</v>
      </c>
      <c r="G781" s="11" t="s">
        <v>795</v>
      </c>
      <c r="H781" s="11" t="s">
        <v>111</v>
      </c>
      <c r="I781" s="11" t="s">
        <v>1981</v>
      </c>
      <c r="J781" s="11">
        <v>41.412897000000001</v>
      </c>
      <c r="K781" s="11">
        <v>-88.329773000000003</v>
      </c>
      <c r="L781" s="11">
        <v>2821</v>
      </c>
      <c r="M781" s="11">
        <v>2821</v>
      </c>
      <c r="N781" s="175" t="str">
        <f>VLOOKUP(M781, '2017 SIC to NAICS'!A:D, 2)</f>
        <v>Plastics Materials and Resins</v>
      </c>
      <c r="P781" s="187" t="str">
        <f>VLOOKUP(M781, '2017 SIC to NAICS'!A:D, 4)</f>
        <v>Plastics Material and Resin Manufacturing</v>
      </c>
      <c r="Q781" s="176" t="str">
        <f>IFERROR(VLOOKUP(O781, 'NAICS OES crosswalk'!A:C, 3, FALSE), VLOOKUP(M781, 'NAICS OES crosswalk'!A:C, 3, FALSE))</f>
        <v>Processing as a reactant</v>
      </c>
      <c r="U781" s="190" t="s">
        <v>799</v>
      </c>
      <c r="V781" s="11" t="s">
        <v>798</v>
      </c>
      <c r="W781" s="11"/>
      <c r="X781" s="11">
        <v>0.16616400000000001</v>
      </c>
      <c r="Y781" s="11" t="b">
        <f t="shared" si="13"/>
        <v>0</v>
      </c>
    </row>
    <row r="782" spans="1:25" x14ac:dyDescent="0.35">
      <c r="A782" s="11">
        <v>2022</v>
      </c>
      <c r="B782" s="11" t="s">
        <v>1980</v>
      </c>
      <c r="C782" s="11" t="s">
        <v>1702</v>
      </c>
      <c r="D782" s="163">
        <v>110056961480</v>
      </c>
      <c r="E782" s="11" t="s">
        <v>422</v>
      </c>
      <c r="F782" s="11" t="s">
        <v>423</v>
      </c>
      <c r="G782" s="11" t="s">
        <v>1703</v>
      </c>
      <c r="H782" s="11" t="s">
        <v>95</v>
      </c>
      <c r="I782" s="11" t="s">
        <v>1981</v>
      </c>
      <c r="J782" s="11">
        <v>29.857654</v>
      </c>
      <c r="K782" s="11">
        <v>-94.910674</v>
      </c>
      <c r="L782" s="11">
        <v>2869</v>
      </c>
      <c r="M782" s="11">
        <v>2869</v>
      </c>
      <c r="N782" s="175" t="str">
        <f>VLOOKUP(M782, '2017 SIC to NAICS'!A:D, 2)</f>
        <v>Industrial Organic Chemicals, Nec</v>
      </c>
      <c r="P782" s="187" t="str">
        <f>VLOOKUP(M782, '2017 SIC to NAICS'!A:D, 4)</f>
        <v>All Other Miscellaneous Chemical Product and Preparation Manufacturing</v>
      </c>
      <c r="Q782" s="176" t="str">
        <f>IFERROR(VLOOKUP(O782, 'NAICS OES crosswalk'!A:C, 3, FALSE), VLOOKUP(M782, 'NAICS OES crosswalk'!A:C, 3, FALSE))</f>
        <v>Manufacturing</v>
      </c>
      <c r="U782" s="188">
        <v>120402030105</v>
      </c>
      <c r="V782" s="11" t="s">
        <v>1704</v>
      </c>
      <c r="W782" s="11"/>
      <c r="X782" s="11">
        <v>0.16571</v>
      </c>
      <c r="Y782" s="11" t="b">
        <f t="shared" si="13"/>
        <v>0</v>
      </c>
    </row>
    <row r="783" spans="1:25" x14ac:dyDescent="0.35">
      <c r="A783" s="11">
        <v>2022</v>
      </c>
      <c r="B783" s="11" t="s">
        <v>1980</v>
      </c>
      <c r="C783" s="11" t="s">
        <v>1700</v>
      </c>
      <c r="D783" s="163">
        <v>110000460983</v>
      </c>
      <c r="E783" s="11" t="s">
        <v>367</v>
      </c>
      <c r="F783" s="11" t="s">
        <v>94</v>
      </c>
      <c r="G783" s="11" t="s">
        <v>747</v>
      </c>
      <c r="H783" s="11" t="s">
        <v>95</v>
      </c>
      <c r="I783" s="11" t="s">
        <v>1982</v>
      </c>
      <c r="J783" s="11">
        <v>29.75487</v>
      </c>
      <c r="K783" s="11">
        <v>-95.103269999999995</v>
      </c>
      <c r="L783" s="11">
        <v>2869</v>
      </c>
      <c r="M783" s="11">
        <v>2869</v>
      </c>
      <c r="N783" s="175" t="str">
        <f>VLOOKUP(M783, '2017 SIC to NAICS'!A:D, 2)</f>
        <v>Industrial Organic Chemicals, Nec</v>
      </c>
      <c r="P783" s="187" t="str">
        <f>VLOOKUP(M783, '2017 SIC to NAICS'!A:D, 4)</f>
        <v>All Other Miscellaneous Chemical Product and Preparation Manufacturing</v>
      </c>
      <c r="Q783" s="176" t="str">
        <f>IFERROR(VLOOKUP(O783, 'NAICS OES crosswalk'!A:C, 3, FALSE), VLOOKUP(M783, 'NAICS OES crosswalk'!A:C, 3, FALSE))</f>
        <v>Manufacturing</v>
      </c>
      <c r="U783" s="188">
        <v>120401040702</v>
      </c>
      <c r="V783" s="11" t="s">
        <v>1701</v>
      </c>
      <c r="W783" s="11"/>
      <c r="X783" s="11">
        <v>0.16571</v>
      </c>
      <c r="Y783" s="11" t="b">
        <f t="shared" si="13"/>
        <v>0</v>
      </c>
    </row>
    <row r="784" spans="1:25" x14ac:dyDescent="0.35">
      <c r="A784" s="11">
        <v>2022</v>
      </c>
      <c r="B784" s="11" t="s">
        <v>1980</v>
      </c>
      <c r="C784" s="11" t="s">
        <v>804</v>
      </c>
      <c r="D784" s="163">
        <v>110000378467</v>
      </c>
      <c r="E784" s="11" t="s">
        <v>306</v>
      </c>
      <c r="F784" s="11" t="s">
        <v>107</v>
      </c>
      <c r="G784" s="11" t="s">
        <v>782</v>
      </c>
      <c r="H784" s="11" t="s">
        <v>108</v>
      </c>
      <c r="I784" s="11" t="s">
        <v>1981</v>
      </c>
      <c r="J784" s="11">
        <v>38.195278000000002</v>
      </c>
      <c r="K784" s="11">
        <v>-85.872221999999994</v>
      </c>
      <c r="L784" s="11">
        <v>2869</v>
      </c>
      <c r="M784" s="11">
        <v>2869</v>
      </c>
      <c r="N784" s="175" t="str">
        <f>VLOOKUP(M784, '2017 SIC to NAICS'!A:D, 2)</f>
        <v>Industrial Organic Chemicals, Nec</v>
      </c>
      <c r="O784" s="11">
        <v>325110</v>
      </c>
      <c r="P784" s="187" t="str">
        <f>VLOOKUP(M784, '2017 SIC to NAICS'!A:D, 4)</f>
        <v>All Other Miscellaneous Chemical Product and Preparation Manufacturing</v>
      </c>
      <c r="Q784" s="176" t="str">
        <f>IFERROR(VLOOKUP(O784, 'NAICS OES crosswalk'!A:C, 3, FALSE), VLOOKUP(M784, 'NAICS OES crosswalk'!A:C, 3, FALSE))</f>
        <v>Processing as a reactant</v>
      </c>
      <c r="U784" s="190" t="s">
        <v>1070</v>
      </c>
      <c r="V784" s="11" t="s">
        <v>805</v>
      </c>
      <c r="W784" s="11"/>
      <c r="X784" s="11">
        <v>0.16571</v>
      </c>
      <c r="Y784" s="11" t="b">
        <f t="shared" si="13"/>
        <v>0</v>
      </c>
    </row>
    <row r="785" spans="1:25" ht="29" x14ac:dyDescent="0.35">
      <c r="A785" s="11">
        <v>2022</v>
      </c>
      <c r="B785" s="11" t="s">
        <v>1980</v>
      </c>
      <c r="C785" s="11" t="s">
        <v>778</v>
      </c>
      <c r="D785" s="163">
        <v>110064644782</v>
      </c>
      <c r="E785" s="11" t="s">
        <v>303</v>
      </c>
      <c r="F785" s="11" t="s">
        <v>304</v>
      </c>
      <c r="G785" s="11" t="s">
        <v>779</v>
      </c>
      <c r="H785" s="11" t="s">
        <v>91</v>
      </c>
      <c r="I785" s="11" t="s">
        <v>1981</v>
      </c>
      <c r="J785" s="11">
        <v>30.584540000000001</v>
      </c>
      <c r="K785" s="11">
        <v>-91.247479999999996</v>
      </c>
      <c r="L785" s="11">
        <v>4953</v>
      </c>
      <c r="M785" s="11">
        <v>4953</v>
      </c>
      <c r="N785" s="175" t="str">
        <f>VLOOKUP(M785, '2017 SIC to NAICS'!A:D, 2)</f>
        <v>Refuse Systems</v>
      </c>
      <c r="P785" s="187" t="str">
        <f>VLOOKUP(M785, '2017 SIC to NAICS'!A:D, 4)</f>
        <v>Materials Recovery Facilities</v>
      </c>
      <c r="Q785" s="176" t="str">
        <f>IFERROR(VLOOKUP(O785, 'NAICS OES crosswalk'!A:C, 3, FALSE), VLOOKUP(M785, 'NAICS OES crosswalk'!A:C, 3, FALSE))</f>
        <v>Waste handling, disposal, and treatment</v>
      </c>
      <c r="U785" s="190" t="s">
        <v>806</v>
      </c>
      <c r="V785" s="11" t="s">
        <v>780</v>
      </c>
      <c r="W785" s="11"/>
      <c r="X785" s="11">
        <v>0.16559375000000001</v>
      </c>
      <c r="Y785" s="11" t="b">
        <f t="shared" si="13"/>
        <v>0</v>
      </c>
    </row>
    <row r="786" spans="1:25" x14ac:dyDescent="0.35">
      <c r="A786" s="11">
        <v>2022</v>
      </c>
      <c r="B786" s="11" t="s">
        <v>1980</v>
      </c>
      <c r="C786" s="11" t="s">
        <v>789</v>
      </c>
      <c r="D786" s="163">
        <v>110002672484</v>
      </c>
      <c r="E786" s="11" t="s">
        <v>503</v>
      </c>
      <c r="F786" s="11" t="s">
        <v>504</v>
      </c>
      <c r="G786" s="11" t="s">
        <v>790</v>
      </c>
      <c r="H786" s="11" t="s">
        <v>102</v>
      </c>
      <c r="I786" s="11" t="s">
        <v>1982</v>
      </c>
      <c r="J786" s="11">
        <v>32.803809999999999</v>
      </c>
      <c r="K786" s="11">
        <v>-115.53973999999999</v>
      </c>
      <c r="L786" s="191" t="s">
        <v>793</v>
      </c>
      <c r="M786" s="191" t="s">
        <v>793</v>
      </c>
      <c r="N786" s="175" t="e">
        <f>VLOOKUP(M786, '2017 SIC to NAICS'!A:D, 2)</f>
        <v>#N/A</v>
      </c>
      <c r="P786" s="187" t="e">
        <f>VLOOKUP(M786, '2017 SIC to NAICS'!A:D, 4)</f>
        <v>#N/A</v>
      </c>
      <c r="Q786" s="176" t="e">
        <f>IFERROR(VLOOKUP(O786, 'NAICS OES crosswalk'!A:C, 3, FALSE), VLOOKUP(M786, 'NAICS OES crosswalk'!A:C, 3, FALSE))</f>
        <v>#N/A</v>
      </c>
      <c r="U786" s="188">
        <v>181002040701</v>
      </c>
      <c r="V786" s="11" t="s">
        <v>791</v>
      </c>
      <c r="W786" s="11"/>
      <c r="X786" s="11">
        <v>3.0393549999999998E-2</v>
      </c>
      <c r="Y786" s="11" t="b">
        <f t="shared" si="13"/>
        <v>0</v>
      </c>
    </row>
    <row r="787" spans="1:25" x14ac:dyDescent="0.35">
      <c r="A787" s="11">
        <v>2022</v>
      </c>
      <c r="B787" s="11" t="s">
        <v>1980</v>
      </c>
      <c r="C787" s="11" t="s">
        <v>735</v>
      </c>
      <c r="D787" s="163">
        <v>110004306938</v>
      </c>
      <c r="E787" s="11" t="s">
        <v>336</v>
      </c>
      <c r="F787" s="11" t="s">
        <v>337</v>
      </c>
      <c r="G787" s="11" t="s">
        <v>736</v>
      </c>
      <c r="H787" s="11" t="s">
        <v>221</v>
      </c>
      <c r="I787" s="11" t="s">
        <v>1982</v>
      </c>
      <c r="J787" s="11">
        <v>36.122100000000003</v>
      </c>
      <c r="K787" s="11">
        <v>-115.17139</v>
      </c>
      <c r="L787" s="11">
        <v>7011</v>
      </c>
      <c r="M787" s="11">
        <v>7011</v>
      </c>
      <c r="N787" s="175" t="str">
        <f>VLOOKUP(M787, '2017 SIC to NAICS'!A:D, 2)</f>
        <v>Hotels and Motels</v>
      </c>
      <c r="P787" s="187" t="str">
        <f>VLOOKUP(M787, '2017 SIC to NAICS'!A:D, 4)</f>
        <v>All Other Traveler Accommodation</v>
      </c>
      <c r="Q787" s="176" t="e">
        <f>IFERROR(VLOOKUP(O787, 'NAICS OES crosswalk'!A:C, 3, FALSE), VLOOKUP(M787, 'NAICS OES crosswalk'!A:C, 3, FALSE))</f>
        <v>#N/A</v>
      </c>
      <c r="U787" s="188">
        <v>150100150604</v>
      </c>
      <c r="V787" s="11" t="s">
        <v>738</v>
      </c>
      <c r="W787" s="11"/>
      <c r="X787" s="11">
        <v>0.145080847875</v>
      </c>
      <c r="Y787" s="11" t="b">
        <f t="shared" si="13"/>
        <v>0</v>
      </c>
    </row>
    <row r="788" spans="1:25" x14ac:dyDescent="0.35">
      <c r="A788" s="11">
        <v>2022</v>
      </c>
      <c r="B788" s="11" t="s">
        <v>1980</v>
      </c>
      <c r="C788" s="11" t="s">
        <v>855</v>
      </c>
      <c r="D788" s="163">
        <v>110000373621</v>
      </c>
      <c r="E788" s="11" t="s">
        <v>324</v>
      </c>
      <c r="F788" s="11" t="s">
        <v>325</v>
      </c>
      <c r="G788" s="11" t="s">
        <v>856</v>
      </c>
      <c r="H788" s="11" t="s">
        <v>161</v>
      </c>
      <c r="I788" s="11" t="s">
        <v>1982</v>
      </c>
      <c r="J788" s="11">
        <v>35.607599999999998</v>
      </c>
      <c r="K788" s="11">
        <v>-89.237700000000004</v>
      </c>
      <c r="L788" s="11">
        <v>3087</v>
      </c>
      <c r="M788" s="11">
        <v>3087</v>
      </c>
      <c r="N788" s="175" t="str">
        <f>VLOOKUP(M788, '2017 SIC to NAICS'!A:D, 2)</f>
        <v>Custom Compound Purchased Resins</v>
      </c>
      <c r="O788" s="11">
        <v>325991</v>
      </c>
      <c r="P788" s="187" t="str">
        <f>VLOOKUP(M788, '2017 SIC to NAICS'!A:D, 4)</f>
        <v>Custom Compounding of Purchased
Resins</v>
      </c>
      <c r="Q788" s="176" t="e">
        <f>IFERROR(VLOOKUP(O788, 'NAICS OES crosswalk'!A:C, 3, FALSE), VLOOKUP(M788, 'NAICS OES crosswalk'!A:C, 3, FALSE))</f>
        <v>#N/A</v>
      </c>
      <c r="U788" s="190" t="s">
        <v>860</v>
      </c>
      <c r="V788" s="11" t="s">
        <v>859</v>
      </c>
      <c r="W788" s="11"/>
      <c r="X788" s="11">
        <v>0.1416063125</v>
      </c>
      <c r="Y788" s="11" t="b">
        <f t="shared" si="13"/>
        <v>0</v>
      </c>
    </row>
    <row r="789" spans="1:25" x14ac:dyDescent="0.35">
      <c r="A789" s="11">
        <v>2022</v>
      </c>
      <c r="B789" s="11" t="s">
        <v>1980</v>
      </c>
      <c r="C789" s="11" t="s">
        <v>885</v>
      </c>
      <c r="D789" s="163">
        <v>110071349304</v>
      </c>
      <c r="E789" s="11" t="s">
        <v>439</v>
      </c>
      <c r="F789" s="11" t="s">
        <v>440</v>
      </c>
      <c r="G789" s="11" t="s">
        <v>886</v>
      </c>
      <c r="H789" s="11" t="s">
        <v>102</v>
      </c>
      <c r="I789" s="11" t="s">
        <v>1981</v>
      </c>
      <c r="J789" s="11">
        <v>38.030833000000001</v>
      </c>
      <c r="K789" s="11">
        <v>-122.075</v>
      </c>
      <c r="L789" s="11">
        <v>2911</v>
      </c>
      <c r="M789" s="11">
        <v>2911</v>
      </c>
      <c r="N789" s="175" t="str">
        <f>VLOOKUP(M789, '2017 SIC to NAICS'!A:D, 2)</f>
        <v>Petroleum Refining</v>
      </c>
      <c r="P789" s="187" t="str">
        <f>VLOOKUP(M789, '2017 SIC to NAICS'!A:D, 4)</f>
        <v>Petroleum Refineries</v>
      </c>
      <c r="Q789" s="176" t="e">
        <f>IFERROR(VLOOKUP(O789, 'NAICS OES crosswalk'!A:C, 3, FALSE), VLOOKUP(M789, 'NAICS OES crosswalk'!A:C, 3, FALSE))</f>
        <v>#N/A</v>
      </c>
      <c r="U789" s="188">
        <v>180500010302</v>
      </c>
      <c r="V789" s="11" t="s">
        <v>887</v>
      </c>
      <c r="W789" s="11"/>
      <c r="X789" s="11">
        <v>0.13559686800000001</v>
      </c>
      <c r="Y789" s="11" t="b">
        <f t="shared" si="13"/>
        <v>0</v>
      </c>
    </row>
    <row r="790" spans="1:25" x14ac:dyDescent="0.35">
      <c r="A790" s="11">
        <v>2022</v>
      </c>
      <c r="B790" s="11" t="s">
        <v>1980</v>
      </c>
      <c r="C790" s="11" t="s">
        <v>789</v>
      </c>
      <c r="D790" s="163">
        <v>110002672484</v>
      </c>
      <c r="E790" s="11" t="s">
        <v>503</v>
      </c>
      <c r="F790" s="11" t="s">
        <v>504</v>
      </c>
      <c r="G790" s="11" t="s">
        <v>790</v>
      </c>
      <c r="H790" s="11" t="s">
        <v>102</v>
      </c>
      <c r="I790" s="11" t="s">
        <v>1982</v>
      </c>
      <c r="J790" s="11">
        <v>32.803809999999999</v>
      </c>
      <c r="K790" s="11">
        <v>-115.53973999999999</v>
      </c>
      <c r="L790" s="191" t="s">
        <v>793</v>
      </c>
      <c r="M790" s="191" t="s">
        <v>793</v>
      </c>
      <c r="N790" s="175" t="e">
        <f>VLOOKUP(M790, '2017 SIC to NAICS'!A:D, 2)</f>
        <v>#N/A</v>
      </c>
      <c r="P790" s="187" t="e">
        <f>VLOOKUP(M790, '2017 SIC to NAICS'!A:D, 4)</f>
        <v>#N/A</v>
      </c>
      <c r="Q790" s="176" t="e">
        <f>IFERROR(VLOOKUP(O790, 'NAICS OES crosswalk'!A:C, 3, FALSE), VLOOKUP(M790, 'NAICS OES crosswalk'!A:C, 3, FALSE))</f>
        <v>#N/A</v>
      </c>
      <c r="U790" s="188">
        <v>181002040701</v>
      </c>
      <c r="V790" s="11" t="s">
        <v>791</v>
      </c>
      <c r="W790" s="11"/>
      <c r="X790" s="11">
        <v>1.0361437500000001E-2</v>
      </c>
      <c r="Y790" s="11" t="b">
        <f t="shared" si="13"/>
        <v>0</v>
      </c>
    </row>
    <row r="791" spans="1:25" ht="29" x14ac:dyDescent="0.35">
      <c r="A791" s="11">
        <v>2022</v>
      </c>
      <c r="B791" s="11" t="s">
        <v>1980</v>
      </c>
      <c r="C791" s="11" t="s">
        <v>770</v>
      </c>
      <c r="D791" s="163">
        <v>110000613685</v>
      </c>
      <c r="E791" s="11" t="s">
        <v>355</v>
      </c>
      <c r="F791" s="11" t="s">
        <v>90</v>
      </c>
      <c r="G791" s="11" t="s">
        <v>771</v>
      </c>
      <c r="H791" s="11" t="s">
        <v>91</v>
      </c>
      <c r="I791" s="11" t="s">
        <v>1982</v>
      </c>
      <c r="J791" s="11">
        <v>30.321895000000001</v>
      </c>
      <c r="K791" s="11">
        <v>-93.300735000000003</v>
      </c>
      <c r="L791" s="11">
        <v>4953</v>
      </c>
      <c r="M791" s="11">
        <v>4953</v>
      </c>
      <c r="N791" s="175" t="str">
        <f>VLOOKUP(M791, '2017 SIC to NAICS'!A:D, 2)</f>
        <v>Refuse Systems</v>
      </c>
      <c r="P791" s="187" t="str">
        <f>VLOOKUP(M791, '2017 SIC to NAICS'!A:D, 4)</f>
        <v>Materials Recovery Facilities</v>
      </c>
      <c r="Q791" s="176" t="str">
        <f>IFERROR(VLOOKUP(O791, 'NAICS OES crosswalk'!A:C, 3, FALSE), VLOOKUP(M791, 'NAICS OES crosswalk'!A:C, 3, FALSE))</f>
        <v>Waste handling, disposal, and treatment</v>
      </c>
      <c r="U791" s="190" t="s">
        <v>773</v>
      </c>
      <c r="V791" s="11" t="s">
        <v>772</v>
      </c>
      <c r="W791" s="11"/>
      <c r="X791" s="11">
        <v>0.1208834375</v>
      </c>
      <c r="Y791" s="11" t="b">
        <f t="shared" si="13"/>
        <v>0</v>
      </c>
    </row>
    <row r="792" spans="1:25" x14ac:dyDescent="0.35">
      <c r="A792" s="11">
        <v>2022</v>
      </c>
      <c r="B792" s="11" t="s">
        <v>1980</v>
      </c>
      <c r="C792" s="11" t="s">
        <v>1631</v>
      </c>
      <c r="D792" s="163">
        <v>110000772628</v>
      </c>
      <c r="E792" s="11" t="s">
        <v>416</v>
      </c>
      <c r="F792" s="11" t="s">
        <v>417</v>
      </c>
      <c r="G792" s="11" t="s">
        <v>1626</v>
      </c>
      <c r="H792" s="11" t="s">
        <v>340</v>
      </c>
      <c r="I792" s="11" t="s">
        <v>1982</v>
      </c>
      <c r="J792" s="11">
        <v>40.177332</v>
      </c>
      <c r="K792" s="11">
        <v>-74.800439999999995</v>
      </c>
      <c r="L792" s="11">
        <v>2819</v>
      </c>
      <c r="M792" s="11">
        <v>2819</v>
      </c>
      <c r="N792" s="175" t="str">
        <f>VLOOKUP(M792, '2017 SIC to NAICS'!A:D, 2)</f>
        <v>Industrial Inorganic Chemicals, Nec</v>
      </c>
      <c r="P792" s="187" t="str">
        <f>VLOOKUP(M792, '2017 SIC to NAICS'!A:D, 4)</f>
        <v>Alumina Refining and Primary Aluminum
Production</v>
      </c>
      <c r="Q792" s="176" t="str">
        <f>IFERROR(VLOOKUP(O792, 'NAICS OES crosswalk'!A:C, 3, FALSE), VLOOKUP(M792, 'NAICS OES crosswalk'!A:C, 3, FALSE))</f>
        <v>Processing as a reactant</v>
      </c>
      <c r="U792" s="190" t="s">
        <v>1633</v>
      </c>
      <c r="V792" s="11" t="s">
        <v>1632</v>
      </c>
      <c r="W792" s="11"/>
      <c r="X792" s="11">
        <v>0.1040118</v>
      </c>
      <c r="Y792" s="11" t="b">
        <f t="shared" si="13"/>
        <v>0</v>
      </c>
    </row>
    <row r="793" spans="1:25" ht="29" x14ac:dyDescent="0.35">
      <c r="A793" s="11">
        <v>2022</v>
      </c>
      <c r="B793" s="11" t="s">
        <v>1980</v>
      </c>
      <c r="C793" s="11" t="s">
        <v>1364</v>
      </c>
      <c r="D793" s="163">
        <v>110009900884</v>
      </c>
      <c r="E793" s="11" t="s">
        <v>467</v>
      </c>
      <c r="F793" s="11" t="s">
        <v>308</v>
      </c>
      <c r="G793" s="11" t="s">
        <v>1365</v>
      </c>
      <c r="H793" s="11" t="s">
        <v>181</v>
      </c>
      <c r="I793" s="11" t="s">
        <v>1982</v>
      </c>
      <c r="J793" s="11">
        <v>42.293660000000003</v>
      </c>
      <c r="K793" s="11">
        <v>-85.223643999999993</v>
      </c>
      <c r="L793" s="11">
        <v>9999</v>
      </c>
      <c r="M793" s="11">
        <v>9999</v>
      </c>
      <c r="N793" s="175" t="str">
        <f>VLOOKUP(M793, '2017 SIC to NAICS'!A:D, 2)</f>
        <v>Nonclassifiable Establishments</v>
      </c>
      <c r="P793" s="187">
        <f>VLOOKUP(M793, '2017 SIC to NAICS'!A:D, 4)</f>
        <v>0</v>
      </c>
      <c r="Q793" s="176" t="str">
        <f>IFERROR(VLOOKUP(O793, 'NAICS OES crosswalk'!A:C, 3, FALSE), VLOOKUP(M793, 'NAICS OES crosswalk'!A:C, 3, FALSE))</f>
        <v>Uncertain, possibly a remediation site</v>
      </c>
      <c r="U793" s="190" t="s">
        <v>1367</v>
      </c>
      <c r="V793" s="11" t="s">
        <v>1366</v>
      </c>
      <c r="W793" s="11"/>
      <c r="X793" s="11">
        <v>9.8874798E-2</v>
      </c>
      <c r="Y793" s="11" t="b">
        <f t="shared" si="13"/>
        <v>0</v>
      </c>
    </row>
    <row r="794" spans="1:25" x14ac:dyDescent="0.35">
      <c r="A794" s="11">
        <v>2022</v>
      </c>
      <c r="B794" s="11" t="s">
        <v>1980</v>
      </c>
      <c r="C794" s="11" t="s">
        <v>1560</v>
      </c>
      <c r="D794" s="163">
        <v>110041253256</v>
      </c>
      <c r="E794" s="11" t="s">
        <v>444</v>
      </c>
      <c r="F794" s="11" t="s">
        <v>337</v>
      </c>
      <c r="G794" s="11" t="s">
        <v>823</v>
      </c>
      <c r="H794" s="11" t="s">
        <v>221</v>
      </c>
      <c r="I794" s="11" t="s">
        <v>1982</v>
      </c>
      <c r="J794" s="11">
        <v>36.132570000000001</v>
      </c>
      <c r="K794" s="11">
        <v>-115.16477</v>
      </c>
      <c r="L794" s="11">
        <v>7011</v>
      </c>
      <c r="M794" s="11">
        <v>7011</v>
      </c>
      <c r="N794" s="175" t="str">
        <f>VLOOKUP(M794, '2017 SIC to NAICS'!A:D, 2)</f>
        <v>Hotels and Motels</v>
      </c>
      <c r="O794" s="11">
        <v>721120</v>
      </c>
      <c r="P794" s="187" t="str">
        <f>VLOOKUP(M794, '2017 SIC to NAICS'!A:D, 4)</f>
        <v>All Other Traveler Accommodation</v>
      </c>
      <c r="Q794" s="176" t="e">
        <f>IFERROR(VLOOKUP(O794, 'NAICS OES crosswalk'!A:C, 3, FALSE), VLOOKUP(M794, 'NAICS OES crosswalk'!A:C, 3, FALSE))</f>
        <v>#N/A</v>
      </c>
      <c r="U794" s="188">
        <v>150100150604</v>
      </c>
      <c r="V794" s="11" t="s">
        <v>738</v>
      </c>
      <c r="W794" s="11"/>
      <c r="X794" s="11">
        <v>9.6706749999999994E-2</v>
      </c>
      <c r="Y794" s="11" t="b">
        <f t="shared" si="13"/>
        <v>0</v>
      </c>
    </row>
    <row r="795" spans="1:25" x14ac:dyDescent="0.35">
      <c r="A795" s="11">
        <v>2022</v>
      </c>
      <c r="B795" s="11" t="s">
        <v>1980</v>
      </c>
      <c r="C795" s="11" t="s">
        <v>1332</v>
      </c>
      <c r="D795" s="163">
        <v>110064621805</v>
      </c>
      <c r="E795" s="11" t="s">
        <v>449</v>
      </c>
      <c r="F795" s="11" t="s">
        <v>450</v>
      </c>
      <c r="G795" s="11" t="s">
        <v>1333</v>
      </c>
      <c r="H795" s="11" t="s">
        <v>451</v>
      </c>
      <c r="I795" s="11" t="s">
        <v>1981</v>
      </c>
      <c r="J795" s="11">
        <v>41.952649999999998</v>
      </c>
      <c r="K795" s="11">
        <v>-71.269720000000007</v>
      </c>
      <c r="L795" s="11">
        <v>3356</v>
      </c>
      <c r="M795" s="11">
        <v>3356</v>
      </c>
      <c r="N795" s="175" t="str">
        <f>VLOOKUP(M795, '2017 SIC to NAICS'!A:D, 2)</f>
        <v>Nonferrous Rolling and Drawing, Nec</v>
      </c>
      <c r="P795" s="187" t="str">
        <f>VLOOKUP(M795, '2017 SIC to NAICS'!A:D, 4)</f>
        <v>Nonferrous Metal (except Copper and Aluminum) Rolling, Drawing, and Extruding</v>
      </c>
      <c r="Q795" s="176" t="e">
        <f>IFERROR(VLOOKUP(O795, 'NAICS OES crosswalk'!A:C, 3, FALSE), VLOOKUP(M795, 'NAICS OES crosswalk'!A:C, 3, FALSE))</f>
        <v>#N/A</v>
      </c>
      <c r="U795" s="190" t="s">
        <v>1336</v>
      </c>
      <c r="V795" s="11" t="s">
        <v>1334</v>
      </c>
      <c r="W795" s="11"/>
      <c r="X795" s="11">
        <v>9.5242458404999994E-2</v>
      </c>
      <c r="Y795" s="11" t="b">
        <f t="shared" si="13"/>
        <v>0</v>
      </c>
    </row>
    <row r="796" spans="1:25" x14ac:dyDescent="0.35">
      <c r="A796" s="11">
        <v>2022</v>
      </c>
      <c r="B796" s="11" t="s">
        <v>1980</v>
      </c>
      <c r="C796" s="11" t="s">
        <v>735</v>
      </c>
      <c r="D796" s="163">
        <v>110004306938</v>
      </c>
      <c r="E796" s="11" t="s">
        <v>336</v>
      </c>
      <c r="F796" s="11" t="s">
        <v>337</v>
      </c>
      <c r="G796" s="11" t="s">
        <v>736</v>
      </c>
      <c r="H796" s="11" t="s">
        <v>221</v>
      </c>
      <c r="I796" s="11" t="s">
        <v>1982</v>
      </c>
      <c r="J796" s="11">
        <v>36.122100000000003</v>
      </c>
      <c r="K796" s="11">
        <v>-115.17139</v>
      </c>
      <c r="L796" s="11">
        <v>7011</v>
      </c>
      <c r="M796" s="11">
        <v>7011</v>
      </c>
      <c r="N796" s="175" t="str">
        <f>VLOOKUP(M796, '2017 SIC to NAICS'!A:D, 2)</f>
        <v>Hotels and Motels</v>
      </c>
      <c r="P796" s="187" t="str">
        <f>VLOOKUP(M796, '2017 SIC to NAICS'!A:D, 4)</f>
        <v>All Other Traveler Accommodation</v>
      </c>
      <c r="Q796" s="176" t="e">
        <f>IFERROR(VLOOKUP(O796, 'NAICS OES crosswalk'!A:C, 3, FALSE), VLOOKUP(M796, 'NAICS OES crosswalk'!A:C, 3, FALSE))</f>
        <v>#N/A</v>
      </c>
      <c r="U796" s="188">
        <v>150100150604</v>
      </c>
      <c r="V796" s="11" t="s">
        <v>738</v>
      </c>
      <c r="W796" s="11"/>
      <c r="X796" s="11">
        <v>9.1149565687500003E-2</v>
      </c>
      <c r="Y796" s="11" t="b">
        <f t="shared" si="13"/>
        <v>0</v>
      </c>
    </row>
    <row r="797" spans="1:25" x14ac:dyDescent="0.35">
      <c r="A797" s="11">
        <v>2022</v>
      </c>
      <c r="B797" s="11" t="s">
        <v>1980</v>
      </c>
      <c r="C797" s="11" t="s">
        <v>1471</v>
      </c>
      <c r="D797" s="163">
        <v>110054612558</v>
      </c>
      <c r="E797" s="11" t="s">
        <v>426</v>
      </c>
      <c r="F797" s="11" t="s">
        <v>427</v>
      </c>
      <c r="G797" s="11" t="s">
        <v>1144</v>
      </c>
      <c r="H797" s="11" t="s">
        <v>129</v>
      </c>
      <c r="I797" s="11" t="s">
        <v>1981</v>
      </c>
      <c r="J797" s="11">
        <v>39.423425000000002</v>
      </c>
      <c r="K797" s="11">
        <v>-91.025666000000001</v>
      </c>
      <c r="L797" s="11">
        <v>2869</v>
      </c>
      <c r="M797" s="11">
        <v>2869</v>
      </c>
      <c r="N797" s="175" t="str">
        <f>VLOOKUP(M797, '2017 SIC to NAICS'!A:D, 2)</f>
        <v>Industrial Organic Chemicals, Nec</v>
      </c>
      <c r="P797" s="187" t="str">
        <f>VLOOKUP(M797, '2017 SIC to NAICS'!A:D, 4)</f>
        <v>All Other Miscellaneous Chemical Product and Preparation Manufacturing</v>
      </c>
      <c r="Q797" s="176" t="str">
        <f>IFERROR(VLOOKUP(O797, 'NAICS OES crosswalk'!A:C, 3, FALSE), VLOOKUP(M797, 'NAICS OES crosswalk'!A:C, 3, FALSE))</f>
        <v>Manufacturing</v>
      </c>
      <c r="U797" s="190" t="s">
        <v>1473</v>
      </c>
      <c r="V797" s="11" t="s">
        <v>1472</v>
      </c>
      <c r="W797" s="11"/>
      <c r="X797" s="11">
        <v>9.0629749999999995E-2</v>
      </c>
      <c r="Y797" s="11" t="b">
        <f t="shared" si="13"/>
        <v>0</v>
      </c>
    </row>
    <row r="798" spans="1:25" x14ac:dyDescent="0.35">
      <c r="A798" s="11">
        <v>2022</v>
      </c>
      <c r="B798" s="11" t="s">
        <v>1980</v>
      </c>
      <c r="C798" s="11" t="s">
        <v>1358</v>
      </c>
      <c r="D798" s="163">
        <v>110000408238</v>
      </c>
      <c r="E798" s="11" t="s">
        <v>499</v>
      </c>
      <c r="F798" s="11" t="s">
        <v>500</v>
      </c>
      <c r="G798" s="11" t="s">
        <v>1359</v>
      </c>
      <c r="H798" s="11" t="s">
        <v>181</v>
      </c>
      <c r="I798" s="11" t="s">
        <v>1982</v>
      </c>
      <c r="J798" s="11">
        <v>43.185969999999998</v>
      </c>
      <c r="K798" s="11">
        <v>-85.256680000000003</v>
      </c>
      <c r="L798" s="11">
        <v>3632</v>
      </c>
      <c r="M798" s="11">
        <v>3632</v>
      </c>
      <c r="N798" s="175" t="str">
        <f>VLOOKUP(M798, '2017 SIC to NAICS'!A:D, 2)</f>
        <v>Household Refrigerators and Freezers</v>
      </c>
      <c r="O798" s="11">
        <v>333415</v>
      </c>
      <c r="P798" s="187" t="str">
        <f>VLOOKUP(M798, '2017 SIC to NAICS'!A:D, 4)</f>
        <v>Major Household Appliance Manufacturing</v>
      </c>
      <c r="Q798" s="176" t="e">
        <f>IFERROR(VLOOKUP(O798, 'NAICS OES crosswalk'!A:C, 3, FALSE), VLOOKUP(M798, 'NAICS OES crosswalk'!A:C, 3, FALSE))</f>
        <v>#N/A</v>
      </c>
      <c r="U798" s="190" t="s">
        <v>1363</v>
      </c>
      <c r="V798" s="11" t="s">
        <v>1362</v>
      </c>
      <c r="W798" s="11"/>
      <c r="X798" s="191">
        <v>5.4560692418181801E-3</v>
      </c>
      <c r="Y798" s="11" t="b">
        <f t="shared" si="13"/>
        <v>0</v>
      </c>
    </row>
    <row r="799" spans="1:25" x14ac:dyDescent="0.35">
      <c r="A799" s="11">
        <v>2022</v>
      </c>
      <c r="B799" s="11" t="s">
        <v>1980</v>
      </c>
      <c r="C799" s="11" t="s">
        <v>1625</v>
      </c>
      <c r="D799" s="163">
        <v>110064634686</v>
      </c>
      <c r="E799" s="11" t="s">
        <v>461</v>
      </c>
      <c r="F799" s="11" t="s">
        <v>462</v>
      </c>
      <c r="G799" s="11" t="s">
        <v>1626</v>
      </c>
      <c r="H799" s="11" t="s">
        <v>340</v>
      </c>
      <c r="I799" s="11" t="s">
        <v>1981</v>
      </c>
      <c r="J799" s="11">
        <v>40.095258000000001</v>
      </c>
      <c r="K799" s="11">
        <v>-74.877359999999996</v>
      </c>
      <c r="L799" s="11">
        <v>2821</v>
      </c>
      <c r="M799" s="11">
        <v>2821</v>
      </c>
      <c r="N799" s="175" t="str">
        <f>VLOOKUP(M799, '2017 SIC to NAICS'!A:D, 2)</f>
        <v>Plastics Materials and Resins</v>
      </c>
      <c r="P799" s="187" t="str">
        <f>VLOOKUP(M799, '2017 SIC to NAICS'!A:D, 4)</f>
        <v>Plastics Material and Resin Manufacturing</v>
      </c>
      <c r="Q799" s="176" t="str">
        <f>IFERROR(VLOOKUP(O799, 'NAICS OES crosswalk'!A:C, 3, FALSE), VLOOKUP(M799, 'NAICS OES crosswalk'!A:C, 3, FALSE))</f>
        <v>Processing as a reactant</v>
      </c>
      <c r="U799" s="190" t="s">
        <v>1628</v>
      </c>
      <c r="V799" s="11" t="s">
        <v>1627</v>
      </c>
      <c r="W799" s="11"/>
      <c r="X799" s="11">
        <v>8.2105899999999996E-2</v>
      </c>
      <c r="Y799" s="11" t="b">
        <f t="shared" si="13"/>
        <v>0</v>
      </c>
    </row>
    <row r="800" spans="1:25" x14ac:dyDescent="0.35">
      <c r="A800" s="11">
        <v>2022</v>
      </c>
      <c r="B800" s="11" t="s">
        <v>1980</v>
      </c>
      <c r="C800" s="11" t="s">
        <v>1597</v>
      </c>
      <c r="D800" s="163">
        <v>110015744024</v>
      </c>
      <c r="E800" s="11" t="s">
        <v>469</v>
      </c>
      <c r="F800" s="11" t="s">
        <v>470</v>
      </c>
      <c r="G800" s="11" t="s">
        <v>1598</v>
      </c>
      <c r="H800" s="11" t="s">
        <v>126</v>
      </c>
      <c r="I800" s="11" t="s">
        <v>1982</v>
      </c>
      <c r="J800" s="11">
        <v>42.025620000000004</v>
      </c>
      <c r="K800" s="11">
        <v>-74.099329999999995</v>
      </c>
      <c r="L800" s="11">
        <v>9511</v>
      </c>
      <c r="M800" s="11">
        <v>9511</v>
      </c>
      <c r="N800" s="175" t="str">
        <f>VLOOKUP(M800, '2017 SIC to NAICS'!A:D, 2)</f>
        <v>Air, Water, and Solid Waste Management</v>
      </c>
      <c r="P800" s="187" t="str">
        <f>VLOOKUP(M800, '2017 SIC to NAICS'!A:D, 4)</f>
        <v>Administration of Air and Water Resource
and Solid Waste Management Programs</v>
      </c>
      <c r="Q800" s="176" t="e">
        <f>IFERROR(VLOOKUP(O800, 'NAICS OES crosswalk'!A:C, 3, FALSE), VLOOKUP(M800, 'NAICS OES crosswalk'!A:C, 3, FALSE))</f>
        <v>#N/A</v>
      </c>
      <c r="U800" s="190" t="s">
        <v>1600</v>
      </c>
      <c r="V800" s="11" t="s">
        <v>1599</v>
      </c>
      <c r="W800" s="11"/>
      <c r="X800" s="11">
        <v>8.1061802612499997E-2</v>
      </c>
      <c r="Y800" s="11" t="b">
        <f t="shared" si="13"/>
        <v>0</v>
      </c>
    </row>
    <row r="801" spans="1:25" ht="29" x14ac:dyDescent="0.35">
      <c r="A801" s="11">
        <v>2022</v>
      </c>
      <c r="B801" s="11" t="s">
        <v>1980</v>
      </c>
      <c r="C801" s="11" t="s">
        <v>980</v>
      </c>
      <c r="D801" s="163">
        <v>110000730825</v>
      </c>
      <c r="E801" s="11" t="s">
        <v>412</v>
      </c>
      <c r="F801" s="11" t="s">
        <v>413</v>
      </c>
      <c r="G801" s="11" t="s">
        <v>790</v>
      </c>
      <c r="H801" s="11" t="s">
        <v>102</v>
      </c>
      <c r="I801" s="11" t="s">
        <v>1981</v>
      </c>
      <c r="J801" s="11">
        <v>32.664450000000002</v>
      </c>
      <c r="K801" s="11">
        <v>-115.55970499999999</v>
      </c>
      <c r="L801" s="11">
        <v>4952</v>
      </c>
      <c r="M801" s="11">
        <v>4952</v>
      </c>
      <c r="N801" s="175" t="str">
        <f>VLOOKUP(M801, '2017 SIC to NAICS'!A:D, 2)</f>
        <v>Sewerage Systems</v>
      </c>
      <c r="P801" s="187" t="str">
        <f>VLOOKUP(M801, '2017 SIC to NAICS'!A:D, 4)</f>
        <v>Sewage Treatment Facilities</v>
      </c>
      <c r="Q801" s="176" t="str">
        <f>IFERROR(VLOOKUP(O801, 'NAICS OES crosswalk'!A:C, 3, FALSE), VLOOKUP(M801, 'NAICS OES crosswalk'!A:C, 3, FALSE))</f>
        <v>Waste handling, disposal, and treatment</v>
      </c>
      <c r="U801" s="188">
        <v>181002040902</v>
      </c>
      <c r="V801" s="11" t="s">
        <v>972</v>
      </c>
      <c r="W801" s="11"/>
      <c r="X801" s="11">
        <v>7.6329256250000005E-2</v>
      </c>
      <c r="Y801" s="11" t="b">
        <f t="shared" si="13"/>
        <v>0</v>
      </c>
    </row>
    <row r="802" spans="1:25" x14ac:dyDescent="0.35">
      <c r="A802" s="11">
        <v>2022</v>
      </c>
      <c r="B802" s="11" t="s">
        <v>1980</v>
      </c>
      <c r="C802" s="11" t="s">
        <v>1568</v>
      </c>
      <c r="D802" s="163">
        <v>110000737365</v>
      </c>
      <c r="E802" s="11" t="s">
        <v>588</v>
      </c>
      <c r="F802" s="11" t="s">
        <v>589</v>
      </c>
      <c r="G802" s="11" t="s">
        <v>831</v>
      </c>
      <c r="H802" s="11" t="s">
        <v>126</v>
      </c>
      <c r="I802" s="11" t="s">
        <v>1981</v>
      </c>
      <c r="J802" s="11">
        <v>43.129750000000001</v>
      </c>
      <c r="K802" s="11">
        <v>-78.939679999999996</v>
      </c>
      <c r="L802" s="11">
        <v>9511</v>
      </c>
      <c r="M802" s="11">
        <v>9511</v>
      </c>
      <c r="N802" s="175" t="str">
        <f>VLOOKUP(M802, '2017 SIC to NAICS'!A:D, 2)</f>
        <v>Air, Water, and Solid Waste Management</v>
      </c>
      <c r="P802" s="187" t="str">
        <f>VLOOKUP(M802, '2017 SIC to NAICS'!A:D, 4)</f>
        <v>Administration of Air and Water Resource
and Solid Waste Management Programs</v>
      </c>
      <c r="Q802" s="176" t="e">
        <f>IFERROR(VLOOKUP(O802, 'NAICS OES crosswalk'!A:C, 3, FALSE), VLOOKUP(M802, 'NAICS OES crosswalk'!A:C, 3, FALSE))</f>
        <v>#N/A</v>
      </c>
      <c r="U802" s="190" t="s">
        <v>1570</v>
      </c>
      <c r="V802" s="11" t="s">
        <v>1569</v>
      </c>
      <c r="W802" s="11"/>
      <c r="X802" s="11">
        <v>1.6525279360424999E-2</v>
      </c>
      <c r="Y802" s="11" t="b">
        <f t="shared" si="13"/>
        <v>0</v>
      </c>
    </row>
    <row r="803" spans="1:25" x14ac:dyDescent="0.35">
      <c r="A803" s="11">
        <v>2022</v>
      </c>
      <c r="B803" s="11" t="s">
        <v>1980</v>
      </c>
      <c r="C803" s="11" t="s">
        <v>951</v>
      </c>
      <c r="D803" s="163">
        <v>110054272210</v>
      </c>
      <c r="E803" s="11" t="s">
        <v>414</v>
      </c>
      <c r="F803" s="11" t="s">
        <v>415</v>
      </c>
      <c r="G803" s="11" t="s">
        <v>889</v>
      </c>
      <c r="H803" s="11" t="s">
        <v>102</v>
      </c>
      <c r="I803" s="11" t="s">
        <v>1982</v>
      </c>
      <c r="J803" s="11">
        <v>39.915689999999998</v>
      </c>
      <c r="K803" s="11">
        <v>-122.10365</v>
      </c>
      <c r="L803" s="11">
        <v>2033</v>
      </c>
      <c r="M803" s="11">
        <v>2033</v>
      </c>
      <c r="N803" s="175" t="str">
        <f>VLOOKUP(M803, '2017 SIC to NAICS'!A:D, 2)</f>
        <v>Canned Fruits and Specialties</v>
      </c>
      <c r="P803" s="187" t="str">
        <f>VLOOKUP(M803, '2017 SIC to NAICS'!A:D, 4)</f>
        <v>Fruit and Vegetable Canning</v>
      </c>
      <c r="Q803" s="176" t="e">
        <f>IFERROR(VLOOKUP(O803, 'NAICS OES crosswalk'!A:C, 3, FALSE), VLOOKUP(M803, 'NAICS OES crosswalk'!A:C, 3, FALSE))</f>
        <v>#N/A</v>
      </c>
      <c r="U803" s="188">
        <v>180201570701</v>
      </c>
      <c r="V803" s="11" t="s">
        <v>890</v>
      </c>
      <c r="W803" s="11"/>
      <c r="X803" s="11">
        <v>7.1823024499999999E-2</v>
      </c>
      <c r="Y803" s="11" t="b">
        <f t="shared" si="13"/>
        <v>0</v>
      </c>
    </row>
    <row r="804" spans="1:25" x14ac:dyDescent="0.35">
      <c r="A804" s="11">
        <v>2022</v>
      </c>
      <c r="B804" s="11" t="s">
        <v>1980</v>
      </c>
      <c r="C804" s="11" t="s">
        <v>1375</v>
      </c>
      <c r="D804" s="163">
        <v>110009900679</v>
      </c>
      <c r="E804" s="11" t="s">
        <v>475</v>
      </c>
      <c r="F804" s="11" t="s">
        <v>476</v>
      </c>
      <c r="G804" s="11" t="s">
        <v>1365</v>
      </c>
      <c r="H804" s="11" t="s">
        <v>181</v>
      </c>
      <c r="I804" s="11" t="s">
        <v>1982</v>
      </c>
      <c r="J804" s="11">
        <v>42.250990000000002</v>
      </c>
      <c r="K804" s="11">
        <v>-84.736580000000004</v>
      </c>
      <c r="L804" s="11">
        <v>1799</v>
      </c>
      <c r="M804" s="11">
        <v>1799</v>
      </c>
      <c r="N804" s="175" t="str">
        <f>VLOOKUP(M804, '2017 SIC to NAICS'!A:D, 2)</f>
        <v>Special Trade Contractors, Nec</v>
      </c>
      <c r="O804" s="11">
        <v>562910</v>
      </c>
      <c r="P804" s="187" t="str">
        <f>VLOOKUP(M804, '2017 SIC to NAICS'!A:D, 4)</f>
        <v>Remediation Services</v>
      </c>
      <c r="Q804" s="176" t="e">
        <f>IFERROR(VLOOKUP(O804, 'NAICS OES crosswalk'!A:C, 3, FALSE), VLOOKUP(M804, 'NAICS OES crosswalk'!A:C, 3, FALSE))</f>
        <v>#N/A</v>
      </c>
      <c r="U804" s="190" t="s">
        <v>1377</v>
      </c>
      <c r="V804" s="11" t="s">
        <v>1376</v>
      </c>
      <c r="W804" s="11"/>
      <c r="X804" s="191">
        <v>7.0584744545454506E-2</v>
      </c>
      <c r="Y804" s="11" t="b">
        <f t="shared" si="13"/>
        <v>0</v>
      </c>
    </row>
    <row r="805" spans="1:25" ht="29" x14ac:dyDescent="0.35">
      <c r="A805" s="11">
        <v>2022</v>
      </c>
      <c r="B805" s="11" t="s">
        <v>1980</v>
      </c>
      <c r="C805" s="11" t="s">
        <v>894</v>
      </c>
      <c r="D805" s="163">
        <v>110010059649</v>
      </c>
      <c r="E805" s="11" t="s">
        <v>484</v>
      </c>
      <c r="F805" s="11" t="s">
        <v>485</v>
      </c>
      <c r="G805" s="11" t="s">
        <v>895</v>
      </c>
      <c r="H805" s="11" t="s">
        <v>102</v>
      </c>
      <c r="I805" s="11" t="s">
        <v>1982</v>
      </c>
      <c r="J805" s="11">
        <v>40.638300000000001</v>
      </c>
      <c r="K805" s="11">
        <v>-124.22553000000001</v>
      </c>
      <c r="L805" s="11">
        <v>4952</v>
      </c>
      <c r="M805" s="11">
        <v>4952</v>
      </c>
      <c r="N805" s="175" t="str">
        <f>VLOOKUP(M805, '2017 SIC to NAICS'!A:D, 2)</f>
        <v>Sewerage Systems</v>
      </c>
      <c r="P805" s="187" t="str">
        <f>VLOOKUP(M805, '2017 SIC to NAICS'!A:D, 4)</f>
        <v>Sewage Treatment Facilities</v>
      </c>
      <c r="Q805" s="176" t="str">
        <f>IFERROR(VLOOKUP(O805, 'NAICS OES crosswalk'!A:C, 3, FALSE), VLOOKUP(M805, 'NAICS OES crosswalk'!A:C, 3, FALSE))</f>
        <v>Waste handling, disposal, and treatment</v>
      </c>
      <c r="U805" s="188">
        <v>180101051102</v>
      </c>
      <c r="V805" s="11" t="s">
        <v>896</v>
      </c>
      <c r="W805" s="11"/>
      <c r="X805" s="11">
        <v>6.8385487499999995E-2</v>
      </c>
      <c r="Y805" s="11" t="b">
        <f t="shared" si="13"/>
        <v>0</v>
      </c>
    </row>
    <row r="806" spans="1:25" x14ac:dyDescent="0.35">
      <c r="A806" s="11">
        <v>2022</v>
      </c>
      <c r="B806" s="11" t="s">
        <v>1980</v>
      </c>
      <c r="C806" s="11" t="s">
        <v>730</v>
      </c>
      <c r="D806" s="163">
        <v>110017979810</v>
      </c>
      <c r="E806" s="11" t="s">
        <v>309</v>
      </c>
      <c r="F806" s="11" t="s">
        <v>158</v>
      </c>
      <c r="G806" s="11" t="s">
        <v>434</v>
      </c>
      <c r="H806" s="11" t="s">
        <v>129</v>
      </c>
      <c r="I806" s="11" t="s">
        <v>1982</v>
      </c>
      <c r="J806" s="11">
        <v>38.959018999999998</v>
      </c>
      <c r="K806" s="11">
        <v>-94.576569000000006</v>
      </c>
      <c r="L806" s="11">
        <v>6552</v>
      </c>
      <c r="M806" s="11">
        <v>6552</v>
      </c>
      <c r="N806" s="175" t="str">
        <f>VLOOKUP(M806, '2017 SIC to NAICS'!A:D, 2)</f>
        <v>Subdividers and Developers, Nec</v>
      </c>
      <c r="P806" s="187" t="str">
        <f>VLOOKUP(M806, '2017 SIC to NAICS'!A:D, 4)</f>
        <v>Land Subdivision</v>
      </c>
      <c r="Q806" s="176" t="e">
        <f>IFERROR(VLOOKUP(O806, 'NAICS OES crosswalk'!A:C, 3, FALSE), VLOOKUP(M806, 'NAICS OES crosswalk'!A:C, 3, FALSE))</f>
        <v>#N/A</v>
      </c>
      <c r="U806" s="188">
        <v>103001010105</v>
      </c>
      <c r="V806" s="11" t="s">
        <v>733</v>
      </c>
      <c r="W806" s="11"/>
      <c r="X806" s="11">
        <v>6.7051199300000003E-2</v>
      </c>
      <c r="Y806" s="11" t="b">
        <f t="shared" si="13"/>
        <v>0</v>
      </c>
    </row>
    <row r="807" spans="1:25" x14ac:dyDescent="0.35">
      <c r="A807" s="11">
        <v>2022</v>
      </c>
      <c r="B807" s="11" t="s">
        <v>1980</v>
      </c>
      <c r="C807" s="11" t="s">
        <v>735</v>
      </c>
      <c r="D807" s="163">
        <v>110004306938</v>
      </c>
      <c r="E807" s="11" t="s">
        <v>336</v>
      </c>
      <c r="F807" s="11" t="s">
        <v>337</v>
      </c>
      <c r="G807" s="11" t="s">
        <v>736</v>
      </c>
      <c r="H807" s="11" t="s">
        <v>221</v>
      </c>
      <c r="I807" s="11" t="s">
        <v>1982</v>
      </c>
      <c r="J807" s="11">
        <v>36.122100000000003</v>
      </c>
      <c r="K807" s="11">
        <v>-115.17139</v>
      </c>
      <c r="L807" s="11">
        <v>7011</v>
      </c>
      <c r="M807" s="11">
        <v>7011</v>
      </c>
      <c r="N807" s="175" t="str">
        <f>VLOOKUP(M807, '2017 SIC to NAICS'!A:D, 2)</f>
        <v>Hotels and Motels</v>
      </c>
      <c r="P807" s="187" t="str">
        <f>VLOOKUP(M807, '2017 SIC to NAICS'!A:D, 4)</f>
        <v>All Other Traveler Accommodation</v>
      </c>
      <c r="Q807" s="176" t="e">
        <f>IFERROR(VLOOKUP(O807, 'NAICS OES crosswalk'!A:C, 3, FALSE), VLOOKUP(M807, 'NAICS OES crosswalk'!A:C, 3, FALSE))</f>
        <v>#N/A</v>
      </c>
      <c r="U807" s="188">
        <v>150100150604</v>
      </c>
      <c r="V807" s="11" t="s">
        <v>738</v>
      </c>
      <c r="W807" s="11"/>
      <c r="X807" s="11">
        <v>6.6845087124999994E-2</v>
      </c>
      <c r="Y807" s="11" t="b">
        <f t="shared" si="13"/>
        <v>0</v>
      </c>
    </row>
    <row r="808" spans="1:25" x14ac:dyDescent="0.35">
      <c r="A808" s="11">
        <v>2022</v>
      </c>
      <c r="B808" s="11" t="s">
        <v>1980</v>
      </c>
      <c r="C808" s="11" t="s">
        <v>1040</v>
      </c>
      <c r="D808" s="163">
        <v>110000547196</v>
      </c>
      <c r="E808" s="11" t="s">
        <v>468</v>
      </c>
      <c r="F808" s="11" t="s">
        <v>260</v>
      </c>
      <c r="G808" s="11" t="s">
        <v>1041</v>
      </c>
      <c r="H808" s="11" t="s">
        <v>111</v>
      </c>
      <c r="I808" s="11" t="s">
        <v>1982</v>
      </c>
      <c r="J808" s="11">
        <v>41.405655000000003</v>
      </c>
      <c r="K808" s="11">
        <v>-88.335212999999996</v>
      </c>
      <c r="L808" s="11">
        <v>2869</v>
      </c>
      <c r="M808" s="11">
        <v>2869</v>
      </c>
      <c r="N808" s="175" t="str">
        <f>VLOOKUP(M808, '2017 SIC to NAICS'!A:D, 2)</f>
        <v>Industrial Organic Chemicals, Nec</v>
      </c>
      <c r="P808" s="187" t="str">
        <f>VLOOKUP(M808, '2017 SIC to NAICS'!A:D, 4)</f>
        <v>All Other Miscellaneous Chemical Product and Preparation Manufacturing</v>
      </c>
      <c r="Q808" s="176" t="str">
        <f>IFERROR(VLOOKUP(O808, 'NAICS OES crosswalk'!A:C, 3, FALSE), VLOOKUP(M808, 'NAICS OES crosswalk'!A:C, 3, FALSE))</f>
        <v>Manufacturing</v>
      </c>
      <c r="U808" s="190" t="s">
        <v>799</v>
      </c>
      <c r="V808" s="11" t="s">
        <v>798</v>
      </c>
      <c r="W808" s="11"/>
      <c r="X808" s="11">
        <v>6.6828799999999994E-2</v>
      </c>
      <c r="Y808" s="11" t="b">
        <f t="shared" si="13"/>
        <v>0</v>
      </c>
    </row>
    <row r="809" spans="1:25" x14ac:dyDescent="0.35">
      <c r="A809" s="11">
        <v>2022</v>
      </c>
      <c r="B809" s="11" t="s">
        <v>1980</v>
      </c>
      <c r="C809" s="11" t="s">
        <v>1753</v>
      </c>
      <c r="D809" s="163">
        <v>110071065066</v>
      </c>
      <c r="E809" s="11" t="s">
        <v>698</v>
      </c>
      <c r="F809" s="11" t="s">
        <v>275</v>
      </c>
      <c r="G809" s="11" t="s">
        <v>1718</v>
      </c>
      <c r="H809" s="11" t="s">
        <v>276</v>
      </c>
      <c r="I809" s="11" t="s">
        <v>1982</v>
      </c>
      <c r="J809" s="11">
        <v>38.862986999999997</v>
      </c>
      <c r="K809" s="11">
        <v>-77.085927999999996</v>
      </c>
      <c r="L809" s="11">
        <v>5999</v>
      </c>
      <c r="M809" s="11">
        <v>5999</v>
      </c>
      <c r="N809" s="175" t="str">
        <f>VLOOKUP(M809, '2017 SIC to NAICS'!A:D, 2)</f>
        <v>Miscellaneous Retail Stores, Nec</v>
      </c>
      <c r="P809" s="187" t="str">
        <f>VLOOKUP(M809, '2017 SIC to NAICS'!A:D, 4)</f>
        <v>All Other Miscellaneous Store Retailers
(except Tobacco Stores)</v>
      </c>
      <c r="Q809" s="176" t="e">
        <f>IFERROR(VLOOKUP(O809, 'NAICS OES crosswalk'!A:C, 3, FALSE), VLOOKUP(M809, 'NAICS OES crosswalk'!A:C, 3, FALSE))</f>
        <v>#N/A</v>
      </c>
      <c r="U809" s="190" t="s">
        <v>1713</v>
      </c>
      <c r="V809" s="11" t="s">
        <v>1711</v>
      </c>
      <c r="W809" s="11"/>
      <c r="X809" s="11">
        <v>4.0272399999999997E-5</v>
      </c>
      <c r="Y809" s="11" t="b">
        <f t="shared" si="13"/>
        <v>1</v>
      </c>
    </row>
    <row r="810" spans="1:25" x14ac:dyDescent="0.35">
      <c r="A810" s="11">
        <v>2022</v>
      </c>
      <c r="B810" s="11" t="s">
        <v>1980</v>
      </c>
      <c r="C810" s="11" t="s">
        <v>1501</v>
      </c>
      <c r="D810" s="163">
        <v>110000321651</v>
      </c>
      <c r="E810" s="11" t="s">
        <v>541</v>
      </c>
      <c r="F810" s="11" t="s">
        <v>542</v>
      </c>
      <c r="G810" s="11" t="s">
        <v>818</v>
      </c>
      <c r="H810" s="11" t="s">
        <v>254</v>
      </c>
      <c r="I810" s="11" t="s">
        <v>1981</v>
      </c>
      <c r="J810" s="11">
        <v>40.331944</v>
      </c>
      <c r="K810" s="11">
        <v>-74.619721999999996</v>
      </c>
      <c r="L810" s="11">
        <v>2869</v>
      </c>
      <c r="M810" s="11">
        <v>2869</v>
      </c>
      <c r="N810" s="175" t="str">
        <f>VLOOKUP(M810, '2017 SIC to NAICS'!A:D, 2)</f>
        <v>Industrial Organic Chemicals, Nec</v>
      </c>
      <c r="O810" s="11">
        <v>325199</v>
      </c>
      <c r="P810" s="187" t="str">
        <f>VLOOKUP(M810, '2017 SIC to NAICS'!A:D, 4)</f>
        <v>All Other Miscellaneous Chemical Product and Preparation Manufacturing</v>
      </c>
      <c r="Q810" s="176" t="str">
        <f>IFERROR(VLOOKUP(O810, 'NAICS OES crosswalk'!A:C, 3, FALSE), VLOOKUP(M810, 'NAICS OES crosswalk'!A:C, 3, FALSE))</f>
        <v>Manufacturing</v>
      </c>
      <c r="U810" s="190" t="s">
        <v>1503</v>
      </c>
      <c r="V810" s="11" t="s">
        <v>1502</v>
      </c>
      <c r="W810" s="11"/>
      <c r="X810" s="11">
        <v>3.0695E-2</v>
      </c>
      <c r="Y810" s="11" t="b">
        <f t="shared" si="13"/>
        <v>0</v>
      </c>
    </row>
    <row r="811" spans="1:25" ht="29" x14ac:dyDescent="0.35">
      <c r="A811" s="11">
        <v>2022</v>
      </c>
      <c r="B811" s="11" t="s">
        <v>1980</v>
      </c>
      <c r="C811" s="11" t="s">
        <v>1396</v>
      </c>
      <c r="D811" s="163">
        <v>110009900330</v>
      </c>
      <c r="E811" s="11" t="s">
        <v>505</v>
      </c>
      <c r="F811" s="11" t="s">
        <v>409</v>
      </c>
      <c r="G811" s="11" t="s">
        <v>1397</v>
      </c>
      <c r="H811" s="11" t="s">
        <v>181</v>
      </c>
      <c r="I811" s="11" t="s">
        <v>1982</v>
      </c>
      <c r="J811" s="11">
        <v>41.802622</v>
      </c>
      <c r="K811" s="11">
        <v>-85.388092</v>
      </c>
      <c r="L811" s="11">
        <v>4953</v>
      </c>
      <c r="M811" s="11">
        <v>4953</v>
      </c>
      <c r="N811" s="175" t="str">
        <f>VLOOKUP(M811, '2017 SIC to NAICS'!A:D, 2)</f>
        <v>Refuse Systems</v>
      </c>
      <c r="O811" s="11">
        <v>562212</v>
      </c>
      <c r="P811" s="187" t="str">
        <f>VLOOKUP(M811, '2017 SIC to NAICS'!A:D, 4)</f>
        <v>Materials Recovery Facilities</v>
      </c>
      <c r="Q811" s="176" t="str">
        <f>IFERROR(VLOOKUP(O811, 'NAICS OES crosswalk'!A:C, 3, FALSE), VLOOKUP(M811, 'NAICS OES crosswalk'!A:C, 3, FALSE))</f>
        <v>Waste handling, disposal, and treatment</v>
      </c>
      <c r="U811" s="190" t="s">
        <v>1399</v>
      </c>
      <c r="V811" s="11" t="s">
        <v>1398</v>
      </c>
      <c r="W811" s="11"/>
      <c r="X811" s="11">
        <v>5.0407116000000002E-2</v>
      </c>
      <c r="Y811" s="11" t="b">
        <f t="shared" si="13"/>
        <v>0</v>
      </c>
    </row>
    <row r="812" spans="1:25" ht="29" x14ac:dyDescent="0.35">
      <c r="A812" s="11">
        <v>2022</v>
      </c>
      <c r="B812" s="11" t="s">
        <v>1980</v>
      </c>
      <c r="C812" s="11" t="s">
        <v>984</v>
      </c>
      <c r="D812" s="163">
        <v>110039757992</v>
      </c>
      <c r="E812" s="11" t="s">
        <v>447</v>
      </c>
      <c r="F812" s="11" t="s">
        <v>448</v>
      </c>
      <c r="G812" s="11" t="s">
        <v>982</v>
      </c>
      <c r="H812" s="11" t="s">
        <v>102</v>
      </c>
      <c r="I812" s="11" t="s">
        <v>1981</v>
      </c>
      <c r="J812" s="11">
        <v>38.730832999999997</v>
      </c>
      <c r="K812" s="11">
        <v>-120.846667</v>
      </c>
      <c r="L812" s="11">
        <v>4952</v>
      </c>
      <c r="M812" s="11">
        <v>4952</v>
      </c>
      <c r="N812" s="175" t="str">
        <f>VLOOKUP(M812, '2017 SIC to NAICS'!A:D, 2)</f>
        <v>Sewerage Systems</v>
      </c>
      <c r="P812" s="187" t="str">
        <f>VLOOKUP(M812, '2017 SIC to NAICS'!A:D, 4)</f>
        <v>Sewage Treatment Facilities</v>
      </c>
      <c r="Q812" s="176" t="str">
        <f>IFERROR(VLOOKUP(O812, 'NAICS OES crosswalk'!A:C, 3, FALSE), VLOOKUP(M812, 'NAICS OES crosswalk'!A:C, 3, FALSE))</f>
        <v>Waste handling, disposal, and treatment</v>
      </c>
      <c r="U812" s="188">
        <v>180201290603</v>
      </c>
      <c r="V812" s="11" t="s">
        <v>985</v>
      </c>
      <c r="W812" s="11"/>
      <c r="X812" s="11">
        <v>4.8473548749999998E-2</v>
      </c>
      <c r="Y812" s="11" t="b">
        <f t="shared" si="13"/>
        <v>0</v>
      </c>
    </row>
    <row r="813" spans="1:25" ht="29" x14ac:dyDescent="0.35">
      <c r="A813" s="11">
        <v>2022</v>
      </c>
      <c r="B813" s="11" t="s">
        <v>1980</v>
      </c>
      <c r="C813" s="11" t="s">
        <v>1653</v>
      </c>
      <c r="D813" s="163">
        <v>110000817439</v>
      </c>
      <c r="E813" s="11" t="s">
        <v>435</v>
      </c>
      <c r="F813" s="11" t="s">
        <v>436</v>
      </c>
      <c r="G813" s="11" t="s">
        <v>1626</v>
      </c>
      <c r="H813" s="11" t="s">
        <v>340</v>
      </c>
      <c r="I813" s="11" t="s">
        <v>1982</v>
      </c>
      <c r="J813" s="11">
        <v>40.159343999999997</v>
      </c>
      <c r="K813" s="11">
        <v>-74.776695000000004</v>
      </c>
      <c r="L813" s="11">
        <v>4953</v>
      </c>
      <c r="M813" s="11">
        <v>4953</v>
      </c>
      <c r="N813" s="175" t="str">
        <f>VLOOKUP(M813, '2017 SIC to NAICS'!A:D, 2)</f>
        <v>Refuse Systems</v>
      </c>
      <c r="P813" s="187" t="str">
        <f>VLOOKUP(M813, '2017 SIC to NAICS'!A:D, 4)</f>
        <v>Materials Recovery Facilities</v>
      </c>
      <c r="Q813" s="176" t="str">
        <f>IFERROR(VLOOKUP(O813, 'NAICS OES crosswalk'!A:C, 3, FALSE), VLOOKUP(M813, 'NAICS OES crosswalk'!A:C, 3, FALSE))</f>
        <v>Waste handling, disposal, and treatment</v>
      </c>
      <c r="U813" s="190" t="s">
        <v>1654</v>
      </c>
      <c r="V813" s="11" t="s">
        <v>1630</v>
      </c>
      <c r="W813" s="11"/>
      <c r="X813" s="11">
        <v>4.1336699999999997E-2</v>
      </c>
      <c r="Y813" s="11" t="b">
        <f t="shared" si="13"/>
        <v>0</v>
      </c>
    </row>
    <row r="814" spans="1:25" x14ac:dyDescent="0.35">
      <c r="A814" s="11">
        <v>2022</v>
      </c>
      <c r="B814" s="11" t="s">
        <v>1980</v>
      </c>
      <c r="C814" s="11" t="s">
        <v>1522</v>
      </c>
      <c r="D814" s="163">
        <v>110070219521</v>
      </c>
      <c r="E814" s="11" t="s">
        <v>471</v>
      </c>
      <c r="F814" s="11" t="s">
        <v>472</v>
      </c>
      <c r="G814" s="11" t="s">
        <v>1163</v>
      </c>
      <c r="H814" s="11" t="s">
        <v>254</v>
      </c>
      <c r="I814" s="11" t="s">
        <v>1982</v>
      </c>
      <c r="J814" s="11">
        <v>40.393389999999997</v>
      </c>
      <c r="K814" s="11">
        <v>-74.758080000000007</v>
      </c>
      <c r="M814" s="11"/>
      <c r="N814" s="175" t="e">
        <f>VLOOKUP(M814, '2017 SIC to NAICS'!A:D, 2)</f>
        <v>#N/A</v>
      </c>
      <c r="P814" s="187" t="e">
        <f>VLOOKUP(M814, '2017 SIC to NAICS'!A:D, 4)</f>
        <v>#N/A</v>
      </c>
      <c r="Q814" s="176" t="e">
        <f>IFERROR(VLOOKUP(O814, 'NAICS OES crosswalk'!A:C, 3, FALSE), VLOOKUP(M814, 'NAICS OES crosswalk'!A:C, 3, FALSE))</f>
        <v>#N/A</v>
      </c>
      <c r="U814" s="190" t="s">
        <v>1524</v>
      </c>
      <c r="V814" s="11" t="s">
        <v>1523</v>
      </c>
      <c r="W814" s="11"/>
      <c r="X814" s="11">
        <v>4.0966275662500003E-2</v>
      </c>
      <c r="Y814" s="11" t="b">
        <f t="shared" si="13"/>
        <v>0</v>
      </c>
    </row>
    <row r="815" spans="1:25" x14ac:dyDescent="0.35">
      <c r="A815" s="11">
        <v>2022</v>
      </c>
      <c r="B815" s="11" t="s">
        <v>1980</v>
      </c>
      <c r="C815" s="11" t="s">
        <v>822</v>
      </c>
      <c r="D815" s="163">
        <v>110015972562</v>
      </c>
      <c r="E815" s="11" t="s">
        <v>381</v>
      </c>
      <c r="F815" s="11" t="s">
        <v>337</v>
      </c>
      <c r="G815" s="11" t="s">
        <v>823</v>
      </c>
      <c r="H815" s="11" t="s">
        <v>221</v>
      </c>
      <c r="I815" s="11" t="s">
        <v>1982</v>
      </c>
      <c r="J815" s="11">
        <v>36.116160999999998</v>
      </c>
      <c r="K815" s="11">
        <v>-115.172741</v>
      </c>
      <c r="L815" s="11">
        <v>7011</v>
      </c>
      <c r="M815" s="11">
        <v>7011</v>
      </c>
      <c r="N815" s="175" t="str">
        <f>VLOOKUP(M815, '2017 SIC to NAICS'!A:D, 2)</f>
        <v>Hotels and Motels</v>
      </c>
      <c r="O815" s="11">
        <v>721120</v>
      </c>
      <c r="P815" s="187" t="str">
        <f>VLOOKUP(M815, '2017 SIC to NAICS'!A:D, 4)</f>
        <v>All Other Traveler Accommodation</v>
      </c>
      <c r="Q815" s="176" t="e">
        <f>IFERROR(VLOOKUP(O815, 'NAICS OES crosswalk'!A:C, 3, FALSE), VLOOKUP(M815, 'NAICS OES crosswalk'!A:C, 3, FALSE))</f>
        <v>#N/A</v>
      </c>
      <c r="U815" s="188">
        <v>150100150604</v>
      </c>
      <c r="V815" s="11" t="s">
        <v>738</v>
      </c>
      <c r="W815" s="11"/>
      <c r="X815" s="11">
        <v>4.0211281712499998E-2</v>
      </c>
      <c r="Y815" s="11" t="b">
        <f t="shared" si="13"/>
        <v>0</v>
      </c>
    </row>
    <row r="816" spans="1:25" x14ac:dyDescent="0.35">
      <c r="A816" s="11">
        <v>2022</v>
      </c>
      <c r="B816" s="11" t="s">
        <v>1980</v>
      </c>
      <c r="C816" s="11" t="s">
        <v>1563</v>
      </c>
      <c r="D816" s="163">
        <v>110070948151</v>
      </c>
      <c r="E816" s="11" t="s">
        <v>487</v>
      </c>
      <c r="F816" s="11" t="s">
        <v>337</v>
      </c>
      <c r="G816" s="11" t="s">
        <v>736</v>
      </c>
      <c r="H816" s="11" t="s">
        <v>221</v>
      </c>
      <c r="I816" s="11" t="s">
        <v>1982</v>
      </c>
      <c r="J816" s="11">
        <v>36.090899999999998</v>
      </c>
      <c r="K816" s="11">
        <v>-115.1833</v>
      </c>
      <c r="L816" s="11">
        <v>7941</v>
      </c>
      <c r="M816" s="11">
        <v>7941</v>
      </c>
      <c r="N816" s="175" t="str">
        <f>VLOOKUP(M816, '2017 SIC to NAICS'!A:D, 2)</f>
        <v>Sports Clubs, Managers, and Promoters</v>
      </c>
      <c r="O816" s="11">
        <v>711211</v>
      </c>
      <c r="P816" s="187" t="str">
        <f>VLOOKUP(M816, '2017 SIC to NAICS'!A:D, 4)</f>
        <v>Agents and Managers for Artists, Athletes,
Entertainers, and Other Public Figures</v>
      </c>
      <c r="Q816" s="176" t="e">
        <f>IFERROR(VLOOKUP(O816, 'NAICS OES crosswalk'!A:C, 3, FALSE), VLOOKUP(M816, 'NAICS OES crosswalk'!A:C, 3, FALSE))</f>
        <v>#N/A</v>
      </c>
      <c r="U816" s="188">
        <v>150100150505</v>
      </c>
      <c r="V816" s="11" t="s">
        <v>825</v>
      </c>
      <c r="W816" s="11"/>
      <c r="X816" s="11">
        <v>4.0109124562500001E-2</v>
      </c>
      <c r="Y816" s="11" t="b">
        <f t="shared" si="13"/>
        <v>0</v>
      </c>
    </row>
    <row r="817" spans="1:25" ht="29" x14ac:dyDescent="0.35">
      <c r="A817" s="11">
        <v>2022</v>
      </c>
      <c r="B817" s="11" t="s">
        <v>1980</v>
      </c>
      <c r="C817" s="11" t="s">
        <v>1719</v>
      </c>
      <c r="D817" s="163">
        <v>110070544905</v>
      </c>
      <c r="E817" s="11" t="s">
        <v>501</v>
      </c>
      <c r="F817" s="11" t="s">
        <v>502</v>
      </c>
      <c r="G817" s="11" t="s">
        <v>1720</v>
      </c>
      <c r="H817" s="11" t="s">
        <v>276</v>
      </c>
      <c r="I817" s="11" t="s">
        <v>1982</v>
      </c>
      <c r="J817" s="11">
        <v>38.400409000000003</v>
      </c>
      <c r="K817" s="11">
        <v>-78.895222000000004</v>
      </c>
      <c r="L817" s="11">
        <v>4953</v>
      </c>
      <c r="M817" s="11">
        <v>4953</v>
      </c>
      <c r="N817" s="175" t="str">
        <f>VLOOKUP(M817, '2017 SIC to NAICS'!A:D, 2)</f>
        <v>Refuse Systems</v>
      </c>
      <c r="P817" s="187" t="str">
        <f>VLOOKUP(M817, '2017 SIC to NAICS'!A:D, 4)</f>
        <v>Materials Recovery Facilities</v>
      </c>
      <c r="Q817" s="176" t="str">
        <f>IFERROR(VLOOKUP(O817, 'NAICS OES crosswalk'!A:C, 3, FALSE), VLOOKUP(M817, 'NAICS OES crosswalk'!A:C, 3, FALSE))</f>
        <v>Waste handling, disposal, and treatment</v>
      </c>
      <c r="U817" s="190" t="s">
        <v>1722</v>
      </c>
      <c r="V817" s="11" t="s">
        <v>1721</v>
      </c>
      <c r="W817" s="11"/>
      <c r="X817" s="11">
        <v>3.9431016452999998E-2</v>
      </c>
      <c r="Y817" s="11" t="b">
        <f t="shared" si="13"/>
        <v>0</v>
      </c>
    </row>
    <row r="818" spans="1:25" x14ac:dyDescent="0.35">
      <c r="A818" s="11">
        <v>2022</v>
      </c>
      <c r="B818" s="11" t="s">
        <v>1980</v>
      </c>
      <c r="C818" s="11" t="s">
        <v>1571</v>
      </c>
      <c r="D818" s="163">
        <v>110000326193</v>
      </c>
      <c r="E818" s="11" t="s">
        <v>459</v>
      </c>
      <c r="F818" s="11" t="s">
        <v>460</v>
      </c>
      <c r="G818" s="11" t="s">
        <v>1572</v>
      </c>
      <c r="H818" s="11" t="s">
        <v>126</v>
      </c>
      <c r="I818" s="11" t="s">
        <v>1981</v>
      </c>
      <c r="J818" s="11">
        <v>42.308895999999997</v>
      </c>
      <c r="K818" s="11">
        <v>-75.397531999999998</v>
      </c>
      <c r="L818" s="11">
        <v>3471</v>
      </c>
      <c r="M818" s="11">
        <v>3471</v>
      </c>
      <c r="N818" s="175" t="str">
        <f>VLOOKUP(M818, '2017 SIC to NAICS'!A:D, 2)</f>
        <v>Plating and Polishing</v>
      </c>
      <c r="P818" s="187" t="str">
        <f>VLOOKUP(M818, '2017 SIC to NAICS'!A:D, 4)</f>
        <v>Electroplating, Plating, Polishing,
Anodizing, and Coloring</v>
      </c>
      <c r="Q818" s="176" t="e">
        <f>IFERROR(VLOOKUP(O818, 'NAICS OES crosswalk'!A:C, 3, FALSE), VLOOKUP(M818, 'NAICS OES crosswalk'!A:C, 3, FALSE))</f>
        <v>#N/A</v>
      </c>
      <c r="U818" s="190" t="s">
        <v>1574</v>
      </c>
      <c r="V818" s="11" t="s">
        <v>1573</v>
      </c>
      <c r="W818" s="11"/>
      <c r="X818" s="11">
        <v>3.7859951143499999E-2</v>
      </c>
      <c r="Y818" s="11" t="b">
        <f t="shared" si="13"/>
        <v>0</v>
      </c>
    </row>
    <row r="819" spans="1:25" x14ac:dyDescent="0.35">
      <c r="A819" s="11">
        <v>2022</v>
      </c>
      <c r="B819" s="11" t="s">
        <v>1980</v>
      </c>
      <c r="C819" s="11" t="s">
        <v>1747</v>
      </c>
      <c r="D819" s="163">
        <v>110070949081</v>
      </c>
      <c r="E819" s="11" t="s">
        <v>525</v>
      </c>
      <c r="F819" s="11" t="s">
        <v>396</v>
      </c>
      <c r="G819" s="11" t="s">
        <v>1733</v>
      </c>
      <c r="H819" s="11" t="s">
        <v>276</v>
      </c>
      <c r="I819" s="11" t="s">
        <v>1982</v>
      </c>
      <c r="J819" s="11">
        <v>38.840083999999997</v>
      </c>
      <c r="K819" s="11">
        <v>-77.048516000000006</v>
      </c>
      <c r="L819" s="11">
        <v>1794</v>
      </c>
      <c r="M819" s="11">
        <v>1794</v>
      </c>
      <c r="N819" s="175" t="str">
        <f>VLOOKUP(M819, '2017 SIC to NAICS'!A:D, 2)</f>
        <v>Excavation Work</v>
      </c>
      <c r="P819" s="187" t="str">
        <f>VLOOKUP(M819, '2017 SIC to NAICS'!A:D, 4)</f>
        <v>Site Preparation Contractors</v>
      </c>
      <c r="Q819" s="176" t="e">
        <f>IFERROR(VLOOKUP(O819, 'NAICS OES crosswalk'!A:C, 3, FALSE), VLOOKUP(M819, 'NAICS OES crosswalk'!A:C, 3, FALSE))</f>
        <v>#N/A</v>
      </c>
      <c r="U819" s="190" t="s">
        <v>1713</v>
      </c>
      <c r="V819" s="11" t="s">
        <v>1711</v>
      </c>
      <c r="W819" s="11"/>
      <c r="X819" s="11">
        <v>3.7160940750000003E-2</v>
      </c>
      <c r="Y819" s="11" t="b">
        <f t="shared" si="13"/>
        <v>0</v>
      </c>
    </row>
    <row r="820" spans="1:25" x14ac:dyDescent="0.35">
      <c r="A820" s="11">
        <v>2022</v>
      </c>
      <c r="B820" s="11" t="s">
        <v>1980</v>
      </c>
      <c r="C820" s="11" t="s">
        <v>1529</v>
      </c>
      <c r="D820" s="163">
        <v>110070940491</v>
      </c>
      <c r="E820" s="11" t="s">
        <v>689</v>
      </c>
      <c r="F820" s="11" t="s">
        <v>690</v>
      </c>
      <c r="G820" s="11" t="s">
        <v>1530</v>
      </c>
      <c r="H820" s="11" t="s">
        <v>254</v>
      </c>
      <c r="I820" s="11" t="s">
        <v>1982</v>
      </c>
      <c r="J820" s="11">
        <v>40.856884000000001</v>
      </c>
      <c r="K820" s="11">
        <v>-74.067938999999996</v>
      </c>
      <c r="L820" s="11">
        <v>4959</v>
      </c>
      <c r="M820" s="11">
        <v>4959</v>
      </c>
      <c r="N820" s="175" t="str">
        <f>VLOOKUP(M820, '2017 SIC to NAICS'!A:D, 2)</f>
        <v>Sanitary Services, Nec</v>
      </c>
      <c r="P820" s="187" t="str">
        <f>VLOOKUP(M820, '2017 SIC to NAICS'!A:D, 4)</f>
        <v>All Other Miscellaneous Waste
Management Services</v>
      </c>
      <c r="Q820" s="176" t="e">
        <f>IFERROR(VLOOKUP(O820, 'NAICS OES crosswalk'!A:C, 3, FALSE), VLOOKUP(M820, 'NAICS OES crosswalk'!A:C, 3, FALSE))</f>
        <v>#N/A</v>
      </c>
      <c r="U820" s="190" t="s">
        <v>1532</v>
      </c>
      <c r="V820" s="11" t="s">
        <v>1531</v>
      </c>
      <c r="W820" s="11"/>
      <c r="X820" s="11">
        <v>1.4771889825000001E-4</v>
      </c>
      <c r="Y820" s="11" t="b">
        <f t="shared" si="13"/>
        <v>1</v>
      </c>
    </row>
    <row r="821" spans="1:25" ht="29" x14ac:dyDescent="0.35">
      <c r="A821" s="11">
        <v>2022</v>
      </c>
      <c r="B821" s="11" t="s">
        <v>1980</v>
      </c>
      <c r="C821" s="11" t="s">
        <v>1637</v>
      </c>
      <c r="D821" s="163">
        <v>110001057533</v>
      </c>
      <c r="E821" s="11" t="s">
        <v>382</v>
      </c>
      <c r="F821" s="11" t="s">
        <v>383</v>
      </c>
      <c r="G821" s="11" t="s">
        <v>1517</v>
      </c>
      <c r="H821" s="11" t="s">
        <v>340</v>
      </c>
      <c r="I821" s="11" t="s">
        <v>1982</v>
      </c>
      <c r="J821" s="11">
        <v>40.231741999999997</v>
      </c>
      <c r="K821" s="11">
        <v>-78.917860000000005</v>
      </c>
      <c r="L821" s="11">
        <v>4952</v>
      </c>
      <c r="M821" s="11">
        <v>4952</v>
      </c>
      <c r="N821" s="175" t="str">
        <f>VLOOKUP(M821, '2017 SIC to NAICS'!A:D, 2)</f>
        <v>Sewerage Systems</v>
      </c>
      <c r="P821" s="187" t="str">
        <f>VLOOKUP(M821, '2017 SIC to NAICS'!A:D, 4)</f>
        <v>Sewage Treatment Facilities</v>
      </c>
      <c r="Q821" s="176" t="str">
        <f>IFERROR(VLOOKUP(O821, 'NAICS OES crosswalk'!A:C, 3, FALSE), VLOOKUP(M821, 'NAICS OES crosswalk'!A:C, 3, FALSE))</f>
        <v>Waste handling, disposal, and treatment</v>
      </c>
      <c r="U821" s="190" t="s">
        <v>1639</v>
      </c>
      <c r="V821" s="11" t="s">
        <v>1638</v>
      </c>
      <c r="W821" s="11"/>
      <c r="X821" s="11">
        <v>3.5769754537499997E-2</v>
      </c>
      <c r="Y821" s="11" t="b">
        <f t="shared" si="13"/>
        <v>0</v>
      </c>
    </row>
    <row r="822" spans="1:25" x14ac:dyDescent="0.35">
      <c r="A822" s="11">
        <v>2022</v>
      </c>
      <c r="B822" s="11" t="s">
        <v>1980</v>
      </c>
      <c r="C822" s="11" t="s">
        <v>730</v>
      </c>
      <c r="D822" s="163">
        <v>110017979810</v>
      </c>
      <c r="E822" s="11" t="s">
        <v>309</v>
      </c>
      <c r="F822" s="11" t="s">
        <v>158</v>
      </c>
      <c r="G822" s="11" t="s">
        <v>434</v>
      </c>
      <c r="H822" s="11" t="s">
        <v>129</v>
      </c>
      <c r="I822" s="11" t="s">
        <v>1982</v>
      </c>
      <c r="J822" s="11">
        <v>38.959018999999998</v>
      </c>
      <c r="K822" s="11">
        <v>-94.576569000000006</v>
      </c>
      <c r="L822" s="11">
        <v>6552</v>
      </c>
      <c r="M822" s="11">
        <v>6552</v>
      </c>
      <c r="N822" s="175" t="str">
        <f>VLOOKUP(M822, '2017 SIC to NAICS'!A:D, 2)</f>
        <v>Subdividers and Developers, Nec</v>
      </c>
      <c r="P822" s="187" t="str">
        <f>VLOOKUP(M822, '2017 SIC to NAICS'!A:D, 4)</f>
        <v>Land Subdivision</v>
      </c>
      <c r="Q822" s="176" t="e">
        <f>IFERROR(VLOOKUP(O822, 'NAICS OES crosswalk'!A:C, 3, FALSE), VLOOKUP(M822, 'NAICS OES crosswalk'!A:C, 3, FALSE))</f>
        <v>#N/A</v>
      </c>
      <c r="U822" s="188">
        <v>103001010105</v>
      </c>
      <c r="V822" s="11" t="s">
        <v>733</v>
      </c>
      <c r="W822" s="11"/>
      <c r="X822" s="11">
        <v>3.5630097499999999E-2</v>
      </c>
      <c r="Y822" s="11" t="b">
        <f t="shared" si="13"/>
        <v>0</v>
      </c>
    </row>
    <row r="823" spans="1:25" x14ac:dyDescent="0.35">
      <c r="A823" s="11">
        <v>2022</v>
      </c>
      <c r="B823" s="11" t="s">
        <v>1980</v>
      </c>
      <c r="C823" s="11" t="s">
        <v>1468</v>
      </c>
      <c r="D823" s="163">
        <v>110000595909</v>
      </c>
      <c r="E823" s="11" t="s">
        <v>529</v>
      </c>
      <c r="F823" s="11" t="s">
        <v>128</v>
      </c>
      <c r="G823" s="11" t="s">
        <v>1132</v>
      </c>
      <c r="H823" s="11" t="s">
        <v>129</v>
      </c>
      <c r="I823" s="11" t="s">
        <v>1982</v>
      </c>
      <c r="J823" s="11">
        <v>38.539057</v>
      </c>
      <c r="K823" s="11">
        <v>-90.971136000000001</v>
      </c>
      <c r="L823" s="11">
        <v>3499</v>
      </c>
      <c r="M823" s="11">
        <v>3499</v>
      </c>
      <c r="N823" s="175" t="str">
        <f>VLOOKUP(M823, '2017 SIC to NAICS'!A:D, 2)</f>
        <v>Fabricated Metal Products, Nec</v>
      </c>
      <c r="P823" s="187" t="str">
        <f>VLOOKUP(M823, '2017 SIC to NAICS'!A:D, 4)</f>
        <v>Showcase, Partition, Shelving, and Locker
Manufacturing</v>
      </c>
      <c r="Q823" s="176" t="e">
        <f>IFERROR(VLOOKUP(O823, 'NAICS OES crosswalk'!A:C, 3, FALSE), VLOOKUP(M823, 'NAICS OES crosswalk'!A:C, 3, FALSE))</f>
        <v>#N/A</v>
      </c>
      <c r="U823" s="188">
        <v>103002000601</v>
      </c>
      <c r="V823" s="11" t="s">
        <v>1460</v>
      </c>
      <c r="W823" s="11"/>
      <c r="X823" s="11">
        <v>3.4289577297499998E-2</v>
      </c>
      <c r="Y823" s="11" t="b">
        <f t="shared" si="13"/>
        <v>0</v>
      </c>
    </row>
    <row r="824" spans="1:25" x14ac:dyDescent="0.35">
      <c r="A824" s="11">
        <v>2022</v>
      </c>
      <c r="B824" s="11" t="s">
        <v>1980</v>
      </c>
      <c r="C824" s="11" t="s">
        <v>990</v>
      </c>
      <c r="D824" s="163">
        <v>110070053140</v>
      </c>
      <c r="E824" s="11" t="s">
        <v>490</v>
      </c>
      <c r="F824" s="11" t="s">
        <v>491</v>
      </c>
      <c r="G824" s="11" t="s">
        <v>991</v>
      </c>
      <c r="H824" s="11" t="s">
        <v>492</v>
      </c>
      <c r="I824" s="11" t="s">
        <v>1982</v>
      </c>
      <c r="J824" s="11">
        <v>40.393799999999999</v>
      </c>
      <c r="K824" s="11">
        <v>-105.074</v>
      </c>
      <c r="L824" s="11">
        <v>7521</v>
      </c>
      <c r="M824" s="11">
        <v>7521</v>
      </c>
      <c r="N824" s="175" t="str">
        <f>VLOOKUP(M824, '2017 SIC to NAICS'!A:D, 2)</f>
        <v>Automobile Parking</v>
      </c>
      <c r="P824" s="187" t="str">
        <f>VLOOKUP(M824, '2017 SIC to NAICS'!A:D, 4)</f>
        <v>Parking Lots and Garages</v>
      </c>
      <c r="Q824" s="176" t="e">
        <f>IFERROR(VLOOKUP(O824, 'NAICS OES crosswalk'!A:C, 3, FALSE), VLOOKUP(M824, 'NAICS OES crosswalk'!A:C, 3, FALSE))</f>
        <v>#N/A</v>
      </c>
      <c r="U824" s="188">
        <v>101900060605</v>
      </c>
      <c r="V824" s="11" t="s">
        <v>992</v>
      </c>
      <c r="W824" s="11"/>
      <c r="X824" s="11">
        <v>1.9553310000000001E-2</v>
      </c>
      <c r="Y824" s="11" t="b">
        <f t="shared" si="13"/>
        <v>0</v>
      </c>
    </row>
    <row r="825" spans="1:25" ht="29" x14ac:dyDescent="0.35">
      <c r="A825" s="11">
        <v>2022</v>
      </c>
      <c r="B825" s="11" t="s">
        <v>1980</v>
      </c>
      <c r="C825" s="11" t="s">
        <v>1419</v>
      </c>
      <c r="D825" s="163">
        <v>110006739789</v>
      </c>
      <c r="E825" s="11" t="s">
        <v>549</v>
      </c>
      <c r="F825" s="11" t="s">
        <v>507</v>
      </c>
      <c r="G825" s="11" t="s">
        <v>1086</v>
      </c>
      <c r="H825" s="11" t="s">
        <v>181</v>
      </c>
      <c r="I825" s="11" t="s">
        <v>1982</v>
      </c>
      <c r="J825" s="11">
        <v>43.977820999999999</v>
      </c>
      <c r="K825" s="11">
        <v>-86.457807000000003</v>
      </c>
      <c r="L825" s="11">
        <v>9999</v>
      </c>
      <c r="M825" s="11">
        <v>9999</v>
      </c>
      <c r="N825" s="175" t="str">
        <f>VLOOKUP(M825, '2017 SIC to NAICS'!A:D, 2)</f>
        <v>Nonclassifiable Establishments</v>
      </c>
      <c r="O825" s="11">
        <v>562910</v>
      </c>
      <c r="P825" s="187">
        <f>VLOOKUP(M825, '2017 SIC to NAICS'!A:D, 4)</f>
        <v>0</v>
      </c>
      <c r="Q825" s="176" t="str">
        <f>IFERROR(VLOOKUP(O825, 'NAICS OES crosswalk'!A:C, 3, FALSE), VLOOKUP(M825, 'NAICS OES crosswalk'!A:C, 3, FALSE))</f>
        <v>Uncertain, possibly a remediation site</v>
      </c>
      <c r="U825" s="190" t="s">
        <v>1421</v>
      </c>
      <c r="V825" s="11" t="s">
        <v>1420</v>
      </c>
      <c r="W825" s="11"/>
      <c r="X825" s="11">
        <v>2.6413243999999999E-2</v>
      </c>
      <c r="Y825" s="11" t="b">
        <f t="shared" si="13"/>
        <v>0</v>
      </c>
    </row>
    <row r="826" spans="1:25" x14ac:dyDescent="0.35">
      <c r="A826" s="11">
        <v>2022</v>
      </c>
      <c r="B826" s="11" t="s">
        <v>1980</v>
      </c>
      <c r="C826" s="11" t="s">
        <v>1610</v>
      </c>
      <c r="D826" s="163">
        <v>110000701973</v>
      </c>
      <c r="E826" s="11" t="s">
        <v>550</v>
      </c>
      <c r="F826" s="11" t="s">
        <v>551</v>
      </c>
      <c r="G826" s="11" t="s">
        <v>1611</v>
      </c>
      <c r="H826" s="11" t="s">
        <v>340</v>
      </c>
      <c r="I826" s="11" t="s">
        <v>1982</v>
      </c>
      <c r="J826" s="11">
        <v>40.359177000000003</v>
      </c>
      <c r="K826" s="11">
        <v>-79.902659999999997</v>
      </c>
      <c r="L826" s="11">
        <v>8733</v>
      </c>
      <c r="M826" s="11">
        <v>8733</v>
      </c>
      <c r="N826" s="175" t="str">
        <f>VLOOKUP(M826, '2017 SIC to NAICS'!A:D, 2)</f>
        <v>Noncommercial Research Organizations</v>
      </c>
      <c r="P826" s="187" t="str">
        <f>VLOOKUP(M826, '2017 SIC to NAICS'!A:D, 4)</f>
        <v>Research and Development in the Social
Sciences and Humanities</v>
      </c>
      <c r="Q826" s="176" t="e">
        <f>IFERROR(VLOOKUP(O826, 'NAICS OES crosswalk'!A:C, 3, FALSE), VLOOKUP(M826, 'NAICS OES crosswalk'!A:C, 3, FALSE))</f>
        <v>#N/A</v>
      </c>
      <c r="U826" s="190" t="s">
        <v>1614</v>
      </c>
      <c r="V826" s="11" t="s">
        <v>1612</v>
      </c>
      <c r="W826" s="11"/>
      <c r="X826" s="11">
        <v>2.58723675E-2</v>
      </c>
      <c r="Y826" s="11" t="b">
        <f t="shared" si="13"/>
        <v>0</v>
      </c>
    </row>
    <row r="827" spans="1:25" x14ac:dyDescent="0.35">
      <c r="A827" s="11">
        <v>2022</v>
      </c>
      <c r="B827" s="11" t="s">
        <v>1980</v>
      </c>
      <c r="C827" s="11" t="s">
        <v>923</v>
      </c>
      <c r="D827" s="163">
        <v>110037256867</v>
      </c>
      <c r="E827" s="11" t="s">
        <v>424</v>
      </c>
      <c r="F827" s="11" t="s">
        <v>425</v>
      </c>
      <c r="G827" s="11" t="s">
        <v>924</v>
      </c>
      <c r="H827" s="11" t="s">
        <v>102</v>
      </c>
      <c r="I827" s="11" t="s">
        <v>1982</v>
      </c>
      <c r="J827" s="11">
        <v>35.178620000000002</v>
      </c>
      <c r="K827" s="11">
        <v>-120.62067500000001</v>
      </c>
      <c r="L827" s="11">
        <v>2911</v>
      </c>
      <c r="M827" s="11">
        <v>2911</v>
      </c>
      <c r="N827" s="175" t="str">
        <f>VLOOKUP(M827, '2017 SIC to NAICS'!A:D, 2)</f>
        <v>Petroleum Refining</v>
      </c>
      <c r="P827" s="187" t="str">
        <f>VLOOKUP(M827, '2017 SIC to NAICS'!A:D, 4)</f>
        <v>Petroleum Refineries</v>
      </c>
      <c r="Q827" s="176" t="e">
        <f>IFERROR(VLOOKUP(O827, 'NAICS OES crosswalk'!A:C, 3, FALSE), VLOOKUP(M827, 'NAICS OES crosswalk'!A:C, 3, FALSE))</f>
        <v>#N/A</v>
      </c>
      <c r="U827" s="188">
        <v>180600060703</v>
      </c>
      <c r="V827" s="11" t="s">
        <v>925</v>
      </c>
      <c r="W827" s="11"/>
      <c r="X827" s="11">
        <v>0.1623291875</v>
      </c>
      <c r="Y827" s="11" t="b">
        <f t="shared" si="13"/>
        <v>0</v>
      </c>
    </row>
    <row r="828" spans="1:25" ht="29" x14ac:dyDescent="0.35">
      <c r="A828" s="11">
        <v>2022</v>
      </c>
      <c r="B828" s="11" t="s">
        <v>1980</v>
      </c>
      <c r="C828" s="11" t="s">
        <v>1461</v>
      </c>
      <c r="D828" s="163">
        <v>110000614746</v>
      </c>
      <c r="E828" s="11" t="s">
        <v>508</v>
      </c>
      <c r="F828" s="11" t="s">
        <v>509</v>
      </c>
      <c r="G828" s="11" t="s">
        <v>1175</v>
      </c>
      <c r="H828" s="11" t="s">
        <v>129</v>
      </c>
      <c r="I828" s="11" t="s">
        <v>1982</v>
      </c>
      <c r="J828" s="11">
        <v>39.248446999999999</v>
      </c>
      <c r="K828" s="11">
        <v>-94.293233000000001</v>
      </c>
      <c r="L828" s="11">
        <v>4953</v>
      </c>
      <c r="M828" s="11">
        <v>4953</v>
      </c>
      <c r="N828" s="175" t="str">
        <f>VLOOKUP(M828, '2017 SIC to NAICS'!A:D, 2)</f>
        <v>Refuse Systems</v>
      </c>
      <c r="P828" s="187" t="str">
        <f>VLOOKUP(M828, '2017 SIC to NAICS'!A:D, 4)</f>
        <v>Materials Recovery Facilities</v>
      </c>
      <c r="Q828" s="176" t="str">
        <f>IFERROR(VLOOKUP(O828, 'NAICS OES crosswalk'!A:C, 3, FALSE), VLOOKUP(M828, 'NAICS OES crosswalk'!A:C, 3, FALSE))</f>
        <v>Waste handling, disposal, and treatment</v>
      </c>
      <c r="U828" s="188">
        <v>103001010307</v>
      </c>
      <c r="V828" s="11" t="s">
        <v>1462</v>
      </c>
      <c r="W828" s="11"/>
      <c r="X828" s="11">
        <v>2.3034953869950001E-2</v>
      </c>
      <c r="Y828" s="11" t="b">
        <f t="shared" si="13"/>
        <v>0</v>
      </c>
    </row>
    <row r="829" spans="1:25" x14ac:dyDescent="0.35">
      <c r="A829" s="11">
        <v>2022</v>
      </c>
      <c r="B829" s="11" t="s">
        <v>1980</v>
      </c>
      <c r="C829" s="11" t="s">
        <v>1513</v>
      </c>
      <c r="D829" s="163">
        <v>110070220772</v>
      </c>
      <c r="E829" s="11" t="s">
        <v>556</v>
      </c>
      <c r="F829" s="11" t="s">
        <v>557</v>
      </c>
      <c r="G829" s="11" t="s">
        <v>818</v>
      </c>
      <c r="H829" s="11" t="s">
        <v>254</v>
      </c>
      <c r="I829" s="11" t="s">
        <v>1982</v>
      </c>
      <c r="J829" s="11">
        <v>40.382820000000002</v>
      </c>
      <c r="K829" s="11">
        <v>-74.501608000000004</v>
      </c>
      <c r="L829" s="11">
        <v>3492</v>
      </c>
      <c r="M829" s="11">
        <v>3492</v>
      </c>
      <c r="N829" s="175" t="str">
        <f>VLOOKUP(M829, '2017 SIC to NAICS'!A:D, 2)</f>
        <v>Fluid Power Valves and Hose Fittings</v>
      </c>
      <c r="P829" s="187" t="str">
        <f>VLOOKUP(M829, '2017 SIC to NAICS'!A:D, 4)</f>
        <v>Fluid Power Valve and Hose Fitting
Manufacturing</v>
      </c>
      <c r="Q829" s="176" t="e">
        <f>IFERROR(VLOOKUP(O829, 'NAICS OES crosswalk'!A:C, 3, FALSE), VLOOKUP(M829, 'NAICS OES crosswalk'!A:C, 3, FALSE))</f>
        <v>#N/A</v>
      </c>
      <c r="U829" s="190" t="s">
        <v>1512</v>
      </c>
      <c r="V829" s="11" t="s">
        <v>1510</v>
      </c>
      <c r="W829" s="11"/>
      <c r="X829" s="11">
        <v>2.2105717180000001E-2</v>
      </c>
      <c r="Y829" s="11" t="b">
        <f t="shared" si="13"/>
        <v>0</v>
      </c>
    </row>
    <row r="830" spans="1:25" x14ac:dyDescent="0.35">
      <c r="A830" s="11">
        <v>2022</v>
      </c>
      <c r="B830" s="11" t="s">
        <v>1980</v>
      </c>
      <c r="C830" s="11" t="s">
        <v>1581</v>
      </c>
      <c r="D830" s="163">
        <v>110019560722</v>
      </c>
      <c r="E830" s="11" t="s">
        <v>528</v>
      </c>
      <c r="F830" s="11" t="s">
        <v>143</v>
      </c>
      <c r="G830" s="11" t="s">
        <v>1582</v>
      </c>
      <c r="H830" s="11" t="s">
        <v>126</v>
      </c>
      <c r="I830" s="11" t="s">
        <v>1982</v>
      </c>
      <c r="J830" s="11">
        <v>43.087819000000003</v>
      </c>
      <c r="K830" s="11">
        <v>-75.182382000000004</v>
      </c>
      <c r="L830" s="11">
        <v>9511</v>
      </c>
      <c r="M830" s="11">
        <v>9511</v>
      </c>
      <c r="N830" s="175" t="str">
        <f>VLOOKUP(M830, '2017 SIC to NAICS'!A:D, 2)</f>
        <v>Air, Water, and Solid Waste Management</v>
      </c>
      <c r="P830" s="187" t="str">
        <f>VLOOKUP(M830, '2017 SIC to NAICS'!A:D, 4)</f>
        <v>Administration of Air and Water Resource
and Solid Waste Management Programs</v>
      </c>
      <c r="Q830" s="176" t="e">
        <f>IFERROR(VLOOKUP(O830, 'NAICS OES crosswalk'!A:C, 3, FALSE), VLOOKUP(M830, 'NAICS OES crosswalk'!A:C, 3, FALSE))</f>
        <v>#N/A</v>
      </c>
      <c r="U830" s="190" t="s">
        <v>1584</v>
      </c>
      <c r="V830" s="11" t="s">
        <v>1583</v>
      </c>
      <c r="W830" s="11"/>
      <c r="X830" s="11">
        <v>2.0643938824999999E-2</v>
      </c>
      <c r="Y830" s="11" t="b">
        <f t="shared" ref="Y830:Y893" si="14" xml:space="preserve"> X830 &lt;= _xlfn.PERCENTILE.INC($X$701:$X$906, 0.1)</f>
        <v>0</v>
      </c>
    </row>
    <row r="831" spans="1:25" x14ac:dyDescent="0.35">
      <c r="A831" s="11">
        <v>2022</v>
      </c>
      <c r="B831" s="11" t="s">
        <v>1980</v>
      </c>
      <c r="C831" s="11" t="s">
        <v>730</v>
      </c>
      <c r="D831" s="163">
        <v>110017979810</v>
      </c>
      <c r="E831" s="11" t="s">
        <v>309</v>
      </c>
      <c r="F831" s="11" t="s">
        <v>158</v>
      </c>
      <c r="G831" s="11" t="s">
        <v>434</v>
      </c>
      <c r="H831" s="11" t="s">
        <v>129</v>
      </c>
      <c r="I831" s="11" t="s">
        <v>1982</v>
      </c>
      <c r="J831" s="11">
        <v>38.959018999999998</v>
      </c>
      <c r="K831" s="11">
        <v>-94.576569000000006</v>
      </c>
      <c r="L831" s="11">
        <v>6552</v>
      </c>
      <c r="M831" s="11">
        <v>6552</v>
      </c>
      <c r="N831" s="175" t="str">
        <f>VLOOKUP(M831, '2017 SIC to NAICS'!A:D, 2)</f>
        <v>Subdividers and Developers, Nec</v>
      </c>
      <c r="P831" s="187" t="str">
        <f>VLOOKUP(M831, '2017 SIC to NAICS'!A:D, 4)</f>
        <v>Land Subdivision</v>
      </c>
      <c r="Q831" s="176" t="e">
        <f>IFERROR(VLOOKUP(O831, 'NAICS OES crosswalk'!A:C, 3, FALSE), VLOOKUP(M831, 'NAICS OES crosswalk'!A:C, 3, FALSE))</f>
        <v>#N/A</v>
      </c>
      <c r="U831" s="188">
        <v>103001010105</v>
      </c>
      <c r="V831" s="11" t="s">
        <v>733</v>
      </c>
      <c r="W831" s="11"/>
      <c r="X831" s="11">
        <v>1.9705656249999998E-2</v>
      </c>
      <c r="Y831" s="11" t="b">
        <f t="shared" si="14"/>
        <v>0</v>
      </c>
    </row>
    <row r="832" spans="1:25" x14ac:dyDescent="0.35">
      <c r="A832" s="11">
        <v>2022</v>
      </c>
      <c r="B832" s="11" t="s">
        <v>1980</v>
      </c>
      <c r="C832" s="11" t="s">
        <v>763</v>
      </c>
      <c r="D832" s="163">
        <v>110018199377</v>
      </c>
      <c r="E832" s="11" t="s">
        <v>109</v>
      </c>
      <c r="F832" s="11" t="s">
        <v>110</v>
      </c>
      <c r="G832" s="11" t="s">
        <v>764</v>
      </c>
      <c r="H832" s="11" t="s">
        <v>111</v>
      </c>
      <c r="I832" s="11" t="s">
        <v>1982</v>
      </c>
      <c r="J832" s="11">
        <v>41.692782000000001</v>
      </c>
      <c r="K832" s="11">
        <v>-87.951100999999994</v>
      </c>
      <c r="L832" s="11">
        <v>4226</v>
      </c>
      <c r="M832" s="11">
        <v>4226</v>
      </c>
      <c r="N832" s="175" t="str">
        <f>VLOOKUP(M832, '2017 SIC to NAICS'!A:D, 2)</f>
        <v>Special Warehousing and Storage, Nec</v>
      </c>
      <c r="P832" s="187" t="str">
        <f>VLOOKUP(M832, '2017 SIC to NAICS'!A:D, 4)</f>
        <v>Other Warehousing and Storage</v>
      </c>
      <c r="Q832" s="176" t="e">
        <f>IFERROR(VLOOKUP(O832, 'NAICS OES crosswalk'!A:C, 3, FALSE), VLOOKUP(M832, 'NAICS OES crosswalk'!A:C, 3, FALSE))</f>
        <v>#N/A</v>
      </c>
      <c r="U832" s="190" t="s">
        <v>769</v>
      </c>
      <c r="V832" s="11" t="s">
        <v>767</v>
      </c>
      <c r="W832" s="11"/>
      <c r="X832" s="11">
        <v>1.96725375E-2</v>
      </c>
      <c r="Y832" s="11" t="b">
        <f t="shared" si="14"/>
        <v>0</v>
      </c>
    </row>
    <row r="833" spans="1:25" x14ac:dyDescent="0.35">
      <c r="A833" s="11">
        <v>2022</v>
      </c>
      <c r="B833" s="11" t="s">
        <v>1980</v>
      </c>
      <c r="C833" s="11" t="s">
        <v>1320</v>
      </c>
      <c r="D833" s="163">
        <v>110012254363</v>
      </c>
      <c r="E833" s="11" t="s">
        <v>686</v>
      </c>
      <c r="F833" s="11" t="s">
        <v>304</v>
      </c>
      <c r="G833" s="11" t="s">
        <v>779</v>
      </c>
      <c r="H833" s="11" t="s">
        <v>91</v>
      </c>
      <c r="I833" s="11" t="s">
        <v>1982</v>
      </c>
      <c r="J833" s="11">
        <v>30.563776000000001</v>
      </c>
      <c r="K833" s="11">
        <v>-91.212565999999995</v>
      </c>
      <c r="L833" s="11">
        <v>4491</v>
      </c>
      <c r="M833" s="11">
        <v>4491</v>
      </c>
      <c r="N833" s="175" t="str">
        <f>VLOOKUP(M833, '2017 SIC to NAICS'!A:D, 2)</f>
        <v>Marine Cargo Handling</v>
      </c>
      <c r="P833" s="187" t="str">
        <f>VLOOKUP(M833, '2017 SIC to NAICS'!A:D, 4)</f>
        <v>Marine Cargo Handling</v>
      </c>
      <c r="Q833" s="176" t="e">
        <f>IFERROR(VLOOKUP(O833, 'NAICS OES crosswalk'!A:C, 3, FALSE), VLOOKUP(M833, 'NAICS OES crosswalk'!A:C, 3, FALSE))</f>
        <v>#N/A</v>
      </c>
      <c r="U833" s="190" t="s">
        <v>1322</v>
      </c>
      <c r="V833" s="11" t="s">
        <v>1321</v>
      </c>
      <c r="W833" s="11"/>
      <c r="X833" s="11">
        <v>6.3985425000000002E-6</v>
      </c>
      <c r="Y833" s="11" t="b">
        <f t="shared" si="14"/>
        <v>1</v>
      </c>
    </row>
    <row r="834" spans="1:25" x14ac:dyDescent="0.35">
      <c r="A834" s="11">
        <v>2022</v>
      </c>
      <c r="B834" s="11" t="s">
        <v>1980</v>
      </c>
      <c r="C834" s="11" t="s">
        <v>902</v>
      </c>
      <c r="D834" s="163">
        <v>110000484039</v>
      </c>
      <c r="E834" s="11" t="s">
        <v>554</v>
      </c>
      <c r="F834" s="11" t="s">
        <v>555</v>
      </c>
      <c r="G834" s="11" t="s">
        <v>903</v>
      </c>
      <c r="H834" s="11" t="s">
        <v>102</v>
      </c>
      <c r="I834" s="11" t="s">
        <v>1981</v>
      </c>
      <c r="J834" s="11">
        <v>37.318058999999998</v>
      </c>
      <c r="K834" s="11">
        <v>-122.09263199999999</v>
      </c>
      <c r="L834" s="11">
        <v>3241</v>
      </c>
      <c r="M834" s="11">
        <v>3241</v>
      </c>
      <c r="N834" s="175" t="str">
        <f>VLOOKUP(M834, '2017 SIC to NAICS'!A:D, 2)</f>
        <v>Cement, Hydraulic</v>
      </c>
      <c r="P834" s="187" t="str">
        <f>VLOOKUP(M834, '2017 SIC to NAICS'!A:D, 4)</f>
        <v>Cement Manufacturing</v>
      </c>
      <c r="Q834" s="176" t="e">
        <f>IFERROR(VLOOKUP(O834, 'NAICS OES crosswalk'!A:C, 3, FALSE), VLOOKUP(M834, 'NAICS OES crosswalk'!A:C, 3, FALSE))</f>
        <v>#N/A</v>
      </c>
      <c r="U834" s="188">
        <v>180500030406</v>
      </c>
      <c r="V834" s="11" t="s">
        <v>906</v>
      </c>
      <c r="W834" s="11"/>
      <c r="X834" s="11">
        <v>2.0888658000000001E-2</v>
      </c>
      <c r="Y834" s="11" t="b">
        <f t="shared" si="14"/>
        <v>0</v>
      </c>
    </row>
    <row r="835" spans="1:25" x14ac:dyDescent="0.35">
      <c r="A835" s="11">
        <v>2022</v>
      </c>
      <c r="B835" s="11" t="s">
        <v>1980</v>
      </c>
      <c r="C835" s="11" t="s">
        <v>1434</v>
      </c>
      <c r="D835" s="163">
        <v>110003614358</v>
      </c>
      <c r="E835" s="11" t="s">
        <v>520</v>
      </c>
      <c r="F835" s="11" t="s">
        <v>521</v>
      </c>
      <c r="G835" s="11" t="s">
        <v>1310</v>
      </c>
      <c r="H835" s="11" t="s">
        <v>181</v>
      </c>
      <c r="I835" s="11" t="s">
        <v>1982</v>
      </c>
      <c r="J835" s="11">
        <v>42.606527</v>
      </c>
      <c r="K835" s="11">
        <v>-83.921477999999993</v>
      </c>
      <c r="L835" s="11">
        <v>4959</v>
      </c>
      <c r="M835" s="11">
        <v>4959</v>
      </c>
      <c r="N835" s="175" t="str">
        <f>VLOOKUP(M835, '2017 SIC to NAICS'!A:D, 2)</f>
        <v>Sanitary Services, Nec</v>
      </c>
      <c r="O835" s="11">
        <v>562910</v>
      </c>
      <c r="P835" s="187" t="str">
        <f>VLOOKUP(M835, '2017 SIC to NAICS'!A:D, 4)</f>
        <v>All Other Miscellaneous Waste
Management Services</v>
      </c>
      <c r="Q835" s="176" t="e">
        <f>IFERROR(VLOOKUP(O835, 'NAICS OES crosswalk'!A:C, 3, FALSE), VLOOKUP(M835, 'NAICS OES crosswalk'!A:C, 3, FALSE))</f>
        <v>#N/A</v>
      </c>
      <c r="U835" s="190" t="s">
        <v>1437</v>
      </c>
      <c r="V835" s="11" t="s">
        <v>1435</v>
      </c>
      <c r="W835" s="11"/>
      <c r="X835" s="11">
        <v>1.6375802500000002E-2</v>
      </c>
      <c r="Y835" s="11" t="b">
        <f t="shared" si="14"/>
        <v>0</v>
      </c>
    </row>
    <row r="836" spans="1:25" x14ac:dyDescent="0.35">
      <c r="A836" s="11">
        <v>2022</v>
      </c>
      <c r="B836" s="11" t="s">
        <v>1980</v>
      </c>
      <c r="C836" s="11" t="s">
        <v>1066</v>
      </c>
      <c r="D836" s="163">
        <v>110000400012</v>
      </c>
      <c r="E836" s="11" t="s">
        <v>580</v>
      </c>
      <c r="F836" s="11" t="s">
        <v>581</v>
      </c>
      <c r="G836" s="11" t="s">
        <v>1067</v>
      </c>
      <c r="H836" s="11" t="s">
        <v>151</v>
      </c>
      <c r="I836" s="11" t="s">
        <v>1982</v>
      </c>
      <c r="J836" s="11">
        <v>40.86168</v>
      </c>
      <c r="K836" s="11">
        <v>-85.599149999999995</v>
      </c>
      <c r="L836" s="11">
        <v>3714</v>
      </c>
      <c r="M836" s="11">
        <v>3714</v>
      </c>
      <c r="N836" s="175" t="str">
        <f>VLOOKUP(M836, '2017 SIC to NAICS'!A:D, 2)</f>
        <v>Motor Vehicle Parts and Accessories</v>
      </c>
      <c r="P836" s="187" t="str">
        <f>VLOOKUP(M836, '2017 SIC to NAICS'!A:D, 4)</f>
        <v>Other Motor Vehicle Parts Manufacturing</v>
      </c>
      <c r="Q836" s="176" t="e">
        <f>IFERROR(VLOOKUP(O836, 'NAICS OES crosswalk'!A:C, 3, FALSE), VLOOKUP(M836, 'NAICS OES crosswalk'!A:C, 3, FALSE))</f>
        <v>#N/A</v>
      </c>
      <c r="U836" s="190" t="s">
        <v>1069</v>
      </c>
      <c r="V836" s="11" t="s">
        <v>1068</v>
      </c>
      <c r="W836" s="11"/>
      <c r="X836" s="11">
        <v>1.6350670099999999E-2</v>
      </c>
      <c r="Y836" s="11" t="b">
        <f t="shared" si="14"/>
        <v>0</v>
      </c>
    </row>
    <row r="837" spans="1:25" x14ac:dyDescent="0.35">
      <c r="A837" s="11">
        <v>2022</v>
      </c>
      <c r="B837" s="11" t="s">
        <v>1980</v>
      </c>
      <c r="C837" s="11" t="s">
        <v>1054</v>
      </c>
      <c r="D837" s="163">
        <v>110000433022</v>
      </c>
      <c r="E837" s="11" t="s">
        <v>407</v>
      </c>
      <c r="F837" s="11" t="s">
        <v>260</v>
      </c>
      <c r="G837" s="11" t="s">
        <v>795</v>
      </c>
      <c r="H837" s="11" t="s">
        <v>111</v>
      </c>
      <c r="I837" s="11" t="s">
        <v>1982</v>
      </c>
      <c r="J837" s="11">
        <v>41.305320000000002</v>
      </c>
      <c r="K837" s="11">
        <v>-88.561769999999996</v>
      </c>
      <c r="L837" s="11">
        <v>2821</v>
      </c>
      <c r="M837" s="11">
        <v>2821</v>
      </c>
      <c r="N837" s="175" t="str">
        <f>VLOOKUP(M837, '2017 SIC to NAICS'!A:D, 2)</f>
        <v>Plastics Materials and Resins</v>
      </c>
      <c r="P837" s="187" t="str">
        <f>VLOOKUP(M837, '2017 SIC to NAICS'!A:D, 4)</f>
        <v>Plastics Material and Resin Manufacturing</v>
      </c>
      <c r="Q837" s="176" t="str">
        <f>IFERROR(VLOOKUP(O837, 'NAICS OES crosswalk'!A:C, 3, FALSE), VLOOKUP(M837, 'NAICS OES crosswalk'!A:C, 3, FALSE))</f>
        <v>Processing as a reactant</v>
      </c>
      <c r="U837" s="190" t="s">
        <v>1056</v>
      </c>
      <c r="V837" s="11" t="s">
        <v>1055</v>
      </c>
      <c r="W837" s="11"/>
      <c r="X837" s="11">
        <v>0.10356875</v>
      </c>
      <c r="Y837" s="11" t="b">
        <f t="shared" si="14"/>
        <v>0</v>
      </c>
    </row>
    <row r="838" spans="1:25" x14ac:dyDescent="0.35">
      <c r="A838" s="11">
        <v>2022</v>
      </c>
      <c r="B838" s="11" t="s">
        <v>1980</v>
      </c>
      <c r="C838" s="11" t="s">
        <v>1706</v>
      </c>
      <c r="D838" s="163">
        <v>110035762822</v>
      </c>
      <c r="E838" s="11" t="s">
        <v>577</v>
      </c>
      <c r="F838" s="11" t="s">
        <v>578</v>
      </c>
      <c r="G838" s="11" t="s">
        <v>1707</v>
      </c>
      <c r="H838" s="11" t="s">
        <v>95</v>
      </c>
      <c r="I838" s="11" t="s">
        <v>1982</v>
      </c>
      <c r="J838" s="11">
        <v>30.265280000000001</v>
      </c>
      <c r="K838" s="11">
        <v>-97.746499999999997</v>
      </c>
      <c r="L838" s="11">
        <v>6513</v>
      </c>
      <c r="M838" s="11">
        <v>6513</v>
      </c>
      <c r="N838" s="175" t="str">
        <f>VLOOKUP(M838, '2017 SIC to NAICS'!A:D, 2)</f>
        <v>Apartment Building Operators</v>
      </c>
      <c r="P838" s="187" t="str">
        <f>VLOOKUP(M838, '2017 SIC to NAICS'!A:D, 4)</f>
        <v>Lessors of Residential Buildings and
Dwellings</v>
      </c>
      <c r="Q838" s="176" t="e">
        <f>IFERROR(VLOOKUP(O838, 'NAICS OES crosswalk'!A:C, 3, FALSE), VLOOKUP(M838, 'NAICS OES crosswalk'!A:C, 3, FALSE))</f>
        <v>#N/A</v>
      </c>
      <c r="U838" s="188">
        <v>120902050306</v>
      </c>
      <c r="V838" s="11" t="s">
        <v>1708</v>
      </c>
      <c r="W838" s="11"/>
      <c r="X838" s="11">
        <v>1.5675206569999999E-2</v>
      </c>
      <c r="Y838" s="11" t="b">
        <f t="shared" si="14"/>
        <v>0</v>
      </c>
    </row>
    <row r="839" spans="1:25" ht="29" x14ac:dyDescent="0.35">
      <c r="A839" s="11">
        <v>2022</v>
      </c>
      <c r="B839" s="11" t="s">
        <v>1980</v>
      </c>
      <c r="C839" s="11" t="s">
        <v>1403</v>
      </c>
      <c r="D839" s="163">
        <v>110034151450</v>
      </c>
      <c r="E839" s="11" t="s">
        <v>584</v>
      </c>
      <c r="F839" s="11" t="s">
        <v>585</v>
      </c>
      <c r="G839" s="11" t="s">
        <v>1372</v>
      </c>
      <c r="H839" s="11" t="s">
        <v>181</v>
      </c>
      <c r="I839" s="11" t="s">
        <v>1982</v>
      </c>
      <c r="J839" s="11">
        <v>42.665671000000003</v>
      </c>
      <c r="K839" s="11">
        <v>-85.290707999999995</v>
      </c>
      <c r="L839" s="11">
        <v>4953</v>
      </c>
      <c r="M839" s="11">
        <v>4953</v>
      </c>
      <c r="N839" s="175" t="str">
        <f>VLOOKUP(M839, '2017 SIC to NAICS'!A:D, 2)</f>
        <v>Refuse Systems</v>
      </c>
      <c r="O839" s="11">
        <v>562212</v>
      </c>
      <c r="P839" s="187" t="str">
        <f>VLOOKUP(M839, '2017 SIC to NAICS'!A:D, 4)</f>
        <v>Materials Recovery Facilities</v>
      </c>
      <c r="Q839" s="176" t="str">
        <f>IFERROR(VLOOKUP(O839, 'NAICS OES crosswalk'!A:C, 3, FALSE), VLOOKUP(M839, 'NAICS OES crosswalk'!A:C, 3, FALSE))</f>
        <v>Waste handling, disposal, and treatment</v>
      </c>
      <c r="U839" s="190" t="s">
        <v>1405</v>
      </c>
      <c r="V839" s="11" t="s">
        <v>1404</v>
      </c>
      <c r="W839" s="11"/>
      <c r="X839" s="11">
        <v>1.54144125E-2</v>
      </c>
      <c r="Y839" s="11" t="b">
        <f t="shared" si="14"/>
        <v>0</v>
      </c>
    </row>
    <row r="840" spans="1:25" x14ac:dyDescent="0.35">
      <c r="A840" s="11">
        <v>2022</v>
      </c>
      <c r="B840" s="11" t="s">
        <v>1980</v>
      </c>
      <c r="C840" s="11" t="s">
        <v>800</v>
      </c>
      <c r="D840" s="163">
        <v>110005812371</v>
      </c>
      <c r="E840" s="11" t="s">
        <v>353</v>
      </c>
      <c r="F840" s="11" t="s">
        <v>354</v>
      </c>
      <c r="G840" s="11" t="s">
        <v>801</v>
      </c>
      <c r="H840" s="11" t="s">
        <v>111</v>
      </c>
      <c r="I840" s="11" t="s">
        <v>1982</v>
      </c>
      <c r="J840" s="11">
        <v>42.304209</v>
      </c>
      <c r="K840" s="11">
        <v>-89.055548999999999</v>
      </c>
      <c r="L840" s="11">
        <v>3728</v>
      </c>
      <c r="M840" s="11">
        <v>3728</v>
      </c>
      <c r="N840" s="175" t="str">
        <f>VLOOKUP(M840, '2017 SIC to NAICS'!A:D, 2)</f>
        <v>Aircraft Parts and Auxiliary Equipment, NEC (research and development not
producing prototypes)</v>
      </c>
      <c r="P840" s="187" t="str">
        <f>VLOOKUP(M840, '2017 SIC to NAICS'!A:D, 4)</f>
        <v>Research and Development in Nanotechnology</v>
      </c>
      <c r="Q840" s="176" t="e">
        <f>IFERROR(VLOOKUP(O840, 'NAICS OES crosswalk'!A:C, 3, FALSE), VLOOKUP(M840, 'NAICS OES crosswalk'!A:C, 3, FALSE))</f>
        <v>#N/A</v>
      </c>
      <c r="U840" s="190" t="s">
        <v>1039</v>
      </c>
      <c r="V840" s="11" t="s">
        <v>802</v>
      </c>
      <c r="W840" s="11"/>
      <c r="X840" s="189">
        <v>1.50306135E-2</v>
      </c>
      <c r="Y840" s="11" t="b">
        <f t="shared" si="14"/>
        <v>0</v>
      </c>
    </row>
    <row r="841" spans="1:25" x14ac:dyDescent="0.35">
      <c r="A841" s="11">
        <v>2022</v>
      </c>
      <c r="B841" s="11" t="s">
        <v>1980</v>
      </c>
      <c r="C841" s="11" t="s">
        <v>1504</v>
      </c>
      <c r="D841" s="163">
        <v>110070210457</v>
      </c>
      <c r="E841" s="11" t="s">
        <v>650</v>
      </c>
      <c r="F841" s="11" t="s">
        <v>651</v>
      </c>
      <c r="G841" s="11" t="s">
        <v>1492</v>
      </c>
      <c r="H841" s="11" t="s">
        <v>254</v>
      </c>
      <c r="I841" s="11" t="s">
        <v>1982</v>
      </c>
      <c r="J841" s="11">
        <v>39.827696000000003</v>
      </c>
      <c r="K841" s="11">
        <v>-75.277782000000002</v>
      </c>
      <c r="L841" s="11">
        <v>2869</v>
      </c>
      <c r="M841" s="11">
        <v>2869</v>
      </c>
      <c r="N841" s="175" t="str">
        <f>VLOOKUP(M841, '2017 SIC to NAICS'!A:D, 2)</f>
        <v>Industrial Organic Chemicals, Nec</v>
      </c>
      <c r="P841" s="187" t="str">
        <f>VLOOKUP(M841, '2017 SIC to NAICS'!A:D, 4)</f>
        <v>All Other Miscellaneous Chemical Product and Preparation Manufacturing</v>
      </c>
      <c r="Q841" s="176" t="str">
        <f>IFERROR(VLOOKUP(O841, 'NAICS OES crosswalk'!A:C, 3, FALSE), VLOOKUP(M841, 'NAICS OES crosswalk'!A:C, 3, FALSE))</f>
        <v>Manufacturing</v>
      </c>
      <c r="U841" s="190" t="s">
        <v>1500</v>
      </c>
      <c r="V841" s="11" t="s">
        <v>1498</v>
      </c>
      <c r="W841" s="11"/>
      <c r="X841" s="11">
        <v>3.3072043099999998E-3</v>
      </c>
      <c r="Y841" s="11" t="b">
        <f t="shared" si="14"/>
        <v>0</v>
      </c>
    </row>
    <row r="842" spans="1:25" x14ac:dyDescent="0.35">
      <c r="A842" s="11">
        <v>2022</v>
      </c>
      <c r="B842" s="11" t="s">
        <v>1980</v>
      </c>
      <c r="C842" s="11" t="s">
        <v>1506</v>
      </c>
      <c r="D842" s="163">
        <v>110009721836</v>
      </c>
      <c r="E842" s="11" t="s">
        <v>568</v>
      </c>
      <c r="F842" s="11" t="s">
        <v>300</v>
      </c>
      <c r="G842" s="11" t="s">
        <v>1492</v>
      </c>
      <c r="H842" s="11" t="s">
        <v>254</v>
      </c>
      <c r="I842" s="11" t="s">
        <v>1982</v>
      </c>
      <c r="J842" s="11">
        <v>39.799250000000001</v>
      </c>
      <c r="K842" s="11">
        <v>-75.33296</v>
      </c>
      <c r="L842" s="11">
        <v>4213</v>
      </c>
      <c r="M842" s="11">
        <v>4213</v>
      </c>
      <c r="N842" s="175" t="str">
        <f>VLOOKUP(M842, '2017 SIC to NAICS'!A:D, 2)</f>
        <v>Trucking, Except Local</v>
      </c>
      <c r="O842" s="11">
        <v>484230</v>
      </c>
      <c r="P842" s="187" t="str">
        <f>VLOOKUP(M842, '2017 SIC to NAICS'!A:D, 4)</f>
        <v>Specialized Freight (except Used Goods)
Trucking, Long-Distance</v>
      </c>
      <c r="Q842" s="176" t="e">
        <f>IFERROR(VLOOKUP(O842, 'NAICS OES crosswalk'!A:C, 3, FALSE), VLOOKUP(M842, 'NAICS OES crosswalk'!A:C, 3, FALSE))</f>
        <v>#N/A</v>
      </c>
      <c r="U842" s="190" t="s">
        <v>1508</v>
      </c>
      <c r="V842" s="11" t="s">
        <v>1507</v>
      </c>
      <c r="W842" s="11"/>
      <c r="X842" s="11">
        <v>1.47777715636E-2</v>
      </c>
      <c r="Y842" s="11" t="b">
        <f t="shared" si="14"/>
        <v>0</v>
      </c>
    </row>
    <row r="843" spans="1:25" x14ac:dyDescent="0.35">
      <c r="A843" s="11">
        <v>2022</v>
      </c>
      <c r="B843" s="11" t="s">
        <v>1980</v>
      </c>
      <c r="C843" s="11" t="s">
        <v>1740</v>
      </c>
      <c r="D843" s="163">
        <v>110070884188</v>
      </c>
      <c r="E843" s="11" t="s">
        <v>579</v>
      </c>
      <c r="F843" s="11" t="s">
        <v>275</v>
      </c>
      <c r="G843" s="11" t="s">
        <v>1718</v>
      </c>
      <c r="H843" s="11" t="s">
        <v>276</v>
      </c>
      <c r="I843" s="11" t="s">
        <v>1982</v>
      </c>
      <c r="J843" s="11">
        <v>38.8568</v>
      </c>
      <c r="K843" s="11">
        <v>-77.049700000000001</v>
      </c>
      <c r="L843" s="11">
        <v>1794</v>
      </c>
      <c r="M843" s="11">
        <v>1794</v>
      </c>
      <c r="N843" s="175" t="str">
        <f>VLOOKUP(M843, '2017 SIC to NAICS'!A:D, 2)</f>
        <v>Excavation Work</v>
      </c>
      <c r="P843" s="187" t="str">
        <f>VLOOKUP(M843, '2017 SIC to NAICS'!A:D, 4)</f>
        <v>Site Preparation Contractors</v>
      </c>
      <c r="Q843" s="176" t="e">
        <f>IFERROR(VLOOKUP(O843, 'NAICS OES crosswalk'!A:C, 3, FALSE), VLOOKUP(M843, 'NAICS OES crosswalk'!A:C, 3, FALSE))</f>
        <v>#N/A</v>
      </c>
      <c r="U843" s="190" t="s">
        <v>1741</v>
      </c>
      <c r="V843" s="11" t="s">
        <v>1727</v>
      </c>
      <c r="W843" s="11"/>
      <c r="X843" s="11">
        <v>1.4470812E-2</v>
      </c>
      <c r="Y843" s="11" t="b">
        <f t="shared" si="14"/>
        <v>0</v>
      </c>
    </row>
    <row r="844" spans="1:25" x14ac:dyDescent="0.35">
      <c r="A844" s="11">
        <v>2022</v>
      </c>
      <c r="B844" s="11" t="s">
        <v>1980</v>
      </c>
      <c r="C844" s="11" t="s">
        <v>1754</v>
      </c>
      <c r="D844" s="163">
        <v>110071181280</v>
      </c>
      <c r="E844" s="11" t="s">
        <v>602</v>
      </c>
      <c r="F844" s="11" t="s">
        <v>396</v>
      </c>
      <c r="G844" s="11" t="s">
        <v>1733</v>
      </c>
      <c r="H844" s="11" t="s">
        <v>276</v>
      </c>
      <c r="I844" s="11" t="s">
        <v>1982</v>
      </c>
      <c r="J844" s="11">
        <v>38.818069999999999</v>
      </c>
      <c r="K844" s="11">
        <v>-77.049329999999998</v>
      </c>
      <c r="L844" s="11">
        <v>1794</v>
      </c>
      <c r="M844" s="11">
        <v>1794</v>
      </c>
      <c r="N844" s="175" t="str">
        <f>VLOOKUP(M844, '2017 SIC to NAICS'!A:D, 2)</f>
        <v>Excavation Work</v>
      </c>
      <c r="P844" s="187" t="str">
        <f>VLOOKUP(M844, '2017 SIC to NAICS'!A:D, 4)</f>
        <v>Site Preparation Contractors</v>
      </c>
      <c r="Q844" s="176" t="e">
        <f>IFERROR(VLOOKUP(O844, 'NAICS OES crosswalk'!A:C, 3, FALSE), VLOOKUP(M844, 'NAICS OES crosswalk'!A:C, 3, FALSE))</f>
        <v>#N/A</v>
      </c>
      <c r="U844" s="190" t="s">
        <v>1755</v>
      </c>
      <c r="V844" s="11" t="s">
        <v>1730</v>
      </c>
      <c r="W844" s="11"/>
      <c r="X844" s="11">
        <v>1.2488039750000001E-2</v>
      </c>
      <c r="Y844" s="11" t="b">
        <f t="shared" si="14"/>
        <v>0</v>
      </c>
    </row>
    <row r="845" spans="1:25" x14ac:dyDescent="0.35">
      <c r="A845" s="11">
        <v>2022</v>
      </c>
      <c r="B845" s="11" t="s">
        <v>1980</v>
      </c>
      <c r="C845" s="11" t="s">
        <v>1565</v>
      </c>
      <c r="D845" s="163">
        <v>110000734661</v>
      </c>
      <c r="E845" s="11" t="s">
        <v>516</v>
      </c>
      <c r="F845" s="11" t="s">
        <v>517</v>
      </c>
      <c r="G845" s="11" t="s">
        <v>831</v>
      </c>
      <c r="H845" s="11" t="s">
        <v>126</v>
      </c>
      <c r="I845" s="11" t="s">
        <v>1981</v>
      </c>
      <c r="J845" s="11">
        <v>43.047975999999998</v>
      </c>
      <c r="K845" s="11">
        <v>-78.859217000000001</v>
      </c>
      <c r="L845" s="11">
        <v>9511</v>
      </c>
      <c r="M845" s="11">
        <v>9511</v>
      </c>
      <c r="N845" s="175" t="str">
        <f>VLOOKUP(M845, '2017 SIC to NAICS'!A:D, 2)</f>
        <v>Air, Water, and Solid Waste Management</v>
      </c>
      <c r="P845" s="187" t="str">
        <f>VLOOKUP(M845, '2017 SIC to NAICS'!A:D, 4)</f>
        <v>Administration of Air and Water Resource
and Solid Waste Management Programs</v>
      </c>
      <c r="Q845" s="176" t="e">
        <f>IFERROR(VLOOKUP(O845, 'NAICS OES crosswalk'!A:C, 3, FALSE), VLOOKUP(M845, 'NAICS OES crosswalk'!A:C, 3, FALSE))</f>
        <v>#N/A</v>
      </c>
      <c r="U845" s="190" t="s">
        <v>1567</v>
      </c>
      <c r="V845" s="11" t="s">
        <v>1566</v>
      </c>
      <c r="W845" s="11"/>
      <c r="X845" s="11">
        <v>1.5323320040500001E-2</v>
      </c>
      <c r="Y845" s="11" t="b">
        <f t="shared" si="14"/>
        <v>0</v>
      </c>
    </row>
    <row r="846" spans="1:25" x14ac:dyDescent="0.35">
      <c r="A846" s="11">
        <v>2022</v>
      </c>
      <c r="B846" s="11" t="s">
        <v>1980</v>
      </c>
      <c r="C846" s="11" t="s">
        <v>1604</v>
      </c>
      <c r="D846" s="163">
        <v>110000487633</v>
      </c>
      <c r="E846" s="11" t="s">
        <v>599</v>
      </c>
      <c r="F846" s="11" t="s">
        <v>600</v>
      </c>
      <c r="G846" s="11" t="s">
        <v>1605</v>
      </c>
      <c r="H846" s="11" t="s">
        <v>601</v>
      </c>
      <c r="I846" s="11" t="s">
        <v>1982</v>
      </c>
      <c r="J846" s="11">
        <v>45.543847</v>
      </c>
      <c r="K846" s="11">
        <v>-122.46656299999999</v>
      </c>
      <c r="L846" s="11">
        <v>3728</v>
      </c>
      <c r="M846" s="11">
        <v>3728</v>
      </c>
      <c r="N846" s="175" t="str">
        <f>VLOOKUP(M846, '2017 SIC to NAICS'!A:D, 2)</f>
        <v>Aircraft Parts and Auxiliary Equipment, NEC (research and development not
producing prototypes)</v>
      </c>
      <c r="P846" s="187" t="str">
        <f>VLOOKUP(M846, '2017 SIC to NAICS'!A:D, 4)</f>
        <v>Research and Development in Nanotechnology</v>
      </c>
      <c r="Q846" s="176" t="e">
        <f>IFERROR(VLOOKUP(O846, 'NAICS OES crosswalk'!A:C, 3, FALSE), VLOOKUP(M846, 'NAICS OES crosswalk'!A:C, 3, FALSE))</f>
        <v>#N/A</v>
      </c>
      <c r="U846" s="188">
        <v>170900120201</v>
      </c>
      <c r="V846" s="11" t="s">
        <v>1606</v>
      </c>
      <c r="W846" s="11"/>
      <c r="X846" s="11">
        <v>1.23342552E-2</v>
      </c>
      <c r="Y846" s="11" t="b">
        <f t="shared" si="14"/>
        <v>0</v>
      </c>
    </row>
    <row r="847" spans="1:25" x14ac:dyDescent="0.35">
      <c r="A847" s="11">
        <v>2022</v>
      </c>
      <c r="B847" s="11" t="s">
        <v>1980</v>
      </c>
      <c r="C847" s="11" t="s">
        <v>763</v>
      </c>
      <c r="D847" s="163">
        <v>110018199377</v>
      </c>
      <c r="E847" s="11" t="s">
        <v>109</v>
      </c>
      <c r="F847" s="11" t="s">
        <v>110</v>
      </c>
      <c r="G847" s="11" t="s">
        <v>764</v>
      </c>
      <c r="H847" s="11" t="s">
        <v>111</v>
      </c>
      <c r="I847" s="11" t="s">
        <v>1982</v>
      </c>
      <c r="J847" s="11">
        <v>41.692782000000001</v>
      </c>
      <c r="K847" s="11">
        <v>-87.951100999999994</v>
      </c>
      <c r="L847" s="11">
        <v>4226</v>
      </c>
      <c r="M847" s="11">
        <v>4226</v>
      </c>
      <c r="N847" s="175" t="str">
        <f>VLOOKUP(M847, '2017 SIC to NAICS'!A:D, 2)</f>
        <v>Special Warehousing and Storage, Nec</v>
      </c>
      <c r="P847" s="187" t="str">
        <f>VLOOKUP(M847, '2017 SIC to NAICS'!A:D, 4)</f>
        <v>Other Warehousing and Storage</v>
      </c>
      <c r="Q847" s="176" t="e">
        <f>IFERROR(VLOOKUP(O847, 'NAICS OES crosswalk'!A:C, 3, FALSE), VLOOKUP(M847, 'NAICS OES crosswalk'!A:C, 3, FALSE))</f>
        <v>#N/A</v>
      </c>
      <c r="U847" s="190" t="s">
        <v>769</v>
      </c>
      <c r="V847" s="11" t="s">
        <v>767</v>
      </c>
      <c r="W847" s="11"/>
      <c r="X847" s="11">
        <v>1.2096859999999999E-2</v>
      </c>
      <c r="Y847" s="11" t="b">
        <f t="shared" si="14"/>
        <v>0</v>
      </c>
    </row>
    <row r="848" spans="1:25" x14ac:dyDescent="0.35">
      <c r="A848" s="11">
        <v>2022</v>
      </c>
      <c r="B848" s="11" t="s">
        <v>1980</v>
      </c>
      <c r="C848" s="11" t="s">
        <v>1388</v>
      </c>
      <c r="D848" s="163">
        <v>110001301074</v>
      </c>
      <c r="E848" s="11" t="s">
        <v>441</v>
      </c>
      <c r="F848" s="11" t="s">
        <v>357</v>
      </c>
      <c r="G848" s="11" t="s">
        <v>1389</v>
      </c>
      <c r="H848" s="11" t="s">
        <v>181</v>
      </c>
      <c r="I848" s="11" t="s">
        <v>1982</v>
      </c>
      <c r="J848" s="11">
        <v>44.260753000000001</v>
      </c>
      <c r="K848" s="11">
        <v>-85.408919999999995</v>
      </c>
      <c r="L848" s="11">
        <v>3635</v>
      </c>
      <c r="M848" s="11">
        <v>3635</v>
      </c>
      <c r="N848" s="175" t="str">
        <f>VLOOKUP(M848, '2017 SIC to NAICS'!A:D, 2)</f>
        <v>Household Vacuum Cleaners</v>
      </c>
      <c r="O848" s="11">
        <v>335210</v>
      </c>
      <c r="P848" s="187" t="str">
        <f>VLOOKUP(M848, '2017 SIC to NAICS'!A:D, 4)</f>
        <v>Small Electrical Appliance Manufacturing</v>
      </c>
      <c r="Q848" s="176" t="e">
        <f>IFERROR(VLOOKUP(O848, 'NAICS OES crosswalk'!A:C, 3, FALSE), VLOOKUP(M848, 'NAICS OES crosswalk'!A:C, 3, FALSE))</f>
        <v>#N/A</v>
      </c>
      <c r="U848" s="190" t="s">
        <v>1391</v>
      </c>
      <c r="V848" s="11" t="s">
        <v>1390</v>
      </c>
      <c r="W848" s="11"/>
      <c r="X848" s="11">
        <v>1.2085505E-2</v>
      </c>
      <c r="Y848" s="11" t="b">
        <f t="shared" si="14"/>
        <v>0</v>
      </c>
    </row>
    <row r="849" spans="1:25" x14ac:dyDescent="0.35">
      <c r="A849" s="11">
        <v>2022</v>
      </c>
      <c r="B849" s="11" t="s">
        <v>1980</v>
      </c>
      <c r="C849" s="11" t="s">
        <v>876</v>
      </c>
      <c r="D849" s="163">
        <v>110000452082</v>
      </c>
      <c r="E849" s="11" t="s">
        <v>488</v>
      </c>
      <c r="F849" s="11" t="s">
        <v>489</v>
      </c>
      <c r="G849" s="11" t="s">
        <v>877</v>
      </c>
      <c r="H849" s="11" t="s">
        <v>202</v>
      </c>
      <c r="I849" s="11" t="s">
        <v>1981</v>
      </c>
      <c r="J849" s="11">
        <v>35.136057000000001</v>
      </c>
      <c r="K849" s="11">
        <v>-90.096892999999994</v>
      </c>
      <c r="L849" s="11">
        <v>2869</v>
      </c>
      <c r="M849" s="11">
        <v>2869</v>
      </c>
      <c r="N849" s="175" t="str">
        <f>VLOOKUP(M849, '2017 SIC to NAICS'!A:D, 2)</f>
        <v>Industrial Organic Chemicals, Nec</v>
      </c>
      <c r="O849" s="11">
        <v>325199</v>
      </c>
      <c r="P849" s="187" t="str">
        <f>VLOOKUP(M849, '2017 SIC to NAICS'!A:D, 4)</f>
        <v>All Other Miscellaneous Chemical Product and Preparation Manufacturing</v>
      </c>
      <c r="Q849" s="176" t="str">
        <f>IFERROR(VLOOKUP(O849, 'NAICS OES crosswalk'!A:C, 3, FALSE), VLOOKUP(M849, 'NAICS OES crosswalk'!A:C, 3, FALSE))</f>
        <v>Manufacturing</v>
      </c>
      <c r="U849" s="190" t="s">
        <v>880</v>
      </c>
      <c r="V849" s="11" t="s">
        <v>878</v>
      </c>
      <c r="W849" s="11"/>
      <c r="X849" s="11">
        <v>1.2053700000000001E-2</v>
      </c>
      <c r="Y849" s="11" t="b">
        <f t="shared" si="14"/>
        <v>0</v>
      </c>
    </row>
    <row r="850" spans="1:25" x14ac:dyDescent="0.35">
      <c r="A850" s="11">
        <v>2022</v>
      </c>
      <c r="B850" s="11" t="s">
        <v>1980</v>
      </c>
      <c r="C850" s="11" t="s">
        <v>1426</v>
      </c>
      <c r="D850" s="163">
        <v>110016695272</v>
      </c>
      <c r="E850" s="11" t="s">
        <v>597</v>
      </c>
      <c r="F850" s="11" t="s">
        <v>598</v>
      </c>
      <c r="G850" s="11" t="s">
        <v>1310</v>
      </c>
      <c r="H850" s="11" t="s">
        <v>181</v>
      </c>
      <c r="I850" s="11" t="s">
        <v>1982</v>
      </c>
      <c r="J850" s="11">
        <v>42.456085000000002</v>
      </c>
      <c r="K850" s="11">
        <v>-84.084230000000005</v>
      </c>
      <c r="L850" s="11">
        <v>9511</v>
      </c>
      <c r="M850" s="11">
        <v>9511</v>
      </c>
      <c r="N850" s="175" t="str">
        <f>VLOOKUP(M850, '2017 SIC to NAICS'!A:D, 2)</f>
        <v>Air, Water, and Solid Waste Management</v>
      </c>
      <c r="O850" s="11">
        <v>924110</v>
      </c>
      <c r="P850" s="187" t="str">
        <f>VLOOKUP(M850, '2017 SIC to NAICS'!A:D, 4)</f>
        <v>Administration of Air and Water Resource
and Solid Waste Management Programs</v>
      </c>
      <c r="Q850" s="176" t="e">
        <f>IFERROR(VLOOKUP(O850, 'NAICS OES crosswalk'!A:C, 3, FALSE), VLOOKUP(M850, 'NAICS OES crosswalk'!A:C, 3, FALSE))</f>
        <v>#N/A</v>
      </c>
      <c r="U850" s="190" t="s">
        <v>1429</v>
      </c>
      <c r="V850" s="11" t="s">
        <v>1427</v>
      </c>
      <c r="W850" s="11"/>
      <c r="X850" s="11">
        <v>1.182150125E-2</v>
      </c>
      <c r="Y850" s="11" t="b">
        <f t="shared" si="14"/>
        <v>0</v>
      </c>
    </row>
    <row r="851" spans="1:25" x14ac:dyDescent="0.35">
      <c r="A851" s="11">
        <v>2022</v>
      </c>
      <c r="B851" s="11" t="s">
        <v>1980</v>
      </c>
      <c r="C851" s="11" t="s">
        <v>1430</v>
      </c>
      <c r="D851" s="163">
        <v>110000409406</v>
      </c>
      <c r="E851" s="11" t="s">
        <v>603</v>
      </c>
      <c r="F851" s="11" t="s">
        <v>604</v>
      </c>
      <c r="G851" s="11" t="s">
        <v>1401</v>
      </c>
      <c r="H851" s="11" t="s">
        <v>181</v>
      </c>
      <c r="I851" s="11" t="s">
        <v>1982</v>
      </c>
      <c r="J851" s="11">
        <v>42.04945</v>
      </c>
      <c r="K851" s="11">
        <v>-86.511949999999999</v>
      </c>
      <c r="L851" s="11">
        <v>3321</v>
      </c>
      <c r="M851" s="11">
        <v>3321</v>
      </c>
      <c r="N851" s="175" t="str">
        <f>VLOOKUP(M851, '2017 SIC to NAICS'!A:D, 2)</f>
        <v>Gray and Ductile Iron Foundries</v>
      </c>
      <c r="O851" s="11">
        <v>336340</v>
      </c>
      <c r="P851" s="187" t="str">
        <f>VLOOKUP(M851, '2017 SIC to NAICS'!A:D, 4)</f>
        <v>Iron Foundries</v>
      </c>
      <c r="Q851" s="176" t="e">
        <f>IFERROR(VLOOKUP(O851, 'NAICS OES crosswalk'!A:C, 3, FALSE), VLOOKUP(M851, 'NAICS OES crosswalk'!A:C, 3, FALSE))</f>
        <v>#N/A</v>
      </c>
      <c r="U851" s="190" t="s">
        <v>1433</v>
      </c>
      <c r="V851" s="11" t="s">
        <v>1431</v>
      </c>
      <c r="W851" s="11"/>
      <c r="X851" s="11">
        <v>1.0509016542499999E-2</v>
      </c>
      <c r="Y851" s="11" t="b">
        <f t="shared" si="14"/>
        <v>0</v>
      </c>
    </row>
    <row r="852" spans="1:25" x14ac:dyDescent="0.35">
      <c r="A852" s="11">
        <v>2022</v>
      </c>
      <c r="B852" s="11" t="s">
        <v>1980</v>
      </c>
      <c r="C852" s="11" t="s">
        <v>1559</v>
      </c>
      <c r="D852" s="163">
        <v>110037274133</v>
      </c>
      <c r="E852" s="11" t="s">
        <v>657</v>
      </c>
      <c r="F852" s="11" t="s">
        <v>337</v>
      </c>
      <c r="G852" s="11" t="s">
        <v>823</v>
      </c>
      <c r="H852" s="11" t="s">
        <v>221</v>
      </c>
      <c r="I852" s="11" t="s">
        <v>1982</v>
      </c>
      <c r="J852" s="11">
        <v>36.119079999999997</v>
      </c>
      <c r="K852" s="11">
        <v>-115.15727</v>
      </c>
      <c r="L852" s="11">
        <v>6512</v>
      </c>
      <c r="M852" s="11">
        <v>6512</v>
      </c>
      <c r="N852" s="175" t="str">
        <f>VLOOKUP(M852, '2017 SIC to NAICS'!A:D, 2)</f>
        <v>Nonresidential Building Operators</v>
      </c>
      <c r="O852" s="11">
        <v>531210</v>
      </c>
      <c r="P852" s="187" t="str">
        <f>VLOOKUP(M852, '2017 SIC to NAICS'!A:D, 4)</f>
        <v>Promoters of Performing Arts, Sports, and
Similar Events with Facilities</v>
      </c>
      <c r="Q852" s="176" t="e">
        <f>IFERROR(VLOOKUP(O852, 'NAICS OES crosswalk'!A:C, 3, FALSE), VLOOKUP(M852, 'NAICS OES crosswalk'!A:C, 3, FALSE))</f>
        <v>#N/A</v>
      </c>
      <c r="U852" s="188">
        <v>150100150505</v>
      </c>
      <c r="V852" s="11" t="s">
        <v>825</v>
      </c>
      <c r="W852" s="11"/>
      <c r="X852" s="11">
        <v>1.3815250000000001E-6</v>
      </c>
      <c r="Y852" s="11" t="b">
        <f t="shared" si="14"/>
        <v>1</v>
      </c>
    </row>
    <row r="853" spans="1:25" x14ac:dyDescent="0.35">
      <c r="A853" s="11">
        <v>2022</v>
      </c>
      <c r="B853" s="11" t="s">
        <v>1980</v>
      </c>
      <c r="C853" s="11" t="s">
        <v>864</v>
      </c>
      <c r="D853" s="163">
        <v>110007915505</v>
      </c>
      <c r="E853" s="11" t="s">
        <v>543</v>
      </c>
      <c r="F853" s="11" t="s">
        <v>544</v>
      </c>
      <c r="G853" s="11" t="s">
        <v>865</v>
      </c>
      <c r="H853" s="11" t="s">
        <v>545</v>
      </c>
      <c r="I853" s="11" t="s">
        <v>1982</v>
      </c>
      <c r="J853" s="11">
        <v>33.917197000000002</v>
      </c>
      <c r="K853" s="11">
        <v>-88.101809000000003</v>
      </c>
      <c r="L853" s="11">
        <v>3537</v>
      </c>
      <c r="M853" s="11">
        <v>3537</v>
      </c>
      <c r="N853" s="175" t="str">
        <f>VLOOKUP(M853, '2017 SIC to NAICS'!A:D, 2)</f>
        <v>Industrial Trucks and Tractors</v>
      </c>
      <c r="O853" s="11">
        <v>333924</v>
      </c>
      <c r="P853" s="187" t="str">
        <f>VLOOKUP(M853, '2017 SIC to NAICS'!A:D, 4)</f>
        <v>Industrial Truck, Tractor, Trailer, and
Stacker Machinery Manufacturing</v>
      </c>
      <c r="Q853" s="176" t="e">
        <f>IFERROR(VLOOKUP(O853, 'NAICS OES crosswalk'!A:C, 3, FALSE), VLOOKUP(M853, 'NAICS OES crosswalk'!A:C, 3, FALSE))</f>
        <v>#N/A</v>
      </c>
      <c r="U853" s="190" t="s">
        <v>869</v>
      </c>
      <c r="V853" s="11" t="s">
        <v>868</v>
      </c>
      <c r="W853" s="11"/>
      <c r="X853" s="191">
        <v>1.3312189090908999E-2</v>
      </c>
      <c r="Y853" s="11" t="b">
        <f t="shared" si="14"/>
        <v>0</v>
      </c>
    </row>
    <row r="854" spans="1:25" x14ac:dyDescent="0.35">
      <c r="A854" s="11">
        <v>2022</v>
      </c>
      <c r="B854" s="11" t="s">
        <v>1980</v>
      </c>
      <c r="C854" s="11" t="s">
        <v>1317</v>
      </c>
      <c r="D854" s="163">
        <v>110000846602</v>
      </c>
      <c r="E854" s="11" t="s">
        <v>611</v>
      </c>
      <c r="F854" s="11" t="s">
        <v>612</v>
      </c>
      <c r="G854" s="11" t="s">
        <v>612</v>
      </c>
      <c r="H854" s="11" t="s">
        <v>91</v>
      </c>
      <c r="I854" s="11" t="s">
        <v>1982</v>
      </c>
      <c r="J854" s="11">
        <v>30.27083</v>
      </c>
      <c r="K854" s="11">
        <v>-92.037279999999996</v>
      </c>
      <c r="L854" s="11">
        <v>2821</v>
      </c>
      <c r="M854" s="11">
        <v>2821</v>
      </c>
      <c r="N854" s="175" t="str">
        <f>VLOOKUP(M854, '2017 SIC to NAICS'!A:D, 2)</f>
        <v>Plastics Materials and Resins</v>
      </c>
      <c r="P854" s="187" t="str">
        <f>VLOOKUP(M854, '2017 SIC to NAICS'!A:D, 4)</f>
        <v>Plastics Material and Resin Manufacturing</v>
      </c>
      <c r="Q854" s="176" t="str">
        <f>IFERROR(VLOOKUP(O854, 'NAICS OES crosswalk'!A:C, 3, FALSE), VLOOKUP(M854, 'NAICS OES crosswalk'!A:C, 3, FALSE))</f>
        <v>Processing as a reactant</v>
      </c>
      <c r="U854" s="190" t="s">
        <v>1319</v>
      </c>
      <c r="V854" s="11" t="s">
        <v>1318</v>
      </c>
      <c r="W854" s="11"/>
      <c r="X854" s="11">
        <v>9.5877835000000005E-3</v>
      </c>
      <c r="Y854" s="11" t="b">
        <f t="shared" si="14"/>
        <v>0</v>
      </c>
    </row>
    <row r="855" spans="1:25" x14ac:dyDescent="0.35">
      <c r="A855" s="11">
        <v>2022</v>
      </c>
      <c r="B855" s="11" t="s">
        <v>1980</v>
      </c>
      <c r="C855" s="11" t="s">
        <v>752</v>
      </c>
      <c r="D855" s="163">
        <v>110000749021</v>
      </c>
      <c r="E855" s="11" t="s">
        <v>530</v>
      </c>
      <c r="F855" s="11" t="s">
        <v>531</v>
      </c>
      <c r="G855" s="11" t="s">
        <v>753</v>
      </c>
      <c r="H855" s="11" t="s">
        <v>276</v>
      </c>
      <c r="I855" s="11" t="s">
        <v>1982</v>
      </c>
      <c r="J855" s="11">
        <v>38.748759999999997</v>
      </c>
      <c r="K855" s="11">
        <v>-77.511420000000001</v>
      </c>
      <c r="L855" s="11">
        <v>4959</v>
      </c>
      <c r="M855" s="11">
        <v>4959</v>
      </c>
      <c r="N855" s="175" t="str">
        <f>VLOOKUP(M855, '2017 SIC to NAICS'!A:D, 2)</f>
        <v>Sanitary Services, Nec</v>
      </c>
      <c r="O855" s="11">
        <v>562910</v>
      </c>
      <c r="P855" s="187" t="str">
        <f>VLOOKUP(M855, '2017 SIC to NAICS'!A:D, 4)</f>
        <v>All Other Miscellaneous Waste
Management Services</v>
      </c>
      <c r="Q855" s="176" t="e">
        <f>IFERROR(VLOOKUP(O855, 'NAICS OES crosswalk'!A:C, 3, FALSE), VLOOKUP(M855, 'NAICS OES crosswalk'!A:C, 3, FALSE))</f>
        <v>#N/A</v>
      </c>
      <c r="U855" s="190" t="s">
        <v>758</v>
      </c>
      <c r="V855" s="11" t="s">
        <v>756</v>
      </c>
      <c r="W855" s="11"/>
      <c r="X855" s="11">
        <v>2.3997656999999999E-2</v>
      </c>
      <c r="Y855" s="11" t="b">
        <f t="shared" si="14"/>
        <v>0</v>
      </c>
    </row>
    <row r="856" spans="1:25" x14ac:dyDescent="0.35">
      <c r="A856" s="11">
        <v>2022</v>
      </c>
      <c r="B856" s="11" t="s">
        <v>1980</v>
      </c>
      <c r="C856" s="11" t="s">
        <v>988</v>
      </c>
      <c r="D856" s="163">
        <v>110070162955</v>
      </c>
      <c r="E856" s="11" t="s">
        <v>622</v>
      </c>
      <c r="F856" s="11" t="s">
        <v>623</v>
      </c>
      <c r="G856" s="11" t="s">
        <v>623</v>
      </c>
      <c r="H856" s="11" t="s">
        <v>492</v>
      </c>
      <c r="I856" s="11" t="s">
        <v>1982</v>
      </c>
      <c r="J856" s="11">
        <v>39.781474000000003</v>
      </c>
      <c r="K856" s="11">
        <v>-104.97438</v>
      </c>
      <c r="L856" s="11">
        <v>1629</v>
      </c>
      <c r="M856" s="11">
        <v>1629</v>
      </c>
      <c r="N856" s="175" t="str">
        <f>VLOOKUP(M856, '2017 SIC to NAICS'!A:D, 2)</f>
        <v>Heavy Construction, Nec</v>
      </c>
      <c r="P856" s="187" t="str">
        <f>VLOOKUP(M856, '2017 SIC to NAICS'!A:D, 4)</f>
        <v>Site Preparation Contractors</v>
      </c>
      <c r="Q856" s="176" t="e">
        <f>IFERROR(VLOOKUP(O856, 'NAICS OES crosswalk'!A:C, 3, FALSE), VLOOKUP(M856, 'NAICS OES crosswalk'!A:C, 3, FALSE))</f>
        <v>#N/A</v>
      </c>
      <c r="U856" s="188">
        <v>101900030304</v>
      </c>
      <c r="V856" s="11" t="s">
        <v>987</v>
      </c>
      <c r="W856" s="11"/>
      <c r="X856" s="11">
        <v>7.8992950000000006E-3</v>
      </c>
      <c r="Y856" s="11" t="b">
        <f t="shared" si="14"/>
        <v>0</v>
      </c>
    </row>
    <row r="857" spans="1:25" x14ac:dyDescent="0.35">
      <c r="A857" s="11">
        <v>2022</v>
      </c>
      <c r="B857" s="11" t="s">
        <v>1980</v>
      </c>
      <c r="C857" s="11" t="s">
        <v>1620</v>
      </c>
      <c r="D857" s="163">
        <v>110000584305</v>
      </c>
      <c r="E857" s="11" t="s">
        <v>624</v>
      </c>
      <c r="F857" s="11" t="s">
        <v>625</v>
      </c>
      <c r="G857" s="11" t="s">
        <v>1621</v>
      </c>
      <c r="H857" s="11" t="s">
        <v>340</v>
      </c>
      <c r="I857" s="11" t="s">
        <v>1982</v>
      </c>
      <c r="J857" s="11">
        <v>40.627648000000001</v>
      </c>
      <c r="K857" s="11">
        <v>-76.064880000000002</v>
      </c>
      <c r="L857" s="11">
        <v>3951</v>
      </c>
      <c r="M857" s="11">
        <v>3951</v>
      </c>
      <c r="N857" s="175" t="str">
        <f>VLOOKUP(M857, '2017 SIC to NAICS'!A:D, 2)</f>
        <v>Pens and Mechanical Pencils</v>
      </c>
      <c r="P857" s="187" t="str">
        <f>VLOOKUP(M857, '2017 SIC to NAICS'!A:D, 4)</f>
        <v>Office Supplies (except Paper)
Manufacturing</v>
      </c>
      <c r="Q857" s="176" t="e">
        <f>IFERROR(VLOOKUP(O857, 'NAICS OES crosswalk'!A:C, 3, FALSE), VLOOKUP(M857, 'NAICS OES crosswalk'!A:C, 3, FALSE))</f>
        <v>#N/A</v>
      </c>
      <c r="U857" s="190" t="s">
        <v>1624</v>
      </c>
      <c r="V857" s="11" t="s">
        <v>1622</v>
      </c>
      <c r="W857" s="11"/>
      <c r="X857" s="11">
        <v>7.8678199999999993E-3</v>
      </c>
      <c r="Y857" s="11" t="b">
        <f t="shared" si="14"/>
        <v>0</v>
      </c>
    </row>
    <row r="858" spans="1:25" x14ac:dyDescent="0.35">
      <c r="A858" s="11">
        <v>2022</v>
      </c>
      <c r="B858" s="11" t="s">
        <v>1980</v>
      </c>
      <c r="C858" s="11" t="s">
        <v>1575</v>
      </c>
      <c r="D858" s="163">
        <v>110000324765</v>
      </c>
      <c r="E858" s="11" t="s">
        <v>605</v>
      </c>
      <c r="F858" s="11" t="s">
        <v>606</v>
      </c>
      <c r="G858" s="11" t="s">
        <v>1576</v>
      </c>
      <c r="H858" s="11" t="s">
        <v>126</v>
      </c>
      <c r="I858" s="11" t="s">
        <v>1982</v>
      </c>
      <c r="J858" s="11">
        <v>41.570210000000003</v>
      </c>
      <c r="K858" s="11">
        <v>-73.599559999999997</v>
      </c>
      <c r="L858" s="11">
        <v>3069</v>
      </c>
      <c r="M858" s="11">
        <v>3069</v>
      </c>
      <c r="N858" s="175" t="str">
        <f>VLOOKUP(M858, '2017 SIC to NAICS'!A:D, 2)</f>
        <v>Fabricated Rubber Products, Nec</v>
      </c>
      <c r="P858" s="187" t="str">
        <f>VLOOKUP(M858, '2017 SIC to NAICS'!A:D, 4)</f>
        <v>Doll, Toy, and Game Manufacturing</v>
      </c>
      <c r="Q858" s="176" t="e">
        <f>IFERROR(VLOOKUP(O858, 'NAICS OES crosswalk'!A:C, 3, FALSE), VLOOKUP(M858, 'NAICS OES crosswalk'!A:C, 3, FALSE))</f>
        <v>#N/A</v>
      </c>
      <c r="U858" s="190" t="s">
        <v>1578</v>
      </c>
      <c r="V858" s="11" t="s">
        <v>1577</v>
      </c>
      <c r="W858" s="11"/>
      <c r="X858" s="11">
        <v>7.7222851222499998E-3</v>
      </c>
      <c r="Y858" s="11" t="b">
        <f t="shared" si="14"/>
        <v>0</v>
      </c>
    </row>
    <row r="859" spans="1:25" x14ac:dyDescent="0.35">
      <c r="A859" s="11">
        <v>2022</v>
      </c>
      <c r="B859" s="11" t="s">
        <v>1980</v>
      </c>
      <c r="C859" s="11" t="s">
        <v>752</v>
      </c>
      <c r="D859" s="163">
        <v>110000749021</v>
      </c>
      <c r="E859" s="11" t="s">
        <v>530</v>
      </c>
      <c r="F859" s="11" t="s">
        <v>531</v>
      </c>
      <c r="G859" s="11" t="s">
        <v>753</v>
      </c>
      <c r="H859" s="11" t="s">
        <v>276</v>
      </c>
      <c r="I859" s="11" t="s">
        <v>1982</v>
      </c>
      <c r="J859" s="11">
        <v>38.748759999999997</v>
      </c>
      <c r="K859" s="11">
        <v>-77.511420000000001</v>
      </c>
      <c r="L859" s="11">
        <v>4959</v>
      </c>
      <c r="M859" s="11">
        <v>4959</v>
      </c>
      <c r="N859" s="175" t="str">
        <f>VLOOKUP(M859, '2017 SIC to NAICS'!A:D, 2)</f>
        <v>Sanitary Services, Nec</v>
      </c>
      <c r="O859" s="11">
        <v>562910</v>
      </c>
      <c r="P859" s="187" t="str">
        <f>VLOOKUP(M859, '2017 SIC to NAICS'!A:D, 4)</f>
        <v>All Other Miscellaneous Waste
Management Services</v>
      </c>
      <c r="Q859" s="176" t="e">
        <f>IFERROR(VLOOKUP(O859, 'NAICS OES crosswalk'!A:C, 3, FALSE), VLOOKUP(M859, 'NAICS OES crosswalk'!A:C, 3, FALSE))</f>
        <v>#N/A</v>
      </c>
      <c r="U859" s="190" t="s">
        <v>758</v>
      </c>
      <c r="V859" s="11" t="s">
        <v>756</v>
      </c>
      <c r="W859" s="11"/>
      <c r="X859" s="11">
        <v>8.1195820000000002E-3</v>
      </c>
      <c r="Y859" s="11" t="b">
        <f t="shared" si="14"/>
        <v>0</v>
      </c>
    </row>
    <row r="860" spans="1:25" x14ac:dyDescent="0.35">
      <c r="A860" s="11">
        <v>2022</v>
      </c>
      <c r="B860" s="11" t="s">
        <v>1980</v>
      </c>
      <c r="C860" s="11" t="s">
        <v>752</v>
      </c>
      <c r="D860" s="163">
        <v>110000749021</v>
      </c>
      <c r="E860" s="11" t="s">
        <v>530</v>
      </c>
      <c r="F860" s="11" t="s">
        <v>531</v>
      </c>
      <c r="G860" s="11" t="s">
        <v>753</v>
      </c>
      <c r="H860" s="11" t="s">
        <v>276</v>
      </c>
      <c r="I860" s="11" t="s">
        <v>1982</v>
      </c>
      <c r="J860" s="11">
        <v>38.748759999999997</v>
      </c>
      <c r="K860" s="11">
        <v>-77.511420000000001</v>
      </c>
      <c r="L860" s="11">
        <v>4959</v>
      </c>
      <c r="M860" s="11">
        <v>4959</v>
      </c>
      <c r="N860" s="175" t="str">
        <f>VLOOKUP(M860, '2017 SIC to NAICS'!A:D, 2)</f>
        <v>Sanitary Services, Nec</v>
      </c>
      <c r="O860" s="11">
        <v>562910</v>
      </c>
      <c r="P860" s="187" t="str">
        <f>VLOOKUP(M860, '2017 SIC to NAICS'!A:D, 4)</f>
        <v>All Other Miscellaneous Waste
Management Services</v>
      </c>
      <c r="Q860" s="176" t="e">
        <f>IFERROR(VLOOKUP(O860, 'NAICS OES crosswalk'!A:C, 3, FALSE), VLOOKUP(M860, 'NAICS OES crosswalk'!A:C, 3, FALSE))</f>
        <v>#N/A</v>
      </c>
      <c r="U860" s="190" t="s">
        <v>758</v>
      </c>
      <c r="V860" s="11" t="s">
        <v>756</v>
      </c>
      <c r="W860" s="11"/>
      <c r="X860" s="11">
        <v>7.5639440000000004E-3</v>
      </c>
      <c r="Y860" s="11" t="b">
        <f t="shared" si="14"/>
        <v>0</v>
      </c>
    </row>
    <row r="861" spans="1:25" ht="29" x14ac:dyDescent="0.35">
      <c r="A861" s="11">
        <v>2022</v>
      </c>
      <c r="B861" s="11" t="s">
        <v>1980</v>
      </c>
      <c r="C861" s="11" t="s">
        <v>1649</v>
      </c>
      <c r="D861" s="163">
        <v>110020036209</v>
      </c>
      <c r="E861" s="11" t="s">
        <v>563</v>
      </c>
      <c r="F861" s="11" t="s">
        <v>564</v>
      </c>
      <c r="G861" s="11" t="s">
        <v>1650</v>
      </c>
      <c r="H861" s="11" t="s">
        <v>340</v>
      </c>
      <c r="I861" s="11" t="s">
        <v>1982</v>
      </c>
      <c r="J861" s="11">
        <v>41.795278000000003</v>
      </c>
      <c r="K861" s="11">
        <v>-77.299722000000003</v>
      </c>
      <c r="L861" s="11">
        <v>9999</v>
      </c>
      <c r="M861" s="11">
        <v>9999</v>
      </c>
      <c r="N861" s="175" t="str">
        <f>VLOOKUP(M861, '2017 SIC to NAICS'!A:D, 2)</f>
        <v>Nonclassifiable Establishments</v>
      </c>
      <c r="P861" s="187">
        <f>VLOOKUP(M861, '2017 SIC to NAICS'!A:D, 4)</f>
        <v>0</v>
      </c>
      <c r="Q861" s="176" t="str">
        <f>IFERROR(VLOOKUP(O861, 'NAICS OES crosswalk'!A:C, 3, FALSE), VLOOKUP(M861, 'NAICS OES crosswalk'!A:C, 3, FALSE))</f>
        <v>Uncertain, possibly a remediation site</v>
      </c>
      <c r="U861" s="190" t="s">
        <v>1652</v>
      </c>
      <c r="V861" s="11" t="s">
        <v>1651</v>
      </c>
      <c r="W861" s="11"/>
      <c r="X861" s="11">
        <v>7.1127719999999998E-3</v>
      </c>
      <c r="Y861" s="11" t="b">
        <f t="shared" si="14"/>
        <v>0</v>
      </c>
    </row>
    <row r="862" spans="1:25" x14ac:dyDescent="0.35">
      <c r="A862" s="11">
        <v>2022</v>
      </c>
      <c r="B862" s="11" t="s">
        <v>1980</v>
      </c>
      <c r="C862" s="11" t="s">
        <v>1615</v>
      </c>
      <c r="D862" s="163">
        <v>110000329038</v>
      </c>
      <c r="E862" s="11" t="s">
        <v>548</v>
      </c>
      <c r="F862" s="11" t="s">
        <v>339</v>
      </c>
      <c r="G862" s="11" t="s">
        <v>1616</v>
      </c>
      <c r="H862" s="11" t="s">
        <v>340</v>
      </c>
      <c r="I862" s="11" t="s">
        <v>1981</v>
      </c>
      <c r="J862" s="11">
        <v>40.670580000000001</v>
      </c>
      <c r="K862" s="11">
        <v>-80.336500000000001</v>
      </c>
      <c r="L862" s="11">
        <v>2869</v>
      </c>
      <c r="M862" s="11">
        <v>2869</v>
      </c>
      <c r="N862" s="175" t="str">
        <f>VLOOKUP(M862, '2017 SIC to NAICS'!A:D, 2)</f>
        <v>Industrial Organic Chemicals, Nec</v>
      </c>
      <c r="O862" s="11">
        <v>325110</v>
      </c>
      <c r="P862" s="187" t="str">
        <f>VLOOKUP(M862, '2017 SIC to NAICS'!A:D, 4)</f>
        <v>All Other Miscellaneous Chemical Product and Preparation Manufacturing</v>
      </c>
      <c r="Q862" s="176" t="str">
        <f>IFERROR(VLOOKUP(O862, 'NAICS OES crosswalk'!A:C, 3, FALSE), VLOOKUP(M862, 'NAICS OES crosswalk'!A:C, 3, FALSE))</f>
        <v>Processing as a reactant</v>
      </c>
      <c r="U862" s="190" t="s">
        <v>1618</v>
      </c>
      <c r="V862" s="11" t="s">
        <v>1617</v>
      </c>
      <c r="W862" s="11"/>
      <c r="X862" s="11">
        <v>6.8100000000000001E-3</v>
      </c>
      <c r="Y862" s="11" t="b">
        <f t="shared" si="14"/>
        <v>0</v>
      </c>
    </row>
    <row r="863" spans="1:25" x14ac:dyDescent="0.35">
      <c r="A863" s="11">
        <v>2022</v>
      </c>
      <c r="B863" s="11" t="s">
        <v>1980</v>
      </c>
      <c r="C863" s="11" t="s">
        <v>752</v>
      </c>
      <c r="D863" s="163">
        <v>110000749021</v>
      </c>
      <c r="E863" s="11" t="s">
        <v>530</v>
      </c>
      <c r="F863" s="11" t="s">
        <v>531</v>
      </c>
      <c r="G863" s="11" t="s">
        <v>753</v>
      </c>
      <c r="H863" s="11" t="s">
        <v>276</v>
      </c>
      <c r="I863" s="11" t="s">
        <v>1982</v>
      </c>
      <c r="J863" s="11">
        <v>38.748759999999997</v>
      </c>
      <c r="K863" s="11">
        <v>-77.511420000000001</v>
      </c>
      <c r="L863" s="11">
        <v>4959</v>
      </c>
      <c r="M863" s="11">
        <v>4959</v>
      </c>
      <c r="N863" s="175" t="str">
        <f>VLOOKUP(M863, '2017 SIC to NAICS'!A:D, 2)</f>
        <v>Sanitary Services, Nec</v>
      </c>
      <c r="O863" s="11">
        <v>562910</v>
      </c>
      <c r="P863" s="187" t="str">
        <f>VLOOKUP(M863, '2017 SIC to NAICS'!A:D, 4)</f>
        <v>All Other Miscellaneous Waste
Management Services</v>
      </c>
      <c r="Q863" s="176" t="e">
        <f>IFERROR(VLOOKUP(O863, 'NAICS OES crosswalk'!A:C, 3, FALSE), VLOOKUP(M863, 'NAICS OES crosswalk'!A:C, 3, FALSE))</f>
        <v>#N/A</v>
      </c>
      <c r="U863" s="190" t="s">
        <v>758</v>
      </c>
      <c r="V863" s="11" t="s">
        <v>756</v>
      </c>
      <c r="W863" s="11"/>
      <c r="X863" s="11">
        <v>2.7653209999999998E-3</v>
      </c>
      <c r="Y863" s="11" t="b">
        <f t="shared" si="14"/>
        <v>0</v>
      </c>
    </row>
    <row r="864" spans="1:25" x14ac:dyDescent="0.35">
      <c r="A864" s="11">
        <v>2022</v>
      </c>
      <c r="B864" s="11" t="s">
        <v>1980</v>
      </c>
      <c r="C864" s="11" t="s">
        <v>996</v>
      </c>
      <c r="D864" s="163">
        <v>110000339027</v>
      </c>
      <c r="E864" s="11" t="s">
        <v>679</v>
      </c>
      <c r="F864" s="11" t="s">
        <v>680</v>
      </c>
      <c r="G864" s="11" t="s">
        <v>997</v>
      </c>
      <c r="H864" s="11" t="s">
        <v>515</v>
      </c>
      <c r="I864" s="11" t="s">
        <v>1981</v>
      </c>
      <c r="J864" s="11">
        <v>38.631867</v>
      </c>
      <c r="K864" s="11">
        <v>-75.628372999999996</v>
      </c>
      <c r="L864" s="11">
        <v>2821</v>
      </c>
      <c r="M864" s="11">
        <v>2821</v>
      </c>
      <c r="N864" s="175" t="str">
        <f>VLOOKUP(M864, '2017 SIC to NAICS'!A:D, 2)</f>
        <v>Plastics Materials and Resins</v>
      </c>
      <c r="P864" s="187" t="str">
        <f>VLOOKUP(M864, '2017 SIC to NAICS'!A:D, 4)</f>
        <v>Plastics Material and Resin Manufacturing</v>
      </c>
      <c r="Q864" s="176" t="str">
        <f>IFERROR(VLOOKUP(O864, 'NAICS OES crosswalk'!A:C, 3, FALSE), VLOOKUP(M864, 'NAICS OES crosswalk'!A:C, 3, FALSE))</f>
        <v>Processing as a reactant</v>
      </c>
      <c r="U864" s="190" t="s">
        <v>999</v>
      </c>
      <c r="V864" s="11" t="s">
        <v>998</v>
      </c>
      <c r="W864" s="11"/>
      <c r="X864" s="11">
        <v>1.4073999999999999E-5</v>
      </c>
      <c r="Y864" s="11" t="b">
        <f t="shared" si="14"/>
        <v>1</v>
      </c>
    </row>
    <row r="865" spans="1:25" x14ac:dyDescent="0.35">
      <c r="A865" s="11">
        <v>2022</v>
      </c>
      <c r="B865" s="11" t="s">
        <v>1980</v>
      </c>
      <c r="C865" s="11" t="s">
        <v>1734</v>
      </c>
      <c r="D865" s="163">
        <v>110070684897</v>
      </c>
      <c r="E865" s="11" t="s">
        <v>571</v>
      </c>
      <c r="F865" s="11" t="s">
        <v>572</v>
      </c>
      <c r="G865" s="11" t="s">
        <v>1735</v>
      </c>
      <c r="H865" s="11" t="s">
        <v>276</v>
      </c>
      <c r="I865" s="11" t="s">
        <v>1982</v>
      </c>
      <c r="J865" s="11">
        <v>38.920251999999998</v>
      </c>
      <c r="K865" s="11">
        <v>-77.231944999999996</v>
      </c>
      <c r="L865" s="11">
        <v>1794</v>
      </c>
      <c r="M865" s="11">
        <v>1794</v>
      </c>
      <c r="N865" s="175" t="str">
        <f>VLOOKUP(M865, '2017 SIC to NAICS'!A:D, 2)</f>
        <v>Excavation Work</v>
      </c>
      <c r="P865" s="187" t="str">
        <f>VLOOKUP(M865, '2017 SIC to NAICS'!A:D, 4)</f>
        <v>Site Preparation Contractors</v>
      </c>
      <c r="Q865" s="176" t="e">
        <f>IFERROR(VLOOKUP(O865, 'NAICS OES crosswalk'!A:C, 3, FALSE), VLOOKUP(M865, 'NAICS OES crosswalk'!A:C, 3, FALSE))</f>
        <v>#N/A</v>
      </c>
      <c r="U865" s="190" t="s">
        <v>1736</v>
      </c>
      <c r="V865" s="11" t="s">
        <v>1716</v>
      </c>
      <c r="W865" s="11"/>
      <c r="X865" s="11">
        <v>5.1380845099999999E-3</v>
      </c>
      <c r="Y865" s="11" t="b">
        <f t="shared" si="14"/>
        <v>0</v>
      </c>
    </row>
    <row r="866" spans="1:25" x14ac:dyDescent="0.35">
      <c r="A866" s="11">
        <v>2022</v>
      </c>
      <c r="B866" s="11" t="s">
        <v>1980</v>
      </c>
      <c r="C866" s="11" t="s">
        <v>1645</v>
      </c>
      <c r="D866" s="163">
        <v>110017796330</v>
      </c>
      <c r="E866" s="11" t="s">
        <v>642</v>
      </c>
      <c r="F866" s="11" t="s">
        <v>643</v>
      </c>
      <c r="G866" s="11" t="s">
        <v>1646</v>
      </c>
      <c r="H866" s="11" t="s">
        <v>340</v>
      </c>
      <c r="I866" s="11" t="s">
        <v>1982</v>
      </c>
      <c r="J866" s="11">
        <v>40.725278000000003</v>
      </c>
      <c r="K866" s="11">
        <v>-77.056944000000001</v>
      </c>
      <c r="L866" s="11">
        <v>3645</v>
      </c>
      <c r="M866" s="11">
        <v>3645</v>
      </c>
      <c r="N866" s="175" t="str">
        <f>VLOOKUP(M866, '2017 SIC to NAICS'!A:D, 2)</f>
        <v>Residential Lighting Fixtures</v>
      </c>
      <c r="P866" s="187" t="str">
        <f>VLOOKUP(M866, '2017 SIC to NAICS'!A:D, 4)</f>
        <v>Residential Electric Lighting Fixture
Manufacturing</v>
      </c>
      <c r="Q866" s="176" t="e">
        <f>IFERROR(VLOOKUP(O866, 'NAICS OES crosswalk'!A:C, 3, FALSE), VLOOKUP(M866, 'NAICS OES crosswalk'!A:C, 3, FALSE))</f>
        <v>#N/A</v>
      </c>
      <c r="U866" s="190" t="s">
        <v>1648</v>
      </c>
      <c r="V866" s="11" t="s">
        <v>1647</v>
      </c>
      <c r="W866" s="11"/>
      <c r="X866" s="11">
        <v>3.919746E-3</v>
      </c>
      <c r="Y866" s="11" t="b">
        <f t="shared" si="14"/>
        <v>0</v>
      </c>
    </row>
    <row r="867" spans="1:25" x14ac:dyDescent="0.35">
      <c r="A867" s="11">
        <v>2022</v>
      </c>
      <c r="B867" s="11" t="s">
        <v>1980</v>
      </c>
      <c r="C867" s="11" t="s">
        <v>1742</v>
      </c>
      <c r="D867" s="163">
        <v>110070884760</v>
      </c>
      <c r="E867" s="11" t="s">
        <v>644</v>
      </c>
      <c r="F867" s="11" t="s">
        <v>645</v>
      </c>
      <c r="G867" s="11" t="s">
        <v>1743</v>
      </c>
      <c r="H867" s="11" t="s">
        <v>276</v>
      </c>
      <c r="I867" s="11" t="s">
        <v>1982</v>
      </c>
      <c r="J867" s="11">
        <v>36.847490000000001</v>
      </c>
      <c r="K867" s="11">
        <v>-76.026436000000004</v>
      </c>
      <c r="L867" s="11">
        <v>1799</v>
      </c>
      <c r="M867" s="11">
        <v>1799</v>
      </c>
      <c r="N867" s="175" t="str">
        <f>VLOOKUP(M867, '2017 SIC to NAICS'!A:D, 2)</f>
        <v>Special Trade Contractors, Nec</v>
      </c>
      <c r="P867" s="187" t="str">
        <f>VLOOKUP(M867, '2017 SIC to NAICS'!A:D, 4)</f>
        <v>Remediation Services</v>
      </c>
      <c r="Q867" s="176" t="e">
        <f>IFERROR(VLOOKUP(O867, 'NAICS OES crosswalk'!A:C, 3, FALSE), VLOOKUP(M867, 'NAICS OES crosswalk'!A:C, 3, FALSE))</f>
        <v>#N/A</v>
      </c>
      <c r="U867" s="190" t="s">
        <v>1745</v>
      </c>
      <c r="V867" s="11" t="s">
        <v>1744</v>
      </c>
      <c r="W867" s="11"/>
      <c r="X867" s="191">
        <v>4.2405722345454496E-3</v>
      </c>
      <c r="Y867" s="11" t="b">
        <f t="shared" si="14"/>
        <v>0</v>
      </c>
    </row>
    <row r="868" spans="1:25" x14ac:dyDescent="0.35">
      <c r="A868" s="11">
        <v>2022</v>
      </c>
      <c r="B868" s="11" t="s">
        <v>1980</v>
      </c>
      <c r="C868" s="11" t="s">
        <v>1592</v>
      </c>
      <c r="D868" s="163">
        <v>110000616414</v>
      </c>
      <c r="E868" s="11" t="s">
        <v>595</v>
      </c>
      <c r="F868" s="11" t="s">
        <v>596</v>
      </c>
      <c r="G868" s="11" t="s">
        <v>1593</v>
      </c>
      <c r="H868" s="11" t="s">
        <v>126</v>
      </c>
      <c r="I868" s="11" t="s">
        <v>1982</v>
      </c>
      <c r="J868" s="11">
        <v>43.211829000000002</v>
      </c>
      <c r="K868" s="11">
        <v>-77.929390999999995</v>
      </c>
      <c r="L868" s="11">
        <v>9511</v>
      </c>
      <c r="M868" s="11">
        <v>9511</v>
      </c>
      <c r="N868" s="175" t="str">
        <f>VLOOKUP(M868, '2017 SIC to NAICS'!A:D, 2)</f>
        <v>Air, Water, and Solid Waste Management</v>
      </c>
      <c r="P868" s="187" t="str">
        <f>VLOOKUP(M868, '2017 SIC to NAICS'!A:D, 4)</f>
        <v>Administration of Air and Water Resource
and Solid Waste Management Programs</v>
      </c>
      <c r="Q868" s="176" t="e">
        <f>IFERROR(VLOOKUP(O868, 'NAICS OES crosswalk'!A:C, 3, FALSE), VLOOKUP(M868, 'NAICS OES crosswalk'!A:C, 3, FALSE))</f>
        <v>#N/A</v>
      </c>
      <c r="U868" s="190" t="s">
        <v>1595</v>
      </c>
      <c r="V868" s="11" t="s">
        <v>1594</v>
      </c>
      <c r="W868" s="11"/>
      <c r="X868" s="11">
        <v>1.194928E-2</v>
      </c>
      <c r="Y868" s="11" t="b">
        <f t="shared" si="14"/>
        <v>0</v>
      </c>
    </row>
    <row r="869" spans="1:25" ht="29" x14ac:dyDescent="0.35">
      <c r="A869" s="11">
        <v>2022</v>
      </c>
      <c r="B869" s="11" t="s">
        <v>1980</v>
      </c>
      <c r="C869" s="11" t="s">
        <v>1091</v>
      </c>
      <c r="D869" s="163">
        <v>110000736730</v>
      </c>
      <c r="E869" s="11" t="s">
        <v>277</v>
      </c>
      <c r="F869" s="11" t="s">
        <v>278</v>
      </c>
      <c r="G869" s="11" t="s">
        <v>1092</v>
      </c>
      <c r="H869" s="11" t="s">
        <v>108</v>
      </c>
      <c r="I869" s="11" t="s">
        <v>1981</v>
      </c>
      <c r="J869" s="11">
        <v>36.856732000000001</v>
      </c>
      <c r="K869" s="11">
        <v>-86.889048000000003</v>
      </c>
      <c r="L869" s="11">
        <v>4952</v>
      </c>
      <c r="M869" s="11">
        <v>4952</v>
      </c>
      <c r="N869" s="175" t="str">
        <f>VLOOKUP(M869, '2017 SIC to NAICS'!A:D, 2)</f>
        <v>Sewerage Systems</v>
      </c>
      <c r="O869" s="11">
        <v>221320</v>
      </c>
      <c r="P869" s="187" t="str">
        <f>VLOOKUP(M869, '2017 SIC to NAICS'!A:D, 4)</f>
        <v>Sewage Treatment Facilities</v>
      </c>
      <c r="Q869" s="176" t="str">
        <f>IFERROR(VLOOKUP(O869, 'NAICS OES crosswalk'!A:C, 3, FALSE), VLOOKUP(M869, 'NAICS OES crosswalk'!A:C, 3, FALSE))</f>
        <v>Waste handling, disposal, and treatment</v>
      </c>
      <c r="U869" s="190" t="s">
        <v>1094</v>
      </c>
      <c r="V869" s="11" t="s">
        <v>1093</v>
      </c>
      <c r="W869" s="11"/>
      <c r="X869" s="11">
        <v>3.8199166250000001E-3</v>
      </c>
      <c r="Y869" s="11" t="b">
        <f t="shared" si="14"/>
        <v>0</v>
      </c>
    </row>
    <row r="870" spans="1:25" ht="29" x14ac:dyDescent="0.35">
      <c r="A870" s="11">
        <v>2022</v>
      </c>
      <c r="B870" s="11" t="s">
        <v>1980</v>
      </c>
      <c r="C870" s="11" t="s">
        <v>973</v>
      </c>
      <c r="D870" s="163">
        <v>110002043217</v>
      </c>
      <c r="E870" s="11" t="s">
        <v>646</v>
      </c>
      <c r="F870" s="11" t="s">
        <v>647</v>
      </c>
      <c r="G870" s="11" t="s">
        <v>790</v>
      </c>
      <c r="H870" s="11" t="s">
        <v>102</v>
      </c>
      <c r="I870" s="11" t="s">
        <v>1981</v>
      </c>
      <c r="J870" s="11">
        <v>33.147531999999998</v>
      </c>
      <c r="K870" s="11">
        <v>-115.54533000000001</v>
      </c>
      <c r="L870" s="11">
        <v>4952</v>
      </c>
      <c r="M870" s="11">
        <v>4952</v>
      </c>
      <c r="N870" s="175" t="str">
        <f>VLOOKUP(M870, '2017 SIC to NAICS'!A:D, 2)</f>
        <v>Sewerage Systems</v>
      </c>
      <c r="P870" s="187" t="str">
        <f>VLOOKUP(M870, '2017 SIC to NAICS'!A:D, 4)</f>
        <v>Sewage Treatment Facilities</v>
      </c>
      <c r="Q870" s="176" t="str">
        <f>IFERROR(VLOOKUP(O870, 'NAICS OES crosswalk'!A:C, 3, FALSE), VLOOKUP(M870, 'NAICS OES crosswalk'!A:C, 3, FALSE))</f>
        <v>Waste handling, disposal, and treatment</v>
      </c>
      <c r="U870" s="188">
        <v>181002040707</v>
      </c>
      <c r="V870" s="11" t="s">
        <v>974</v>
      </c>
      <c r="W870" s="11"/>
      <c r="X870" s="11">
        <v>3.757748E-3</v>
      </c>
      <c r="Y870" s="11" t="b">
        <f t="shared" si="14"/>
        <v>0</v>
      </c>
    </row>
    <row r="871" spans="1:25" x14ac:dyDescent="0.35">
      <c r="A871" s="11">
        <v>2022</v>
      </c>
      <c r="B871" s="11" t="s">
        <v>1980</v>
      </c>
      <c r="C871" s="11" t="s">
        <v>1694</v>
      </c>
      <c r="D871" s="163">
        <v>110000599479</v>
      </c>
      <c r="E871" s="11" t="s">
        <v>593</v>
      </c>
      <c r="F871" s="11" t="s">
        <v>594</v>
      </c>
      <c r="G871" s="11" t="s">
        <v>1695</v>
      </c>
      <c r="H871" s="11" t="s">
        <v>95</v>
      </c>
      <c r="I871" s="11" t="s">
        <v>1982</v>
      </c>
      <c r="J871" s="11">
        <v>29.458400000000001</v>
      </c>
      <c r="K871" s="11">
        <v>-95.330399999999997</v>
      </c>
      <c r="L871" s="11">
        <v>2869</v>
      </c>
      <c r="M871" s="11">
        <v>2869</v>
      </c>
      <c r="N871" s="175" t="str">
        <f>VLOOKUP(M871, '2017 SIC to NAICS'!A:D, 2)</f>
        <v>Industrial Organic Chemicals, Nec</v>
      </c>
      <c r="P871" s="187" t="str">
        <f>VLOOKUP(M871, '2017 SIC to NAICS'!A:D, 4)</f>
        <v>All Other Miscellaneous Chemical Product and Preparation Manufacturing</v>
      </c>
      <c r="Q871" s="176" t="str">
        <f>IFERROR(VLOOKUP(O871, 'NAICS OES crosswalk'!A:C, 3, FALSE), VLOOKUP(M871, 'NAICS OES crosswalk'!A:C, 3, FALSE))</f>
        <v>Manufacturing</v>
      </c>
      <c r="U871" s="188">
        <v>120402040400</v>
      </c>
      <c r="V871" s="11" t="s">
        <v>1696</v>
      </c>
      <c r="W871" s="11"/>
      <c r="X871" s="11">
        <v>1.4913900000000001E-2</v>
      </c>
      <c r="Y871" s="11" t="b">
        <f t="shared" si="14"/>
        <v>0</v>
      </c>
    </row>
    <row r="872" spans="1:25" ht="29" x14ac:dyDescent="0.35">
      <c r="A872" s="11">
        <v>2022</v>
      </c>
      <c r="B872" s="11" t="s">
        <v>1980</v>
      </c>
      <c r="C872" s="11" t="s">
        <v>1062</v>
      </c>
      <c r="D872" s="163">
        <v>110009974117</v>
      </c>
      <c r="E872" s="11" t="s">
        <v>652</v>
      </c>
      <c r="F872" s="11" t="s">
        <v>201</v>
      </c>
      <c r="G872" s="11" t="s">
        <v>1063</v>
      </c>
      <c r="H872" s="11" t="s">
        <v>151</v>
      </c>
      <c r="I872" s="11" t="s">
        <v>1982</v>
      </c>
      <c r="J872" s="11">
        <v>39.264667000000003</v>
      </c>
      <c r="K872" s="11">
        <v>-85.231278000000003</v>
      </c>
      <c r="L872" s="11">
        <v>4953</v>
      </c>
      <c r="M872" s="11">
        <v>4953</v>
      </c>
      <c r="N872" s="175" t="str">
        <f>VLOOKUP(M872, '2017 SIC to NAICS'!A:D, 2)</f>
        <v>Refuse Systems</v>
      </c>
      <c r="P872" s="187" t="str">
        <f>VLOOKUP(M872, '2017 SIC to NAICS'!A:D, 4)</f>
        <v>Materials Recovery Facilities</v>
      </c>
      <c r="Q872" s="176" t="str">
        <f>IFERROR(VLOOKUP(O872, 'NAICS OES crosswalk'!A:C, 3, FALSE), VLOOKUP(M872, 'NAICS OES crosswalk'!A:C, 3, FALSE))</f>
        <v>Waste handling, disposal, and treatment</v>
      </c>
      <c r="U872" s="190" t="s">
        <v>1065</v>
      </c>
      <c r="V872" s="11" t="s">
        <v>1064</v>
      </c>
      <c r="W872" s="11"/>
      <c r="X872" s="11">
        <v>3.6790199999999999E-3</v>
      </c>
      <c r="Y872" s="11" t="b">
        <f t="shared" si="14"/>
        <v>0</v>
      </c>
    </row>
    <row r="873" spans="1:25" x14ac:dyDescent="0.35">
      <c r="A873" s="11">
        <v>2022</v>
      </c>
      <c r="B873" s="11" t="s">
        <v>1980</v>
      </c>
      <c r="C873" s="11" t="s">
        <v>1227</v>
      </c>
      <c r="D873" s="163">
        <v>110043544144</v>
      </c>
      <c r="E873" s="11" t="s">
        <v>586</v>
      </c>
      <c r="F873" s="11" t="s">
        <v>587</v>
      </c>
      <c r="G873" s="11" t="s">
        <v>457</v>
      </c>
      <c r="H873" s="11" t="s">
        <v>108</v>
      </c>
      <c r="I873" s="11" t="s">
        <v>1982</v>
      </c>
      <c r="J873" s="11">
        <v>38.072870000000002</v>
      </c>
      <c r="K873" s="11">
        <v>-84.484369999999998</v>
      </c>
      <c r="L873" s="11">
        <v>3579</v>
      </c>
      <c r="M873" s="11">
        <v>3579</v>
      </c>
      <c r="N873" s="175" t="str">
        <f>VLOOKUP(M873, '2017 SIC to NAICS'!A:D, 2)</f>
        <v>Office Machines, Nec</v>
      </c>
      <c r="O873" s="11">
        <v>333313</v>
      </c>
      <c r="P873" s="187" t="str">
        <f>VLOOKUP(M873, '2017 SIC to NAICS'!A:D, 4)</f>
        <v>Office Supplies (except Paper)
Manufacturing</v>
      </c>
      <c r="Q873" s="176" t="e">
        <f>IFERROR(VLOOKUP(O873, 'NAICS OES crosswalk'!A:C, 3, FALSE), VLOOKUP(M873, 'NAICS OES crosswalk'!A:C, 3, FALSE))</f>
        <v>#N/A</v>
      </c>
      <c r="U873" s="190" t="s">
        <v>1231</v>
      </c>
      <c r="V873" s="11" t="s">
        <v>1230</v>
      </c>
      <c r="W873" s="11"/>
      <c r="X873" s="11">
        <v>9.1674592499999992E-3</v>
      </c>
      <c r="Y873" s="11" t="b">
        <f t="shared" si="14"/>
        <v>0</v>
      </c>
    </row>
    <row r="874" spans="1:25" x14ac:dyDescent="0.35">
      <c r="A874" s="11">
        <v>2022</v>
      </c>
      <c r="B874" s="11" t="s">
        <v>1980</v>
      </c>
      <c r="C874" s="11" t="s">
        <v>986</v>
      </c>
      <c r="D874" s="163">
        <v>110056125376</v>
      </c>
      <c r="E874" s="11" t="s">
        <v>641</v>
      </c>
      <c r="F874" s="11" t="s">
        <v>623</v>
      </c>
      <c r="G874" s="11" t="s">
        <v>623</v>
      </c>
      <c r="H874" s="11" t="s">
        <v>492</v>
      </c>
      <c r="I874" s="11" t="s">
        <v>1982</v>
      </c>
      <c r="J874" s="11">
        <v>39.754530000000003</v>
      </c>
      <c r="K874" s="11">
        <v>-105.00681</v>
      </c>
      <c r="L874" s="11">
        <v>1799</v>
      </c>
      <c r="M874" s="11">
        <v>1799</v>
      </c>
      <c r="N874" s="175" t="str">
        <f>VLOOKUP(M874, '2017 SIC to NAICS'!A:D, 2)</f>
        <v>Special Trade Contractors, Nec</v>
      </c>
      <c r="P874" s="187" t="str">
        <f>VLOOKUP(M874, '2017 SIC to NAICS'!A:D, 4)</f>
        <v>Remediation Services</v>
      </c>
      <c r="Q874" s="176" t="e">
        <f>IFERROR(VLOOKUP(O874, 'NAICS OES crosswalk'!A:C, 3, FALSE), VLOOKUP(M874, 'NAICS OES crosswalk'!A:C, 3, FALSE))</f>
        <v>#N/A</v>
      </c>
      <c r="U874" s="188">
        <v>101900030304</v>
      </c>
      <c r="V874" s="11" t="s">
        <v>987</v>
      </c>
      <c r="W874" s="11"/>
      <c r="X874" s="11">
        <v>3.4282069750000001E-3</v>
      </c>
      <c r="Y874" s="11" t="b">
        <f t="shared" si="14"/>
        <v>0</v>
      </c>
    </row>
    <row r="875" spans="1:25" x14ac:dyDescent="0.35">
      <c r="A875" s="11">
        <v>2022</v>
      </c>
      <c r="B875" s="11" t="s">
        <v>1980</v>
      </c>
      <c r="C875" s="11" t="s">
        <v>1761</v>
      </c>
      <c r="D875" s="163">
        <v>110010910700</v>
      </c>
      <c r="E875" s="11" t="s">
        <v>329</v>
      </c>
      <c r="F875" s="11" t="s">
        <v>330</v>
      </c>
      <c r="G875" s="11" t="s">
        <v>1762</v>
      </c>
      <c r="H875" s="11" t="s">
        <v>331</v>
      </c>
      <c r="I875" s="11" t="s">
        <v>1982</v>
      </c>
      <c r="J875" s="11">
        <v>44.548050000000003</v>
      </c>
      <c r="K875" s="11">
        <v>-71.990520000000004</v>
      </c>
      <c r="M875" s="11"/>
      <c r="N875" s="175" t="e">
        <f>VLOOKUP(M875, '2017 SIC to NAICS'!A:D, 2)</f>
        <v>#N/A</v>
      </c>
      <c r="P875" s="187" t="e">
        <f>VLOOKUP(M875, '2017 SIC to NAICS'!A:D, 4)</f>
        <v>#N/A</v>
      </c>
      <c r="Q875" s="176" t="e">
        <f>IFERROR(VLOOKUP(O875, 'NAICS OES crosswalk'!A:C, 3, FALSE), VLOOKUP(M875, 'NAICS OES crosswalk'!A:C, 3, FALSE))</f>
        <v>#N/A</v>
      </c>
      <c r="U875" s="190" t="s">
        <v>1764</v>
      </c>
      <c r="V875" s="11" t="s">
        <v>1763</v>
      </c>
      <c r="W875" s="11"/>
      <c r="X875" s="11">
        <v>5.8667500000000004E-4</v>
      </c>
      <c r="Y875" s="11" t="b">
        <f t="shared" si="14"/>
        <v>1</v>
      </c>
    </row>
    <row r="876" spans="1:25" x14ac:dyDescent="0.35">
      <c r="A876" s="11">
        <v>2022</v>
      </c>
      <c r="B876" s="11" t="s">
        <v>1980</v>
      </c>
      <c r="C876" s="11" t="s">
        <v>1368</v>
      </c>
      <c r="D876" s="163">
        <v>110000410957</v>
      </c>
      <c r="E876" s="11" t="s">
        <v>405</v>
      </c>
      <c r="F876" s="11" t="s">
        <v>406</v>
      </c>
      <c r="G876" s="11" t="s">
        <v>406</v>
      </c>
      <c r="H876" s="11" t="s">
        <v>181</v>
      </c>
      <c r="I876" s="11" t="s">
        <v>1982</v>
      </c>
      <c r="J876" s="11">
        <v>43.215029999999999</v>
      </c>
      <c r="K876" s="11">
        <v>-86.245689999999996</v>
      </c>
      <c r="L876" s="11">
        <v>3714</v>
      </c>
      <c r="M876" s="11">
        <v>3714</v>
      </c>
      <c r="N876" s="175" t="str">
        <f>VLOOKUP(M876, '2017 SIC to NAICS'!A:D, 2)</f>
        <v>Motor Vehicle Parts and Accessories</v>
      </c>
      <c r="O876" s="11">
        <v>331511</v>
      </c>
      <c r="P876" s="187" t="str">
        <f>VLOOKUP(M876, '2017 SIC to NAICS'!A:D, 4)</f>
        <v>Other Motor Vehicle Parts Manufacturing</v>
      </c>
      <c r="Q876" s="176" t="e">
        <f>IFERROR(VLOOKUP(O876, 'NAICS OES crosswalk'!A:C, 3, FALSE), VLOOKUP(M876, 'NAICS OES crosswalk'!A:C, 3, FALSE))</f>
        <v>#N/A</v>
      </c>
      <c r="U876" s="190" t="s">
        <v>1370</v>
      </c>
      <c r="V876" s="11" t="s">
        <v>1369</v>
      </c>
      <c r="W876" s="11"/>
      <c r="X876" s="11">
        <v>0.2159967025</v>
      </c>
      <c r="Y876" s="11" t="b">
        <f t="shared" si="14"/>
        <v>0</v>
      </c>
    </row>
    <row r="877" spans="1:25" x14ac:dyDescent="0.35">
      <c r="A877" s="11">
        <v>2022</v>
      </c>
      <c r="B877" s="11" t="s">
        <v>1980</v>
      </c>
      <c r="C877" s="11" t="s">
        <v>1474</v>
      </c>
      <c r="D877" s="163">
        <v>110001512603</v>
      </c>
      <c r="E877" s="11" t="s">
        <v>558</v>
      </c>
      <c r="F877" s="11" t="s">
        <v>559</v>
      </c>
      <c r="G877" s="11" t="s">
        <v>1475</v>
      </c>
      <c r="H877" s="11" t="s">
        <v>560</v>
      </c>
      <c r="I877" s="11" t="s">
        <v>1982</v>
      </c>
      <c r="J877" s="11">
        <v>41.111856000000003</v>
      </c>
      <c r="K877" s="11">
        <v>-95.923699999999997</v>
      </c>
      <c r="L877" s="11">
        <v>9711</v>
      </c>
      <c r="M877" s="11">
        <v>9711</v>
      </c>
      <c r="N877" s="175" t="str">
        <f>VLOOKUP(M877, '2017 SIC to NAICS'!A:D, 2)</f>
        <v>National Security</v>
      </c>
      <c r="P877" s="187" t="str">
        <f>VLOOKUP(M877, '2017 SIC to NAICS'!A:D, 4)</f>
        <v>National Security</v>
      </c>
      <c r="Q877" s="176" t="e">
        <f>IFERROR(VLOOKUP(O877, 'NAICS OES crosswalk'!A:C, 3, FALSE), VLOOKUP(M877, 'NAICS OES crosswalk'!A:C, 3, FALSE))</f>
        <v>#N/A</v>
      </c>
      <c r="U877" s="188">
        <v>102300060206</v>
      </c>
      <c r="V877" s="11" t="s">
        <v>1476</v>
      </c>
      <c r="W877" s="11"/>
      <c r="X877" s="11">
        <v>2.9405665000000001E-3</v>
      </c>
      <c r="Y877" s="11" t="b">
        <f t="shared" si="14"/>
        <v>0</v>
      </c>
    </row>
    <row r="878" spans="1:25" x14ac:dyDescent="0.35">
      <c r="A878" s="11">
        <v>2022</v>
      </c>
      <c r="B878" s="11" t="s">
        <v>1980</v>
      </c>
      <c r="C878" s="11" t="s">
        <v>1640</v>
      </c>
      <c r="D878" s="163">
        <v>110008476327</v>
      </c>
      <c r="E878" s="11" t="s">
        <v>609</v>
      </c>
      <c r="F878" s="11" t="s">
        <v>610</v>
      </c>
      <c r="G878" s="11" t="s">
        <v>1641</v>
      </c>
      <c r="H878" s="11" t="s">
        <v>340</v>
      </c>
      <c r="I878" s="11" t="s">
        <v>1982</v>
      </c>
      <c r="J878" s="11">
        <v>41.452778000000002</v>
      </c>
      <c r="K878" s="11">
        <v>-79.690278000000006</v>
      </c>
      <c r="L878" s="11">
        <v>2865</v>
      </c>
      <c r="M878" s="11">
        <v>2865</v>
      </c>
      <c r="N878" s="175" t="str">
        <f>VLOOKUP(M878, '2017 SIC to NAICS'!A:D, 2)</f>
        <v>Cyclic Crudes and Intermediates</v>
      </c>
      <c r="P878" s="187" t="str">
        <f>VLOOKUP(M878, '2017 SIC to NAICS'!A:D, 4)</f>
        <v>Cyclic Crude, Intermediate, and Gum and
Wood Chemical Manufacturing</v>
      </c>
      <c r="Q878" s="176" t="e">
        <f>IFERROR(VLOOKUP(O878, 'NAICS OES crosswalk'!A:C, 3, FALSE), VLOOKUP(M878, 'NAICS OES crosswalk'!A:C, 3, FALSE))</f>
        <v>#N/A</v>
      </c>
      <c r="U878" s="190" t="s">
        <v>1644</v>
      </c>
      <c r="V878" s="11" t="s">
        <v>1642</v>
      </c>
      <c r="W878" s="11"/>
      <c r="X878" s="11">
        <v>2.4856499999999998E-3</v>
      </c>
      <c r="Y878" s="11" t="b">
        <f t="shared" si="14"/>
        <v>0</v>
      </c>
    </row>
    <row r="879" spans="1:25" ht="29" x14ac:dyDescent="0.35">
      <c r="A879" s="11">
        <v>2022</v>
      </c>
      <c r="B879" s="11" t="s">
        <v>1980</v>
      </c>
      <c r="C879" s="11" t="s">
        <v>1723</v>
      </c>
      <c r="D879" s="163">
        <v>110054919406</v>
      </c>
      <c r="E879" s="11" t="s">
        <v>614</v>
      </c>
      <c r="F879" s="11" t="s">
        <v>615</v>
      </c>
      <c r="G879" s="11" t="s">
        <v>1482</v>
      </c>
      <c r="H879" s="11" t="s">
        <v>276</v>
      </c>
      <c r="I879" s="11" t="s">
        <v>1982</v>
      </c>
      <c r="J879" s="11">
        <v>38.814979999999998</v>
      </c>
      <c r="K879" s="11">
        <v>-78.2834</v>
      </c>
      <c r="L879" s="11">
        <v>4953</v>
      </c>
      <c r="M879" s="11">
        <v>4953</v>
      </c>
      <c r="N879" s="175" t="str">
        <f>VLOOKUP(M879, '2017 SIC to NAICS'!A:D, 2)</f>
        <v>Refuse Systems</v>
      </c>
      <c r="P879" s="187" t="str">
        <f>VLOOKUP(M879, '2017 SIC to NAICS'!A:D, 4)</f>
        <v>Materials Recovery Facilities</v>
      </c>
      <c r="Q879" s="176" t="str">
        <f>IFERROR(VLOOKUP(O879, 'NAICS OES crosswalk'!A:C, 3, FALSE), VLOOKUP(M879, 'NAICS OES crosswalk'!A:C, 3, FALSE))</f>
        <v>Waste handling, disposal, and treatment</v>
      </c>
      <c r="U879" s="190" t="s">
        <v>1725</v>
      </c>
      <c r="V879" s="11" t="s">
        <v>1724</v>
      </c>
      <c r="W879" s="11"/>
      <c r="X879" s="11">
        <v>2.2509001193459998E-3</v>
      </c>
      <c r="Y879" s="11" t="b">
        <f t="shared" si="14"/>
        <v>0</v>
      </c>
    </row>
    <row r="880" spans="1:25" x14ac:dyDescent="0.35">
      <c r="A880" s="11">
        <v>2022</v>
      </c>
      <c r="B880" s="11" t="s">
        <v>1980</v>
      </c>
      <c r="C880" s="11" t="s">
        <v>826</v>
      </c>
      <c r="D880" s="163">
        <v>110064134459</v>
      </c>
      <c r="E880" s="11" t="s">
        <v>547</v>
      </c>
      <c r="F880" s="11" t="s">
        <v>337</v>
      </c>
      <c r="G880" s="11" t="s">
        <v>823</v>
      </c>
      <c r="H880" s="11" t="s">
        <v>221</v>
      </c>
      <c r="I880" s="11" t="s">
        <v>1982</v>
      </c>
      <c r="J880" s="11">
        <v>36.075400000000002</v>
      </c>
      <c r="K880" s="11">
        <v>-115.1669</v>
      </c>
      <c r="L880" s="11">
        <v>4581</v>
      </c>
      <c r="M880" s="11">
        <v>4581</v>
      </c>
      <c r="N880" s="175" t="str">
        <f>VLOOKUP(M880, '2017 SIC to NAICS'!A:D, 2)</f>
        <v>Airports, Flying Fields, and Services</v>
      </c>
      <c r="O880" s="11">
        <v>488119</v>
      </c>
      <c r="P880" s="187" t="str">
        <f>VLOOKUP(M880, '2017 SIC to NAICS'!A:D, 4)</f>
        <v>Reupholstery and Furniture Repair</v>
      </c>
      <c r="Q880" s="176" t="e">
        <f>IFERROR(VLOOKUP(O880, 'NAICS OES crosswalk'!A:C, 3, FALSE), VLOOKUP(M880, 'NAICS OES crosswalk'!A:C, 3, FALSE))</f>
        <v>#N/A</v>
      </c>
      <c r="U880" s="188">
        <v>150100150704</v>
      </c>
      <c r="V880" s="11" t="s">
        <v>827</v>
      </c>
      <c r="W880" s="11"/>
      <c r="X880" s="11">
        <v>3.6058748750000002E-3</v>
      </c>
      <c r="Y880" s="11" t="b">
        <f t="shared" si="14"/>
        <v>0</v>
      </c>
    </row>
    <row r="881" spans="1:25" x14ac:dyDescent="0.35">
      <c r="A881" s="11">
        <v>2022</v>
      </c>
      <c r="B881" s="11" t="s">
        <v>1980</v>
      </c>
      <c r="C881" s="11" t="s">
        <v>826</v>
      </c>
      <c r="D881" s="163">
        <v>110064134459</v>
      </c>
      <c r="E881" s="11" t="s">
        <v>547</v>
      </c>
      <c r="F881" s="11" t="s">
        <v>337</v>
      </c>
      <c r="G881" s="11" t="s">
        <v>823</v>
      </c>
      <c r="H881" s="11" t="s">
        <v>221</v>
      </c>
      <c r="I881" s="11" t="s">
        <v>1982</v>
      </c>
      <c r="J881" s="11">
        <v>36.075400000000002</v>
      </c>
      <c r="K881" s="11">
        <v>-115.1669</v>
      </c>
      <c r="L881" s="11">
        <v>4581</v>
      </c>
      <c r="M881" s="11">
        <v>4581</v>
      </c>
      <c r="N881" s="175" t="str">
        <f>VLOOKUP(M881, '2017 SIC to NAICS'!A:D, 2)</f>
        <v>Airports, Flying Fields, and Services</v>
      </c>
      <c r="O881" s="11">
        <v>488119</v>
      </c>
      <c r="P881" s="187" t="str">
        <f>VLOOKUP(M881, '2017 SIC to NAICS'!A:D, 4)</f>
        <v>Reupholstery and Furniture Repair</v>
      </c>
      <c r="Q881" s="176" t="e">
        <f>IFERROR(VLOOKUP(O881, 'NAICS OES crosswalk'!A:C, 3, FALSE), VLOOKUP(M881, 'NAICS OES crosswalk'!A:C, 3, FALSE))</f>
        <v>#N/A</v>
      </c>
      <c r="U881" s="188">
        <v>150100150704</v>
      </c>
      <c r="V881" s="11" t="s">
        <v>827</v>
      </c>
      <c r="W881" s="11"/>
      <c r="X881" s="11">
        <v>2.0112543749999999E-3</v>
      </c>
      <c r="Y881" s="11" t="b">
        <f t="shared" si="14"/>
        <v>0</v>
      </c>
    </row>
    <row r="882" spans="1:25" x14ac:dyDescent="0.35">
      <c r="A882" s="11">
        <v>2022</v>
      </c>
      <c r="B882" s="11" t="s">
        <v>1980</v>
      </c>
      <c r="C882" s="11" t="s">
        <v>1608</v>
      </c>
      <c r="D882" s="163">
        <v>110000487447</v>
      </c>
      <c r="E882" s="11" t="s">
        <v>655</v>
      </c>
      <c r="F882" s="11" t="s">
        <v>600</v>
      </c>
      <c r="G882" s="11" t="s">
        <v>1605</v>
      </c>
      <c r="H882" s="11" t="s">
        <v>601</v>
      </c>
      <c r="I882" s="11" t="s">
        <v>1982</v>
      </c>
      <c r="J882" s="11">
        <v>45.548641000000003</v>
      </c>
      <c r="K882" s="11">
        <v>-122.72292299999999</v>
      </c>
      <c r="L882" s="11">
        <v>5169</v>
      </c>
      <c r="M882" s="11">
        <v>5169</v>
      </c>
      <c r="N882" s="175" t="str">
        <f>VLOOKUP(M882, '2017 SIC to NAICS'!A:D, 2)</f>
        <v>Chemicals and Allied Products, Nec</v>
      </c>
      <c r="P882" s="187" t="str">
        <f>VLOOKUP(M882, '2017 SIC to NAICS'!A:D, 4)</f>
        <v>Wholesale Trade Agents and Brokers</v>
      </c>
      <c r="Q882" s="176" t="e">
        <f>IFERROR(VLOOKUP(O882, 'NAICS OES crosswalk'!A:C, 3, FALSE), VLOOKUP(M882, 'NAICS OES crosswalk'!A:C, 3, FALSE))</f>
        <v>#N/A</v>
      </c>
      <c r="U882" s="188">
        <v>170900120202</v>
      </c>
      <c r="V882" s="11" t="s">
        <v>1609</v>
      </c>
      <c r="W882" s="11"/>
      <c r="X882" s="11">
        <v>1.527638112E-3</v>
      </c>
      <c r="Y882" s="11" t="b">
        <f t="shared" si="14"/>
        <v>0</v>
      </c>
    </row>
    <row r="883" spans="1:25" x14ac:dyDescent="0.35">
      <c r="A883" s="11">
        <v>2022</v>
      </c>
      <c r="B883" s="11" t="s">
        <v>1980</v>
      </c>
      <c r="C883" s="11" t="s">
        <v>1554</v>
      </c>
      <c r="D883" s="163">
        <v>110008995490</v>
      </c>
      <c r="E883" s="11" t="s">
        <v>394</v>
      </c>
      <c r="F883" s="11" t="s">
        <v>337</v>
      </c>
      <c r="G883" s="11" t="s">
        <v>736</v>
      </c>
      <c r="H883" s="11" t="s">
        <v>221</v>
      </c>
      <c r="I883" s="11" t="s">
        <v>1982</v>
      </c>
      <c r="J883" s="11">
        <v>36.176639999999999</v>
      </c>
      <c r="K883" s="11">
        <v>-115.12891999999999</v>
      </c>
      <c r="L883" s="11">
        <v>6513</v>
      </c>
      <c r="M883" s="11">
        <v>6513</v>
      </c>
      <c r="N883" s="175" t="str">
        <f>VLOOKUP(M883, '2017 SIC to NAICS'!A:D, 2)</f>
        <v>Apartment Building Operators</v>
      </c>
      <c r="O883" s="11">
        <v>531311</v>
      </c>
      <c r="P883" s="187" t="str">
        <f>VLOOKUP(M883, '2017 SIC to NAICS'!A:D, 4)</f>
        <v>Lessors of Residential Buildings and
Dwellings</v>
      </c>
      <c r="Q883" s="176" t="e">
        <f>IFERROR(VLOOKUP(O883, 'NAICS OES crosswalk'!A:C, 3, FALSE), VLOOKUP(M883, 'NAICS OES crosswalk'!A:C, 3, FALSE))</f>
        <v>#N/A</v>
      </c>
      <c r="U883" s="188">
        <v>150100150604</v>
      </c>
      <c r="V883" s="11" t="s">
        <v>738</v>
      </c>
      <c r="W883" s="11"/>
      <c r="X883" s="11">
        <v>1.5196775E-3</v>
      </c>
      <c r="Y883" s="11" t="b">
        <f t="shared" si="14"/>
        <v>0</v>
      </c>
    </row>
    <row r="884" spans="1:25" x14ac:dyDescent="0.35">
      <c r="A884" s="11">
        <v>2022</v>
      </c>
      <c r="B884" s="11" t="s">
        <v>1980</v>
      </c>
      <c r="C884" s="11" t="s">
        <v>1316</v>
      </c>
      <c r="D884" s="163">
        <v>110000911309</v>
      </c>
      <c r="E884" s="11" t="s">
        <v>573</v>
      </c>
      <c r="F884" s="11" t="s">
        <v>209</v>
      </c>
      <c r="G884" s="11" t="s">
        <v>1299</v>
      </c>
      <c r="H884" s="11" t="s">
        <v>91</v>
      </c>
      <c r="I884" s="11" t="s">
        <v>1982</v>
      </c>
      <c r="J884" s="11">
        <v>30.233011999999999</v>
      </c>
      <c r="K884" s="11">
        <v>-91.022057000000004</v>
      </c>
      <c r="L884" s="11">
        <v>4789</v>
      </c>
      <c r="M884" s="11">
        <v>4789</v>
      </c>
      <c r="N884" s="175" t="str">
        <f>VLOOKUP(M884, '2017 SIC to NAICS'!A:D, 2)</f>
        <v>Transportation Services, Nec</v>
      </c>
      <c r="P884" s="187" t="str">
        <f>VLOOKUP(M884, '2017 SIC to NAICS'!A:D, 4)</f>
        <v>Food Service Contractors</v>
      </c>
      <c r="Q884" s="176" t="e">
        <f>IFERROR(VLOOKUP(O884, 'NAICS OES crosswalk'!A:C, 3, FALSE), VLOOKUP(M884, 'NAICS OES crosswalk'!A:C, 3, FALSE))</f>
        <v>#N/A</v>
      </c>
      <c r="U884" s="190" t="s">
        <v>1302</v>
      </c>
      <c r="V884" s="11" t="s">
        <v>1300</v>
      </c>
      <c r="W884" s="11"/>
      <c r="X884" s="11">
        <v>1.3200050407300001E-3</v>
      </c>
      <c r="Y884" s="11" t="b">
        <f t="shared" si="14"/>
        <v>0</v>
      </c>
    </row>
    <row r="885" spans="1:25" x14ac:dyDescent="0.35">
      <c r="A885" s="11">
        <v>2022</v>
      </c>
      <c r="B885" s="11" t="s">
        <v>1980</v>
      </c>
      <c r="C885" s="11" t="s">
        <v>1515</v>
      </c>
      <c r="D885" s="163">
        <v>110070212323</v>
      </c>
      <c r="E885" s="11" t="s">
        <v>662</v>
      </c>
      <c r="F885" s="11" t="s">
        <v>557</v>
      </c>
      <c r="G885" s="11" t="s">
        <v>818</v>
      </c>
      <c r="H885" s="11" t="s">
        <v>254</v>
      </c>
      <c r="I885" s="11" t="s">
        <v>1982</v>
      </c>
      <c r="J885" s="11">
        <v>40.428542</v>
      </c>
      <c r="K885" s="11">
        <v>-74.518662000000006</v>
      </c>
      <c r="M885" s="11"/>
      <c r="N885" s="175" t="e">
        <f>VLOOKUP(M885, '2017 SIC to NAICS'!A:D, 2)</f>
        <v>#N/A</v>
      </c>
      <c r="P885" s="187" t="e">
        <f>VLOOKUP(M885, '2017 SIC to NAICS'!A:D, 4)</f>
        <v>#N/A</v>
      </c>
      <c r="Q885" s="176" t="e">
        <f>IFERROR(VLOOKUP(O885, 'NAICS OES crosswalk'!A:C, 3, FALSE), VLOOKUP(M885, 'NAICS OES crosswalk'!A:C, 3, FALSE))</f>
        <v>#N/A</v>
      </c>
      <c r="U885" s="190" t="s">
        <v>1512</v>
      </c>
      <c r="V885" s="11" t="s">
        <v>1510</v>
      </c>
      <c r="W885" s="11"/>
      <c r="X885" s="11">
        <v>1.3020369719999999E-3</v>
      </c>
      <c r="Y885" s="11" t="b">
        <f t="shared" si="14"/>
        <v>0</v>
      </c>
    </row>
    <row r="886" spans="1:25" x14ac:dyDescent="0.35">
      <c r="A886" s="11">
        <v>2022</v>
      </c>
      <c r="B886" s="11" t="s">
        <v>1980</v>
      </c>
      <c r="C886" s="11" t="s">
        <v>1347</v>
      </c>
      <c r="D886" s="163">
        <v>110041245015</v>
      </c>
      <c r="E886" s="11" t="s">
        <v>673</v>
      </c>
      <c r="F886" s="11" t="s">
        <v>674</v>
      </c>
      <c r="G886" s="11" t="s">
        <v>1250</v>
      </c>
      <c r="H886" s="11" t="s">
        <v>481</v>
      </c>
      <c r="I886" s="11" t="s">
        <v>1982</v>
      </c>
      <c r="J886" s="11">
        <v>39.567390000000003</v>
      </c>
      <c r="K886" s="11">
        <v>-76.920410000000004</v>
      </c>
      <c r="M886" s="11"/>
      <c r="N886" s="175" t="e">
        <f>VLOOKUP(M886, '2017 SIC to NAICS'!A:D, 2)</f>
        <v>#N/A</v>
      </c>
      <c r="P886" s="187" t="e">
        <f>VLOOKUP(M886, '2017 SIC to NAICS'!A:D, 4)</f>
        <v>#N/A</v>
      </c>
      <c r="Q886" s="176" t="e">
        <f>IFERROR(VLOOKUP(O886, 'NAICS OES crosswalk'!A:C, 3, FALSE), VLOOKUP(M886, 'NAICS OES crosswalk'!A:C, 3, FALSE))</f>
        <v>#N/A</v>
      </c>
      <c r="U886" s="190" t="s">
        <v>1349</v>
      </c>
      <c r="V886" s="11" t="s">
        <v>1348</v>
      </c>
      <c r="W886" s="11"/>
      <c r="X886" s="11">
        <v>1.0603204375E-3</v>
      </c>
      <c r="Y886" s="11" t="b">
        <f t="shared" si="14"/>
        <v>1</v>
      </c>
    </row>
    <row r="887" spans="1:25" x14ac:dyDescent="0.35">
      <c r="A887" s="11">
        <v>2022</v>
      </c>
      <c r="B887" s="11" t="s">
        <v>1980</v>
      </c>
      <c r="C887" s="11" t="s">
        <v>1509</v>
      </c>
      <c r="D887" s="163">
        <v>110070220269</v>
      </c>
      <c r="E887" s="11" t="s">
        <v>659</v>
      </c>
      <c r="F887" s="11" t="s">
        <v>660</v>
      </c>
      <c r="G887" s="11" t="s">
        <v>818</v>
      </c>
      <c r="H887" s="11" t="s">
        <v>254</v>
      </c>
      <c r="I887" s="11" t="s">
        <v>1982</v>
      </c>
      <c r="J887" s="11">
        <v>40.471558999999999</v>
      </c>
      <c r="K887" s="11">
        <v>-74.446973</v>
      </c>
      <c r="L887" s="11">
        <v>3053</v>
      </c>
      <c r="M887" s="11">
        <v>3053</v>
      </c>
      <c r="N887" s="175" t="str">
        <f>VLOOKUP(M887, '2017 SIC to NAICS'!A:D, 2)</f>
        <v>Gaskets; Packing and Sealing Devices</v>
      </c>
      <c r="P887" s="187" t="str">
        <f>VLOOKUP(M887, '2017 SIC to NAICS'!A:D, 4)</f>
        <v>Gasket, Packing, and Sealing Device
Manufacturing</v>
      </c>
      <c r="Q887" s="176" t="e">
        <f>IFERROR(VLOOKUP(O887, 'NAICS OES crosswalk'!A:C, 3, FALSE), VLOOKUP(M887, 'NAICS OES crosswalk'!A:C, 3, FALSE))</f>
        <v>#N/A</v>
      </c>
      <c r="U887" s="190" t="s">
        <v>1512</v>
      </c>
      <c r="V887" s="11" t="s">
        <v>1510</v>
      </c>
      <c r="W887" s="11"/>
      <c r="X887" s="11">
        <v>1.0124084616300001E-3</v>
      </c>
      <c r="Y887" s="11" t="b">
        <f t="shared" si="14"/>
        <v>1</v>
      </c>
    </row>
    <row r="888" spans="1:25" x14ac:dyDescent="0.35">
      <c r="A888" s="11">
        <v>2022</v>
      </c>
      <c r="B888" s="11" t="s">
        <v>1980</v>
      </c>
      <c r="C888" s="11" t="s">
        <v>1385</v>
      </c>
      <c r="D888" s="163">
        <v>110009900312</v>
      </c>
      <c r="E888" s="11" t="s">
        <v>648</v>
      </c>
      <c r="F888" s="11" t="s">
        <v>378</v>
      </c>
      <c r="G888" s="11" t="s">
        <v>814</v>
      </c>
      <c r="H888" s="11" t="s">
        <v>181</v>
      </c>
      <c r="I888" s="11" t="s">
        <v>1982</v>
      </c>
      <c r="J888" s="11">
        <v>42.672580000000004</v>
      </c>
      <c r="K888" s="11">
        <v>-84.663955999999999</v>
      </c>
      <c r="L888" s="11">
        <v>9199</v>
      </c>
      <c r="M888" s="11">
        <v>9199</v>
      </c>
      <c r="N888" s="175" t="str">
        <f>VLOOKUP(M888, '2017 SIC to NAICS'!A:D, 2)</f>
        <v>General Government, Nec</v>
      </c>
      <c r="O888" s="11">
        <v>921190</v>
      </c>
      <c r="P888" s="187" t="str">
        <f>VLOOKUP(M888, '2017 SIC to NAICS'!A:D, 4)</f>
        <v>Other General Government Support</v>
      </c>
      <c r="Q888" s="176" t="e">
        <f>IFERROR(VLOOKUP(O888, 'NAICS OES crosswalk'!A:C, 3, FALSE), VLOOKUP(M888, 'NAICS OES crosswalk'!A:C, 3, FALSE))</f>
        <v>#N/A</v>
      </c>
      <c r="U888" s="190" t="s">
        <v>1387</v>
      </c>
      <c r="V888" s="11" t="s">
        <v>1386</v>
      </c>
      <c r="W888" s="11"/>
      <c r="X888" s="11">
        <v>2.5295155000000001E-3</v>
      </c>
      <c r="Y888" s="11" t="b">
        <f t="shared" si="14"/>
        <v>0</v>
      </c>
    </row>
    <row r="889" spans="1:25" x14ac:dyDescent="0.35">
      <c r="A889" s="11">
        <v>2022</v>
      </c>
      <c r="B889" s="11" t="s">
        <v>1980</v>
      </c>
      <c r="C889" s="11" t="s">
        <v>824</v>
      </c>
      <c r="D889" s="163">
        <v>110059861065</v>
      </c>
      <c r="E889" s="11" t="s">
        <v>677</v>
      </c>
      <c r="F889" s="11" t="s">
        <v>337</v>
      </c>
      <c r="G889" s="11" t="s">
        <v>823</v>
      </c>
      <c r="H889" s="11" t="s">
        <v>221</v>
      </c>
      <c r="I889" s="11" t="s">
        <v>1982</v>
      </c>
      <c r="J889" s="11">
        <v>36.108890000000002</v>
      </c>
      <c r="K889" s="11">
        <v>-115.18118</v>
      </c>
      <c r="L889" s="11">
        <v>6531</v>
      </c>
      <c r="M889" s="11">
        <v>6531</v>
      </c>
      <c r="N889" s="175" t="str">
        <f>VLOOKUP(M889, '2017 SIC to NAICS'!A:D, 2)</f>
        <v>Real Estate Agents and Managers</v>
      </c>
      <c r="P889" s="187" t="str">
        <f>VLOOKUP(M889, '2017 SIC to NAICS'!A:D, 4)</f>
        <v>Other Similar Organizations (except Business, Professional, Labor, and
Political Organizations)</v>
      </c>
      <c r="Q889" s="176" t="e">
        <f>IFERROR(VLOOKUP(O889, 'NAICS OES crosswalk'!A:C, 3, FALSE), VLOOKUP(M889, 'NAICS OES crosswalk'!A:C, 3, FALSE))</f>
        <v>#N/A</v>
      </c>
      <c r="U889" s="188">
        <v>150100150505</v>
      </c>
      <c r="V889" s="11" t="s">
        <v>825</v>
      </c>
      <c r="W889" s="11"/>
      <c r="X889" s="11">
        <v>6.8661792500000003E-4</v>
      </c>
      <c r="Y889" s="11" t="b">
        <f t="shared" si="14"/>
        <v>1</v>
      </c>
    </row>
    <row r="890" spans="1:25" x14ac:dyDescent="0.35">
      <c r="A890" s="11">
        <v>2022</v>
      </c>
      <c r="B890" s="11" t="s">
        <v>1980</v>
      </c>
      <c r="C890" s="11" t="s">
        <v>1750</v>
      </c>
      <c r="D890" s="163">
        <v>110071076435</v>
      </c>
      <c r="E890" s="11" t="s">
        <v>681</v>
      </c>
      <c r="F890" s="11" t="s">
        <v>645</v>
      </c>
      <c r="G890" s="11" t="s">
        <v>1743</v>
      </c>
      <c r="H890" s="11" t="s">
        <v>276</v>
      </c>
      <c r="I890" s="11" t="s">
        <v>1982</v>
      </c>
      <c r="J890" s="11">
        <v>36.840694999999997</v>
      </c>
      <c r="K890" s="11">
        <v>-75.984082999999998</v>
      </c>
      <c r="L890" s="11">
        <v>1799</v>
      </c>
      <c r="M890" s="11">
        <v>1799</v>
      </c>
      <c r="N890" s="175" t="str">
        <f>VLOOKUP(M890, '2017 SIC to NAICS'!A:D, 2)</f>
        <v>Special Trade Contractors, Nec</v>
      </c>
      <c r="P890" s="187" t="str">
        <f>VLOOKUP(M890, '2017 SIC to NAICS'!A:D, 4)</f>
        <v>Remediation Services</v>
      </c>
      <c r="Q890" s="176" t="e">
        <f>IFERROR(VLOOKUP(O890, 'NAICS OES crosswalk'!A:C, 3, FALSE), VLOOKUP(M890, 'NAICS OES crosswalk'!A:C, 3, FALSE))</f>
        <v>#N/A</v>
      </c>
      <c r="U890" s="190" t="s">
        <v>1752</v>
      </c>
      <c r="V890" s="11" t="s">
        <v>1751</v>
      </c>
      <c r="W890" s="11"/>
      <c r="X890" s="11">
        <v>6.1416356249999996E-4</v>
      </c>
      <c r="Y890" s="11" t="b">
        <f t="shared" si="14"/>
        <v>1</v>
      </c>
    </row>
    <row r="891" spans="1:25" x14ac:dyDescent="0.35">
      <c r="A891" s="11">
        <v>2022</v>
      </c>
      <c r="B891" s="11" t="s">
        <v>1980</v>
      </c>
      <c r="C891" s="11" t="s">
        <v>1698</v>
      </c>
      <c r="D891" s="163">
        <v>110000463677</v>
      </c>
      <c r="E891" s="11" t="s">
        <v>649</v>
      </c>
      <c r="F891" s="11" t="s">
        <v>421</v>
      </c>
      <c r="G891" s="11" t="s">
        <v>747</v>
      </c>
      <c r="H891" s="11" t="s">
        <v>95</v>
      </c>
      <c r="I891" s="11" t="s">
        <v>1982</v>
      </c>
      <c r="J891" s="11">
        <v>29.726065999999999</v>
      </c>
      <c r="K891" s="11">
        <v>-95.079583999999997</v>
      </c>
      <c r="L891" s="11">
        <v>2821</v>
      </c>
      <c r="M891" s="11">
        <v>2821</v>
      </c>
      <c r="N891" s="175" t="str">
        <f>VLOOKUP(M891, '2017 SIC to NAICS'!A:D, 2)</f>
        <v>Plastics Materials and Resins</v>
      </c>
      <c r="P891" s="187" t="str">
        <f>VLOOKUP(M891, '2017 SIC to NAICS'!A:D, 4)</f>
        <v>Plastics Material and Resin Manufacturing</v>
      </c>
      <c r="Q891" s="176" t="str">
        <f>IFERROR(VLOOKUP(O891, 'NAICS OES crosswalk'!A:C, 3, FALSE), VLOOKUP(M891, 'NAICS OES crosswalk'!A:C, 3, FALSE))</f>
        <v>Processing as a reactant</v>
      </c>
      <c r="U891" s="188">
        <v>120401040706</v>
      </c>
      <c r="V891" s="11" t="s">
        <v>750</v>
      </c>
      <c r="W891" s="11"/>
      <c r="X891" s="11">
        <v>3.9438980000000004E-3</v>
      </c>
      <c r="Y891" s="11" t="b">
        <f t="shared" si="14"/>
        <v>0</v>
      </c>
    </row>
    <row r="892" spans="1:25" x14ac:dyDescent="0.35">
      <c r="A892" s="11">
        <v>2022</v>
      </c>
      <c r="B892" s="11" t="s">
        <v>1980</v>
      </c>
      <c r="C892" s="11" t="s">
        <v>735</v>
      </c>
      <c r="D892" s="163">
        <v>110004306938</v>
      </c>
      <c r="E892" s="11" t="s">
        <v>336</v>
      </c>
      <c r="F892" s="11" t="s">
        <v>337</v>
      </c>
      <c r="G892" s="11" t="s">
        <v>736</v>
      </c>
      <c r="H892" s="11" t="s">
        <v>221</v>
      </c>
      <c r="I892" s="11" t="s">
        <v>1982</v>
      </c>
      <c r="J892" s="11">
        <v>36.122100000000003</v>
      </c>
      <c r="K892" s="11">
        <v>-115.17139</v>
      </c>
      <c r="L892" s="11">
        <v>7011</v>
      </c>
      <c r="M892" s="11">
        <v>7011</v>
      </c>
      <c r="N892" s="175" t="str">
        <f>VLOOKUP(M892, '2017 SIC to NAICS'!A:D, 2)</f>
        <v>Hotels and Motels</v>
      </c>
      <c r="P892" s="187" t="str">
        <f>VLOOKUP(M892, '2017 SIC to NAICS'!A:D, 4)</f>
        <v>All Other Traveler Accommodation</v>
      </c>
      <c r="Q892" s="176" t="e">
        <f>IFERROR(VLOOKUP(O892, 'NAICS OES crosswalk'!A:C, 3, FALSE), VLOOKUP(M892, 'NAICS OES crosswalk'!A:C, 3, FALSE))</f>
        <v>#N/A</v>
      </c>
      <c r="U892" s="188">
        <v>150100150604</v>
      </c>
      <c r="V892" s="11" t="s">
        <v>738</v>
      </c>
      <c r="W892" s="11"/>
      <c r="X892" s="11">
        <v>5.6642525000000004E-4</v>
      </c>
      <c r="Y892" s="11" t="b">
        <f t="shared" si="14"/>
        <v>1</v>
      </c>
    </row>
    <row r="893" spans="1:25" x14ac:dyDescent="0.35">
      <c r="A893" s="11">
        <v>2022</v>
      </c>
      <c r="B893" s="11" t="s">
        <v>1980</v>
      </c>
      <c r="C893" s="11" t="s">
        <v>1486</v>
      </c>
      <c r="D893" s="163">
        <v>110041022274</v>
      </c>
      <c r="E893" s="11" t="s">
        <v>699</v>
      </c>
      <c r="F893" s="11" t="s">
        <v>700</v>
      </c>
      <c r="G893" s="11" t="s">
        <v>1487</v>
      </c>
      <c r="H893" s="11" t="s">
        <v>254</v>
      </c>
      <c r="I893" s="11" t="s">
        <v>1981</v>
      </c>
      <c r="J893" s="11">
        <v>39.766944000000002</v>
      </c>
      <c r="K893" s="11">
        <v>-75.421361000000005</v>
      </c>
      <c r="L893" s="11">
        <v>2821</v>
      </c>
      <c r="M893" s="11">
        <v>2821</v>
      </c>
      <c r="N893" s="175" t="str">
        <f>VLOOKUP(M893, '2017 SIC to NAICS'!A:D, 2)</f>
        <v>Plastics Materials and Resins</v>
      </c>
      <c r="O893" s="11">
        <v>325211</v>
      </c>
      <c r="P893" s="187" t="str">
        <f>VLOOKUP(M893, '2017 SIC to NAICS'!A:D, 4)</f>
        <v>Plastics Material and Resin Manufacturing</v>
      </c>
      <c r="Q893" s="176" t="str">
        <f>IFERROR(VLOOKUP(O893, 'NAICS OES crosswalk'!A:C, 3, FALSE), VLOOKUP(M893, 'NAICS OES crosswalk'!A:C, 3, FALSE))</f>
        <v>Processing as a reactant</v>
      </c>
      <c r="U893" s="190" t="s">
        <v>1490</v>
      </c>
      <c r="V893" s="11" t="s">
        <v>1488</v>
      </c>
      <c r="W893" s="11"/>
      <c r="X893" s="11">
        <v>3.3200000000000001E-5</v>
      </c>
      <c r="Y893" s="11" t="b">
        <f t="shared" si="14"/>
        <v>1</v>
      </c>
    </row>
    <row r="894" spans="1:25" x14ac:dyDescent="0.35">
      <c r="A894" s="11">
        <v>2022</v>
      </c>
      <c r="B894" s="11" t="s">
        <v>1980</v>
      </c>
      <c r="C894" s="11" t="s">
        <v>1516</v>
      </c>
      <c r="D894" s="163">
        <v>110070217974</v>
      </c>
      <c r="E894" s="11" t="s">
        <v>684</v>
      </c>
      <c r="F894" s="11" t="s">
        <v>685</v>
      </c>
      <c r="G894" s="11" t="s">
        <v>1517</v>
      </c>
      <c r="H894" s="11" t="s">
        <v>254</v>
      </c>
      <c r="I894" s="11" t="s">
        <v>1982</v>
      </c>
      <c r="J894" s="11">
        <v>40.52516</v>
      </c>
      <c r="K894" s="11">
        <v>-74.601039999999998</v>
      </c>
      <c r="L894" s="11">
        <v>2851</v>
      </c>
      <c r="M894" s="11">
        <v>2851</v>
      </c>
      <c r="N894" s="175" t="str">
        <f>VLOOKUP(M894, '2017 SIC to NAICS'!A:D, 2)</f>
        <v>Paints and Allied Products</v>
      </c>
      <c r="P894" s="187" t="str">
        <f>VLOOKUP(M894, '2017 SIC to NAICS'!A:D, 4)</f>
        <v>Paint and Coating Manufacturing</v>
      </c>
      <c r="Q894" s="176" t="e">
        <f>IFERROR(VLOOKUP(O894, 'NAICS OES crosswalk'!A:C, 3, FALSE), VLOOKUP(M894, 'NAICS OES crosswalk'!A:C, 3, FALSE))</f>
        <v>#N/A</v>
      </c>
      <c r="U894" s="190" t="s">
        <v>1521</v>
      </c>
      <c r="V894" s="11" t="s">
        <v>1520</v>
      </c>
      <c r="W894" s="11"/>
      <c r="X894" s="11">
        <v>3.7953574253999999E-4</v>
      </c>
      <c r="Y894" s="11" t="b">
        <f t="shared" ref="Y894:Y906" si="15" xml:space="preserve"> X894 &lt;= _xlfn.PERCENTILE.INC($X$701:$X$906, 0.1)</f>
        <v>1</v>
      </c>
    </row>
    <row r="895" spans="1:25" x14ac:dyDescent="0.35">
      <c r="A895" s="11">
        <v>2022</v>
      </c>
      <c r="B895" s="11" t="s">
        <v>1980</v>
      </c>
      <c r="C895" s="11" t="s">
        <v>824</v>
      </c>
      <c r="D895" s="163">
        <v>110059861065</v>
      </c>
      <c r="E895" s="11" t="s">
        <v>677</v>
      </c>
      <c r="F895" s="11" t="s">
        <v>337</v>
      </c>
      <c r="G895" s="11" t="s">
        <v>823</v>
      </c>
      <c r="H895" s="11" t="s">
        <v>221</v>
      </c>
      <c r="I895" s="11" t="s">
        <v>1982</v>
      </c>
      <c r="J895" s="11">
        <v>36.108890000000002</v>
      </c>
      <c r="K895" s="11">
        <v>-115.18118</v>
      </c>
      <c r="L895" s="11">
        <v>6531</v>
      </c>
      <c r="M895" s="11">
        <v>6531</v>
      </c>
      <c r="N895" s="175" t="str">
        <f>VLOOKUP(M895, '2017 SIC to NAICS'!A:D, 2)</f>
        <v>Real Estate Agents and Managers</v>
      </c>
      <c r="P895" s="187" t="str">
        <f>VLOOKUP(M895, '2017 SIC to NAICS'!A:D, 4)</f>
        <v>Other Similar Organizations (except Business, Professional, Labor, and
Political Organizations)</v>
      </c>
      <c r="Q895" s="176" t="e">
        <f>IFERROR(VLOOKUP(O895, 'NAICS OES crosswalk'!A:C, 3, FALSE), VLOOKUP(M895, 'NAICS OES crosswalk'!A:C, 3, FALSE))</f>
        <v>#N/A</v>
      </c>
      <c r="U895" s="188">
        <v>150100150505</v>
      </c>
      <c r="V895" s="11" t="s">
        <v>825</v>
      </c>
      <c r="W895" s="11"/>
      <c r="X895" s="11">
        <v>3.2673066250000002E-4</v>
      </c>
      <c r="Y895" s="11" t="b">
        <f t="shared" si="15"/>
        <v>1</v>
      </c>
    </row>
    <row r="896" spans="1:25" x14ac:dyDescent="0.35">
      <c r="A896" s="11">
        <v>2022</v>
      </c>
      <c r="B896" s="11" t="s">
        <v>1980</v>
      </c>
      <c r="C896" s="11" t="s">
        <v>1717</v>
      </c>
      <c r="D896" s="163">
        <v>110070546877</v>
      </c>
      <c r="E896" s="11" t="s">
        <v>616</v>
      </c>
      <c r="F896" s="11" t="s">
        <v>275</v>
      </c>
      <c r="G896" s="11" t="s">
        <v>1718</v>
      </c>
      <c r="H896" s="11" t="s">
        <v>276</v>
      </c>
      <c r="I896" s="11" t="s">
        <v>1982</v>
      </c>
      <c r="J896" s="11">
        <v>38.861800000000002</v>
      </c>
      <c r="K896" s="11">
        <v>-77.086969999999994</v>
      </c>
      <c r="L896" s="11">
        <v>1794</v>
      </c>
      <c r="M896" s="11">
        <v>1794</v>
      </c>
      <c r="N896" s="175" t="str">
        <f>VLOOKUP(M896, '2017 SIC to NAICS'!A:D, 2)</f>
        <v>Excavation Work</v>
      </c>
      <c r="P896" s="187" t="str">
        <f>VLOOKUP(M896, '2017 SIC to NAICS'!A:D, 4)</f>
        <v>Site Preparation Contractors</v>
      </c>
      <c r="Q896" s="176" t="e">
        <f>IFERROR(VLOOKUP(O896, 'NAICS OES crosswalk'!A:C, 3, FALSE), VLOOKUP(M896, 'NAICS OES crosswalk'!A:C, 3, FALSE))</f>
        <v>#N/A</v>
      </c>
      <c r="U896" s="190" t="s">
        <v>1713</v>
      </c>
      <c r="V896" s="11" t="s">
        <v>1711</v>
      </c>
      <c r="W896" s="11"/>
      <c r="X896" s="11">
        <v>2.9379204064999999E-4</v>
      </c>
      <c r="Y896" s="11" t="b">
        <f t="shared" si="15"/>
        <v>1</v>
      </c>
    </row>
    <row r="897" spans="1:25" x14ac:dyDescent="0.35">
      <c r="A897" s="11">
        <v>2022</v>
      </c>
      <c r="B897" s="11" t="s">
        <v>1980</v>
      </c>
      <c r="C897" s="11" t="s">
        <v>1746</v>
      </c>
      <c r="D897" s="163">
        <v>110070884091</v>
      </c>
      <c r="E897" s="11" t="s">
        <v>397</v>
      </c>
      <c r="F897" s="11" t="s">
        <v>396</v>
      </c>
      <c r="G897" s="11" t="s">
        <v>1733</v>
      </c>
      <c r="H897" s="11" t="s">
        <v>276</v>
      </c>
      <c r="I897" s="11" t="s">
        <v>1982</v>
      </c>
      <c r="J897" s="11">
        <v>38.828830000000004</v>
      </c>
      <c r="K897" s="11">
        <v>-77.049679999999995</v>
      </c>
      <c r="L897" s="11">
        <v>1794</v>
      </c>
      <c r="M897" s="11">
        <v>1794</v>
      </c>
      <c r="N897" s="175" t="str">
        <f>VLOOKUP(M897, '2017 SIC to NAICS'!A:D, 2)</f>
        <v>Excavation Work</v>
      </c>
      <c r="P897" s="187" t="str">
        <f>VLOOKUP(M897, '2017 SIC to NAICS'!A:D, 4)</f>
        <v>Site Preparation Contractors</v>
      </c>
      <c r="Q897" s="176" t="e">
        <f>IFERROR(VLOOKUP(O897, 'NAICS OES crosswalk'!A:C, 3, FALSE), VLOOKUP(M897, 'NAICS OES crosswalk'!A:C, 3, FALSE))</f>
        <v>#N/A</v>
      </c>
      <c r="U897" s="190" t="s">
        <v>1713</v>
      </c>
      <c r="V897" s="11" t="s">
        <v>1711</v>
      </c>
      <c r="W897" s="11"/>
      <c r="X897" s="191">
        <v>2.4698140461428501E-4</v>
      </c>
      <c r="Y897" s="11" t="b">
        <f t="shared" si="15"/>
        <v>1</v>
      </c>
    </row>
    <row r="898" spans="1:25" x14ac:dyDescent="0.35">
      <c r="A898" s="11">
        <v>2022</v>
      </c>
      <c r="B898" s="11" t="s">
        <v>1980</v>
      </c>
      <c r="C898" s="11" t="s">
        <v>1596</v>
      </c>
      <c r="D898" s="163">
        <v>110002321345</v>
      </c>
      <c r="E898" s="11" t="s">
        <v>629</v>
      </c>
      <c r="F898" s="11" t="s">
        <v>620</v>
      </c>
      <c r="G898" s="11" t="s">
        <v>1589</v>
      </c>
      <c r="H898" s="11" t="s">
        <v>126</v>
      </c>
      <c r="I898" s="11" t="s">
        <v>1982</v>
      </c>
      <c r="J898" s="11">
        <v>43.107216000000001</v>
      </c>
      <c r="K898" s="11">
        <v>-75.225815999999995</v>
      </c>
      <c r="L898" s="11">
        <v>5169</v>
      </c>
      <c r="M898" s="11">
        <v>5169</v>
      </c>
      <c r="N898" s="175" t="str">
        <f>VLOOKUP(M898, '2017 SIC to NAICS'!A:D, 2)</f>
        <v>Chemicals and Allied Products, Nec</v>
      </c>
      <c r="P898" s="187" t="str">
        <f>VLOOKUP(M898, '2017 SIC to NAICS'!A:D, 4)</f>
        <v>Wholesale Trade Agents and Brokers</v>
      </c>
      <c r="Q898" s="176" t="e">
        <f>IFERROR(VLOOKUP(O898, 'NAICS OES crosswalk'!A:C, 3, FALSE), VLOOKUP(M898, 'NAICS OES crosswalk'!A:C, 3, FALSE))</f>
        <v>#N/A</v>
      </c>
      <c r="U898" s="190" t="s">
        <v>1584</v>
      </c>
      <c r="V898" s="11" t="s">
        <v>1583</v>
      </c>
      <c r="W898" s="11"/>
      <c r="X898" s="11">
        <v>5.9606937000000002E-3</v>
      </c>
      <c r="Y898" s="11" t="b">
        <f t="shared" si="15"/>
        <v>0</v>
      </c>
    </row>
    <row r="899" spans="1:25" x14ac:dyDescent="0.35">
      <c r="A899" s="11">
        <v>2022</v>
      </c>
      <c r="B899" s="11" t="s">
        <v>1980</v>
      </c>
      <c r="C899" s="11" t="s">
        <v>1309</v>
      </c>
      <c r="D899" s="163">
        <v>110000597355</v>
      </c>
      <c r="E899" s="11" t="s">
        <v>533</v>
      </c>
      <c r="F899" s="11" t="s">
        <v>534</v>
      </c>
      <c r="G899" s="11" t="s">
        <v>1310</v>
      </c>
      <c r="H899" s="11" t="s">
        <v>91</v>
      </c>
      <c r="I899" s="11" t="s">
        <v>1982</v>
      </c>
      <c r="J899" s="11">
        <v>30.486767</v>
      </c>
      <c r="K899" s="11">
        <v>-90.925479999999993</v>
      </c>
      <c r="L899" s="11">
        <v>2899</v>
      </c>
      <c r="M899" s="11">
        <v>2899</v>
      </c>
      <c r="N899" s="175" t="str">
        <f>VLOOKUP(M899, '2017 SIC to NAICS'!A:D, 2)</f>
        <v>Chemical Preparations, Nec</v>
      </c>
      <c r="P899" s="187" t="str">
        <f>VLOOKUP(M899, '2017 SIC to NAICS'!A:D, 4)</f>
        <v>All Other Miscellaneous Chemical Product and Preparation Manufacturing</v>
      </c>
      <c r="Q899" s="176" t="e">
        <f>IFERROR(VLOOKUP(O899, 'NAICS OES crosswalk'!A:C, 3, FALSE), VLOOKUP(M899, 'NAICS OES crosswalk'!A:C, 3, FALSE))</f>
        <v>#N/A</v>
      </c>
      <c r="U899" s="190" t="s">
        <v>1312</v>
      </c>
      <c r="V899" s="11" t="s">
        <v>1311</v>
      </c>
      <c r="W899" s="11"/>
      <c r="X899" s="11">
        <v>8.2855000000000005E-5</v>
      </c>
      <c r="Y899" s="11" t="b">
        <f t="shared" si="15"/>
        <v>1</v>
      </c>
    </row>
    <row r="900" spans="1:25" x14ac:dyDescent="0.35">
      <c r="A900" s="11">
        <v>2022</v>
      </c>
      <c r="B900" s="11" t="s">
        <v>1980</v>
      </c>
      <c r="C900" s="11" t="s">
        <v>845</v>
      </c>
      <c r="D900" s="163">
        <v>110008011490</v>
      </c>
      <c r="E900" s="11" t="s">
        <v>445</v>
      </c>
      <c r="F900" s="11" t="s">
        <v>446</v>
      </c>
      <c r="G900" s="11" t="s">
        <v>846</v>
      </c>
      <c r="H900" s="11" t="s">
        <v>126</v>
      </c>
      <c r="I900" s="11" t="s">
        <v>1982</v>
      </c>
      <c r="J900" s="11">
        <v>42.805160000000001</v>
      </c>
      <c r="K900" s="11">
        <v>-78.64658</v>
      </c>
      <c r="L900" s="11">
        <v>3492</v>
      </c>
      <c r="M900" s="11">
        <v>3492</v>
      </c>
      <c r="N900" s="175" t="str">
        <f>VLOOKUP(M900, '2017 SIC to NAICS'!A:D, 2)</f>
        <v>Fluid Power Valves and Hose Fittings</v>
      </c>
      <c r="P900" s="187" t="str">
        <f>VLOOKUP(M900, '2017 SIC to NAICS'!A:D, 4)</f>
        <v>Fluid Power Valve and Hose Fitting
Manufacturing</v>
      </c>
      <c r="Q900" s="176" t="e">
        <f>IFERROR(VLOOKUP(O900, 'NAICS OES crosswalk'!A:C, 3, FALSE), VLOOKUP(M900, 'NAICS OES crosswalk'!A:C, 3, FALSE))</f>
        <v>#N/A</v>
      </c>
      <c r="U900" s="190" t="s">
        <v>849</v>
      </c>
      <c r="V900" s="11" t="s">
        <v>847</v>
      </c>
      <c r="W900" s="11"/>
      <c r="X900" s="11">
        <v>7.5014915000000001E-2</v>
      </c>
      <c r="Y900" s="11" t="b">
        <f t="shared" si="15"/>
        <v>0</v>
      </c>
    </row>
    <row r="901" spans="1:25" x14ac:dyDescent="0.35">
      <c r="A901" s="11">
        <v>2022</v>
      </c>
      <c r="B901" s="11" t="s">
        <v>1980</v>
      </c>
      <c r="C901" s="11" t="s">
        <v>1710</v>
      </c>
      <c r="D901" s="163">
        <v>110010844426</v>
      </c>
      <c r="E901" s="11" t="s">
        <v>696</v>
      </c>
      <c r="F901" s="11" t="s">
        <v>275</v>
      </c>
      <c r="G901" s="11" t="s">
        <v>275</v>
      </c>
      <c r="H901" s="11" t="s">
        <v>276</v>
      </c>
      <c r="I901" s="11" t="s">
        <v>1982</v>
      </c>
      <c r="J901" s="11">
        <v>38.88223</v>
      </c>
      <c r="K901" s="11">
        <v>-77.112300000000005</v>
      </c>
      <c r="L901" s="11">
        <v>4959</v>
      </c>
      <c r="M901" s="11">
        <v>4959</v>
      </c>
      <c r="N901" s="175" t="str">
        <f>VLOOKUP(M901, '2017 SIC to NAICS'!A:D, 2)</f>
        <v>Sanitary Services, Nec</v>
      </c>
      <c r="O901" s="11">
        <v>562910</v>
      </c>
      <c r="P901" s="187" t="str">
        <f>VLOOKUP(M901, '2017 SIC to NAICS'!A:D, 4)</f>
        <v>All Other Miscellaneous Waste
Management Services</v>
      </c>
      <c r="Q901" s="176" t="e">
        <f>IFERROR(VLOOKUP(O901, 'NAICS OES crosswalk'!A:C, 3, FALSE), VLOOKUP(M901, 'NAICS OES crosswalk'!A:C, 3, FALSE))</f>
        <v>#N/A</v>
      </c>
      <c r="U901" s="190" t="s">
        <v>1713</v>
      </c>
      <c r="V901" s="11" t="s">
        <v>1711</v>
      </c>
      <c r="W901" s="11"/>
      <c r="X901" s="11">
        <v>3.5822375500000001E-5</v>
      </c>
      <c r="Y901" s="11" t="b">
        <f t="shared" si="15"/>
        <v>1</v>
      </c>
    </row>
    <row r="902" spans="1:25" x14ac:dyDescent="0.35">
      <c r="A902" s="11">
        <v>2022</v>
      </c>
      <c r="B902" s="11" t="s">
        <v>1980</v>
      </c>
      <c r="C902" s="11" t="s">
        <v>845</v>
      </c>
      <c r="D902" s="163">
        <v>110008011490</v>
      </c>
      <c r="E902" s="11" t="s">
        <v>445</v>
      </c>
      <c r="F902" s="11" t="s">
        <v>446</v>
      </c>
      <c r="G902" s="11" t="s">
        <v>846</v>
      </c>
      <c r="H902" s="11" t="s">
        <v>126</v>
      </c>
      <c r="I902" s="11" t="s">
        <v>1982</v>
      </c>
      <c r="J902" s="11">
        <v>42.805160000000001</v>
      </c>
      <c r="K902" s="11">
        <v>-78.64658</v>
      </c>
      <c r="L902" s="11">
        <v>3492</v>
      </c>
      <c r="M902" s="11">
        <v>3492</v>
      </c>
      <c r="N902" s="175" t="str">
        <f>VLOOKUP(M902, '2017 SIC to NAICS'!A:D, 2)</f>
        <v>Fluid Power Valves and Hose Fittings</v>
      </c>
      <c r="P902" s="187" t="str">
        <f>VLOOKUP(M902, '2017 SIC to NAICS'!A:D, 4)</f>
        <v>Fluid Power Valve and Hose Fitting
Manufacturing</v>
      </c>
      <c r="Q902" s="176" t="e">
        <f>IFERROR(VLOOKUP(O902, 'NAICS OES crosswalk'!A:C, 3, FALSE), VLOOKUP(M902, 'NAICS OES crosswalk'!A:C, 3, FALSE))</f>
        <v>#N/A</v>
      </c>
      <c r="U902" s="190" t="s">
        <v>849</v>
      </c>
      <c r="V902" s="11" t="s">
        <v>847</v>
      </c>
      <c r="W902" s="11"/>
      <c r="X902" s="11">
        <v>1.6000709E-3</v>
      </c>
      <c r="Y902" s="11" t="b">
        <f t="shared" si="15"/>
        <v>0</v>
      </c>
    </row>
    <row r="903" spans="1:25" ht="29" x14ac:dyDescent="0.35">
      <c r="A903" s="11">
        <v>2022</v>
      </c>
      <c r="B903" s="11" t="s">
        <v>1980</v>
      </c>
      <c r="C903" s="11" t="s">
        <v>1525</v>
      </c>
      <c r="D903" s="163">
        <v>110070213656</v>
      </c>
      <c r="E903" s="11" t="s">
        <v>687</v>
      </c>
      <c r="F903" s="11" t="s">
        <v>688</v>
      </c>
      <c r="G903" s="11" t="s">
        <v>1526</v>
      </c>
      <c r="H903" s="11" t="s">
        <v>254</v>
      </c>
      <c r="I903" s="11" t="s">
        <v>1982</v>
      </c>
      <c r="J903" s="11">
        <v>40.891950000000001</v>
      </c>
      <c r="K903" s="11">
        <v>-74.249369999999999</v>
      </c>
      <c r="L903" s="11">
        <v>9999</v>
      </c>
      <c r="M903" s="11">
        <v>9999</v>
      </c>
      <c r="N903" s="175" t="str">
        <f>VLOOKUP(M903, '2017 SIC to NAICS'!A:D, 2)</f>
        <v>Nonclassifiable Establishments</v>
      </c>
      <c r="P903" s="187">
        <f>VLOOKUP(M903, '2017 SIC to NAICS'!A:D, 4)</f>
        <v>0</v>
      </c>
      <c r="Q903" s="176" t="str">
        <f>IFERROR(VLOOKUP(O903, 'NAICS OES crosswalk'!A:C, 3, FALSE), VLOOKUP(M903, 'NAICS OES crosswalk'!A:C, 3, FALSE))</f>
        <v>Uncertain, possibly a remediation site</v>
      </c>
      <c r="U903" s="190" t="s">
        <v>1528</v>
      </c>
      <c r="V903" s="11" t="s">
        <v>1527</v>
      </c>
      <c r="W903" s="11"/>
      <c r="X903" s="11">
        <v>8.7960371999999996E-6</v>
      </c>
      <c r="Y903" s="11" t="b">
        <f t="shared" si="15"/>
        <v>1</v>
      </c>
    </row>
    <row r="904" spans="1:25" x14ac:dyDescent="0.35">
      <c r="A904" s="11">
        <v>2022</v>
      </c>
      <c r="B904" s="11" t="s">
        <v>1980</v>
      </c>
      <c r="C904" s="11" t="s">
        <v>1378</v>
      </c>
      <c r="D904" s="163">
        <v>110056966699</v>
      </c>
      <c r="E904" s="11" t="s">
        <v>703</v>
      </c>
      <c r="F904" s="11" t="s">
        <v>704</v>
      </c>
      <c r="G904" s="11" t="s">
        <v>1379</v>
      </c>
      <c r="H904" s="11" t="s">
        <v>181</v>
      </c>
      <c r="I904" s="11" t="s">
        <v>1981</v>
      </c>
      <c r="J904" s="11">
        <v>41.948850999999998</v>
      </c>
      <c r="K904" s="11">
        <v>-83.958619999999996</v>
      </c>
      <c r="L904" s="11">
        <v>2821</v>
      </c>
      <c r="M904" s="11">
        <v>2821</v>
      </c>
      <c r="N904" s="175" t="str">
        <f>VLOOKUP(M904, '2017 SIC to NAICS'!A:D, 2)</f>
        <v>Plastics Materials and Resins</v>
      </c>
      <c r="O904" s="11">
        <v>325212</v>
      </c>
      <c r="P904" s="187" t="str">
        <f>VLOOKUP(M904, '2017 SIC to NAICS'!A:D, 4)</f>
        <v>Plastics Material and Resin Manufacturing</v>
      </c>
      <c r="Q904" s="176" t="str">
        <f>IFERROR(VLOOKUP(O904, 'NAICS OES crosswalk'!A:C, 3, FALSE), VLOOKUP(M904, 'NAICS OES crosswalk'!A:C, 3, FALSE))</f>
        <v>Processing as a reactant</v>
      </c>
      <c r="U904" s="190" t="s">
        <v>1381</v>
      </c>
      <c r="V904" s="11" t="s">
        <v>1380</v>
      </c>
      <c r="W904" s="11"/>
      <c r="X904" s="11">
        <v>3.2354700000000002E-6</v>
      </c>
      <c r="Y904" s="11" t="b">
        <f t="shared" si="15"/>
        <v>1</v>
      </c>
    </row>
    <row r="905" spans="1:25" x14ac:dyDescent="0.35">
      <c r="A905" s="11">
        <v>2022</v>
      </c>
      <c r="B905" s="11" t="s">
        <v>1980</v>
      </c>
      <c r="C905" s="11" t="s">
        <v>1303</v>
      </c>
      <c r="D905" s="163">
        <v>110007015871</v>
      </c>
      <c r="E905" s="11" t="s">
        <v>418</v>
      </c>
      <c r="F905" s="11" t="s">
        <v>419</v>
      </c>
      <c r="G905" s="11" t="s">
        <v>1304</v>
      </c>
      <c r="H905" s="11" t="s">
        <v>91</v>
      </c>
      <c r="I905" s="11" t="s">
        <v>1981</v>
      </c>
      <c r="J905" s="11">
        <v>30.048590999999998</v>
      </c>
      <c r="K905" s="11">
        <v>-90.630941000000007</v>
      </c>
      <c r="L905" s="11">
        <v>2869</v>
      </c>
      <c r="M905" s="11">
        <v>2869</v>
      </c>
      <c r="N905" s="175" t="str">
        <f>VLOOKUP(M905, '2017 SIC to NAICS'!A:D, 2)</f>
        <v>Industrial Organic Chemicals, Nec</v>
      </c>
      <c r="P905" s="187" t="str">
        <f>VLOOKUP(M905, '2017 SIC to NAICS'!A:D, 4)</f>
        <v>All Other Miscellaneous Chemical Product and Preparation Manufacturing</v>
      </c>
      <c r="Q905" s="176" t="str">
        <f>IFERROR(VLOOKUP(O905, 'NAICS OES crosswalk'!A:C, 3, FALSE), VLOOKUP(M905, 'NAICS OES crosswalk'!A:C, 3, FALSE))</f>
        <v>Manufacturing</v>
      </c>
      <c r="U905" s="190" t="s">
        <v>1307</v>
      </c>
      <c r="V905" s="11" t="s">
        <v>1305</v>
      </c>
      <c r="W905" s="11"/>
      <c r="X905" s="11">
        <v>8.2854999999999998E-2</v>
      </c>
      <c r="Y905" s="11" t="b">
        <f t="shared" si="15"/>
        <v>0</v>
      </c>
    </row>
    <row r="906" spans="1:25" x14ac:dyDescent="0.35">
      <c r="A906" s="11">
        <v>2022</v>
      </c>
      <c r="B906" s="11" t="s">
        <v>1980</v>
      </c>
      <c r="C906" s="11" t="s">
        <v>1557</v>
      </c>
      <c r="D906" s="163">
        <v>110020039402</v>
      </c>
      <c r="E906" s="11" t="s">
        <v>654</v>
      </c>
      <c r="F906" s="11" t="s">
        <v>337</v>
      </c>
      <c r="G906" s="11" t="s">
        <v>823</v>
      </c>
      <c r="H906" s="11" t="s">
        <v>221</v>
      </c>
      <c r="I906" s="11" t="s">
        <v>1982</v>
      </c>
      <c r="J906" s="11">
        <v>36.137529999999998</v>
      </c>
      <c r="K906" s="11">
        <v>-115.15479000000001</v>
      </c>
      <c r="L906" s="11">
        <v>7011</v>
      </c>
      <c r="M906" s="11">
        <v>7011</v>
      </c>
      <c r="N906" s="175" t="str">
        <f>VLOOKUP(M906, '2017 SIC to NAICS'!A:D, 2)</f>
        <v>Hotels and Motels</v>
      </c>
      <c r="O906" s="11">
        <v>812990</v>
      </c>
      <c r="P906" s="187" t="str">
        <f>VLOOKUP(M906, '2017 SIC to NAICS'!A:D, 4)</f>
        <v>All Other Traveler Accommodation</v>
      </c>
      <c r="Q906" s="176" t="e">
        <f>IFERROR(VLOOKUP(O906, 'NAICS OES crosswalk'!A:C, 3, FALSE), VLOOKUP(M906, 'NAICS OES crosswalk'!A:C, 3, FALSE))</f>
        <v>#N/A</v>
      </c>
      <c r="U906" s="188">
        <v>150100150604</v>
      </c>
      <c r="V906" s="11" t="s">
        <v>738</v>
      </c>
      <c r="W906" s="11"/>
      <c r="X906" s="11">
        <v>6.7077769999999996E-9</v>
      </c>
      <c r="Y906" s="11" t="b">
        <f t="shared" si="15"/>
        <v>1</v>
      </c>
    </row>
    <row r="907" spans="1:25" ht="29" x14ac:dyDescent="0.35">
      <c r="A907" s="11">
        <v>2023</v>
      </c>
      <c r="B907" s="11" t="s">
        <v>1980</v>
      </c>
      <c r="C907" s="11" t="s">
        <v>1215</v>
      </c>
      <c r="D907" s="163">
        <v>110000732379</v>
      </c>
      <c r="E907" s="11" t="s">
        <v>106</v>
      </c>
      <c r="F907" s="11" t="s">
        <v>107</v>
      </c>
      <c r="G907" s="11" t="s">
        <v>782</v>
      </c>
      <c r="H907" s="11" t="s">
        <v>108</v>
      </c>
      <c r="I907" s="11" t="s">
        <v>1981</v>
      </c>
      <c r="J907" s="11">
        <v>38.08614</v>
      </c>
      <c r="K907" s="11">
        <v>-85.898780000000002</v>
      </c>
      <c r="L907" s="11">
        <v>4952</v>
      </c>
      <c r="M907" s="11">
        <v>4952</v>
      </c>
      <c r="N907" s="175" t="str">
        <f>VLOOKUP(M907, '2017 SIC to NAICS'!A:D, 2)</f>
        <v>Sewerage Systems</v>
      </c>
      <c r="O907" s="11">
        <v>221320</v>
      </c>
      <c r="P907" s="187" t="str">
        <f>VLOOKUP(M907, '2017 SIC to NAICS'!A:D, 4)</f>
        <v>Sewage Treatment Facilities</v>
      </c>
      <c r="Q907" s="176" t="str">
        <f>IFERROR(VLOOKUP(O907, 'NAICS OES crosswalk'!A:C, 3, FALSE), VLOOKUP(M907, 'NAICS OES crosswalk'!A:C, 3, FALSE))</f>
        <v>Waste handling, disposal, and treatment</v>
      </c>
      <c r="U907" s="190" t="s">
        <v>1217</v>
      </c>
      <c r="V907" s="11" t="s">
        <v>1216</v>
      </c>
      <c r="W907" s="11"/>
      <c r="X907" s="11">
        <v>87.896074312500005</v>
      </c>
      <c r="Y907" s="11" t="b">
        <f xml:space="preserve"> X907 &lt;= _xlfn.PERCENTILE.INC($X$907:$X$1120, 0.1)</f>
        <v>0</v>
      </c>
    </row>
    <row r="908" spans="1:25" ht="29" x14ac:dyDescent="0.35">
      <c r="A908" s="11">
        <v>2023</v>
      </c>
      <c r="B908" s="11" t="s">
        <v>1980</v>
      </c>
      <c r="C908" s="11" t="s">
        <v>1272</v>
      </c>
      <c r="D908" s="163">
        <v>110031112659</v>
      </c>
      <c r="E908" s="11" t="s">
        <v>118</v>
      </c>
      <c r="F908" s="11" t="s">
        <v>119</v>
      </c>
      <c r="G908" s="11" t="s">
        <v>1219</v>
      </c>
      <c r="H908" s="11" t="s">
        <v>108</v>
      </c>
      <c r="I908" s="11" t="s">
        <v>1981</v>
      </c>
      <c r="J908" s="11">
        <v>37.801943999999999</v>
      </c>
      <c r="K908" s="11">
        <v>-84.261111</v>
      </c>
      <c r="L908" s="11">
        <v>4952</v>
      </c>
      <c r="M908" s="11">
        <v>4952</v>
      </c>
      <c r="N908" s="175" t="str">
        <f>VLOOKUP(M908, '2017 SIC to NAICS'!A:D, 2)</f>
        <v>Sewerage Systems</v>
      </c>
      <c r="O908" s="11">
        <v>221320</v>
      </c>
      <c r="P908" s="187" t="str">
        <f>VLOOKUP(M908, '2017 SIC to NAICS'!A:D, 4)</f>
        <v>Sewage Treatment Facilities</v>
      </c>
      <c r="Q908" s="176" t="str">
        <f>IFERROR(VLOOKUP(O908, 'NAICS OES crosswalk'!A:C, 3, FALSE), VLOOKUP(M908, 'NAICS OES crosswalk'!A:C, 3, FALSE))</f>
        <v>Waste handling, disposal, and treatment</v>
      </c>
      <c r="U908" s="190" t="s">
        <v>1274</v>
      </c>
      <c r="V908" s="11" t="s">
        <v>1273</v>
      </c>
      <c r="W908" s="11"/>
      <c r="X908" s="11">
        <v>27.865359250000001</v>
      </c>
      <c r="Y908" s="11" t="b">
        <f t="shared" ref="Y908:Y971" si="16" xml:space="preserve"> X908 &lt;= _xlfn.PERCENTILE.INC($X$907:$X$1120, 0.1)</f>
        <v>0</v>
      </c>
    </row>
    <row r="909" spans="1:25" x14ac:dyDescent="0.35">
      <c r="A909" s="11">
        <v>2023</v>
      </c>
      <c r="B909" s="11" t="s">
        <v>1980</v>
      </c>
      <c r="C909" s="11" t="s">
        <v>830</v>
      </c>
      <c r="D909" s="163">
        <v>110000326521</v>
      </c>
      <c r="E909" s="11" t="s">
        <v>124</v>
      </c>
      <c r="F909" s="11" t="s">
        <v>125</v>
      </c>
      <c r="G909" s="11" t="s">
        <v>831</v>
      </c>
      <c r="H909" s="11" t="s">
        <v>126</v>
      </c>
      <c r="I909" s="11" t="s">
        <v>1981</v>
      </c>
      <c r="J909" s="11">
        <v>43.165965999999997</v>
      </c>
      <c r="K909" s="11">
        <v>-78.740509000000003</v>
      </c>
      <c r="L909" s="11">
        <v>3714</v>
      </c>
      <c r="M909" s="11">
        <v>3714</v>
      </c>
      <c r="N909" s="175" t="str">
        <f>VLOOKUP(M909, '2017 SIC to NAICS'!A:D, 2)</f>
        <v>Motor Vehicle Parts and Accessories</v>
      </c>
      <c r="P909" s="187" t="str">
        <f>VLOOKUP(M909, '2017 SIC to NAICS'!A:D, 4)</f>
        <v>Other Motor Vehicle Parts Manufacturing</v>
      </c>
      <c r="Q909" s="176" t="e">
        <f>IFERROR(VLOOKUP(O909, 'NAICS OES crosswalk'!A:C, 3, FALSE), VLOOKUP(M909, 'NAICS OES crosswalk'!A:C, 3, FALSE))</f>
        <v>#N/A</v>
      </c>
      <c r="U909" s="190" t="s">
        <v>836</v>
      </c>
      <c r="V909" s="11" t="s">
        <v>834</v>
      </c>
      <c r="W909" s="11"/>
      <c r="X909" s="11">
        <v>25.884178971000001</v>
      </c>
      <c r="Y909" s="11" t="b">
        <f t="shared" si="16"/>
        <v>0</v>
      </c>
    </row>
    <row r="910" spans="1:25" ht="29" x14ac:dyDescent="0.35">
      <c r="A910" s="11">
        <v>2023</v>
      </c>
      <c r="B910" s="11" t="s">
        <v>1980</v>
      </c>
      <c r="C910" s="11" t="s">
        <v>1236</v>
      </c>
      <c r="D910" s="163">
        <v>110043485421</v>
      </c>
      <c r="E910" s="11" t="s">
        <v>123</v>
      </c>
      <c r="F910" s="11" t="s">
        <v>107</v>
      </c>
      <c r="G910" s="11" t="s">
        <v>782</v>
      </c>
      <c r="H910" s="11" t="s">
        <v>108</v>
      </c>
      <c r="I910" s="11" t="s">
        <v>1981</v>
      </c>
      <c r="J910" s="11">
        <v>38.122354000000001</v>
      </c>
      <c r="K910" s="11">
        <v>-85.587648000000002</v>
      </c>
      <c r="L910" s="11">
        <v>4952</v>
      </c>
      <c r="M910" s="11">
        <v>4952</v>
      </c>
      <c r="N910" s="175" t="str">
        <f>VLOOKUP(M910, '2017 SIC to NAICS'!A:D, 2)</f>
        <v>Sewerage Systems</v>
      </c>
      <c r="O910" s="11">
        <v>221320</v>
      </c>
      <c r="P910" s="187" t="str">
        <f>VLOOKUP(M910, '2017 SIC to NAICS'!A:D, 4)</f>
        <v>Sewage Treatment Facilities</v>
      </c>
      <c r="Q910" s="176" t="str">
        <f>IFERROR(VLOOKUP(O910, 'NAICS OES crosswalk'!A:C, 3, FALSE), VLOOKUP(M910, 'NAICS OES crosswalk'!A:C, 3, FALSE))</f>
        <v>Waste handling, disposal, and treatment</v>
      </c>
      <c r="U910" s="190" t="s">
        <v>1238</v>
      </c>
      <c r="V910" s="11" t="s">
        <v>1237</v>
      </c>
      <c r="W910" s="11"/>
      <c r="X910" s="11">
        <v>16.3192640625</v>
      </c>
      <c r="Y910" s="11" t="b">
        <f t="shared" si="16"/>
        <v>0</v>
      </c>
    </row>
    <row r="911" spans="1:25" ht="29" x14ac:dyDescent="0.35">
      <c r="A911" s="11">
        <v>2023</v>
      </c>
      <c r="B911" s="11" t="s">
        <v>1980</v>
      </c>
      <c r="C911" s="11" t="s">
        <v>1199</v>
      </c>
      <c r="D911" s="163">
        <v>110000732351</v>
      </c>
      <c r="E911" s="11" t="s">
        <v>130</v>
      </c>
      <c r="F911" s="11" t="s">
        <v>131</v>
      </c>
      <c r="G911" s="11" t="s">
        <v>1200</v>
      </c>
      <c r="H911" s="11" t="s">
        <v>108</v>
      </c>
      <c r="I911" s="11" t="s">
        <v>1981</v>
      </c>
      <c r="J911" s="11">
        <v>37.621431000000001</v>
      </c>
      <c r="K911" s="11">
        <v>-84.733756</v>
      </c>
      <c r="L911" s="11">
        <v>4952</v>
      </c>
      <c r="M911" s="11">
        <v>4952</v>
      </c>
      <c r="N911" s="175" t="str">
        <f>VLOOKUP(M911, '2017 SIC to NAICS'!A:D, 2)</f>
        <v>Sewerage Systems</v>
      </c>
      <c r="O911" s="11">
        <v>221320</v>
      </c>
      <c r="P911" s="187" t="str">
        <f>VLOOKUP(M911, '2017 SIC to NAICS'!A:D, 4)</f>
        <v>Sewage Treatment Facilities</v>
      </c>
      <c r="Q911" s="176" t="str">
        <f>IFERROR(VLOOKUP(O911, 'NAICS OES crosswalk'!A:C, 3, FALSE), VLOOKUP(M911, 'NAICS OES crosswalk'!A:C, 3, FALSE))</f>
        <v>Waste handling, disposal, and treatment</v>
      </c>
      <c r="U911" s="190" t="s">
        <v>1202</v>
      </c>
      <c r="V911" s="11" t="s">
        <v>1201</v>
      </c>
      <c r="W911" s="11"/>
      <c r="X911" s="11">
        <v>15.404003749999999</v>
      </c>
      <c r="Y911" s="11" t="b">
        <f t="shared" si="16"/>
        <v>0</v>
      </c>
    </row>
    <row r="912" spans="1:25" ht="29" x14ac:dyDescent="0.35">
      <c r="A912" s="11">
        <v>2023</v>
      </c>
      <c r="B912" s="11" t="s">
        <v>1980</v>
      </c>
      <c r="C912" s="11" t="s">
        <v>1131</v>
      </c>
      <c r="D912" s="163">
        <v>110000732299</v>
      </c>
      <c r="E912" s="11" t="s">
        <v>142</v>
      </c>
      <c r="F912" s="11" t="s">
        <v>143</v>
      </c>
      <c r="G912" s="11" t="s">
        <v>1132</v>
      </c>
      <c r="H912" s="11" t="s">
        <v>108</v>
      </c>
      <c r="I912" s="11" t="s">
        <v>1981</v>
      </c>
      <c r="J912" s="11">
        <v>38.213957000000001</v>
      </c>
      <c r="K912" s="11">
        <v>-84.873705000000001</v>
      </c>
      <c r="L912" s="11">
        <v>4952</v>
      </c>
      <c r="M912" s="11">
        <v>4952</v>
      </c>
      <c r="N912" s="175" t="str">
        <f>VLOOKUP(M912, '2017 SIC to NAICS'!A:D, 2)</f>
        <v>Sewerage Systems</v>
      </c>
      <c r="O912" s="11">
        <v>221320</v>
      </c>
      <c r="P912" s="187" t="str">
        <f>VLOOKUP(M912, '2017 SIC to NAICS'!A:D, 4)</f>
        <v>Sewage Treatment Facilities</v>
      </c>
      <c r="Q912" s="176" t="str">
        <f>IFERROR(VLOOKUP(O912, 'NAICS OES crosswalk'!A:C, 3, FALSE), VLOOKUP(M912, 'NAICS OES crosswalk'!A:C, 3, FALSE))</f>
        <v>Waste handling, disposal, and treatment</v>
      </c>
      <c r="U912" s="190" t="s">
        <v>1134</v>
      </c>
      <c r="V912" s="11" t="s">
        <v>1133</v>
      </c>
      <c r="W912" s="11"/>
      <c r="X912" s="11">
        <v>13.4007925</v>
      </c>
      <c r="Y912" s="11" t="b">
        <f t="shared" si="16"/>
        <v>0</v>
      </c>
    </row>
    <row r="913" spans="1:25" x14ac:dyDescent="0.35">
      <c r="A913" s="11">
        <v>2023</v>
      </c>
      <c r="B913" s="11" t="s">
        <v>1980</v>
      </c>
      <c r="C913" s="11" t="s">
        <v>784</v>
      </c>
      <c r="D913" s="163">
        <v>110000460901</v>
      </c>
      <c r="E913" s="11" t="s">
        <v>146</v>
      </c>
      <c r="F913" s="11" t="s">
        <v>94</v>
      </c>
      <c r="G913" s="11" t="s">
        <v>747</v>
      </c>
      <c r="H913" s="11" t="s">
        <v>95</v>
      </c>
      <c r="I913" s="11" t="s">
        <v>1981</v>
      </c>
      <c r="J913" s="11">
        <v>29.718139000000001</v>
      </c>
      <c r="K913" s="11">
        <v>-95.268749999999997</v>
      </c>
      <c r="L913" s="11">
        <v>2819</v>
      </c>
      <c r="M913" s="11">
        <v>2819</v>
      </c>
      <c r="N913" s="175" t="str">
        <f>VLOOKUP(M913, '2017 SIC to NAICS'!A:D, 2)</f>
        <v>Industrial Inorganic Chemicals, Nec</v>
      </c>
      <c r="P913" s="187" t="str">
        <f>VLOOKUP(M913, '2017 SIC to NAICS'!A:D, 4)</f>
        <v>Alumina Refining and Primary Aluminum
Production</v>
      </c>
      <c r="Q913" s="176" t="str">
        <f>IFERROR(VLOOKUP(O913, 'NAICS OES crosswalk'!A:C, 3, FALSE), VLOOKUP(M913, 'NAICS OES crosswalk'!A:C, 3, FALSE))</f>
        <v>Processing as a reactant</v>
      </c>
      <c r="U913" s="188">
        <v>120401040502</v>
      </c>
      <c r="V913" s="11" t="s">
        <v>787</v>
      </c>
      <c r="W913" s="11"/>
      <c r="X913" s="11">
        <v>12.42144</v>
      </c>
      <c r="Y913" s="11" t="b">
        <f t="shared" si="16"/>
        <v>0</v>
      </c>
    </row>
    <row r="914" spans="1:25" ht="29" x14ac:dyDescent="0.35">
      <c r="A914" s="11">
        <v>2023</v>
      </c>
      <c r="B914" s="11" t="s">
        <v>1980</v>
      </c>
      <c r="C914" s="11" t="s">
        <v>1239</v>
      </c>
      <c r="D914" s="163">
        <v>110043486457</v>
      </c>
      <c r="E914" s="11" t="s">
        <v>138</v>
      </c>
      <c r="F914" s="11" t="s">
        <v>107</v>
      </c>
      <c r="G914" s="11" t="s">
        <v>782</v>
      </c>
      <c r="H914" s="11" t="s">
        <v>108</v>
      </c>
      <c r="I914" s="11" t="s">
        <v>1981</v>
      </c>
      <c r="J914" s="11">
        <v>38.236699999999999</v>
      </c>
      <c r="K914" s="11">
        <v>-85.466710000000006</v>
      </c>
      <c r="L914" s="11">
        <v>4952</v>
      </c>
      <c r="M914" s="11">
        <v>4952</v>
      </c>
      <c r="N914" s="175" t="str">
        <f>VLOOKUP(M914, '2017 SIC to NAICS'!A:D, 2)</f>
        <v>Sewerage Systems</v>
      </c>
      <c r="O914" s="11">
        <v>221320</v>
      </c>
      <c r="P914" s="187" t="str">
        <f>VLOOKUP(M914, '2017 SIC to NAICS'!A:D, 4)</f>
        <v>Sewage Treatment Facilities</v>
      </c>
      <c r="Q914" s="176" t="str">
        <f>IFERROR(VLOOKUP(O914, 'NAICS OES crosswalk'!A:C, 3, FALSE), VLOOKUP(M914, 'NAICS OES crosswalk'!A:C, 3, FALSE))</f>
        <v>Waste handling, disposal, and treatment</v>
      </c>
      <c r="U914" s="190" t="s">
        <v>1241</v>
      </c>
      <c r="V914" s="11" t="s">
        <v>1240</v>
      </c>
      <c r="W914" s="11"/>
      <c r="X914" s="11">
        <v>11.722239625</v>
      </c>
      <c r="Y914" s="11" t="b">
        <f t="shared" si="16"/>
        <v>0</v>
      </c>
    </row>
    <row r="915" spans="1:25" x14ac:dyDescent="0.35">
      <c r="A915" s="11">
        <v>2023</v>
      </c>
      <c r="B915" s="11" t="s">
        <v>1980</v>
      </c>
      <c r="C915" s="11" t="s">
        <v>784</v>
      </c>
      <c r="D915" s="163">
        <v>110000460901</v>
      </c>
      <c r="E915" s="11" t="s">
        <v>146</v>
      </c>
      <c r="F915" s="11" t="s">
        <v>94</v>
      </c>
      <c r="G915" s="11" t="s">
        <v>747</v>
      </c>
      <c r="H915" s="11" t="s">
        <v>95</v>
      </c>
      <c r="I915" s="11" t="s">
        <v>1981</v>
      </c>
      <c r="J915" s="11">
        <v>29.718139000000001</v>
      </c>
      <c r="K915" s="11">
        <v>-95.268749999999997</v>
      </c>
      <c r="L915" s="11">
        <v>2819</v>
      </c>
      <c r="M915" s="11">
        <v>2819</v>
      </c>
      <c r="N915" s="175" t="str">
        <f>VLOOKUP(M915, '2017 SIC to NAICS'!A:D, 2)</f>
        <v>Industrial Inorganic Chemicals, Nec</v>
      </c>
      <c r="P915" s="187" t="str">
        <f>VLOOKUP(M915, '2017 SIC to NAICS'!A:D, 4)</f>
        <v>Alumina Refining and Primary Aluminum
Production</v>
      </c>
      <c r="Q915" s="176" t="str">
        <f>IFERROR(VLOOKUP(O915, 'NAICS OES crosswalk'!A:C, 3, FALSE), VLOOKUP(M915, 'NAICS OES crosswalk'!A:C, 3, FALSE))</f>
        <v>Processing as a reactant</v>
      </c>
      <c r="U915" s="188">
        <v>120401040502</v>
      </c>
      <c r="V915" s="11" t="s">
        <v>787</v>
      </c>
      <c r="W915" s="11"/>
      <c r="X915" s="11">
        <v>10.77796</v>
      </c>
      <c r="Y915" s="11" t="b">
        <f t="shared" si="16"/>
        <v>0</v>
      </c>
    </row>
    <row r="916" spans="1:25" x14ac:dyDescent="0.35">
      <c r="A916" s="11">
        <v>2023</v>
      </c>
      <c r="B916" s="11" t="s">
        <v>1980</v>
      </c>
      <c r="C916" s="11" t="s">
        <v>1454</v>
      </c>
      <c r="D916" s="163">
        <v>110000443226</v>
      </c>
      <c r="E916" s="11" t="s">
        <v>157</v>
      </c>
      <c r="F916" s="11" t="s">
        <v>158</v>
      </c>
      <c r="G916" s="11" t="s">
        <v>434</v>
      </c>
      <c r="H916" s="11" t="s">
        <v>129</v>
      </c>
      <c r="I916" s="11" t="s">
        <v>1981</v>
      </c>
      <c r="J916" s="11">
        <v>38.969749999999998</v>
      </c>
      <c r="K916" s="11">
        <v>-94.465860000000006</v>
      </c>
      <c r="L916" s="11">
        <v>2879</v>
      </c>
      <c r="M916" s="11">
        <v>2879</v>
      </c>
      <c r="N916" s="175" t="str">
        <f>VLOOKUP(M916, '2017 SIC to NAICS'!A:D, 2)</f>
        <v>Agricultural Chemicals, Nec</v>
      </c>
      <c r="P916" s="187" t="str">
        <f>VLOOKUP(M916, '2017 SIC to NAICS'!A:D, 4)</f>
        <v>Pesticide and Other Agricultural Chemical
Manufacturing</v>
      </c>
      <c r="Q916" s="176" t="e">
        <f>IFERROR(VLOOKUP(O916, 'NAICS OES crosswalk'!A:C, 3, FALSE), VLOOKUP(M916, 'NAICS OES crosswalk'!A:C, 3, FALSE))</f>
        <v>#N/A</v>
      </c>
      <c r="U916" s="188">
        <v>103001010204</v>
      </c>
      <c r="V916" s="11" t="s">
        <v>1457</v>
      </c>
      <c r="W916" s="11"/>
      <c r="X916" s="11">
        <v>9.9426000000000005</v>
      </c>
      <c r="Y916" s="11" t="b">
        <f t="shared" si="16"/>
        <v>0</v>
      </c>
    </row>
    <row r="917" spans="1:25" ht="29" x14ac:dyDescent="0.35">
      <c r="A917" s="11">
        <v>2023</v>
      </c>
      <c r="B917" s="11" t="s">
        <v>1980</v>
      </c>
      <c r="C917" s="11" t="s">
        <v>1080</v>
      </c>
      <c r="D917" s="163">
        <v>110039998214</v>
      </c>
      <c r="E917" s="11" t="s">
        <v>114</v>
      </c>
      <c r="F917" s="11" t="s">
        <v>115</v>
      </c>
      <c r="G917" s="11" t="s">
        <v>1072</v>
      </c>
      <c r="H917" s="11" t="s">
        <v>108</v>
      </c>
      <c r="I917" s="11" t="s">
        <v>1981</v>
      </c>
      <c r="J917" s="11">
        <v>37.790278000000001</v>
      </c>
      <c r="K917" s="11">
        <v>-87.140277999999995</v>
      </c>
      <c r="L917" s="11">
        <v>4952</v>
      </c>
      <c r="M917" s="11">
        <v>4952</v>
      </c>
      <c r="N917" s="175" t="str">
        <f>VLOOKUP(M917, '2017 SIC to NAICS'!A:D, 2)</f>
        <v>Sewerage Systems</v>
      </c>
      <c r="O917" s="11">
        <v>221320</v>
      </c>
      <c r="P917" s="187" t="str">
        <f>VLOOKUP(M917, '2017 SIC to NAICS'!A:D, 4)</f>
        <v>Sewage Treatment Facilities</v>
      </c>
      <c r="Q917" s="176" t="str">
        <f>IFERROR(VLOOKUP(O917, 'NAICS OES crosswalk'!A:C, 3, FALSE), VLOOKUP(M917, 'NAICS OES crosswalk'!A:C, 3, FALSE))</f>
        <v>Waste handling, disposal, and treatment</v>
      </c>
      <c r="U917" s="190" t="s">
        <v>1075</v>
      </c>
      <c r="V917" s="11" t="s">
        <v>1073</v>
      </c>
      <c r="W917" s="11"/>
      <c r="X917" s="11">
        <v>9.6015987500000008</v>
      </c>
      <c r="Y917" s="11" t="b">
        <f t="shared" si="16"/>
        <v>0</v>
      </c>
    </row>
    <row r="918" spans="1:25" x14ac:dyDescent="0.35">
      <c r="A918" s="11">
        <v>2023</v>
      </c>
      <c r="B918" s="11" t="s">
        <v>1980</v>
      </c>
      <c r="C918" s="11" t="s">
        <v>850</v>
      </c>
      <c r="D918" s="163">
        <v>110000574423</v>
      </c>
      <c r="E918" s="11" t="s">
        <v>159</v>
      </c>
      <c r="F918" s="11" t="s">
        <v>160</v>
      </c>
      <c r="G918" s="11" t="s">
        <v>851</v>
      </c>
      <c r="H918" s="11" t="s">
        <v>161</v>
      </c>
      <c r="I918" s="11" t="s">
        <v>1981</v>
      </c>
      <c r="J918" s="11">
        <v>36.527054999999997</v>
      </c>
      <c r="K918" s="11">
        <v>-82.538579999999996</v>
      </c>
      <c r="L918" s="11">
        <v>2869</v>
      </c>
      <c r="M918" s="11">
        <v>2869</v>
      </c>
      <c r="N918" s="175" t="str">
        <f>VLOOKUP(M918, '2017 SIC to NAICS'!A:D, 2)</f>
        <v>Industrial Organic Chemicals, Nec</v>
      </c>
      <c r="O918" s="11">
        <v>325188</v>
      </c>
      <c r="P918" s="187" t="str">
        <f>VLOOKUP(M918, '2017 SIC to NAICS'!A:D, 4)</f>
        <v>All Other Miscellaneous Chemical Product and Preparation Manufacturing</v>
      </c>
      <c r="Q918" s="176" t="str">
        <f>IFERROR(VLOOKUP(O918, 'NAICS OES crosswalk'!A:C, 3, FALSE), VLOOKUP(M918, 'NAICS OES crosswalk'!A:C, 3, FALSE))</f>
        <v>Manufacturing</v>
      </c>
      <c r="U918" s="190" t="s">
        <v>853</v>
      </c>
      <c r="V918" s="11" t="s">
        <v>852</v>
      </c>
      <c r="W918" s="11"/>
      <c r="X918" s="11">
        <v>9.4454700000000003</v>
      </c>
      <c r="Y918" s="11" t="b">
        <f t="shared" si="16"/>
        <v>0</v>
      </c>
    </row>
    <row r="919" spans="1:25" x14ac:dyDescent="0.35">
      <c r="A919" s="11">
        <v>2023</v>
      </c>
      <c r="B919" s="11" t="s">
        <v>1980</v>
      </c>
      <c r="C919" s="11" t="s">
        <v>830</v>
      </c>
      <c r="D919" s="163">
        <v>110000326521</v>
      </c>
      <c r="E919" s="11" t="s">
        <v>124</v>
      </c>
      <c r="F919" s="11" t="s">
        <v>125</v>
      </c>
      <c r="G919" s="11" t="s">
        <v>831</v>
      </c>
      <c r="H919" s="11" t="s">
        <v>126</v>
      </c>
      <c r="I919" s="11" t="s">
        <v>1981</v>
      </c>
      <c r="J919" s="11">
        <v>43.165965999999997</v>
      </c>
      <c r="K919" s="11">
        <v>-78.740509000000003</v>
      </c>
      <c r="L919" s="11">
        <v>3714</v>
      </c>
      <c r="M919" s="11">
        <v>3714</v>
      </c>
      <c r="N919" s="175" t="str">
        <f>VLOOKUP(M919, '2017 SIC to NAICS'!A:D, 2)</f>
        <v>Motor Vehicle Parts and Accessories</v>
      </c>
      <c r="P919" s="187" t="str">
        <f>VLOOKUP(M919, '2017 SIC to NAICS'!A:D, 4)</f>
        <v>Other Motor Vehicle Parts Manufacturing</v>
      </c>
      <c r="Q919" s="176" t="e">
        <f>IFERROR(VLOOKUP(O919, 'NAICS OES crosswalk'!A:C, 3, FALSE), VLOOKUP(M919, 'NAICS OES crosswalk'!A:C, 3, FALSE))</f>
        <v>#N/A</v>
      </c>
      <c r="U919" s="190" t="s">
        <v>836</v>
      </c>
      <c r="V919" s="11" t="s">
        <v>834</v>
      </c>
      <c r="W919" s="11"/>
      <c r="X919" s="11">
        <v>9.4363335379999995</v>
      </c>
      <c r="Y919" s="11" t="b">
        <f t="shared" si="16"/>
        <v>0</v>
      </c>
    </row>
    <row r="920" spans="1:25" ht="29" x14ac:dyDescent="0.35">
      <c r="A920" s="11">
        <v>2023</v>
      </c>
      <c r="B920" s="11" t="s">
        <v>1980</v>
      </c>
      <c r="C920" s="11" t="s">
        <v>1081</v>
      </c>
      <c r="D920" s="163">
        <v>110000732208</v>
      </c>
      <c r="E920" s="11" t="s">
        <v>164</v>
      </c>
      <c r="F920" s="11" t="s">
        <v>165</v>
      </c>
      <c r="G920" s="11" t="s">
        <v>1082</v>
      </c>
      <c r="H920" s="11" t="s">
        <v>108</v>
      </c>
      <c r="I920" s="11" t="s">
        <v>1981</v>
      </c>
      <c r="J920" s="11">
        <v>38.217222</v>
      </c>
      <c r="K920" s="11">
        <v>-84.564166999999998</v>
      </c>
      <c r="L920" s="11">
        <v>4952</v>
      </c>
      <c r="M920" s="11">
        <v>4952</v>
      </c>
      <c r="N920" s="175" t="str">
        <f>VLOOKUP(M920, '2017 SIC to NAICS'!A:D, 2)</f>
        <v>Sewerage Systems</v>
      </c>
      <c r="O920" s="11">
        <v>221320</v>
      </c>
      <c r="P920" s="187" t="str">
        <f>VLOOKUP(M920, '2017 SIC to NAICS'!A:D, 4)</f>
        <v>Sewage Treatment Facilities</v>
      </c>
      <c r="Q920" s="176" t="str">
        <f>IFERROR(VLOOKUP(O920, 'NAICS OES crosswalk'!A:C, 3, FALSE), VLOOKUP(M920, 'NAICS OES crosswalk'!A:C, 3, FALSE))</f>
        <v>Waste handling, disposal, and treatment</v>
      </c>
      <c r="U920" s="190" t="s">
        <v>1084</v>
      </c>
      <c r="V920" s="11" t="s">
        <v>1083</v>
      </c>
      <c r="W920" s="11"/>
      <c r="X920" s="11">
        <v>8.4618406250000007</v>
      </c>
      <c r="Y920" s="11" t="b">
        <f t="shared" si="16"/>
        <v>0</v>
      </c>
    </row>
    <row r="921" spans="1:25" ht="29" x14ac:dyDescent="0.35">
      <c r="A921" s="11">
        <v>2023</v>
      </c>
      <c r="B921" s="11" t="s">
        <v>1980</v>
      </c>
      <c r="C921" s="11" t="s">
        <v>1212</v>
      </c>
      <c r="D921" s="163">
        <v>110043734983</v>
      </c>
      <c r="E921" s="11" t="s">
        <v>120</v>
      </c>
      <c r="F921" s="11" t="s">
        <v>115</v>
      </c>
      <c r="G921" s="11" t="s">
        <v>1072</v>
      </c>
      <c r="H921" s="11" t="s">
        <v>108</v>
      </c>
      <c r="I921" s="11" t="s">
        <v>1981</v>
      </c>
      <c r="J921" s="11">
        <v>37.770769999999999</v>
      </c>
      <c r="K921" s="11">
        <v>-87.065669999999997</v>
      </c>
      <c r="L921" s="11">
        <v>4952</v>
      </c>
      <c r="M921" s="11">
        <v>4952</v>
      </c>
      <c r="N921" s="175" t="str">
        <f>VLOOKUP(M921, '2017 SIC to NAICS'!A:D, 2)</f>
        <v>Sewerage Systems</v>
      </c>
      <c r="O921" s="11">
        <v>221320</v>
      </c>
      <c r="P921" s="187" t="str">
        <f>VLOOKUP(M921, '2017 SIC to NAICS'!A:D, 4)</f>
        <v>Sewage Treatment Facilities</v>
      </c>
      <c r="Q921" s="176" t="str">
        <f>IFERROR(VLOOKUP(O921, 'NAICS OES crosswalk'!A:C, 3, FALSE), VLOOKUP(M921, 'NAICS OES crosswalk'!A:C, 3, FALSE))</f>
        <v>Waste handling, disposal, and treatment</v>
      </c>
      <c r="U921" s="190" t="s">
        <v>1214</v>
      </c>
      <c r="V921" s="11" t="s">
        <v>1213</v>
      </c>
      <c r="W921" s="11"/>
      <c r="X921" s="11">
        <v>4.7248155000000001</v>
      </c>
      <c r="Y921" s="11" t="b">
        <f t="shared" si="16"/>
        <v>0</v>
      </c>
    </row>
    <row r="922" spans="1:25" ht="29" x14ac:dyDescent="0.35">
      <c r="A922" s="11">
        <v>2023</v>
      </c>
      <c r="B922" s="11" t="s">
        <v>1980</v>
      </c>
      <c r="C922" s="11" t="s">
        <v>1221</v>
      </c>
      <c r="D922" s="163">
        <v>110000759741</v>
      </c>
      <c r="E922" s="11" t="s">
        <v>203</v>
      </c>
      <c r="F922" s="11" t="s">
        <v>165</v>
      </c>
      <c r="G922" s="11" t="s">
        <v>1082</v>
      </c>
      <c r="H922" s="11" t="s">
        <v>108</v>
      </c>
      <c r="I922" s="11" t="s">
        <v>1981</v>
      </c>
      <c r="J922" s="11">
        <v>38.267437999999999</v>
      </c>
      <c r="K922" s="11">
        <v>-84.527996000000002</v>
      </c>
      <c r="L922" s="11">
        <v>4952</v>
      </c>
      <c r="M922" s="11">
        <v>4952</v>
      </c>
      <c r="N922" s="175" t="str">
        <f>VLOOKUP(M922, '2017 SIC to NAICS'!A:D, 2)</f>
        <v>Sewerage Systems</v>
      </c>
      <c r="O922" s="11">
        <v>221320</v>
      </c>
      <c r="P922" s="187" t="str">
        <f>VLOOKUP(M922, '2017 SIC to NAICS'!A:D, 4)</f>
        <v>Sewage Treatment Facilities</v>
      </c>
      <c r="Q922" s="176" t="str">
        <f>IFERROR(VLOOKUP(O922, 'NAICS OES crosswalk'!A:C, 3, FALSE), VLOOKUP(M922, 'NAICS OES crosswalk'!A:C, 3, FALSE))</f>
        <v>Waste handling, disposal, and treatment</v>
      </c>
      <c r="U922" s="190" t="s">
        <v>1223</v>
      </c>
      <c r="V922" s="11" t="s">
        <v>1222</v>
      </c>
      <c r="W922" s="11"/>
      <c r="X922" s="11">
        <v>4.0789525624999996</v>
      </c>
      <c r="Y922" s="11" t="b">
        <f t="shared" si="16"/>
        <v>0</v>
      </c>
    </row>
    <row r="923" spans="1:25" x14ac:dyDescent="0.35">
      <c r="A923" s="11">
        <v>2023</v>
      </c>
      <c r="B923" s="11" t="s">
        <v>1980</v>
      </c>
      <c r="C923" s="11" t="s">
        <v>1298</v>
      </c>
      <c r="D923" s="163">
        <v>110033659878</v>
      </c>
      <c r="E923" s="11" t="s">
        <v>208</v>
      </c>
      <c r="F923" s="11" t="s">
        <v>209</v>
      </c>
      <c r="G923" s="11" t="s">
        <v>1299</v>
      </c>
      <c r="H923" s="11" t="s">
        <v>91</v>
      </c>
      <c r="I923" s="11" t="s">
        <v>1981</v>
      </c>
      <c r="J923" s="11">
        <v>30.221900000000002</v>
      </c>
      <c r="K923" s="11">
        <v>-91.051500000000004</v>
      </c>
      <c r="L923" s="11">
        <v>2869</v>
      </c>
      <c r="M923" s="11">
        <v>2869</v>
      </c>
      <c r="N923" s="175" t="str">
        <f>VLOOKUP(M923, '2017 SIC to NAICS'!A:D, 2)</f>
        <v>Industrial Organic Chemicals, Nec</v>
      </c>
      <c r="P923" s="187" t="str">
        <f>VLOOKUP(M923, '2017 SIC to NAICS'!A:D, 4)</f>
        <v>All Other Miscellaneous Chemical Product and Preparation Manufacturing</v>
      </c>
      <c r="Q923" s="176" t="str">
        <f>IFERROR(VLOOKUP(O923, 'NAICS OES crosswalk'!A:C, 3, FALSE), VLOOKUP(M923, 'NAICS OES crosswalk'!A:C, 3, FALSE))</f>
        <v>Manufacturing</v>
      </c>
      <c r="U923" s="190" t="s">
        <v>1302</v>
      </c>
      <c r="V923" s="11" t="s">
        <v>1300</v>
      </c>
      <c r="W923" s="11"/>
      <c r="X923" s="11">
        <v>3.8113299999999999</v>
      </c>
      <c r="Y923" s="11" t="b">
        <f t="shared" si="16"/>
        <v>0</v>
      </c>
    </row>
    <row r="924" spans="1:25" x14ac:dyDescent="0.35">
      <c r="A924" s="11">
        <v>2023</v>
      </c>
      <c r="B924" s="11" t="s">
        <v>1980</v>
      </c>
      <c r="C924" s="11" t="s">
        <v>1057</v>
      </c>
      <c r="D924" s="163">
        <v>110000403670</v>
      </c>
      <c r="E924" s="11" t="s">
        <v>149</v>
      </c>
      <c r="F924" s="11" t="s">
        <v>150</v>
      </c>
      <c r="G924" s="11" t="s">
        <v>1058</v>
      </c>
      <c r="H924" s="11" t="s">
        <v>151</v>
      </c>
      <c r="I924" s="11" t="s">
        <v>1981</v>
      </c>
      <c r="J924" s="11">
        <v>37.907200000000003</v>
      </c>
      <c r="K924" s="11">
        <v>-87.927099999999996</v>
      </c>
      <c r="L924" s="11">
        <v>2821</v>
      </c>
      <c r="M924" s="11">
        <v>2821</v>
      </c>
      <c r="N924" s="175" t="str">
        <f>VLOOKUP(M924, '2017 SIC to NAICS'!A:D, 2)</f>
        <v>Plastics Materials and Resins</v>
      </c>
      <c r="P924" s="187" t="str">
        <f>VLOOKUP(M924, '2017 SIC to NAICS'!A:D, 4)</f>
        <v>Plastics Material and Resin Manufacturing</v>
      </c>
      <c r="Q924" s="176" t="str">
        <f>IFERROR(VLOOKUP(O924, 'NAICS OES crosswalk'!A:C, 3, FALSE), VLOOKUP(M924, 'NAICS OES crosswalk'!A:C, 3, FALSE))</f>
        <v>Processing as a reactant</v>
      </c>
      <c r="U924" s="190" t="s">
        <v>1061</v>
      </c>
      <c r="V924" s="11" t="s">
        <v>1059</v>
      </c>
      <c r="W924" s="11"/>
      <c r="X924" s="11">
        <v>3.34144</v>
      </c>
      <c r="Y924" s="11" t="b">
        <f t="shared" si="16"/>
        <v>0</v>
      </c>
    </row>
    <row r="925" spans="1:25" ht="29" x14ac:dyDescent="0.35">
      <c r="A925" s="11">
        <v>2023</v>
      </c>
      <c r="B925" s="11" t="s">
        <v>1980</v>
      </c>
      <c r="C925" s="11" t="s">
        <v>1258</v>
      </c>
      <c r="D925" s="163">
        <v>110020737540</v>
      </c>
      <c r="E925" s="11" t="s">
        <v>228</v>
      </c>
      <c r="F925" s="11" t="s">
        <v>229</v>
      </c>
      <c r="G925" s="11" t="s">
        <v>1259</v>
      </c>
      <c r="H925" s="11" t="s">
        <v>108</v>
      </c>
      <c r="I925" s="11" t="s">
        <v>1981</v>
      </c>
      <c r="J925" s="11">
        <v>38.395000000000003</v>
      </c>
      <c r="K925" s="11">
        <v>-84.302222</v>
      </c>
      <c r="L925" s="11">
        <v>4952</v>
      </c>
      <c r="M925" s="11">
        <v>4952</v>
      </c>
      <c r="N925" s="175" t="str">
        <f>VLOOKUP(M925, '2017 SIC to NAICS'!A:D, 2)</f>
        <v>Sewerage Systems</v>
      </c>
      <c r="O925" s="11">
        <v>221320</v>
      </c>
      <c r="P925" s="187" t="str">
        <f>VLOOKUP(M925, '2017 SIC to NAICS'!A:D, 4)</f>
        <v>Sewage Treatment Facilities</v>
      </c>
      <c r="Q925" s="176" t="str">
        <f>IFERROR(VLOOKUP(O925, 'NAICS OES crosswalk'!A:C, 3, FALSE), VLOOKUP(M925, 'NAICS OES crosswalk'!A:C, 3, FALSE))</f>
        <v>Waste handling, disposal, and treatment</v>
      </c>
      <c r="U925" s="190" t="s">
        <v>1261</v>
      </c>
      <c r="V925" s="11" t="s">
        <v>1260</v>
      </c>
      <c r="W925" s="11"/>
      <c r="X925" s="11">
        <v>2.9322868125000001</v>
      </c>
      <c r="Y925" s="11" t="b">
        <f t="shared" si="16"/>
        <v>0</v>
      </c>
    </row>
    <row r="926" spans="1:25" ht="29" x14ac:dyDescent="0.35">
      <c r="A926" s="11">
        <v>2023</v>
      </c>
      <c r="B926" s="11" t="s">
        <v>1980</v>
      </c>
      <c r="C926" s="11" t="s">
        <v>1249</v>
      </c>
      <c r="D926" s="163">
        <v>110015632216</v>
      </c>
      <c r="E926" s="11" t="s">
        <v>175</v>
      </c>
      <c r="F926" s="11" t="s">
        <v>176</v>
      </c>
      <c r="G926" s="11" t="s">
        <v>1250</v>
      </c>
      <c r="H926" s="11" t="s">
        <v>108</v>
      </c>
      <c r="I926" s="11" t="s">
        <v>1981</v>
      </c>
      <c r="J926" s="11">
        <v>38.628056000000001</v>
      </c>
      <c r="K926" s="11">
        <v>-85.109722000000005</v>
      </c>
      <c r="L926" s="11">
        <v>4952</v>
      </c>
      <c r="M926" s="11">
        <v>4952</v>
      </c>
      <c r="N926" s="175" t="str">
        <f>VLOOKUP(M926, '2017 SIC to NAICS'!A:D, 2)</f>
        <v>Sewerage Systems</v>
      </c>
      <c r="O926" s="11">
        <v>221320</v>
      </c>
      <c r="P926" s="187" t="str">
        <f>VLOOKUP(M926, '2017 SIC to NAICS'!A:D, 4)</f>
        <v>Sewage Treatment Facilities</v>
      </c>
      <c r="Q926" s="176" t="str">
        <f>IFERROR(VLOOKUP(O926, 'NAICS OES crosswalk'!A:C, 3, FALSE), VLOOKUP(M926, 'NAICS OES crosswalk'!A:C, 3, FALSE))</f>
        <v>Waste handling, disposal, and treatment</v>
      </c>
      <c r="U926" s="190" t="s">
        <v>1252</v>
      </c>
      <c r="V926" s="11" t="s">
        <v>1251</v>
      </c>
      <c r="W926" s="11"/>
      <c r="X926" s="11">
        <v>2.7043351874999999</v>
      </c>
      <c r="Y926" s="11" t="b">
        <f t="shared" si="16"/>
        <v>0</v>
      </c>
    </row>
    <row r="927" spans="1:25" ht="29" x14ac:dyDescent="0.35">
      <c r="A927" s="11">
        <v>2023</v>
      </c>
      <c r="B927" s="11" t="s">
        <v>1980</v>
      </c>
      <c r="C927" s="11" t="s">
        <v>918</v>
      </c>
      <c r="D927" s="163">
        <v>110013848453</v>
      </c>
      <c r="E927" s="11" t="s">
        <v>239</v>
      </c>
      <c r="F927" s="11" t="s">
        <v>240</v>
      </c>
      <c r="G927" s="11" t="s">
        <v>240</v>
      </c>
      <c r="H927" s="11" t="s">
        <v>102</v>
      </c>
      <c r="I927" s="11" t="s">
        <v>1981</v>
      </c>
      <c r="J927" s="11">
        <v>36.963245999999998</v>
      </c>
      <c r="K927" s="11">
        <v>-122.034009</v>
      </c>
      <c r="L927" s="11">
        <v>4952</v>
      </c>
      <c r="M927" s="11">
        <v>4952</v>
      </c>
      <c r="N927" s="175" t="str">
        <f>VLOOKUP(M927, '2017 SIC to NAICS'!A:D, 2)</f>
        <v>Sewerage Systems</v>
      </c>
      <c r="P927" s="187" t="str">
        <f>VLOOKUP(M927, '2017 SIC to NAICS'!A:D, 4)</f>
        <v>Sewage Treatment Facilities</v>
      </c>
      <c r="Q927" s="176" t="str">
        <f>IFERROR(VLOOKUP(O927, 'NAICS OES crosswalk'!A:C, 3, FALSE), VLOOKUP(M927, 'NAICS OES crosswalk'!A:C, 3, FALSE))</f>
        <v>Waste handling, disposal, and treatment</v>
      </c>
      <c r="U927" s="188">
        <v>180600150305</v>
      </c>
      <c r="V927" s="11" t="s">
        <v>919</v>
      </c>
      <c r="W927" s="11"/>
      <c r="X927" s="11">
        <v>2.5934479349999999</v>
      </c>
      <c r="Y927" s="11" t="b">
        <f t="shared" si="16"/>
        <v>0</v>
      </c>
    </row>
    <row r="928" spans="1:25" ht="29" x14ac:dyDescent="0.35">
      <c r="A928" s="11">
        <v>2023</v>
      </c>
      <c r="B928" s="11" t="s">
        <v>1980</v>
      </c>
      <c r="C928" s="11" t="s">
        <v>975</v>
      </c>
      <c r="D928" s="163">
        <v>110000525842</v>
      </c>
      <c r="E928" s="11" t="s">
        <v>242</v>
      </c>
      <c r="F928" s="11" t="s">
        <v>243</v>
      </c>
      <c r="G928" s="11" t="s">
        <v>964</v>
      </c>
      <c r="H928" s="11" t="s">
        <v>102</v>
      </c>
      <c r="I928" s="11" t="s">
        <v>1981</v>
      </c>
      <c r="J928" s="11">
        <v>34.055900000000001</v>
      </c>
      <c r="K928" s="11">
        <v>-117.36134</v>
      </c>
      <c r="L928" s="11">
        <v>4952</v>
      </c>
      <c r="M928" s="11">
        <v>4952</v>
      </c>
      <c r="N928" s="175" t="str">
        <f>VLOOKUP(M928, '2017 SIC to NAICS'!A:D, 2)</f>
        <v>Sewerage Systems</v>
      </c>
      <c r="P928" s="187" t="str">
        <f>VLOOKUP(M928, '2017 SIC to NAICS'!A:D, 4)</f>
        <v>Sewage Treatment Facilities</v>
      </c>
      <c r="Q928" s="176" t="str">
        <f>IFERROR(VLOOKUP(O928, 'NAICS OES crosswalk'!A:C, 3, FALSE), VLOOKUP(M928, 'NAICS OES crosswalk'!A:C, 3, FALSE))</f>
        <v>Waste handling, disposal, and treatment</v>
      </c>
      <c r="U928" s="188">
        <v>180702030804</v>
      </c>
      <c r="V928" s="11" t="s">
        <v>976</v>
      </c>
      <c r="W928" s="11"/>
      <c r="X928" s="11">
        <v>2.4338193449999999</v>
      </c>
      <c r="Y928" s="11" t="b">
        <f t="shared" si="16"/>
        <v>0</v>
      </c>
    </row>
    <row r="929" spans="1:25" x14ac:dyDescent="0.35">
      <c r="A929" s="11">
        <v>2023</v>
      </c>
      <c r="B929" s="11" t="s">
        <v>1980</v>
      </c>
      <c r="C929" s="11" t="s">
        <v>1051</v>
      </c>
      <c r="D929" s="163">
        <v>110044852068</v>
      </c>
      <c r="E929" s="11" t="s">
        <v>244</v>
      </c>
      <c r="F929" s="11" t="s">
        <v>245</v>
      </c>
      <c r="G929" s="11" t="s">
        <v>128</v>
      </c>
      <c r="H929" s="11" t="s">
        <v>111</v>
      </c>
      <c r="I929" s="11" t="s">
        <v>1982</v>
      </c>
      <c r="J929" s="11">
        <v>38.2774</v>
      </c>
      <c r="K929" s="11">
        <v>-89.666899999999998</v>
      </c>
      <c r="L929" s="11">
        <v>4911</v>
      </c>
      <c r="M929" s="11">
        <v>4911</v>
      </c>
      <c r="N929" s="175" t="str">
        <f>VLOOKUP(M929, '2017 SIC to NAICS'!A:D, 2)</f>
        <v>Electric Services</v>
      </c>
      <c r="P929" s="187" t="str">
        <f>VLOOKUP(M929, '2017 SIC to NAICS'!A:D, 4)</f>
        <v>Electric Power Distribution</v>
      </c>
      <c r="Q929" s="176" t="e">
        <f>IFERROR(VLOOKUP(O929, 'NAICS OES crosswalk'!A:C, 3, FALSE), VLOOKUP(M929, 'NAICS OES crosswalk'!A:C, 3, FALSE))</f>
        <v>#N/A</v>
      </c>
      <c r="U929" s="190" t="s">
        <v>1053</v>
      </c>
      <c r="V929" s="11" t="s">
        <v>1052</v>
      </c>
      <c r="W929" s="11"/>
      <c r="X929" s="11">
        <v>2.4298261700000001</v>
      </c>
      <c r="Y929" s="11" t="b">
        <f t="shared" si="16"/>
        <v>0</v>
      </c>
    </row>
    <row r="930" spans="1:25" x14ac:dyDescent="0.35">
      <c r="A930" s="11">
        <v>2023</v>
      </c>
      <c r="B930" s="11" t="s">
        <v>1980</v>
      </c>
      <c r="C930" s="11" t="s">
        <v>1477</v>
      </c>
      <c r="D930" s="163">
        <v>110041133163</v>
      </c>
      <c r="E930" s="11" t="s">
        <v>252</v>
      </c>
      <c r="F930" s="11" t="s">
        <v>253</v>
      </c>
      <c r="G930" s="11" t="s">
        <v>1113</v>
      </c>
      <c r="H930" s="11" t="s">
        <v>254</v>
      </c>
      <c r="I930" s="11" t="s">
        <v>1981</v>
      </c>
      <c r="J930" s="11">
        <v>40.640135000000001</v>
      </c>
      <c r="K930" s="11">
        <v>-74.218879999999999</v>
      </c>
      <c r="L930" s="11">
        <v>2911</v>
      </c>
      <c r="M930" s="11">
        <v>2911</v>
      </c>
      <c r="N930" s="175" t="str">
        <f>VLOOKUP(M930, '2017 SIC to NAICS'!A:D, 2)</f>
        <v>Petroleum Refining</v>
      </c>
      <c r="O930" s="11">
        <v>324110</v>
      </c>
      <c r="P930" s="187" t="str">
        <f>VLOOKUP(M930, '2017 SIC to NAICS'!A:D, 4)</f>
        <v>Petroleum Refineries</v>
      </c>
      <c r="Q930" s="176" t="e">
        <f>IFERROR(VLOOKUP(O930, 'NAICS OES crosswalk'!A:C, 3, FALSE), VLOOKUP(M930, 'NAICS OES crosswalk'!A:C, 3, FALSE))</f>
        <v>#N/A</v>
      </c>
      <c r="U930" s="190" t="s">
        <v>1480</v>
      </c>
      <c r="V930" s="11" t="s">
        <v>1478</v>
      </c>
      <c r="W930" s="11"/>
      <c r="X930" s="11">
        <v>2.3050000000000002</v>
      </c>
      <c r="Y930" s="11" t="b">
        <f t="shared" si="16"/>
        <v>0</v>
      </c>
    </row>
    <row r="931" spans="1:25" ht="29" x14ac:dyDescent="0.35">
      <c r="A931" s="11">
        <v>2023</v>
      </c>
      <c r="B931" s="11" t="s">
        <v>1980</v>
      </c>
      <c r="C931" s="11" t="s">
        <v>1015</v>
      </c>
      <c r="D931" s="163">
        <v>110013786698</v>
      </c>
      <c r="E931" s="11" t="s">
        <v>250</v>
      </c>
      <c r="F931" s="11" t="s">
        <v>251</v>
      </c>
      <c r="G931" s="11" t="s">
        <v>1016</v>
      </c>
      <c r="H931" s="11" t="s">
        <v>156</v>
      </c>
      <c r="I931" s="11" t="s">
        <v>1981</v>
      </c>
      <c r="J931" s="11">
        <v>19.713750000000001</v>
      </c>
      <c r="K931" s="11">
        <v>-155.01927800000001</v>
      </c>
      <c r="L931" s="11">
        <v>4952</v>
      </c>
      <c r="M931" s="11">
        <v>4952</v>
      </c>
      <c r="N931" s="175" t="str">
        <f>VLOOKUP(M931, '2017 SIC to NAICS'!A:D, 2)</f>
        <v>Sewerage Systems</v>
      </c>
      <c r="P931" s="187" t="str">
        <f>VLOOKUP(M931, '2017 SIC to NAICS'!A:D, 4)</f>
        <v>Sewage Treatment Facilities</v>
      </c>
      <c r="Q931" s="176" t="str">
        <f>IFERROR(VLOOKUP(O931, 'NAICS OES crosswalk'!A:C, 3, FALSE), VLOOKUP(M931, 'NAICS OES crosswalk'!A:C, 3, FALSE))</f>
        <v>Waste handling, disposal, and treatment</v>
      </c>
      <c r="U931" s="188">
        <v>200100000407</v>
      </c>
      <c r="V931" s="11" t="s">
        <v>1017</v>
      </c>
      <c r="W931" s="11"/>
      <c r="X931" s="11">
        <v>2.2691548125000001</v>
      </c>
      <c r="Y931" s="11" t="b">
        <f t="shared" si="16"/>
        <v>0</v>
      </c>
    </row>
    <row r="932" spans="1:25" x14ac:dyDescent="0.35">
      <c r="A932" s="11">
        <v>2023</v>
      </c>
      <c r="B932" s="11" t="s">
        <v>1980</v>
      </c>
      <c r="C932" s="11" t="s">
        <v>794</v>
      </c>
      <c r="D932" s="163">
        <v>110000433013</v>
      </c>
      <c r="E932" s="11" t="s">
        <v>259</v>
      </c>
      <c r="F932" s="11" t="s">
        <v>260</v>
      </c>
      <c r="G932" s="11" t="s">
        <v>795</v>
      </c>
      <c r="H932" s="11" t="s">
        <v>111</v>
      </c>
      <c r="I932" s="11" t="s">
        <v>1981</v>
      </c>
      <c r="J932" s="11">
        <v>41.412897000000001</v>
      </c>
      <c r="K932" s="11">
        <v>-88.329773000000003</v>
      </c>
      <c r="L932" s="11">
        <v>2821</v>
      </c>
      <c r="M932" s="11">
        <v>2821</v>
      </c>
      <c r="N932" s="175" t="str">
        <f>VLOOKUP(M932, '2017 SIC to NAICS'!A:D, 2)</f>
        <v>Plastics Materials and Resins</v>
      </c>
      <c r="P932" s="187" t="str">
        <f>VLOOKUP(M932, '2017 SIC to NAICS'!A:D, 4)</f>
        <v>Plastics Material and Resin Manufacturing</v>
      </c>
      <c r="Q932" s="176" t="str">
        <f>IFERROR(VLOOKUP(O932, 'NAICS OES crosswalk'!A:C, 3, FALSE), VLOOKUP(M932, 'NAICS OES crosswalk'!A:C, 3, FALSE))</f>
        <v>Processing as a reactant</v>
      </c>
      <c r="U932" s="190" t="s">
        <v>799</v>
      </c>
      <c r="V932" s="11" t="s">
        <v>798</v>
      </c>
      <c r="W932" s="11"/>
      <c r="X932" s="11">
        <v>2.09748</v>
      </c>
      <c r="Y932" s="11" t="b">
        <f t="shared" si="16"/>
        <v>0</v>
      </c>
    </row>
    <row r="933" spans="1:25" ht="29" x14ac:dyDescent="0.35">
      <c r="A933" s="11">
        <v>2023</v>
      </c>
      <c r="B933" s="11" t="s">
        <v>1980</v>
      </c>
      <c r="C933" s="11" t="s">
        <v>1139</v>
      </c>
      <c r="D933" s="163">
        <v>110009696356</v>
      </c>
      <c r="E933" s="11" t="s">
        <v>196</v>
      </c>
      <c r="F933" s="11" t="s">
        <v>197</v>
      </c>
      <c r="G933" s="11" t="s">
        <v>1140</v>
      </c>
      <c r="H933" s="11" t="s">
        <v>108</v>
      </c>
      <c r="I933" s="11" t="s">
        <v>1981</v>
      </c>
      <c r="J933" s="11">
        <v>37.108094000000001</v>
      </c>
      <c r="K933" s="11">
        <v>-85.303033999999997</v>
      </c>
      <c r="L933" s="11">
        <v>4952</v>
      </c>
      <c r="M933" s="11">
        <v>4952</v>
      </c>
      <c r="N933" s="175" t="str">
        <f>VLOOKUP(M933, '2017 SIC to NAICS'!A:D, 2)</f>
        <v>Sewerage Systems</v>
      </c>
      <c r="O933" s="11">
        <v>221320</v>
      </c>
      <c r="P933" s="187" t="str">
        <f>VLOOKUP(M933, '2017 SIC to NAICS'!A:D, 4)</f>
        <v>Sewage Treatment Facilities</v>
      </c>
      <c r="Q933" s="176" t="str">
        <f>IFERROR(VLOOKUP(O933, 'NAICS OES crosswalk'!A:C, 3, FALSE), VLOOKUP(M933, 'NAICS OES crosswalk'!A:C, 3, FALSE))</f>
        <v>Waste handling, disposal, and treatment</v>
      </c>
      <c r="U933" s="190" t="s">
        <v>1142</v>
      </c>
      <c r="V933" s="11" t="s">
        <v>1141</v>
      </c>
      <c r="W933" s="11"/>
      <c r="X933" s="11">
        <v>1.90477759375</v>
      </c>
      <c r="Y933" s="11" t="b">
        <f t="shared" si="16"/>
        <v>0</v>
      </c>
    </row>
    <row r="934" spans="1:25" x14ac:dyDescent="0.35">
      <c r="A934" s="11">
        <v>2023</v>
      </c>
      <c r="B934" s="11" t="s">
        <v>1980</v>
      </c>
      <c r="C934" s="11" t="s">
        <v>1189</v>
      </c>
      <c r="D934" s="163">
        <v>110002108059</v>
      </c>
      <c r="E934" s="11" t="s">
        <v>257</v>
      </c>
      <c r="F934" s="11" t="s">
        <v>258</v>
      </c>
      <c r="G934" s="11" t="s">
        <v>1190</v>
      </c>
      <c r="H934" s="11" t="s">
        <v>108</v>
      </c>
      <c r="I934" s="11" t="s">
        <v>1981</v>
      </c>
      <c r="J934" s="11">
        <v>38.391995999999999</v>
      </c>
      <c r="K934" s="11">
        <v>-85.416021999999998</v>
      </c>
      <c r="L934" s="11">
        <v>9223</v>
      </c>
      <c r="M934" s="11">
        <v>9223</v>
      </c>
      <c r="N934" s="175" t="str">
        <f>VLOOKUP(M934, '2017 SIC to NAICS'!A:D, 2)</f>
        <v>Correctional Institutions</v>
      </c>
      <c r="O934" s="11">
        <v>922140</v>
      </c>
      <c r="P934" s="187" t="str">
        <f>VLOOKUP(M934, '2017 SIC to NAICS'!A:D, 4)</f>
        <v>Correctional Institutions</v>
      </c>
      <c r="Q934" s="176" t="e">
        <f>IFERROR(VLOOKUP(O934, 'NAICS OES crosswalk'!A:C, 3, FALSE), VLOOKUP(M934, 'NAICS OES crosswalk'!A:C, 3, FALSE))</f>
        <v>#N/A</v>
      </c>
      <c r="U934" s="190" t="s">
        <v>1192</v>
      </c>
      <c r="V934" s="11" t="s">
        <v>1191</v>
      </c>
      <c r="W934" s="11"/>
      <c r="X934" s="11">
        <v>1.7752596249999999</v>
      </c>
      <c r="Y934" s="11" t="b">
        <f t="shared" si="16"/>
        <v>0</v>
      </c>
    </row>
    <row r="935" spans="1:25" ht="29" x14ac:dyDescent="0.35">
      <c r="A935" s="11">
        <v>2023</v>
      </c>
      <c r="B935" s="11" t="s">
        <v>1980</v>
      </c>
      <c r="C935" s="11" t="s">
        <v>1119</v>
      </c>
      <c r="D935" s="163">
        <v>110000571373</v>
      </c>
      <c r="E935" s="11" t="s">
        <v>116</v>
      </c>
      <c r="F935" s="11" t="s">
        <v>117</v>
      </c>
      <c r="G935" s="11" t="s">
        <v>1120</v>
      </c>
      <c r="H935" s="11" t="s">
        <v>108</v>
      </c>
      <c r="I935" s="11" t="s">
        <v>1981</v>
      </c>
      <c r="J935" s="11">
        <v>37.642310000000002</v>
      </c>
      <c r="K935" s="11">
        <v>-85.903570000000002</v>
      </c>
      <c r="L935" s="11">
        <v>4952</v>
      </c>
      <c r="M935" s="11">
        <v>4952</v>
      </c>
      <c r="N935" s="175" t="str">
        <f>VLOOKUP(M935, '2017 SIC to NAICS'!A:D, 2)</f>
        <v>Sewerage Systems</v>
      </c>
      <c r="O935" s="11">
        <v>221320</v>
      </c>
      <c r="P935" s="187" t="str">
        <f>VLOOKUP(M935, '2017 SIC to NAICS'!A:D, 4)</f>
        <v>Sewage Treatment Facilities</v>
      </c>
      <c r="Q935" s="176" t="str">
        <f>IFERROR(VLOOKUP(O935, 'NAICS OES crosswalk'!A:C, 3, FALSE), VLOOKUP(M935, 'NAICS OES crosswalk'!A:C, 3, FALSE))</f>
        <v>Waste handling, disposal, and treatment</v>
      </c>
      <c r="U935" s="190" t="s">
        <v>1122</v>
      </c>
      <c r="V935" s="11" t="s">
        <v>1121</v>
      </c>
      <c r="W935" s="11"/>
      <c r="X935" s="11">
        <v>1.6578299999999999</v>
      </c>
      <c r="Y935" s="11" t="b">
        <f t="shared" si="16"/>
        <v>0</v>
      </c>
    </row>
    <row r="936" spans="1:25" ht="29" x14ac:dyDescent="0.35">
      <c r="A936" s="11">
        <v>2023</v>
      </c>
      <c r="B936" s="11" t="s">
        <v>1980</v>
      </c>
      <c r="C936" s="11" t="s">
        <v>1023</v>
      </c>
      <c r="D936" s="163">
        <v>110041973460</v>
      </c>
      <c r="E936" s="11" t="s">
        <v>267</v>
      </c>
      <c r="F936" s="11" t="s">
        <v>268</v>
      </c>
      <c r="G936" s="11" t="s">
        <v>155</v>
      </c>
      <c r="H936" s="11" t="s">
        <v>156</v>
      </c>
      <c r="I936" s="11" t="s">
        <v>1981</v>
      </c>
      <c r="J936" s="11">
        <v>21.438638999999998</v>
      </c>
      <c r="K936" s="11">
        <v>-157.75847200000001</v>
      </c>
      <c r="L936" s="11">
        <v>4952</v>
      </c>
      <c r="M936" s="11">
        <v>4952</v>
      </c>
      <c r="N936" s="175" t="str">
        <f>VLOOKUP(M936, '2017 SIC to NAICS'!A:D, 2)</f>
        <v>Sewerage Systems</v>
      </c>
      <c r="P936" s="187" t="str">
        <f>VLOOKUP(M936, '2017 SIC to NAICS'!A:D, 4)</f>
        <v>Sewage Treatment Facilities</v>
      </c>
      <c r="Q936" s="176" t="str">
        <f>IFERROR(VLOOKUP(O936, 'NAICS OES crosswalk'!A:C, 3, FALSE), VLOOKUP(M936, 'NAICS OES crosswalk'!A:C, 3, FALSE))</f>
        <v>Waste handling, disposal, and treatment</v>
      </c>
      <c r="U936" s="188">
        <v>200600000205</v>
      </c>
      <c r="V936" s="11" t="s">
        <v>1024</v>
      </c>
      <c r="W936" s="11"/>
      <c r="X936" s="11">
        <v>1.6523038999999999</v>
      </c>
      <c r="Y936" s="11" t="b">
        <f t="shared" si="16"/>
        <v>0</v>
      </c>
    </row>
    <row r="937" spans="1:25" x14ac:dyDescent="0.35">
      <c r="A937" s="11">
        <v>2023</v>
      </c>
      <c r="B937" s="11" t="s">
        <v>1980</v>
      </c>
      <c r="C937" s="11" t="s">
        <v>870</v>
      </c>
      <c r="D937" s="163">
        <v>110017432937</v>
      </c>
      <c r="E937" s="11" t="s">
        <v>200</v>
      </c>
      <c r="F937" s="11" t="s">
        <v>201</v>
      </c>
      <c r="G937" s="11" t="s">
        <v>871</v>
      </c>
      <c r="H937" s="11" t="s">
        <v>202</v>
      </c>
      <c r="I937" s="11" t="s">
        <v>1981</v>
      </c>
      <c r="J937" s="11">
        <v>35.722341999999998</v>
      </c>
      <c r="K937" s="11">
        <v>-91.524983000000006</v>
      </c>
      <c r="L937" s="11">
        <v>2865</v>
      </c>
      <c r="M937" s="11">
        <v>2865</v>
      </c>
      <c r="N937" s="175" t="str">
        <f>VLOOKUP(M937, '2017 SIC to NAICS'!A:D, 2)</f>
        <v>Cyclic Crudes and Intermediates</v>
      </c>
      <c r="O937" s="11">
        <v>325199</v>
      </c>
      <c r="P937" s="187" t="str">
        <f>VLOOKUP(M937, '2017 SIC to NAICS'!A:D, 4)</f>
        <v>Cyclic Crude, Intermediate, and Gum and
Wood Chemical Manufacturing</v>
      </c>
      <c r="Q937" s="176" t="str">
        <f>IFERROR(VLOOKUP(O937, 'NAICS OES crosswalk'!A:C, 3, FALSE), VLOOKUP(M937, 'NAICS OES crosswalk'!A:C, 3, FALSE))</f>
        <v>Manufacturing</v>
      </c>
      <c r="U937" s="188">
        <v>110100040704</v>
      </c>
      <c r="V937" s="11" t="s">
        <v>874</v>
      </c>
      <c r="W937" s="11"/>
      <c r="X937" s="11">
        <v>1.65029</v>
      </c>
      <c r="Y937" s="11" t="b">
        <f t="shared" si="16"/>
        <v>0</v>
      </c>
    </row>
    <row r="938" spans="1:25" ht="29" x14ac:dyDescent="0.35">
      <c r="A938" s="11">
        <v>2023</v>
      </c>
      <c r="B938" s="11" t="s">
        <v>1980</v>
      </c>
      <c r="C938" s="11" t="s">
        <v>1265</v>
      </c>
      <c r="D938" s="163">
        <v>110023140420</v>
      </c>
      <c r="E938" s="11" t="s">
        <v>279</v>
      </c>
      <c r="F938" s="11" t="s">
        <v>280</v>
      </c>
      <c r="G938" s="11" t="s">
        <v>1266</v>
      </c>
      <c r="H938" s="11" t="s">
        <v>108</v>
      </c>
      <c r="I938" s="11" t="s">
        <v>1982</v>
      </c>
      <c r="J938" s="11">
        <v>38.691943999999999</v>
      </c>
      <c r="K938" s="11">
        <v>-84.325000000000003</v>
      </c>
      <c r="L938" s="11">
        <v>4952</v>
      </c>
      <c r="M938" s="11">
        <v>4952</v>
      </c>
      <c r="N938" s="175" t="str">
        <f>VLOOKUP(M938, '2017 SIC to NAICS'!A:D, 2)</f>
        <v>Sewerage Systems</v>
      </c>
      <c r="O938" s="11">
        <v>221320</v>
      </c>
      <c r="P938" s="187" t="str">
        <f>VLOOKUP(M938, '2017 SIC to NAICS'!A:D, 4)</f>
        <v>Sewage Treatment Facilities</v>
      </c>
      <c r="Q938" s="176" t="str">
        <f>IFERROR(VLOOKUP(O938, 'NAICS OES crosswalk'!A:C, 3, FALSE), VLOOKUP(M938, 'NAICS OES crosswalk'!A:C, 3, FALSE))</f>
        <v>Waste handling, disposal, and treatment</v>
      </c>
      <c r="U938" s="190" t="s">
        <v>1268</v>
      </c>
      <c r="V938" s="11" t="s">
        <v>1267</v>
      </c>
      <c r="W938" s="11"/>
      <c r="X938" s="11">
        <v>1.4194029616874999</v>
      </c>
      <c r="Y938" s="11" t="b">
        <f t="shared" si="16"/>
        <v>0</v>
      </c>
    </row>
    <row r="939" spans="1:25" ht="29" x14ac:dyDescent="0.35">
      <c r="A939" s="11">
        <v>2023</v>
      </c>
      <c r="B939" s="11" t="s">
        <v>1980</v>
      </c>
      <c r="C939" s="11" t="s">
        <v>1540</v>
      </c>
      <c r="D939" s="163">
        <v>110024409344</v>
      </c>
      <c r="E939" s="11" t="s">
        <v>286</v>
      </c>
      <c r="F939" s="11" t="s">
        <v>287</v>
      </c>
      <c r="G939" s="11" t="s">
        <v>1541</v>
      </c>
      <c r="H939" s="11" t="s">
        <v>288</v>
      </c>
      <c r="I939" s="11" t="s">
        <v>1981</v>
      </c>
      <c r="J939" s="11">
        <v>36.091380999999998</v>
      </c>
      <c r="K939" s="11">
        <v>-111.289585</v>
      </c>
      <c r="L939" s="11">
        <v>4952</v>
      </c>
      <c r="M939" s="11">
        <v>4952</v>
      </c>
      <c r="N939" s="175" t="str">
        <f>VLOOKUP(M939, '2017 SIC to NAICS'!A:D, 2)</f>
        <v>Sewerage Systems</v>
      </c>
      <c r="P939" s="187" t="str">
        <f>VLOOKUP(M939, '2017 SIC to NAICS'!A:D, 4)</f>
        <v>Sewage Treatment Facilities</v>
      </c>
      <c r="Q939" s="176" t="str">
        <f>IFERROR(VLOOKUP(O939, 'NAICS OES crosswalk'!A:C, 3, FALSE), VLOOKUP(M939, 'NAICS OES crosswalk'!A:C, 3, FALSE))</f>
        <v>Waste handling, disposal, and treatment</v>
      </c>
      <c r="U939" s="188">
        <v>150200181004</v>
      </c>
      <c r="V939" s="11" t="s">
        <v>1542</v>
      </c>
      <c r="W939" s="11"/>
      <c r="X939" s="11">
        <v>1.2317904</v>
      </c>
      <c r="Y939" s="11" t="b">
        <f t="shared" si="16"/>
        <v>0</v>
      </c>
    </row>
    <row r="940" spans="1:25" ht="29" x14ac:dyDescent="0.35">
      <c r="A940" s="11">
        <v>2023</v>
      </c>
      <c r="B940" s="11" t="s">
        <v>1980</v>
      </c>
      <c r="C940" s="11" t="s">
        <v>977</v>
      </c>
      <c r="D940" s="163">
        <v>110055992993</v>
      </c>
      <c r="E940" s="11" t="s">
        <v>291</v>
      </c>
      <c r="F940" s="11" t="s">
        <v>292</v>
      </c>
      <c r="G940" s="11" t="s">
        <v>978</v>
      </c>
      <c r="H940" s="11" t="s">
        <v>102</v>
      </c>
      <c r="I940" s="11" t="s">
        <v>1981</v>
      </c>
      <c r="J940" s="11">
        <v>33.926245999999999</v>
      </c>
      <c r="K940" s="11">
        <v>-116.992552</v>
      </c>
      <c r="L940" s="11">
        <v>4952</v>
      </c>
      <c r="M940" s="11">
        <v>4952</v>
      </c>
      <c r="N940" s="175" t="str">
        <f>VLOOKUP(M940, '2017 SIC to NAICS'!A:D, 2)</f>
        <v>Sewerage Systems</v>
      </c>
      <c r="P940" s="187" t="str">
        <f>VLOOKUP(M940, '2017 SIC to NAICS'!A:D, 4)</f>
        <v>Sewage Treatment Facilities</v>
      </c>
      <c r="Q940" s="176" t="str">
        <f>IFERROR(VLOOKUP(O940, 'NAICS OES crosswalk'!A:C, 3, FALSE), VLOOKUP(M940, 'NAICS OES crosswalk'!A:C, 3, FALSE))</f>
        <v>Waste handling, disposal, and treatment</v>
      </c>
      <c r="U940" s="188">
        <v>180702030401</v>
      </c>
      <c r="V940" s="11" t="s">
        <v>979</v>
      </c>
      <c r="W940" s="11"/>
      <c r="X940" s="11">
        <v>1.178440825</v>
      </c>
      <c r="Y940" s="11" t="b">
        <f t="shared" si="16"/>
        <v>0</v>
      </c>
    </row>
    <row r="941" spans="1:25" x14ac:dyDescent="0.35">
      <c r="A941" s="11">
        <v>2023</v>
      </c>
      <c r="B941" s="11" t="s">
        <v>1980</v>
      </c>
      <c r="C941" s="11" t="s">
        <v>1018</v>
      </c>
      <c r="D941" s="163">
        <v>110006777247</v>
      </c>
      <c r="E941" s="11" t="s">
        <v>230</v>
      </c>
      <c r="F941" s="11" t="s">
        <v>231</v>
      </c>
      <c r="G941" s="11" t="s">
        <v>1011</v>
      </c>
      <c r="H941" s="11" t="s">
        <v>156</v>
      </c>
      <c r="I941" s="11" t="s">
        <v>1982</v>
      </c>
      <c r="J941" s="11">
        <v>21.994944</v>
      </c>
      <c r="K941" s="11">
        <v>-159.75363899999999</v>
      </c>
      <c r="L941" s="11">
        <v>913</v>
      </c>
      <c r="M941" s="11">
        <v>913</v>
      </c>
      <c r="N941" s="175" t="str">
        <f>VLOOKUP(M941, '2017 SIC to NAICS'!A:D, 2)</f>
        <v>Shellfish</v>
      </c>
      <c r="P941" s="187" t="str">
        <f>VLOOKUP(M941, '2017 SIC to NAICS'!A:D, 4)</f>
        <v>Shellfish Fishing</v>
      </c>
      <c r="Q941" s="176" t="e">
        <f>IFERROR(VLOOKUP(O941, 'NAICS OES crosswalk'!A:C, 3, FALSE), VLOOKUP(M941, 'NAICS OES crosswalk'!A:C, 3, FALSE))</f>
        <v>#N/A</v>
      </c>
      <c r="U941" s="188">
        <v>200700000501</v>
      </c>
      <c r="V941" s="11" t="s">
        <v>1019</v>
      </c>
      <c r="W941" s="11"/>
      <c r="X941" s="11">
        <v>0.99677028749999996</v>
      </c>
      <c r="Y941" s="11" t="b">
        <f t="shared" si="16"/>
        <v>0</v>
      </c>
    </row>
    <row r="942" spans="1:25" x14ac:dyDescent="0.35">
      <c r="A942" s="11">
        <v>2023</v>
      </c>
      <c r="B942" s="11" t="s">
        <v>1980</v>
      </c>
      <c r="C942" s="11" t="s">
        <v>804</v>
      </c>
      <c r="D942" s="163">
        <v>110000378467</v>
      </c>
      <c r="E942" s="11" t="s">
        <v>306</v>
      </c>
      <c r="F942" s="11" t="s">
        <v>107</v>
      </c>
      <c r="G942" s="11" t="s">
        <v>782</v>
      </c>
      <c r="H942" s="11" t="s">
        <v>108</v>
      </c>
      <c r="I942" s="11" t="s">
        <v>1981</v>
      </c>
      <c r="J942" s="11">
        <v>38.195278000000002</v>
      </c>
      <c r="K942" s="11">
        <v>-85.872221999999994</v>
      </c>
      <c r="L942" s="11">
        <v>2869</v>
      </c>
      <c r="M942" s="11">
        <v>2869</v>
      </c>
      <c r="N942" s="175" t="str">
        <f>VLOOKUP(M942, '2017 SIC to NAICS'!A:D, 2)</f>
        <v>Industrial Organic Chemicals, Nec</v>
      </c>
      <c r="O942" s="11">
        <v>325110</v>
      </c>
      <c r="P942" s="187" t="str">
        <f>VLOOKUP(M942, '2017 SIC to NAICS'!A:D, 4)</f>
        <v>All Other Miscellaneous Chemical Product and Preparation Manufacturing</v>
      </c>
      <c r="Q942" s="176" t="str">
        <f>IFERROR(VLOOKUP(O942, 'NAICS OES crosswalk'!A:C, 3, FALSE), VLOOKUP(M942, 'NAICS OES crosswalk'!A:C, 3, FALSE))</f>
        <v>Processing as a reactant</v>
      </c>
      <c r="U942" s="190" t="s">
        <v>1070</v>
      </c>
      <c r="V942" s="11" t="s">
        <v>805</v>
      </c>
      <c r="W942" s="11"/>
      <c r="X942" s="11">
        <v>0.91140500000000002</v>
      </c>
      <c r="Y942" s="11" t="b">
        <f t="shared" si="16"/>
        <v>0</v>
      </c>
    </row>
    <row r="943" spans="1:25" ht="29" x14ac:dyDescent="0.35">
      <c r="A943" s="11">
        <v>2023</v>
      </c>
      <c r="B943" s="11" t="s">
        <v>1980</v>
      </c>
      <c r="C943" s="11" t="s">
        <v>1382</v>
      </c>
      <c r="D943" s="163">
        <v>110006040989</v>
      </c>
      <c r="E943" s="11" t="s">
        <v>307</v>
      </c>
      <c r="F943" s="11" t="s">
        <v>308</v>
      </c>
      <c r="G943" s="11" t="s">
        <v>1365</v>
      </c>
      <c r="H943" s="11" t="s">
        <v>181</v>
      </c>
      <c r="I943" s="11" t="s">
        <v>1982</v>
      </c>
      <c r="J943" s="11">
        <v>42.338805999999998</v>
      </c>
      <c r="K943" s="11">
        <v>-85.144028000000006</v>
      </c>
      <c r="L943" s="11">
        <v>9999</v>
      </c>
      <c r="M943" s="11">
        <v>9999</v>
      </c>
      <c r="N943" s="175" t="str">
        <f>VLOOKUP(M943, '2017 SIC to NAICS'!A:D, 2)</f>
        <v>Nonclassifiable Establishments</v>
      </c>
      <c r="O943" s="11">
        <v>562910</v>
      </c>
      <c r="P943" s="187">
        <f>VLOOKUP(M943, '2017 SIC to NAICS'!A:D, 4)</f>
        <v>0</v>
      </c>
      <c r="Q943" s="176" t="str">
        <f>IFERROR(VLOOKUP(O943, 'NAICS OES crosswalk'!A:C, 3, FALSE), VLOOKUP(M943, 'NAICS OES crosswalk'!A:C, 3, FALSE))</f>
        <v>Uncertain, possibly a remediation site</v>
      </c>
      <c r="U943" s="190" t="s">
        <v>1384</v>
      </c>
      <c r="V943" s="11" t="s">
        <v>1383</v>
      </c>
      <c r="W943" s="11"/>
      <c r="X943" s="11">
        <v>0.90419864999999999</v>
      </c>
      <c r="Y943" s="11" t="b">
        <f t="shared" si="16"/>
        <v>0</v>
      </c>
    </row>
    <row r="944" spans="1:25" x14ac:dyDescent="0.35">
      <c r="A944" s="11">
        <v>2023</v>
      </c>
      <c r="B944" s="11" t="s">
        <v>1980</v>
      </c>
      <c r="C944" s="11" t="s">
        <v>1290</v>
      </c>
      <c r="D944" s="163">
        <v>110000597426</v>
      </c>
      <c r="E944" s="11" t="s">
        <v>318</v>
      </c>
      <c r="F944" s="11" t="s">
        <v>319</v>
      </c>
      <c r="G944" s="11" t="s">
        <v>1291</v>
      </c>
      <c r="H944" s="11" t="s">
        <v>91</v>
      </c>
      <c r="I944" s="11" t="s">
        <v>1981</v>
      </c>
      <c r="J944" s="11">
        <v>30.241299999999999</v>
      </c>
      <c r="K944" s="11">
        <v>-91.100899999999996</v>
      </c>
      <c r="L944" s="11">
        <v>2819</v>
      </c>
      <c r="M944" s="11">
        <v>2819</v>
      </c>
      <c r="N944" s="175" t="str">
        <f>VLOOKUP(M944, '2017 SIC to NAICS'!A:D, 2)</f>
        <v>Industrial Inorganic Chemicals, Nec</v>
      </c>
      <c r="P944" s="187" t="str">
        <f>VLOOKUP(M944, '2017 SIC to NAICS'!A:D, 4)</f>
        <v>Alumina Refining and Primary Aluminum
Production</v>
      </c>
      <c r="Q944" s="176" t="str">
        <f>IFERROR(VLOOKUP(O944, 'NAICS OES crosswalk'!A:C, 3, FALSE), VLOOKUP(M944, 'NAICS OES crosswalk'!A:C, 3, FALSE))</f>
        <v>Processing as a reactant</v>
      </c>
      <c r="U944" s="190" t="s">
        <v>1294</v>
      </c>
      <c r="V944" s="11" t="s">
        <v>1292</v>
      </c>
      <c r="W944" s="11"/>
      <c r="X944" s="11">
        <v>0.82855000000000001</v>
      </c>
      <c r="Y944" s="11" t="b">
        <f t="shared" si="16"/>
        <v>0</v>
      </c>
    </row>
    <row r="945" spans="1:25" x14ac:dyDescent="0.35">
      <c r="A945" s="11">
        <v>2023</v>
      </c>
      <c r="B945" s="11" t="s">
        <v>1980</v>
      </c>
      <c r="C945" s="11" t="s">
        <v>841</v>
      </c>
      <c r="D945" s="163">
        <v>110000324391</v>
      </c>
      <c r="E945" s="11" t="s">
        <v>315</v>
      </c>
      <c r="F945" s="11" t="s">
        <v>316</v>
      </c>
      <c r="G945" s="11" t="s">
        <v>842</v>
      </c>
      <c r="H945" s="11" t="s">
        <v>126</v>
      </c>
      <c r="I945" s="11" t="s">
        <v>1981</v>
      </c>
      <c r="J945" s="11">
        <v>42.575806</v>
      </c>
      <c r="K945" s="11">
        <v>-73.859943999999999</v>
      </c>
      <c r="L945" s="11">
        <v>2821</v>
      </c>
      <c r="M945" s="11">
        <v>2821</v>
      </c>
      <c r="N945" s="175" t="str">
        <f>VLOOKUP(M945, '2017 SIC to NAICS'!A:D, 2)</f>
        <v>Plastics Materials and Resins</v>
      </c>
      <c r="P945" s="187" t="str">
        <f>VLOOKUP(M945, '2017 SIC to NAICS'!A:D, 4)</f>
        <v>Plastics Material and Resin Manufacturing</v>
      </c>
      <c r="Q945" s="176" t="str">
        <f>IFERROR(VLOOKUP(O945, 'NAICS OES crosswalk'!A:C, 3, FALSE), VLOOKUP(M945, 'NAICS OES crosswalk'!A:C, 3, FALSE))</f>
        <v>Processing as a reactant</v>
      </c>
      <c r="U945" s="190" t="s">
        <v>844</v>
      </c>
      <c r="V945" s="11" t="s">
        <v>843</v>
      </c>
      <c r="W945" s="11"/>
      <c r="X945" s="11">
        <v>0.82855000000000001</v>
      </c>
      <c r="Y945" s="11" t="b">
        <f t="shared" si="16"/>
        <v>0</v>
      </c>
    </row>
    <row r="946" spans="1:25" ht="29" x14ac:dyDescent="0.35">
      <c r="A946" s="11">
        <v>2023</v>
      </c>
      <c r="B946" s="11" t="s">
        <v>1980</v>
      </c>
      <c r="C946" s="11" t="s">
        <v>1147</v>
      </c>
      <c r="D946" s="163">
        <v>110006367136</v>
      </c>
      <c r="E946" s="11" t="s">
        <v>320</v>
      </c>
      <c r="F946" s="11" t="s">
        <v>321</v>
      </c>
      <c r="G946" s="11" t="s">
        <v>1148</v>
      </c>
      <c r="H946" s="11" t="s">
        <v>108</v>
      </c>
      <c r="I946" s="11" t="s">
        <v>1981</v>
      </c>
      <c r="J946" s="11">
        <v>37.021974</v>
      </c>
      <c r="K946" s="11">
        <v>-88.512833000000001</v>
      </c>
      <c r="L946" s="11">
        <v>4952</v>
      </c>
      <c r="M946" s="11">
        <v>4952</v>
      </c>
      <c r="N946" s="175" t="str">
        <f>VLOOKUP(M946, '2017 SIC to NAICS'!A:D, 2)</f>
        <v>Sewerage Systems</v>
      </c>
      <c r="O946" s="11">
        <v>221320</v>
      </c>
      <c r="P946" s="187" t="str">
        <f>VLOOKUP(M946, '2017 SIC to NAICS'!A:D, 4)</f>
        <v>Sewage Treatment Facilities</v>
      </c>
      <c r="Q946" s="176" t="str">
        <f>IFERROR(VLOOKUP(O946, 'NAICS OES crosswalk'!A:C, 3, FALSE), VLOOKUP(M946, 'NAICS OES crosswalk'!A:C, 3, FALSE))</f>
        <v>Waste handling, disposal, and treatment</v>
      </c>
      <c r="U946" s="190" t="s">
        <v>1150</v>
      </c>
      <c r="V946" s="11" t="s">
        <v>1149</v>
      </c>
      <c r="W946" s="11"/>
      <c r="X946" s="11">
        <v>0.8178628</v>
      </c>
      <c r="Y946" s="11" t="b">
        <f t="shared" si="16"/>
        <v>0</v>
      </c>
    </row>
    <row r="947" spans="1:25" x14ac:dyDescent="0.35">
      <c r="A947" s="11">
        <v>2023</v>
      </c>
      <c r="B947" s="11" t="s">
        <v>1980</v>
      </c>
      <c r="C947" s="11" t="s">
        <v>1496</v>
      </c>
      <c r="D947" s="163">
        <v>110007970142</v>
      </c>
      <c r="E947" s="11" t="s">
        <v>293</v>
      </c>
      <c r="F947" s="11" t="s">
        <v>294</v>
      </c>
      <c r="G947" s="11" t="s">
        <v>1487</v>
      </c>
      <c r="H947" s="11" t="s">
        <v>254</v>
      </c>
      <c r="I947" s="11" t="s">
        <v>1981</v>
      </c>
      <c r="J947" s="11">
        <v>39.698279999999997</v>
      </c>
      <c r="K947" s="11">
        <v>-75.503974999999997</v>
      </c>
      <c r="L947" s="11">
        <v>2869</v>
      </c>
      <c r="M947" s="11">
        <v>2869</v>
      </c>
      <c r="N947" s="175" t="str">
        <f>VLOOKUP(M947, '2017 SIC to NAICS'!A:D, 2)</f>
        <v>Industrial Organic Chemicals, Nec</v>
      </c>
      <c r="P947" s="187" t="str">
        <f>VLOOKUP(M947, '2017 SIC to NAICS'!A:D, 4)</f>
        <v>All Other Miscellaneous Chemical Product and Preparation Manufacturing</v>
      </c>
      <c r="Q947" s="176" t="str">
        <f>IFERROR(VLOOKUP(O947, 'NAICS OES crosswalk'!A:C, 3, FALSE), VLOOKUP(M947, 'NAICS OES crosswalk'!A:C, 3, FALSE))</f>
        <v>Manufacturing</v>
      </c>
      <c r="U947" s="190" t="s">
        <v>1490</v>
      </c>
      <c r="V947" s="11" t="s">
        <v>1488</v>
      </c>
      <c r="W947" s="11"/>
      <c r="X947" s="11">
        <v>0.80800000000000005</v>
      </c>
      <c r="Y947" s="11" t="b">
        <f t="shared" si="16"/>
        <v>0</v>
      </c>
    </row>
    <row r="948" spans="1:25" ht="29" x14ac:dyDescent="0.35">
      <c r="A948" s="11">
        <v>2023</v>
      </c>
      <c r="B948" s="11" t="s">
        <v>1980</v>
      </c>
      <c r="C948" s="11" t="s">
        <v>1543</v>
      </c>
      <c r="D948" s="163">
        <v>110024409362</v>
      </c>
      <c r="E948" s="11" t="s">
        <v>322</v>
      </c>
      <c r="F948" s="11" t="s">
        <v>323</v>
      </c>
      <c r="G948" s="11" t="s">
        <v>1534</v>
      </c>
      <c r="H948" s="11" t="s">
        <v>273</v>
      </c>
      <c r="I948" s="11" t="s">
        <v>1981</v>
      </c>
      <c r="J948" s="11">
        <v>36.786963999999998</v>
      </c>
      <c r="K948" s="11">
        <v>-108.711493</v>
      </c>
      <c r="L948" s="11">
        <v>4952</v>
      </c>
      <c r="M948" s="11">
        <v>4952</v>
      </c>
      <c r="N948" s="175" t="str">
        <f>VLOOKUP(M948, '2017 SIC to NAICS'!A:D, 2)</f>
        <v>Sewerage Systems</v>
      </c>
      <c r="P948" s="187" t="str">
        <f>VLOOKUP(M948, '2017 SIC to NAICS'!A:D, 4)</f>
        <v>Sewage Treatment Facilities</v>
      </c>
      <c r="Q948" s="176" t="str">
        <f>IFERROR(VLOOKUP(O948, 'NAICS OES crosswalk'!A:C, 3, FALSE), VLOOKUP(M948, 'NAICS OES crosswalk'!A:C, 3, FALSE))</f>
        <v>Waste handling, disposal, and treatment</v>
      </c>
      <c r="U948" s="188">
        <v>140801050704</v>
      </c>
      <c r="V948" s="11" t="s">
        <v>1544</v>
      </c>
      <c r="W948" s="11"/>
      <c r="X948" s="11">
        <v>0.80347979999999997</v>
      </c>
      <c r="Y948" s="11" t="b">
        <f t="shared" si="16"/>
        <v>0</v>
      </c>
    </row>
    <row r="949" spans="1:25" x14ac:dyDescent="0.35">
      <c r="A949" s="11">
        <v>2023</v>
      </c>
      <c r="B949" s="11" t="s">
        <v>1980</v>
      </c>
      <c r="C949" s="11" t="s">
        <v>794</v>
      </c>
      <c r="D949" s="163">
        <v>110000433013</v>
      </c>
      <c r="E949" s="11" t="s">
        <v>259</v>
      </c>
      <c r="F949" s="11" t="s">
        <v>260</v>
      </c>
      <c r="G949" s="11" t="s">
        <v>795</v>
      </c>
      <c r="H949" s="11" t="s">
        <v>111</v>
      </c>
      <c r="I949" s="11" t="s">
        <v>1981</v>
      </c>
      <c r="J949" s="11">
        <v>41.412897000000001</v>
      </c>
      <c r="K949" s="11">
        <v>-88.329773000000003</v>
      </c>
      <c r="L949" s="11">
        <v>2821</v>
      </c>
      <c r="M949" s="11">
        <v>2821</v>
      </c>
      <c r="N949" s="175" t="str">
        <f>VLOOKUP(M949, '2017 SIC to NAICS'!A:D, 2)</f>
        <v>Plastics Materials and Resins</v>
      </c>
      <c r="P949" s="187" t="str">
        <f>VLOOKUP(M949, '2017 SIC to NAICS'!A:D, 4)</f>
        <v>Plastics Material and Resin Manufacturing</v>
      </c>
      <c r="Q949" s="176" t="str">
        <f>IFERROR(VLOOKUP(O949, 'NAICS OES crosswalk'!A:C, 3, FALSE), VLOOKUP(M949, 'NAICS OES crosswalk'!A:C, 3, FALSE))</f>
        <v>Processing as a reactant</v>
      </c>
      <c r="U949" s="190" t="s">
        <v>799</v>
      </c>
      <c r="V949" s="11" t="s">
        <v>798</v>
      </c>
      <c r="W949" s="11"/>
      <c r="X949" s="11">
        <v>0.80085600000000001</v>
      </c>
      <c r="Y949" s="11" t="b">
        <f t="shared" si="16"/>
        <v>0</v>
      </c>
    </row>
    <row r="950" spans="1:25" ht="29" x14ac:dyDescent="0.35">
      <c r="A950" s="11">
        <v>2023</v>
      </c>
      <c r="B950" s="11" t="s">
        <v>1980</v>
      </c>
      <c r="C950" s="11" t="s">
        <v>1155</v>
      </c>
      <c r="D950" s="163">
        <v>110064268260</v>
      </c>
      <c r="E950" s="11" t="s">
        <v>246</v>
      </c>
      <c r="F950" s="11" t="s">
        <v>247</v>
      </c>
      <c r="G950" s="11" t="s">
        <v>1156</v>
      </c>
      <c r="H950" s="11" t="s">
        <v>108</v>
      </c>
      <c r="I950" s="11" t="s">
        <v>1982</v>
      </c>
      <c r="J950" s="11">
        <v>38.369734999999999</v>
      </c>
      <c r="K950" s="11">
        <v>-85.180234999999996</v>
      </c>
      <c r="L950" s="11">
        <v>4952</v>
      </c>
      <c r="M950" s="11">
        <v>4952</v>
      </c>
      <c r="N950" s="175" t="str">
        <f>VLOOKUP(M950, '2017 SIC to NAICS'!A:D, 2)</f>
        <v>Sewerage Systems</v>
      </c>
      <c r="O950" s="11">
        <v>221320</v>
      </c>
      <c r="P950" s="187" t="str">
        <f>VLOOKUP(M950, '2017 SIC to NAICS'!A:D, 4)</f>
        <v>Sewage Treatment Facilities</v>
      </c>
      <c r="Q950" s="176" t="str">
        <f>IFERROR(VLOOKUP(O950, 'NAICS OES crosswalk'!A:C, 3, FALSE), VLOOKUP(M950, 'NAICS OES crosswalk'!A:C, 3, FALSE))</f>
        <v>Waste handling, disposal, and treatment</v>
      </c>
      <c r="U950" s="190" t="s">
        <v>1158</v>
      </c>
      <c r="V950" s="11" t="s">
        <v>1157</v>
      </c>
      <c r="W950" s="11"/>
      <c r="X950" s="11">
        <v>0.79783068749999997</v>
      </c>
      <c r="Y950" s="11" t="b">
        <f t="shared" si="16"/>
        <v>0</v>
      </c>
    </row>
    <row r="951" spans="1:25" x14ac:dyDescent="0.35">
      <c r="A951" s="11">
        <v>2023</v>
      </c>
      <c r="B951" s="11" t="s">
        <v>1980</v>
      </c>
      <c r="C951" s="11" t="s">
        <v>837</v>
      </c>
      <c r="D951" s="163">
        <v>110011779147</v>
      </c>
      <c r="E951" s="11" t="s">
        <v>172</v>
      </c>
      <c r="F951" s="11" t="s">
        <v>173</v>
      </c>
      <c r="G951" s="11" t="s">
        <v>838</v>
      </c>
      <c r="H951" s="11" t="s">
        <v>126</v>
      </c>
      <c r="I951" s="11" t="s">
        <v>1982</v>
      </c>
      <c r="J951" s="11">
        <v>43.075907999999998</v>
      </c>
      <c r="K951" s="11">
        <v>-76.089072000000002</v>
      </c>
      <c r="L951" s="11">
        <v>3585</v>
      </c>
      <c r="M951" s="11">
        <v>3585</v>
      </c>
      <c r="N951" s="175" t="str">
        <f>VLOOKUP(M951, '2017 SIC to NAICS'!A:D, 2)</f>
        <v>Refrigeration and Heating Equipment</v>
      </c>
      <c r="P951" s="187" t="str">
        <f>VLOOKUP(M951, '2017 SIC to NAICS'!A:D, 4)</f>
        <v>Other Motor Vehicle Parts Manufacturing</v>
      </c>
      <c r="Q951" s="176" t="e">
        <f>IFERROR(VLOOKUP(O951, 'NAICS OES crosswalk'!A:C, 3, FALSE), VLOOKUP(M951, 'NAICS OES crosswalk'!A:C, 3, FALSE))</f>
        <v>#N/A</v>
      </c>
      <c r="U951" s="190" t="s">
        <v>1564</v>
      </c>
      <c r="V951" s="11" t="s">
        <v>839</v>
      </c>
      <c r="W951" s="11"/>
      <c r="X951" s="11">
        <v>0.74756588749999997</v>
      </c>
      <c r="Y951" s="11" t="b">
        <f t="shared" si="16"/>
        <v>0</v>
      </c>
    </row>
    <row r="952" spans="1:25" ht="29" x14ac:dyDescent="0.35">
      <c r="A952" s="11">
        <v>2023</v>
      </c>
      <c r="B952" s="11" t="s">
        <v>1980</v>
      </c>
      <c r="C952" s="11" t="s">
        <v>1283</v>
      </c>
      <c r="D952" s="163">
        <v>110064615590</v>
      </c>
      <c r="E952" s="11" t="s">
        <v>289</v>
      </c>
      <c r="F952" s="11" t="s">
        <v>290</v>
      </c>
      <c r="G952" s="11" t="s">
        <v>1190</v>
      </c>
      <c r="H952" s="11" t="s">
        <v>108</v>
      </c>
      <c r="I952" s="11" t="s">
        <v>1981</v>
      </c>
      <c r="J952" s="11">
        <v>38.32978</v>
      </c>
      <c r="K952" s="11">
        <v>-85.540719999999993</v>
      </c>
      <c r="L952" s="11">
        <v>4952</v>
      </c>
      <c r="M952" s="11">
        <v>4952</v>
      </c>
      <c r="N952" s="175" t="str">
        <f>VLOOKUP(M952, '2017 SIC to NAICS'!A:D, 2)</f>
        <v>Sewerage Systems</v>
      </c>
      <c r="O952" s="11">
        <v>221320</v>
      </c>
      <c r="P952" s="187" t="str">
        <f>VLOOKUP(M952, '2017 SIC to NAICS'!A:D, 4)</f>
        <v>Sewage Treatment Facilities</v>
      </c>
      <c r="Q952" s="176" t="str">
        <f>IFERROR(VLOOKUP(O952, 'NAICS OES crosswalk'!A:C, 3, FALSE), VLOOKUP(M952, 'NAICS OES crosswalk'!A:C, 3, FALSE))</f>
        <v>Waste handling, disposal, and treatment</v>
      </c>
      <c r="U952" s="190" t="s">
        <v>1130</v>
      </c>
      <c r="V952" s="11" t="s">
        <v>1129</v>
      </c>
      <c r="W952" s="11"/>
      <c r="X952" s="11">
        <v>0.74256968749999996</v>
      </c>
      <c r="Y952" s="11" t="b">
        <f t="shared" si="16"/>
        <v>0</v>
      </c>
    </row>
    <row r="953" spans="1:25" ht="29" x14ac:dyDescent="0.35">
      <c r="A953" s="11">
        <v>2023</v>
      </c>
      <c r="B953" s="11" t="s">
        <v>1980</v>
      </c>
      <c r="C953" s="11" t="s">
        <v>1585</v>
      </c>
      <c r="D953" s="163">
        <v>110009827143</v>
      </c>
      <c r="E953" s="11" t="s">
        <v>310</v>
      </c>
      <c r="F953" s="11" t="s">
        <v>311</v>
      </c>
      <c r="G953" s="11" t="s">
        <v>311</v>
      </c>
      <c r="H953" s="11" t="s">
        <v>126</v>
      </c>
      <c r="I953" s="11" t="s">
        <v>1982</v>
      </c>
      <c r="J953" s="11">
        <v>42.593527999999999</v>
      </c>
      <c r="K953" s="11">
        <v>-76.155360999999999</v>
      </c>
      <c r="L953" s="11">
        <v>9999</v>
      </c>
      <c r="M953" s="11">
        <v>9999</v>
      </c>
      <c r="N953" s="175" t="str">
        <f>VLOOKUP(M953, '2017 SIC to NAICS'!A:D, 2)</f>
        <v>Nonclassifiable Establishments</v>
      </c>
      <c r="P953" s="187">
        <f>VLOOKUP(M953, '2017 SIC to NAICS'!A:D, 4)</f>
        <v>0</v>
      </c>
      <c r="Q953" s="176" t="str">
        <f>IFERROR(VLOOKUP(O953, 'NAICS OES crosswalk'!A:C, 3, FALSE), VLOOKUP(M953, 'NAICS OES crosswalk'!A:C, 3, FALSE))</f>
        <v>Uncertain, possibly a remediation site</v>
      </c>
      <c r="U953" s="190" t="s">
        <v>1587</v>
      </c>
      <c r="V953" s="11" t="s">
        <v>1586</v>
      </c>
      <c r="W953" s="11"/>
      <c r="X953" s="11">
        <v>0.71618499999999996</v>
      </c>
      <c r="Y953" s="11" t="b">
        <f t="shared" si="16"/>
        <v>0</v>
      </c>
    </row>
    <row r="954" spans="1:25" x14ac:dyDescent="0.35">
      <c r="A954" s="11">
        <v>2023</v>
      </c>
      <c r="B954" s="11" t="s">
        <v>1980</v>
      </c>
      <c r="C954" s="11" t="s">
        <v>735</v>
      </c>
      <c r="D954" s="163">
        <v>110004306938</v>
      </c>
      <c r="E954" s="11" t="s">
        <v>336</v>
      </c>
      <c r="F954" s="11" t="s">
        <v>337</v>
      </c>
      <c r="G954" s="11" t="s">
        <v>736</v>
      </c>
      <c r="H954" s="11" t="s">
        <v>221</v>
      </c>
      <c r="I954" s="11" t="s">
        <v>1982</v>
      </c>
      <c r="J954" s="11">
        <v>36.122100000000003</v>
      </c>
      <c r="K954" s="11">
        <v>-115.17139</v>
      </c>
      <c r="L954" s="11">
        <v>7011</v>
      </c>
      <c r="M954" s="11">
        <v>7011</v>
      </c>
      <c r="N954" s="175" t="str">
        <f>VLOOKUP(M954, '2017 SIC to NAICS'!A:D, 2)</f>
        <v>Hotels and Motels</v>
      </c>
      <c r="P954" s="187" t="str">
        <f>VLOOKUP(M954, '2017 SIC to NAICS'!A:D, 4)</f>
        <v>All Other Traveler Accommodation</v>
      </c>
      <c r="Q954" s="176" t="e">
        <f>IFERROR(VLOOKUP(O954, 'NAICS OES crosswalk'!A:C, 3, FALSE), VLOOKUP(M954, 'NAICS OES crosswalk'!A:C, 3, FALSE))</f>
        <v>#N/A</v>
      </c>
      <c r="U954" s="188">
        <v>150100150604</v>
      </c>
      <c r="V954" s="11" t="s">
        <v>738</v>
      </c>
      <c r="W954" s="11"/>
      <c r="X954" s="11">
        <v>0.67112412212500006</v>
      </c>
      <c r="Y954" s="11" t="b">
        <f t="shared" si="16"/>
        <v>0</v>
      </c>
    </row>
    <row r="955" spans="1:25" x14ac:dyDescent="0.35">
      <c r="A955" s="11">
        <v>2023</v>
      </c>
      <c r="B955" s="11" t="s">
        <v>1980</v>
      </c>
      <c r="C955" s="11" t="s">
        <v>1619</v>
      </c>
      <c r="D955" s="163">
        <v>110059344473</v>
      </c>
      <c r="E955" s="11" t="s">
        <v>338</v>
      </c>
      <c r="F955" s="11" t="s">
        <v>339</v>
      </c>
      <c r="G955" s="11" t="s">
        <v>1616</v>
      </c>
      <c r="H955" s="11" t="s">
        <v>340</v>
      </c>
      <c r="I955" s="11" t="s">
        <v>1981</v>
      </c>
      <c r="J955" s="11">
        <v>40.655278000000003</v>
      </c>
      <c r="K955" s="11">
        <v>-80.356388999999993</v>
      </c>
      <c r="L955" s="11">
        <v>2821</v>
      </c>
      <c r="M955" s="11">
        <v>2821</v>
      </c>
      <c r="N955" s="175" t="str">
        <f>VLOOKUP(M955, '2017 SIC to NAICS'!A:D, 2)</f>
        <v>Plastics Materials and Resins</v>
      </c>
      <c r="O955" s="11">
        <v>325211</v>
      </c>
      <c r="P955" s="187" t="str">
        <f>VLOOKUP(M955, '2017 SIC to NAICS'!A:D, 4)</f>
        <v>Plastics Material and Resin Manufacturing</v>
      </c>
      <c r="Q955" s="176" t="str">
        <f>IFERROR(VLOOKUP(O955, 'NAICS OES crosswalk'!A:C, 3, FALSE), VLOOKUP(M955, 'NAICS OES crosswalk'!A:C, 3, FALSE))</f>
        <v>Processing as a reactant</v>
      </c>
      <c r="U955" s="190" t="s">
        <v>1618</v>
      </c>
      <c r="V955" s="11" t="s">
        <v>1617</v>
      </c>
      <c r="W955" s="11"/>
      <c r="X955" s="11">
        <v>0.66283999999999998</v>
      </c>
      <c r="Y955" s="11" t="b">
        <f t="shared" si="16"/>
        <v>0</v>
      </c>
    </row>
    <row r="956" spans="1:25" ht="29" x14ac:dyDescent="0.35">
      <c r="A956" s="11">
        <v>2023</v>
      </c>
      <c r="B956" s="11" t="s">
        <v>1980</v>
      </c>
      <c r="C956" s="11" t="s">
        <v>1186</v>
      </c>
      <c r="D956" s="163">
        <v>110000542896</v>
      </c>
      <c r="E956" s="11" t="s">
        <v>343</v>
      </c>
      <c r="F956" s="11" t="s">
        <v>163</v>
      </c>
      <c r="G956" s="11" t="s">
        <v>823</v>
      </c>
      <c r="H956" s="11" t="s">
        <v>108</v>
      </c>
      <c r="I956" s="11" t="s">
        <v>1981</v>
      </c>
      <c r="J956" s="11">
        <v>38.041639000000004</v>
      </c>
      <c r="K956" s="11">
        <v>-84.208667000000005</v>
      </c>
      <c r="L956" s="11">
        <v>4952</v>
      </c>
      <c r="M956" s="11">
        <v>4952</v>
      </c>
      <c r="N956" s="175" t="str">
        <f>VLOOKUP(M956, '2017 SIC to NAICS'!A:D, 2)</f>
        <v>Sewerage Systems</v>
      </c>
      <c r="O956" s="11">
        <v>221320</v>
      </c>
      <c r="P956" s="187" t="str">
        <f>VLOOKUP(M956, '2017 SIC to NAICS'!A:D, 4)</f>
        <v>Sewage Treatment Facilities</v>
      </c>
      <c r="Q956" s="176" t="str">
        <f>IFERROR(VLOOKUP(O956, 'NAICS OES crosswalk'!A:C, 3, FALSE), VLOOKUP(M956, 'NAICS OES crosswalk'!A:C, 3, FALSE))</f>
        <v>Waste handling, disposal, and treatment</v>
      </c>
      <c r="U956" s="190" t="s">
        <v>1188</v>
      </c>
      <c r="V956" s="11" t="s">
        <v>1187</v>
      </c>
      <c r="W956" s="11"/>
      <c r="X956" s="11">
        <v>0.63809876700000001</v>
      </c>
      <c r="Y956" s="11" t="b">
        <f t="shared" si="16"/>
        <v>0</v>
      </c>
    </row>
    <row r="957" spans="1:25" x14ac:dyDescent="0.35">
      <c r="A957" s="11">
        <v>2023</v>
      </c>
      <c r="B957" s="11" t="s">
        <v>1980</v>
      </c>
      <c r="C957" s="11" t="s">
        <v>1555</v>
      </c>
      <c r="D957" s="163">
        <v>110043808467</v>
      </c>
      <c r="E957" s="11" t="s">
        <v>346</v>
      </c>
      <c r="F957" s="11" t="s">
        <v>347</v>
      </c>
      <c r="G957" s="11" t="s">
        <v>823</v>
      </c>
      <c r="H957" s="11" t="s">
        <v>221</v>
      </c>
      <c r="I957" s="11" t="s">
        <v>1982</v>
      </c>
      <c r="J957" s="11">
        <v>36.035440000000001</v>
      </c>
      <c r="K957" s="11">
        <v>-114.99994</v>
      </c>
      <c r="L957" s="11">
        <v>1799</v>
      </c>
      <c r="M957" s="11">
        <v>1799</v>
      </c>
      <c r="N957" s="175" t="str">
        <f>VLOOKUP(M957, '2017 SIC to NAICS'!A:D, 2)</f>
        <v>Special Trade Contractors, Nec</v>
      </c>
      <c r="O957" s="11">
        <v>541990</v>
      </c>
      <c r="P957" s="187" t="str">
        <f>VLOOKUP(M957, '2017 SIC to NAICS'!A:D, 4)</f>
        <v>Remediation Services</v>
      </c>
      <c r="Q957" s="176" t="e">
        <f>IFERROR(VLOOKUP(O957, 'NAICS OES crosswalk'!A:C, 3, FALSE), VLOOKUP(M957, 'NAICS OES crosswalk'!A:C, 3, FALSE))</f>
        <v>#N/A</v>
      </c>
      <c r="U957" s="188">
        <v>150100150708</v>
      </c>
      <c r="V957" s="11" t="s">
        <v>1556</v>
      </c>
      <c r="W957" s="11"/>
      <c r="X957" s="11">
        <v>0.59190662699999996</v>
      </c>
      <c r="Y957" s="11" t="b">
        <f t="shared" si="16"/>
        <v>0</v>
      </c>
    </row>
    <row r="958" spans="1:25" x14ac:dyDescent="0.35">
      <c r="A958" s="11">
        <v>2023</v>
      </c>
      <c r="B958" s="11" t="s">
        <v>1980</v>
      </c>
      <c r="C958" s="11" t="s">
        <v>1032</v>
      </c>
      <c r="D958" s="163">
        <v>110000432504</v>
      </c>
      <c r="E958" s="11" t="s">
        <v>351</v>
      </c>
      <c r="F958" s="11" t="s">
        <v>352</v>
      </c>
      <c r="G958" s="11" t="s">
        <v>1033</v>
      </c>
      <c r="H958" s="11" t="s">
        <v>111</v>
      </c>
      <c r="I958" s="11" t="s">
        <v>1981</v>
      </c>
      <c r="J958" s="11">
        <v>41.441667000000002</v>
      </c>
      <c r="K958" s="11">
        <v>-88.159719999999993</v>
      </c>
      <c r="L958" s="11">
        <v>2843</v>
      </c>
      <c r="M958" s="11">
        <v>2843</v>
      </c>
      <c r="N958" s="175" t="str">
        <f>VLOOKUP(M958, '2017 SIC to NAICS'!A:D, 2)</f>
        <v>Surface Active Agents</v>
      </c>
      <c r="P958" s="187" t="str">
        <f>VLOOKUP(M958, '2017 SIC to NAICS'!A:D, 4)</f>
        <v>Surface Active Agent Manufacturing</v>
      </c>
      <c r="Q958" s="176" t="str">
        <f>IFERROR(VLOOKUP(O958, 'NAICS OES crosswalk'!A:C, 3, FALSE), VLOOKUP(M958, 'NAICS OES crosswalk'!A:C, 3, FALSE))</f>
        <v>Processing as a reactant</v>
      </c>
      <c r="U958" s="190" t="s">
        <v>1038</v>
      </c>
      <c r="V958" s="11" t="s">
        <v>1036</v>
      </c>
      <c r="W958" s="11"/>
      <c r="X958" s="11">
        <v>0.49713000000000002</v>
      </c>
      <c r="Y958" s="11" t="b">
        <f t="shared" si="16"/>
        <v>0</v>
      </c>
    </row>
    <row r="959" spans="1:25" ht="29" x14ac:dyDescent="0.35">
      <c r="A959" s="11">
        <v>2023</v>
      </c>
      <c r="B959" s="11" t="s">
        <v>1980</v>
      </c>
      <c r="C959" s="11" t="s">
        <v>1416</v>
      </c>
      <c r="D959" s="163">
        <v>110006739878</v>
      </c>
      <c r="E959" s="11" t="s">
        <v>356</v>
      </c>
      <c r="F959" s="11" t="s">
        <v>357</v>
      </c>
      <c r="G959" s="11" t="s">
        <v>1389</v>
      </c>
      <c r="H959" s="11" t="s">
        <v>181</v>
      </c>
      <c r="I959" s="11" t="s">
        <v>1982</v>
      </c>
      <c r="J959" s="11">
        <v>44.250408</v>
      </c>
      <c r="K959" s="11">
        <v>-85.402265</v>
      </c>
      <c r="L959" s="11">
        <v>9999</v>
      </c>
      <c r="M959" s="11">
        <v>9999</v>
      </c>
      <c r="N959" s="175" t="str">
        <f>VLOOKUP(M959, '2017 SIC to NAICS'!A:D, 2)</f>
        <v>Nonclassifiable Establishments</v>
      </c>
      <c r="O959" s="11">
        <v>562910</v>
      </c>
      <c r="P959" s="187">
        <f>VLOOKUP(M959, '2017 SIC to NAICS'!A:D, 4)</f>
        <v>0</v>
      </c>
      <c r="Q959" s="176" t="str">
        <f>IFERROR(VLOOKUP(O959, 'NAICS OES crosswalk'!A:C, 3, FALSE), VLOOKUP(M959, 'NAICS OES crosswalk'!A:C, 3, FALSE))</f>
        <v>Uncertain, possibly a remediation site</v>
      </c>
      <c r="U959" s="190" t="s">
        <v>1418</v>
      </c>
      <c r="V959" s="11" t="s">
        <v>1417</v>
      </c>
      <c r="W959" s="11"/>
      <c r="X959" s="11">
        <v>0.49486505590000002</v>
      </c>
      <c r="Y959" s="11" t="b">
        <f t="shared" si="16"/>
        <v>0</v>
      </c>
    </row>
    <row r="960" spans="1:25" ht="29" x14ac:dyDescent="0.35">
      <c r="A960" s="11">
        <v>2023</v>
      </c>
      <c r="B960" s="11" t="s">
        <v>1980</v>
      </c>
      <c r="C960" s="11" t="s">
        <v>1545</v>
      </c>
      <c r="D960" s="163">
        <v>110024409433</v>
      </c>
      <c r="E960" s="11" t="s">
        <v>295</v>
      </c>
      <c r="F960" s="11" t="s">
        <v>296</v>
      </c>
      <c r="G960" s="11" t="s">
        <v>1546</v>
      </c>
      <c r="H960" s="11" t="s">
        <v>288</v>
      </c>
      <c r="I960" s="11" t="s">
        <v>1981</v>
      </c>
      <c r="J960" s="11">
        <v>35.639485000000001</v>
      </c>
      <c r="K960" s="11">
        <v>-109.080939</v>
      </c>
      <c r="L960" s="11">
        <v>4952</v>
      </c>
      <c r="M960" s="11">
        <v>4952</v>
      </c>
      <c r="N960" s="175" t="str">
        <f>VLOOKUP(M960, '2017 SIC to NAICS'!A:D, 2)</f>
        <v>Sewerage Systems</v>
      </c>
      <c r="P960" s="187" t="str">
        <f>VLOOKUP(M960, '2017 SIC to NAICS'!A:D, 4)</f>
        <v>Sewage Treatment Facilities</v>
      </c>
      <c r="Q960" s="176" t="str">
        <f>IFERROR(VLOOKUP(O960, 'NAICS OES crosswalk'!A:C, 3, FALSE), VLOOKUP(M960, 'NAICS OES crosswalk'!A:C, 3, FALSE))</f>
        <v>Waste handling, disposal, and treatment</v>
      </c>
      <c r="U960" s="188">
        <v>150200060604</v>
      </c>
      <c r="V960" s="11" t="s">
        <v>1547</v>
      </c>
      <c r="W960" s="11"/>
      <c r="X960" s="11">
        <v>0.45590324999999998</v>
      </c>
      <c r="Y960" s="11" t="b">
        <f t="shared" si="16"/>
        <v>0</v>
      </c>
    </row>
    <row r="961" spans="1:25" x14ac:dyDescent="0.35">
      <c r="A961" s="11">
        <v>2023</v>
      </c>
      <c r="B961" s="11" t="s">
        <v>1980</v>
      </c>
      <c r="C961" s="11" t="s">
        <v>1463</v>
      </c>
      <c r="D961" s="163">
        <v>110000595981</v>
      </c>
      <c r="E961" s="11" t="s">
        <v>217</v>
      </c>
      <c r="F961" s="11" t="s">
        <v>218</v>
      </c>
      <c r="G961" s="11" t="s">
        <v>1464</v>
      </c>
      <c r="H961" s="11" t="s">
        <v>129</v>
      </c>
      <c r="I961" s="11" t="s">
        <v>1982</v>
      </c>
      <c r="J961" s="11">
        <v>39.662540999999997</v>
      </c>
      <c r="K961" s="11">
        <v>-91.301670000000001</v>
      </c>
      <c r="L961" s="11">
        <v>3241</v>
      </c>
      <c r="M961" s="11">
        <v>3241</v>
      </c>
      <c r="N961" s="175" t="str">
        <f>VLOOKUP(M961, '2017 SIC to NAICS'!A:D, 2)</f>
        <v>Cement, Hydraulic</v>
      </c>
      <c r="P961" s="187" t="str">
        <f>VLOOKUP(M961, '2017 SIC to NAICS'!A:D, 4)</f>
        <v>Cement Manufacturing</v>
      </c>
      <c r="Q961" s="176" t="e">
        <f>IFERROR(VLOOKUP(O961, 'NAICS OES crosswalk'!A:C, 3, FALSE), VLOOKUP(M961, 'NAICS OES crosswalk'!A:C, 3, FALSE))</f>
        <v>#N/A</v>
      </c>
      <c r="U961" s="190" t="s">
        <v>1467</v>
      </c>
      <c r="V961" s="11" t="s">
        <v>1465</v>
      </c>
      <c r="W961" s="11"/>
      <c r="X961" s="11">
        <v>0.44208799999999998</v>
      </c>
      <c r="Y961" s="11" t="b">
        <f t="shared" si="16"/>
        <v>0</v>
      </c>
    </row>
    <row r="962" spans="1:25" ht="29" x14ac:dyDescent="0.35">
      <c r="A962" s="11">
        <v>2023</v>
      </c>
      <c r="B962" s="11" t="s">
        <v>1980</v>
      </c>
      <c r="C962" s="11" t="s">
        <v>1690</v>
      </c>
      <c r="D962" s="163">
        <v>110034247580</v>
      </c>
      <c r="E962" s="11" t="s">
        <v>104</v>
      </c>
      <c r="F962" s="11" t="s">
        <v>105</v>
      </c>
      <c r="G962" s="11" t="s">
        <v>1691</v>
      </c>
      <c r="H962" s="11" t="s">
        <v>95</v>
      </c>
      <c r="I962" s="11" t="s">
        <v>1981</v>
      </c>
      <c r="J962" s="11">
        <v>27.523085999999999</v>
      </c>
      <c r="K962" s="11">
        <v>-97.832245</v>
      </c>
      <c r="L962" s="11">
        <v>4952</v>
      </c>
      <c r="M962" s="11">
        <v>4952</v>
      </c>
      <c r="N962" s="175" t="str">
        <f>VLOOKUP(M962, '2017 SIC to NAICS'!A:D, 2)</f>
        <v>Sewerage Systems</v>
      </c>
      <c r="P962" s="187" t="str">
        <f>VLOOKUP(M962, '2017 SIC to NAICS'!A:D, 4)</f>
        <v>Sewage Treatment Facilities</v>
      </c>
      <c r="Q962" s="176" t="str">
        <f>IFERROR(VLOOKUP(O962, 'NAICS OES crosswalk'!A:C, 3, FALSE), VLOOKUP(M962, 'NAICS OES crosswalk'!A:C, 3, FALSE))</f>
        <v>Waste handling, disposal, and treatment</v>
      </c>
      <c r="U962" s="188">
        <v>121102040409</v>
      </c>
      <c r="V962" s="11" t="s">
        <v>1692</v>
      </c>
      <c r="W962" s="11"/>
      <c r="X962" s="11">
        <v>0.36065533</v>
      </c>
      <c r="Y962" s="11" t="b">
        <f t="shared" si="16"/>
        <v>0</v>
      </c>
    </row>
    <row r="963" spans="1:25" x14ac:dyDescent="0.35">
      <c r="A963" s="11">
        <v>2023</v>
      </c>
      <c r="B963" s="11" t="s">
        <v>1980</v>
      </c>
      <c r="C963" s="11" t="s">
        <v>1668</v>
      </c>
      <c r="D963" s="163">
        <v>110000854246</v>
      </c>
      <c r="E963" s="11" t="s">
        <v>374</v>
      </c>
      <c r="F963" s="11" t="s">
        <v>197</v>
      </c>
      <c r="G963" s="11" t="s">
        <v>1669</v>
      </c>
      <c r="H963" s="11" t="s">
        <v>194</v>
      </c>
      <c r="I963" s="11" t="s">
        <v>1981</v>
      </c>
      <c r="J963" s="11">
        <v>34.047221999999998</v>
      </c>
      <c r="K963" s="11">
        <v>-81.151360999999994</v>
      </c>
      <c r="L963" s="11">
        <v>2824</v>
      </c>
      <c r="M963" s="11">
        <v>2824</v>
      </c>
      <c r="N963" s="175" t="str">
        <f>VLOOKUP(M963, '2017 SIC to NAICS'!A:D, 2)</f>
        <v>Organic Fibers, Noncellulosic</v>
      </c>
      <c r="O963" s="11">
        <v>325220</v>
      </c>
      <c r="P963" s="187" t="str">
        <f>VLOOKUP(M963, '2017 SIC to NAICS'!A:D, 4)</f>
        <v>Artificial and Synthetic Fibers and
Filaments Manufacturing</v>
      </c>
      <c r="Q963" s="176" t="e">
        <f>IFERROR(VLOOKUP(O963, 'NAICS OES crosswalk'!A:C, 3, FALSE), VLOOKUP(M963, 'NAICS OES crosswalk'!A:C, 3, FALSE))</f>
        <v>#N/A</v>
      </c>
      <c r="U963" s="190" t="s">
        <v>1674</v>
      </c>
      <c r="V963" s="11" t="s">
        <v>1672</v>
      </c>
      <c r="W963" s="11"/>
      <c r="X963" s="11">
        <v>0.33141999999999999</v>
      </c>
      <c r="Y963" s="11" t="b">
        <f t="shared" si="16"/>
        <v>0</v>
      </c>
    </row>
    <row r="964" spans="1:25" x14ac:dyDescent="0.35">
      <c r="A964" s="11">
        <v>2023</v>
      </c>
      <c r="B964" s="11" t="s">
        <v>1980</v>
      </c>
      <c r="C964" s="11" t="s">
        <v>813</v>
      </c>
      <c r="D964" s="163">
        <v>110009162903</v>
      </c>
      <c r="E964" s="11" t="s">
        <v>377</v>
      </c>
      <c r="F964" s="11" t="s">
        <v>378</v>
      </c>
      <c r="G964" s="11" t="s">
        <v>814</v>
      </c>
      <c r="H964" s="11" t="s">
        <v>181</v>
      </c>
      <c r="I964" s="11" t="s">
        <v>1982</v>
      </c>
      <c r="J964" s="11">
        <v>42.758879999999998</v>
      </c>
      <c r="K964" s="11">
        <v>-84.537170000000003</v>
      </c>
      <c r="L964" s="11">
        <v>1799</v>
      </c>
      <c r="M964" s="11">
        <v>1799</v>
      </c>
      <c r="N964" s="175" t="str">
        <f>VLOOKUP(M964, '2017 SIC to NAICS'!A:D, 2)</f>
        <v>Special Trade Contractors, Nec</v>
      </c>
      <c r="O964" s="11">
        <v>562910</v>
      </c>
      <c r="P964" s="187" t="str">
        <f>VLOOKUP(M964, '2017 SIC to NAICS'!A:D, 4)</f>
        <v>Remediation Services</v>
      </c>
      <c r="Q964" s="176" t="e">
        <f>IFERROR(VLOOKUP(O964, 'NAICS OES crosswalk'!A:C, 3, FALSE), VLOOKUP(M964, 'NAICS OES crosswalk'!A:C, 3, FALSE))</f>
        <v>#N/A</v>
      </c>
      <c r="U964" s="190" t="s">
        <v>816</v>
      </c>
      <c r="V964" s="11" t="s">
        <v>815</v>
      </c>
      <c r="W964" s="11"/>
      <c r="X964" s="11">
        <v>0.32573142249999998</v>
      </c>
      <c r="Y964" s="11" t="b">
        <f t="shared" si="16"/>
        <v>0</v>
      </c>
    </row>
    <row r="965" spans="1:25" ht="29" x14ac:dyDescent="0.35">
      <c r="A965" s="11">
        <v>2023</v>
      </c>
      <c r="B965" s="11" t="s">
        <v>1980</v>
      </c>
      <c r="C965" s="11" t="s">
        <v>1637</v>
      </c>
      <c r="D965" s="163">
        <v>110001057533</v>
      </c>
      <c r="E965" s="11" t="s">
        <v>382</v>
      </c>
      <c r="F965" s="11" t="s">
        <v>383</v>
      </c>
      <c r="G965" s="11" t="s">
        <v>1517</v>
      </c>
      <c r="H965" s="11" t="s">
        <v>340</v>
      </c>
      <c r="I965" s="11" t="s">
        <v>1982</v>
      </c>
      <c r="J965" s="11">
        <v>40.231741999999997</v>
      </c>
      <c r="K965" s="11">
        <v>-78.917860000000005</v>
      </c>
      <c r="L965" s="11">
        <v>4952</v>
      </c>
      <c r="M965" s="11">
        <v>4952</v>
      </c>
      <c r="N965" s="175" t="str">
        <f>VLOOKUP(M965, '2017 SIC to NAICS'!A:D, 2)</f>
        <v>Sewerage Systems</v>
      </c>
      <c r="P965" s="187" t="str">
        <f>VLOOKUP(M965, '2017 SIC to NAICS'!A:D, 4)</f>
        <v>Sewage Treatment Facilities</v>
      </c>
      <c r="Q965" s="176" t="str">
        <f>IFERROR(VLOOKUP(O965, 'NAICS OES crosswalk'!A:C, 3, FALSE), VLOOKUP(M965, 'NAICS OES crosswalk'!A:C, 3, FALSE))</f>
        <v>Waste handling, disposal, and treatment</v>
      </c>
      <c r="U965" s="190" t="s">
        <v>1639</v>
      </c>
      <c r="V965" s="11" t="s">
        <v>1638</v>
      </c>
      <c r="W965" s="11"/>
      <c r="X965" s="11">
        <v>0.28684603575000001</v>
      </c>
      <c r="Y965" s="11" t="b">
        <f t="shared" si="16"/>
        <v>0</v>
      </c>
    </row>
    <row r="966" spans="1:25" x14ac:dyDescent="0.35">
      <c r="A966" s="11">
        <v>2023</v>
      </c>
      <c r="B966" s="11" t="s">
        <v>1980</v>
      </c>
      <c r="C966" s="11" t="s">
        <v>813</v>
      </c>
      <c r="D966" s="163">
        <v>110009162903</v>
      </c>
      <c r="E966" s="11" t="s">
        <v>377</v>
      </c>
      <c r="F966" s="11" t="s">
        <v>378</v>
      </c>
      <c r="G966" s="11" t="s">
        <v>814</v>
      </c>
      <c r="H966" s="11" t="s">
        <v>181</v>
      </c>
      <c r="I966" s="11" t="s">
        <v>1982</v>
      </c>
      <c r="J966" s="11">
        <v>42.758879999999998</v>
      </c>
      <c r="K966" s="11">
        <v>-84.537170000000003</v>
      </c>
      <c r="L966" s="11">
        <v>1799</v>
      </c>
      <c r="M966" s="11">
        <v>1799</v>
      </c>
      <c r="N966" s="175" t="str">
        <f>VLOOKUP(M966, '2017 SIC to NAICS'!A:D, 2)</f>
        <v>Special Trade Contractors, Nec</v>
      </c>
      <c r="O966" s="11">
        <v>562910</v>
      </c>
      <c r="P966" s="187" t="str">
        <f>VLOOKUP(M966, '2017 SIC to NAICS'!A:D, 4)</f>
        <v>Remediation Services</v>
      </c>
      <c r="Q966" s="176" t="e">
        <f>IFERROR(VLOOKUP(O966, 'NAICS OES crosswalk'!A:C, 3, FALSE), VLOOKUP(M966, 'NAICS OES crosswalk'!A:C, 3, FALSE))</f>
        <v>#N/A</v>
      </c>
      <c r="U966" s="190" t="s">
        <v>816</v>
      </c>
      <c r="V966" s="11" t="s">
        <v>815</v>
      </c>
      <c r="W966" s="11"/>
      <c r="X966" s="11">
        <v>0.25401475649999999</v>
      </c>
      <c r="Y966" s="11" t="b">
        <f t="shared" si="16"/>
        <v>0</v>
      </c>
    </row>
    <row r="967" spans="1:25" x14ac:dyDescent="0.35">
      <c r="A967" s="11">
        <v>2023</v>
      </c>
      <c r="B967" s="11" t="s">
        <v>1980</v>
      </c>
      <c r="C967" s="11" t="s">
        <v>1554</v>
      </c>
      <c r="D967" s="163">
        <v>110008995490</v>
      </c>
      <c r="E967" s="11" t="s">
        <v>394</v>
      </c>
      <c r="F967" s="11" t="s">
        <v>337</v>
      </c>
      <c r="G967" s="11" t="s">
        <v>736</v>
      </c>
      <c r="H967" s="11" t="s">
        <v>221</v>
      </c>
      <c r="I967" s="11" t="s">
        <v>1982</v>
      </c>
      <c r="J967" s="11">
        <v>36.176639999999999</v>
      </c>
      <c r="K967" s="11">
        <v>-115.12891999999999</v>
      </c>
      <c r="L967" s="11">
        <v>6513</v>
      </c>
      <c r="M967" s="11">
        <v>6513</v>
      </c>
      <c r="N967" s="175" t="str">
        <f>VLOOKUP(M967, '2017 SIC to NAICS'!A:D, 2)</f>
        <v>Apartment Building Operators</v>
      </c>
      <c r="O967" s="11">
        <v>531311</v>
      </c>
      <c r="P967" s="187" t="str">
        <f>VLOOKUP(M967, '2017 SIC to NAICS'!A:D, 4)</f>
        <v>Lessors of Residential Buildings and
Dwellings</v>
      </c>
      <c r="Q967" s="176" t="e">
        <f>IFERROR(VLOOKUP(O967, 'NAICS OES crosswalk'!A:C, 3, FALSE), VLOOKUP(M967, 'NAICS OES crosswalk'!A:C, 3, FALSE))</f>
        <v>#N/A</v>
      </c>
      <c r="U967" s="188">
        <v>150100150604</v>
      </c>
      <c r="V967" s="11" t="s">
        <v>738</v>
      </c>
      <c r="W967" s="11"/>
      <c r="X967" s="11">
        <v>0.25150662624999998</v>
      </c>
      <c r="Y967" s="11" t="b">
        <f t="shared" si="16"/>
        <v>0</v>
      </c>
    </row>
    <row r="968" spans="1:25" x14ac:dyDescent="0.35">
      <c r="A968" s="11">
        <v>2023</v>
      </c>
      <c r="B968" s="11" t="s">
        <v>1980</v>
      </c>
      <c r="C968" s="11" t="s">
        <v>1076</v>
      </c>
      <c r="D968" s="163">
        <v>110000741608</v>
      </c>
      <c r="E968" s="11" t="s">
        <v>168</v>
      </c>
      <c r="F968" s="11" t="s">
        <v>169</v>
      </c>
      <c r="G968" s="11" t="s">
        <v>1077</v>
      </c>
      <c r="H968" s="11" t="s">
        <v>108</v>
      </c>
      <c r="I968" s="11" t="s">
        <v>1981</v>
      </c>
      <c r="J968" s="11">
        <v>37.047736999999998</v>
      </c>
      <c r="K968" s="11">
        <v>-88.35866</v>
      </c>
      <c r="L968" s="11">
        <v>2869</v>
      </c>
      <c r="M968" s="11">
        <v>2869</v>
      </c>
      <c r="N968" s="175" t="str">
        <f>VLOOKUP(M968, '2017 SIC to NAICS'!A:D, 2)</f>
        <v>Industrial Organic Chemicals, Nec</v>
      </c>
      <c r="O968" s="11">
        <v>325110</v>
      </c>
      <c r="P968" s="187" t="str">
        <f>VLOOKUP(M968, '2017 SIC to NAICS'!A:D, 4)</f>
        <v>All Other Miscellaneous Chemical Product and Preparation Manufacturing</v>
      </c>
      <c r="Q968" s="176" t="str">
        <f>IFERROR(VLOOKUP(O968, 'NAICS OES crosswalk'!A:C, 3, FALSE), VLOOKUP(M968, 'NAICS OES crosswalk'!A:C, 3, FALSE))</f>
        <v>Processing as a reactant</v>
      </c>
      <c r="U968" s="190" t="s">
        <v>1079</v>
      </c>
      <c r="V968" s="11" t="s">
        <v>1078</v>
      </c>
      <c r="W968" s="11"/>
      <c r="X968" s="11">
        <v>0.24856500000000001</v>
      </c>
      <c r="Y968" s="11" t="b">
        <f t="shared" si="16"/>
        <v>0</v>
      </c>
    </row>
    <row r="969" spans="1:25" x14ac:dyDescent="0.35">
      <c r="A969" s="11">
        <v>2023</v>
      </c>
      <c r="B969" s="11" t="s">
        <v>1980</v>
      </c>
      <c r="C969" s="11" t="s">
        <v>850</v>
      </c>
      <c r="D969" s="163">
        <v>110000574423</v>
      </c>
      <c r="E969" s="11" t="s">
        <v>159</v>
      </c>
      <c r="F969" s="11" t="s">
        <v>160</v>
      </c>
      <c r="G969" s="11" t="s">
        <v>851</v>
      </c>
      <c r="H969" s="11" t="s">
        <v>161</v>
      </c>
      <c r="I969" s="11" t="s">
        <v>1981</v>
      </c>
      <c r="J969" s="11">
        <v>36.527054999999997</v>
      </c>
      <c r="K969" s="11">
        <v>-82.538579999999996</v>
      </c>
      <c r="L969" s="11">
        <v>2869</v>
      </c>
      <c r="M969" s="11">
        <v>2869</v>
      </c>
      <c r="N969" s="175" t="str">
        <f>VLOOKUP(M969, '2017 SIC to NAICS'!A:D, 2)</f>
        <v>Industrial Organic Chemicals, Nec</v>
      </c>
      <c r="O969" s="11">
        <v>325188</v>
      </c>
      <c r="P969" s="187" t="str">
        <f>VLOOKUP(M969, '2017 SIC to NAICS'!A:D, 4)</f>
        <v>All Other Miscellaneous Chemical Product and Preparation Manufacturing</v>
      </c>
      <c r="Q969" s="176" t="str">
        <f>IFERROR(VLOOKUP(O969, 'NAICS OES crosswalk'!A:C, 3, FALSE), VLOOKUP(M969, 'NAICS OES crosswalk'!A:C, 3, FALSE))</f>
        <v>Manufacturing</v>
      </c>
      <c r="U969" s="190" t="s">
        <v>853</v>
      </c>
      <c r="V969" s="11" t="s">
        <v>852</v>
      </c>
      <c r="W969" s="11"/>
      <c r="X969" s="11">
        <v>0.23541186</v>
      </c>
      <c r="Y969" s="11" t="b">
        <f t="shared" si="16"/>
        <v>0</v>
      </c>
    </row>
    <row r="970" spans="1:25" x14ac:dyDescent="0.35">
      <c r="A970" s="11">
        <v>2023</v>
      </c>
      <c r="B970" s="11" t="s">
        <v>1980</v>
      </c>
      <c r="C970" s="11" t="s">
        <v>1449</v>
      </c>
      <c r="D970" s="163">
        <v>110067874312</v>
      </c>
      <c r="E970" s="11" t="s">
        <v>326</v>
      </c>
      <c r="F970" s="11" t="s">
        <v>327</v>
      </c>
      <c r="G970" s="11" t="s">
        <v>1450</v>
      </c>
      <c r="H970" s="11" t="s">
        <v>328</v>
      </c>
      <c r="I970" s="11" t="s">
        <v>1982</v>
      </c>
      <c r="J970" s="11">
        <v>44.980027999999997</v>
      </c>
      <c r="K970" s="11">
        <v>-93.264069000000006</v>
      </c>
      <c r="L970" s="11">
        <v>1799</v>
      </c>
      <c r="M970" s="11">
        <v>1799</v>
      </c>
      <c r="N970" s="175" t="str">
        <f>VLOOKUP(M970, '2017 SIC to NAICS'!A:D, 2)</f>
        <v>Special Trade Contractors, Nec</v>
      </c>
      <c r="P970" s="187" t="str">
        <f>VLOOKUP(M970, '2017 SIC to NAICS'!A:D, 4)</f>
        <v>Remediation Services</v>
      </c>
      <c r="Q970" s="176" t="e">
        <f>IFERROR(VLOOKUP(O970, 'NAICS OES crosswalk'!A:C, 3, FALSE), VLOOKUP(M970, 'NAICS OES crosswalk'!A:C, 3, FALSE))</f>
        <v>#N/A</v>
      </c>
      <c r="U970" s="190" t="s">
        <v>1452</v>
      </c>
      <c r="V970" s="11" t="s">
        <v>1451</v>
      </c>
      <c r="W970" s="11"/>
      <c r="X970" s="11">
        <v>0.22525341204999999</v>
      </c>
      <c r="Y970" s="11" t="b">
        <f t="shared" si="16"/>
        <v>0</v>
      </c>
    </row>
    <row r="971" spans="1:25" x14ac:dyDescent="0.35">
      <c r="A971" s="11">
        <v>2023</v>
      </c>
      <c r="B971" s="11" t="s">
        <v>1980</v>
      </c>
      <c r="C971" s="11" t="s">
        <v>1422</v>
      </c>
      <c r="D971" s="163">
        <v>110003597395</v>
      </c>
      <c r="E971" s="11" t="s">
        <v>386</v>
      </c>
      <c r="F971" s="11" t="s">
        <v>387</v>
      </c>
      <c r="G971" s="11" t="s">
        <v>1423</v>
      </c>
      <c r="H971" s="11" t="s">
        <v>181</v>
      </c>
      <c r="I971" s="11" t="s">
        <v>1982</v>
      </c>
      <c r="J971" s="11">
        <v>42.591610000000003</v>
      </c>
      <c r="K971" s="11">
        <v>-83.602609999999999</v>
      </c>
      <c r="L971" s="11">
        <v>1799</v>
      </c>
      <c r="M971" s="11">
        <v>1799</v>
      </c>
      <c r="N971" s="175" t="str">
        <f>VLOOKUP(M971, '2017 SIC to NAICS'!A:D, 2)</f>
        <v>Special Trade Contractors, Nec</v>
      </c>
      <c r="O971" s="11">
        <v>562910</v>
      </c>
      <c r="P971" s="187" t="str">
        <f>VLOOKUP(M971, '2017 SIC to NAICS'!A:D, 4)</f>
        <v>Remediation Services</v>
      </c>
      <c r="Q971" s="176" t="e">
        <f>IFERROR(VLOOKUP(O971, 'NAICS OES crosswalk'!A:C, 3, FALSE), VLOOKUP(M971, 'NAICS OES crosswalk'!A:C, 3, FALSE))</f>
        <v>#N/A</v>
      </c>
      <c r="U971" s="190" t="s">
        <v>1425</v>
      </c>
      <c r="V971" s="11" t="s">
        <v>1424</v>
      </c>
      <c r="W971" s="11"/>
      <c r="X971" s="11">
        <v>0.22491359475</v>
      </c>
      <c r="Y971" s="11" t="b">
        <f t="shared" si="16"/>
        <v>0</v>
      </c>
    </row>
    <row r="972" spans="1:25" x14ac:dyDescent="0.35">
      <c r="A972" s="11">
        <v>2023</v>
      </c>
      <c r="B972" s="11" t="s">
        <v>1980</v>
      </c>
      <c r="C972" s="11" t="s">
        <v>1355</v>
      </c>
      <c r="D972" s="163">
        <v>110009291872</v>
      </c>
      <c r="E972" s="11" t="s">
        <v>428</v>
      </c>
      <c r="F972" s="11" t="s">
        <v>429</v>
      </c>
      <c r="G972" s="11" t="s">
        <v>406</v>
      </c>
      <c r="H972" s="11" t="s">
        <v>181</v>
      </c>
      <c r="I972" s="11" t="s">
        <v>1982</v>
      </c>
      <c r="J972" s="11">
        <v>43.394015000000003</v>
      </c>
      <c r="K972" s="11">
        <v>-86.397982999999996</v>
      </c>
      <c r="L972" s="11">
        <v>2869</v>
      </c>
      <c r="M972" s="11">
        <v>2869</v>
      </c>
      <c r="N972" s="175" t="str">
        <f>VLOOKUP(M972, '2017 SIC to NAICS'!A:D, 2)</f>
        <v>Industrial Organic Chemicals, Nec</v>
      </c>
      <c r="P972" s="187" t="str">
        <f>VLOOKUP(M972, '2017 SIC to NAICS'!A:D, 4)</f>
        <v>All Other Miscellaneous Chemical Product and Preparation Manufacturing</v>
      </c>
      <c r="Q972" s="176" t="str">
        <f>IFERROR(VLOOKUP(O972, 'NAICS OES crosswalk'!A:C, 3, FALSE), VLOOKUP(M972, 'NAICS OES crosswalk'!A:C, 3, FALSE))</f>
        <v>Manufacturing</v>
      </c>
      <c r="U972" s="190" t="s">
        <v>1357</v>
      </c>
      <c r="V972" s="11" t="s">
        <v>1356</v>
      </c>
      <c r="W972" s="11"/>
      <c r="X972" s="11">
        <v>0.15662201310000001</v>
      </c>
      <c r="Y972" s="11" t="b">
        <f t="shared" ref="Y972:Y1035" si="17" xml:space="preserve"> X972 &lt;= _xlfn.PERCENTILE.INC($X$907:$X$1120, 0.1)</f>
        <v>0</v>
      </c>
    </row>
    <row r="973" spans="1:25" x14ac:dyDescent="0.35">
      <c r="A973" s="11">
        <v>2023</v>
      </c>
      <c r="B973" s="11" t="s">
        <v>1980</v>
      </c>
      <c r="C973" s="11" t="s">
        <v>1491</v>
      </c>
      <c r="D973" s="163">
        <v>110000582003</v>
      </c>
      <c r="E973" s="11" t="s">
        <v>299</v>
      </c>
      <c r="F973" s="11" t="s">
        <v>300</v>
      </c>
      <c r="G973" s="11" t="s">
        <v>1492</v>
      </c>
      <c r="H973" s="11" t="s">
        <v>254</v>
      </c>
      <c r="I973" s="11" t="s">
        <v>1981</v>
      </c>
      <c r="J973" s="11">
        <v>39.80142</v>
      </c>
      <c r="K973" s="11">
        <v>-75.354990000000001</v>
      </c>
      <c r="L973" s="11">
        <v>2869</v>
      </c>
      <c r="M973" s="11">
        <v>2869</v>
      </c>
      <c r="N973" s="175" t="str">
        <f>VLOOKUP(M973, '2017 SIC to NAICS'!A:D, 2)</f>
        <v>Industrial Organic Chemicals, Nec</v>
      </c>
      <c r="O973" s="11">
        <v>325199</v>
      </c>
      <c r="P973" s="187" t="str">
        <f>VLOOKUP(M973, '2017 SIC to NAICS'!A:D, 4)</f>
        <v>All Other Miscellaneous Chemical Product and Preparation Manufacturing</v>
      </c>
      <c r="Q973" s="176" t="str">
        <f>IFERROR(VLOOKUP(O973, 'NAICS OES crosswalk'!A:C, 3, FALSE), VLOOKUP(M973, 'NAICS OES crosswalk'!A:C, 3, FALSE))</f>
        <v>Manufacturing</v>
      </c>
      <c r="U973" s="190" t="s">
        <v>1495</v>
      </c>
      <c r="V973" s="11" t="s">
        <v>1493</v>
      </c>
      <c r="W973" s="11"/>
      <c r="X973" s="11">
        <v>0.21490000000000001</v>
      </c>
      <c r="Y973" s="11" t="b">
        <f t="shared" si="17"/>
        <v>0</v>
      </c>
    </row>
    <row r="974" spans="1:25" x14ac:dyDescent="0.35">
      <c r="A974" s="11">
        <v>2023</v>
      </c>
      <c r="B974" s="11" t="s">
        <v>1980</v>
      </c>
      <c r="C974" s="11" t="s">
        <v>1392</v>
      </c>
      <c r="D974" s="163">
        <v>110000412296</v>
      </c>
      <c r="E974" s="11" t="s">
        <v>390</v>
      </c>
      <c r="F974" s="11" t="s">
        <v>391</v>
      </c>
      <c r="G974" s="11" t="s">
        <v>1393</v>
      </c>
      <c r="H974" s="11" t="s">
        <v>181</v>
      </c>
      <c r="I974" s="11" t="s">
        <v>1982</v>
      </c>
      <c r="J974" s="11">
        <v>45.145420000000001</v>
      </c>
      <c r="K974" s="11">
        <v>-84.660679999999999</v>
      </c>
      <c r="L974" s="11">
        <v>1799</v>
      </c>
      <c r="M974" s="11">
        <v>1799</v>
      </c>
      <c r="N974" s="175" t="str">
        <f>VLOOKUP(M974, '2017 SIC to NAICS'!A:D, 2)</f>
        <v>Special Trade Contractors, Nec</v>
      </c>
      <c r="O974" s="11">
        <v>331420</v>
      </c>
      <c r="P974" s="187" t="str">
        <f>VLOOKUP(M974, '2017 SIC to NAICS'!A:D, 4)</f>
        <v>Remediation Services</v>
      </c>
      <c r="Q974" s="176" t="e">
        <f>IFERROR(VLOOKUP(O974, 'NAICS OES crosswalk'!A:C, 3, FALSE), VLOOKUP(M974, 'NAICS OES crosswalk'!A:C, 3, FALSE))</f>
        <v>#N/A</v>
      </c>
      <c r="U974" s="190" t="s">
        <v>1395</v>
      </c>
      <c r="V974" s="11" t="s">
        <v>1394</v>
      </c>
      <c r="W974" s="11"/>
      <c r="X974" s="11">
        <v>0.21080633200000001</v>
      </c>
      <c r="Y974" s="11" t="b">
        <f t="shared" si="17"/>
        <v>0</v>
      </c>
    </row>
    <row r="975" spans="1:25" x14ac:dyDescent="0.35">
      <c r="A975" s="11">
        <v>2023</v>
      </c>
      <c r="B975" s="11" t="s">
        <v>1980</v>
      </c>
      <c r="C975" s="11" t="s">
        <v>759</v>
      </c>
      <c r="D975" s="163">
        <v>110064624018</v>
      </c>
      <c r="E975" s="11" t="s">
        <v>334</v>
      </c>
      <c r="F975" s="11" t="s">
        <v>335</v>
      </c>
      <c r="G975" s="11" t="s">
        <v>335</v>
      </c>
      <c r="H975" s="11" t="s">
        <v>102</v>
      </c>
      <c r="I975" s="11" t="s">
        <v>1981</v>
      </c>
      <c r="J975" s="11">
        <v>33.990146000000003</v>
      </c>
      <c r="K975" s="11">
        <v>-118.36358</v>
      </c>
      <c r="L975" s="11">
        <v>2911</v>
      </c>
      <c r="M975" s="11">
        <v>2911</v>
      </c>
      <c r="N975" s="175" t="str">
        <f>VLOOKUP(M975, '2017 SIC to NAICS'!A:D, 2)</f>
        <v>Petroleum Refining</v>
      </c>
      <c r="P975" s="187" t="str">
        <f>VLOOKUP(M975, '2017 SIC to NAICS'!A:D, 4)</f>
        <v>Petroleum Refineries</v>
      </c>
      <c r="Q975" s="176" t="e">
        <f>IFERROR(VLOOKUP(O975, 'NAICS OES crosswalk'!A:C, 3, FALSE), VLOOKUP(M975, 'NAICS OES crosswalk'!A:C, 3, FALSE))</f>
        <v>#N/A</v>
      </c>
      <c r="U975" s="188">
        <v>180701040300</v>
      </c>
      <c r="V975" s="11" t="s">
        <v>762</v>
      </c>
      <c r="W975" s="11"/>
      <c r="X975" s="11">
        <v>0.20771228375</v>
      </c>
      <c r="Y975" s="11" t="b">
        <f t="shared" si="17"/>
        <v>0</v>
      </c>
    </row>
    <row r="976" spans="1:25" x14ac:dyDescent="0.35">
      <c r="A976" s="11">
        <v>2023</v>
      </c>
      <c r="B976" s="11" t="s">
        <v>1980</v>
      </c>
      <c r="C976" s="11" t="s">
        <v>1700</v>
      </c>
      <c r="D976" s="163">
        <v>110000460983</v>
      </c>
      <c r="E976" s="11" t="s">
        <v>367</v>
      </c>
      <c r="F976" s="11" t="s">
        <v>94</v>
      </c>
      <c r="G976" s="11" t="s">
        <v>747</v>
      </c>
      <c r="H976" s="11" t="s">
        <v>95</v>
      </c>
      <c r="I976" s="11" t="s">
        <v>1982</v>
      </c>
      <c r="J976" s="11">
        <v>29.75487</v>
      </c>
      <c r="K976" s="11">
        <v>-95.103269999999995</v>
      </c>
      <c r="L976" s="11">
        <v>2869</v>
      </c>
      <c r="M976" s="11">
        <v>2869</v>
      </c>
      <c r="N976" s="175" t="str">
        <f>VLOOKUP(M976, '2017 SIC to NAICS'!A:D, 2)</f>
        <v>Industrial Organic Chemicals, Nec</v>
      </c>
      <c r="P976" s="187" t="str">
        <f>VLOOKUP(M976, '2017 SIC to NAICS'!A:D, 4)</f>
        <v>All Other Miscellaneous Chemical Product and Preparation Manufacturing</v>
      </c>
      <c r="Q976" s="176" t="str">
        <f>IFERROR(VLOOKUP(O976, 'NAICS OES crosswalk'!A:C, 3, FALSE), VLOOKUP(M976, 'NAICS OES crosswalk'!A:C, 3, FALSE))</f>
        <v>Manufacturing</v>
      </c>
      <c r="U976" s="188">
        <v>120401040702</v>
      </c>
      <c r="V976" s="11" t="s">
        <v>1701</v>
      </c>
      <c r="W976" s="11"/>
      <c r="X976" s="11">
        <v>0.198852</v>
      </c>
      <c r="Y976" s="11" t="b">
        <f t="shared" si="17"/>
        <v>0</v>
      </c>
    </row>
    <row r="977" spans="1:25" x14ac:dyDescent="0.35">
      <c r="A977" s="11">
        <v>2023</v>
      </c>
      <c r="B977" s="11" t="s">
        <v>1980</v>
      </c>
      <c r="C977" s="11" t="s">
        <v>763</v>
      </c>
      <c r="D977" s="163">
        <v>110018199377</v>
      </c>
      <c r="E977" s="11" t="s">
        <v>109</v>
      </c>
      <c r="F977" s="11" t="s">
        <v>110</v>
      </c>
      <c r="G977" s="11" t="s">
        <v>764</v>
      </c>
      <c r="H977" s="11" t="s">
        <v>111</v>
      </c>
      <c r="I977" s="11" t="s">
        <v>1982</v>
      </c>
      <c r="J977" s="11">
        <v>41.692782000000001</v>
      </c>
      <c r="K977" s="11">
        <v>-87.951100999999994</v>
      </c>
      <c r="L977" s="11">
        <v>4226</v>
      </c>
      <c r="M977" s="11">
        <v>4226</v>
      </c>
      <c r="N977" s="175" t="str">
        <f>VLOOKUP(M977, '2017 SIC to NAICS'!A:D, 2)</f>
        <v>Special Warehousing and Storage, Nec</v>
      </c>
      <c r="P977" s="187" t="str">
        <f>VLOOKUP(M977, '2017 SIC to NAICS'!A:D, 4)</f>
        <v>Other Warehousing and Storage</v>
      </c>
      <c r="Q977" s="176" t="e">
        <f>IFERROR(VLOOKUP(O977, 'NAICS OES crosswalk'!A:C, 3, FALSE), VLOOKUP(M977, 'NAICS OES crosswalk'!A:C, 3, FALSE))</f>
        <v>#N/A</v>
      </c>
      <c r="U977" s="190" t="s">
        <v>769</v>
      </c>
      <c r="V977" s="11" t="s">
        <v>767</v>
      </c>
      <c r="W977" s="11"/>
      <c r="X977" s="11">
        <v>0.1951375675</v>
      </c>
      <c r="Y977" s="11" t="b">
        <f t="shared" si="17"/>
        <v>0</v>
      </c>
    </row>
    <row r="978" spans="1:25" x14ac:dyDescent="0.35">
      <c r="A978" s="11">
        <v>2023</v>
      </c>
      <c r="B978" s="11" t="s">
        <v>1980</v>
      </c>
      <c r="C978" s="11" t="s">
        <v>891</v>
      </c>
      <c r="D978" s="163">
        <v>110033145353</v>
      </c>
      <c r="E978" s="11" t="s">
        <v>410</v>
      </c>
      <c r="F978" s="11" t="s">
        <v>411</v>
      </c>
      <c r="G978" s="11" t="s">
        <v>892</v>
      </c>
      <c r="H978" s="11" t="s">
        <v>102</v>
      </c>
      <c r="I978" s="11" t="s">
        <v>1981</v>
      </c>
      <c r="J978" s="11">
        <v>38.074433999999997</v>
      </c>
      <c r="K978" s="11">
        <v>-122.144397</v>
      </c>
      <c r="L978" s="11">
        <v>2911</v>
      </c>
      <c r="M978" s="11">
        <v>2911</v>
      </c>
      <c r="N978" s="175" t="str">
        <f>VLOOKUP(M978, '2017 SIC to NAICS'!A:D, 2)</f>
        <v>Petroleum Refining</v>
      </c>
      <c r="P978" s="187" t="str">
        <f>VLOOKUP(M978, '2017 SIC to NAICS'!A:D, 4)</f>
        <v>Petroleum Refineries</v>
      </c>
      <c r="Q978" s="176" t="e">
        <f>IFERROR(VLOOKUP(O978, 'NAICS OES crosswalk'!A:C, 3, FALSE), VLOOKUP(M978, 'NAICS OES crosswalk'!A:C, 3, FALSE))</f>
        <v>#N/A</v>
      </c>
      <c r="U978" s="188">
        <v>180500010109</v>
      </c>
      <c r="V978" s="11" t="s">
        <v>893</v>
      </c>
      <c r="W978" s="11"/>
      <c r="X978" s="11">
        <v>0.18497295</v>
      </c>
      <c r="Y978" s="11" t="b">
        <f t="shared" si="17"/>
        <v>0</v>
      </c>
    </row>
    <row r="979" spans="1:25" ht="29" x14ac:dyDescent="0.35">
      <c r="A979" s="11">
        <v>2023</v>
      </c>
      <c r="B979" s="11" t="s">
        <v>1980</v>
      </c>
      <c r="C979" s="11" t="s">
        <v>980</v>
      </c>
      <c r="D979" s="163">
        <v>110000730825</v>
      </c>
      <c r="E979" s="11" t="s">
        <v>412</v>
      </c>
      <c r="F979" s="11" t="s">
        <v>413</v>
      </c>
      <c r="G979" s="11" t="s">
        <v>790</v>
      </c>
      <c r="H979" s="11" t="s">
        <v>102</v>
      </c>
      <c r="I979" s="11" t="s">
        <v>1981</v>
      </c>
      <c r="J979" s="11">
        <v>32.664450000000002</v>
      </c>
      <c r="K979" s="11">
        <v>-115.55970499999999</v>
      </c>
      <c r="L979" s="11">
        <v>4952</v>
      </c>
      <c r="M979" s="11">
        <v>4952</v>
      </c>
      <c r="N979" s="175" t="str">
        <f>VLOOKUP(M979, '2017 SIC to NAICS'!A:D, 2)</f>
        <v>Sewerage Systems</v>
      </c>
      <c r="P979" s="187" t="str">
        <f>VLOOKUP(M979, '2017 SIC to NAICS'!A:D, 4)</f>
        <v>Sewage Treatment Facilities</v>
      </c>
      <c r="Q979" s="176" t="str">
        <f>IFERROR(VLOOKUP(O979, 'NAICS OES crosswalk'!A:C, 3, FALSE), VLOOKUP(M979, 'NAICS OES crosswalk'!A:C, 3, FALSE))</f>
        <v>Waste handling, disposal, and treatment</v>
      </c>
      <c r="U979" s="188">
        <v>181002040902</v>
      </c>
      <c r="V979" s="11" t="s">
        <v>972</v>
      </c>
      <c r="W979" s="11"/>
      <c r="X979" s="11">
        <v>0.18484804499999999</v>
      </c>
      <c r="Y979" s="11" t="b">
        <f t="shared" si="17"/>
        <v>0</v>
      </c>
    </row>
    <row r="980" spans="1:25" x14ac:dyDescent="0.35">
      <c r="A980" s="11">
        <v>2023</v>
      </c>
      <c r="B980" s="11" t="s">
        <v>1980</v>
      </c>
      <c r="C980" s="11" t="s">
        <v>759</v>
      </c>
      <c r="D980" s="163">
        <v>110064624018</v>
      </c>
      <c r="E980" s="11" t="s">
        <v>334</v>
      </c>
      <c r="F980" s="11" t="s">
        <v>335</v>
      </c>
      <c r="G980" s="11" t="s">
        <v>335</v>
      </c>
      <c r="H980" s="11" t="s">
        <v>102</v>
      </c>
      <c r="I980" s="11" t="s">
        <v>1981</v>
      </c>
      <c r="J980" s="11">
        <v>33.990146000000003</v>
      </c>
      <c r="K980" s="11">
        <v>-118.36358</v>
      </c>
      <c r="L980" s="11">
        <v>2911</v>
      </c>
      <c r="M980" s="11">
        <v>2911</v>
      </c>
      <c r="N980" s="175" t="str">
        <f>VLOOKUP(M980, '2017 SIC to NAICS'!A:D, 2)</f>
        <v>Petroleum Refining</v>
      </c>
      <c r="P980" s="187" t="str">
        <f>VLOOKUP(M980, '2017 SIC to NAICS'!A:D, 4)</f>
        <v>Petroleum Refineries</v>
      </c>
      <c r="Q980" s="176" t="e">
        <f>IFERROR(VLOOKUP(O980, 'NAICS OES crosswalk'!A:C, 3, FALSE), VLOOKUP(M980, 'NAICS OES crosswalk'!A:C, 3, FALSE))</f>
        <v>#N/A</v>
      </c>
      <c r="U980" s="188">
        <v>180701040300</v>
      </c>
      <c r="V980" s="11" t="s">
        <v>762</v>
      </c>
      <c r="W980" s="11"/>
      <c r="X980" s="11">
        <v>0.1823613</v>
      </c>
      <c r="Y980" s="11" t="b">
        <f t="shared" si="17"/>
        <v>0</v>
      </c>
    </row>
    <row r="981" spans="1:25" x14ac:dyDescent="0.35">
      <c r="A981" s="11">
        <v>2023</v>
      </c>
      <c r="B981" s="11" t="s">
        <v>1980</v>
      </c>
      <c r="C981" s="11" t="s">
        <v>951</v>
      </c>
      <c r="D981" s="163">
        <v>110054272210</v>
      </c>
      <c r="E981" s="11" t="s">
        <v>414</v>
      </c>
      <c r="F981" s="11" t="s">
        <v>415</v>
      </c>
      <c r="G981" s="11" t="s">
        <v>889</v>
      </c>
      <c r="H981" s="11" t="s">
        <v>102</v>
      </c>
      <c r="I981" s="11" t="s">
        <v>1982</v>
      </c>
      <c r="J981" s="11">
        <v>39.915689999999998</v>
      </c>
      <c r="K981" s="11">
        <v>-122.10365</v>
      </c>
      <c r="L981" s="11">
        <v>2033</v>
      </c>
      <c r="M981" s="11">
        <v>2033</v>
      </c>
      <c r="N981" s="175" t="str">
        <f>VLOOKUP(M981, '2017 SIC to NAICS'!A:D, 2)</f>
        <v>Canned Fruits and Specialties</v>
      </c>
      <c r="P981" s="187" t="str">
        <f>VLOOKUP(M981, '2017 SIC to NAICS'!A:D, 4)</f>
        <v>Fruit and Vegetable Canning</v>
      </c>
      <c r="Q981" s="176" t="e">
        <f>IFERROR(VLOOKUP(O981, 'NAICS OES crosswalk'!A:C, 3, FALSE), VLOOKUP(M981, 'NAICS OES crosswalk'!A:C, 3, FALSE))</f>
        <v>#N/A</v>
      </c>
      <c r="U981" s="188">
        <v>180201570701</v>
      </c>
      <c r="V981" s="11" t="s">
        <v>890</v>
      </c>
      <c r="W981" s="11"/>
      <c r="X981" s="11">
        <v>0.16759979999999999</v>
      </c>
      <c r="Y981" s="11" t="b">
        <f t="shared" si="17"/>
        <v>0</v>
      </c>
    </row>
    <row r="982" spans="1:25" x14ac:dyDescent="0.35">
      <c r="A982" s="11">
        <v>2023</v>
      </c>
      <c r="B982" s="11" t="s">
        <v>1980</v>
      </c>
      <c r="C982" s="11" t="s">
        <v>1631</v>
      </c>
      <c r="D982" s="163">
        <v>110000772628</v>
      </c>
      <c r="E982" s="11" t="s">
        <v>416</v>
      </c>
      <c r="F982" s="11" t="s">
        <v>417</v>
      </c>
      <c r="G982" s="11" t="s">
        <v>1626</v>
      </c>
      <c r="H982" s="11" t="s">
        <v>340</v>
      </c>
      <c r="I982" s="11" t="s">
        <v>1982</v>
      </c>
      <c r="J982" s="11">
        <v>40.177332</v>
      </c>
      <c r="K982" s="11">
        <v>-74.800439999999995</v>
      </c>
      <c r="L982" s="11">
        <v>2819</v>
      </c>
      <c r="M982" s="11">
        <v>2819</v>
      </c>
      <c r="N982" s="175" t="str">
        <f>VLOOKUP(M982, '2017 SIC to NAICS'!A:D, 2)</f>
        <v>Industrial Inorganic Chemicals, Nec</v>
      </c>
      <c r="P982" s="187" t="str">
        <f>VLOOKUP(M982, '2017 SIC to NAICS'!A:D, 4)</f>
        <v>Alumina Refining and Primary Aluminum
Production</v>
      </c>
      <c r="Q982" s="176" t="str">
        <f>IFERROR(VLOOKUP(O982, 'NAICS OES crosswalk'!A:C, 3, FALSE), VLOOKUP(M982, 'NAICS OES crosswalk'!A:C, 3, FALSE))</f>
        <v>Processing as a reactant</v>
      </c>
      <c r="U982" s="190" t="s">
        <v>1633</v>
      </c>
      <c r="V982" s="11" t="s">
        <v>1632</v>
      </c>
      <c r="W982" s="11"/>
      <c r="X982" s="11">
        <v>0.16578300000000001</v>
      </c>
      <c r="Y982" s="11" t="b">
        <f t="shared" si="17"/>
        <v>0</v>
      </c>
    </row>
    <row r="983" spans="1:25" x14ac:dyDescent="0.35">
      <c r="A983" s="11">
        <v>2023</v>
      </c>
      <c r="B983" s="11" t="s">
        <v>1980</v>
      </c>
      <c r="C983" s="11" t="s">
        <v>1406</v>
      </c>
      <c r="D983" s="163">
        <v>110009900116</v>
      </c>
      <c r="E983" s="11" t="s">
        <v>408</v>
      </c>
      <c r="F983" s="11" t="s">
        <v>409</v>
      </c>
      <c r="G983" s="11" t="s">
        <v>604</v>
      </c>
      <c r="H983" s="11" t="s">
        <v>181</v>
      </c>
      <c r="I983" s="11" t="s">
        <v>1982</v>
      </c>
      <c r="J983" s="11">
        <v>41.804830000000003</v>
      </c>
      <c r="K983" s="11">
        <v>-85.413839999999993</v>
      </c>
      <c r="L983" s="11">
        <v>2591</v>
      </c>
      <c r="M983" s="11">
        <v>2591</v>
      </c>
      <c r="N983" s="175" t="str">
        <f>VLOOKUP(M983, '2017 SIC to NAICS'!A:D, 2)</f>
        <v>Drapery Hardware and Blinds and Shades</v>
      </c>
      <c r="O983" s="11">
        <v>562910</v>
      </c>
      <c r="P983" s="187" t="str">
        <f>VLOOKUP(M983, '2017 SIC to NAICS'!A:D, 4)</f>
        <v>Blind and Shade Manufacturing</v>
      </c>
      <c r="Q983" s="176" t="e">
        <f>IFERROR(VLOOKUP(O983, 'NAICS OES crosswalk'!A:C, 3, FALSE), VLOOKUP(M983, 'NAICS OES crosswalk'!A:C, 3, FALSE))</f>
        <v>#N/A</v>
      </c>
      <c r="U983" s="190" t="s">
        <v>1408</v>
      </c>
      <c r="V983" s="11" t="s">
        <v>1407</v>
      </c>
      <c r="W983" s="11"/>
      <c r="X983" s="11">
        <v>0.164515659687725</v>
      </c>
      <c r="Y983" s="11" t="b">
        <f t="shared" si="17"/>
        <v>0</v>
      </c>
    </row>
    <row r="984" spans="1:25" x14ac:dyDescent="0.35">
      <c r="A984" s="11">
        <v>2023</v>
      </c>
      <c r="B984" s="11" t="s">
        <v>1980</v>
      </c>
      <c r="C984" s="11" t="s">
        <v>1471</v>
      </c>
      <c r="D984" s="163">
        <v>110054612558</v>
      </c>
      <c r="E984" s="11" t="s">
        <v>426</v>
      </c>
      <c r="F984" s="11" t="s">
        <v>427</v>
      </c>
      <c r="G984" s="11" t="s">
        <v>1144</v>
      </c>
      <c r="H984" s="11" t="s">
        <v>129</v>
      </c>
      <c r="I984" s="11" t="s">
        <v>1981</v>
      </c>
      <c r="J984" s="11">
        <v>39.423425000000002</v>
      </c>
      <c r="K984" s="11">
        <v>-91.025666000000001</v>
      </c>
      <c r="L984" s="11">
        <v>2869</v>
      </c>
      <c r="M984" s="11">
        <v>2869</v>
      </c>
      <c r="N984" s="175" t="str">
        <f>VLOOKUP(M984, '2017 SIC to NAICS'!A:D, 2)</f>
        <v>Industrial Organic Chemicals, Nec</v>
      </c>
      <c r="P984" s="187" t="str">
        <f>VLOOKUP(M984, '2017 SIC to NAICS'!A:D, 4)</f>
        <v>All Other Miscellaneous Chemical Product and Preparation Manufacturing</v>
      </c>
      <c r="Q984" s="176" t="str">
        <f>IFERROR(VLOOKUP(O984, 'NAICS OES crosswalk'!A:C, 3, FALSE), VLOOKUP(M984, 'NAICS OES crosswalk'!A:C, 3, FALSE))</f>
        <v>Manufacturing</v>
      </c>
      <c r="U984" s="190" t="s">
        <v>1473</v>
      </c>
      <c r="V984" s="11" t="s">
        <v>1472</v>
      </c>
      <c r="W984" s="11"/>
      <c r="X984" s="11">
        <v>0.1602393</v>
      </c>
      <c r="Y984" s="11" t="b">
        <f t="shared" si="17"/>
        <v>0</v>
      </c>
    </row>
    <row r="985" spans="1:25" x14ac:dyDescent="0.35">
      <c r="A985" s="11">
        <v>2023</v>
      </c>
      <c r="B985" s="11" t="s">
        <v>1980</v>
      </c>
      <c r="C985" s="11" t="s">
        <v>1481</v>
      </c>
      <c r="D985" s="163">
        <v>110000322311</v>
      </c>
      <c r="E985" s="11" t="s">
        <v>431</v>
      </c>
      <c r="F985" s="11" t="s">
        <v>432</v>
      </c>
      <c r="G985" s="11" t="s">
        <v>1482</v>
      </c>
      <c r="H985" s="11" t="s">
        <v>254</v>
      </c>
      <c r="I985" s="11" t="s">
        <v>1981</v>
      </c>
      <c r="J985" s="11">
        <v>40.703099000000002</v>
      </c>
      <c r="K985" s="11">
        <v>-75.197676000000001</v>
      </c>
      <c r="L985" s="11">
        <v>2819</v>
      </c>
      <c r="M985" s="11">
        <v>2819</v>
      </c>
      <c r="N985" s="175" t="str">
        <f>VLOOKUP(M985, '2017 SIC to NAICS'!A:D, 2)</f>
        <v>Industrial Inorganic Chemicals, Nec</v>
      </c>
      <c r="O985" s="11">
        <v>325180</v>
      </c>
      <c r="P985" s="187" t="str">
        <f>VLOOKUP(M985, '2017 SIC to NAICS'!A:D, 4)</f>
        <v>Alumina Refining and Primary Aluminum
Production</v>
      </c>
      <c r="Q985" s="176" t="str">
        <f>IFERROR(VLOOKUP(O985, 'NAICS OES crosswalk'!A:C, 3, FALSE), VLOOKUP(M985, 'NAICS OES crosswalk'!A:C, 3, FALSE))</f>
        <v>Processing as a reactant</v>
      </c>
      <c r="U985" s="190" t="s">
        <v>1484</v>
      </c>
      <c r="V985" s="11" t="s">
        <v>1483</v>
      </c>
      <c r="W985" s="11"/>
      <c r="X985" s="11">
        <v>0.15440000000000001</v>
      </c>
      <c r="Y985" s="11" t="b">
        <f t="shared" si="17"/>
        <v>0</v>
      </c>
    </row>
    <row r="986" spans="1:25" x14ac:dyDescent="0.35">
      <c r="A986" s="11">
        <v>2023</v>
      </c>
      <c r="B986" s="11" t="s">
        <v>1980</v>
      </c>
      <c r="C986" s="11" t="s">
        <v>1388</v>
      </c>
      <c r="D986" s="163">
        <v>110001301074</v>
      </c>
      <c r="E986" s="11" t="s">
        <v>441</v>
      </c>
      <c r="F986" s="11" t="s">
        <v>357</v>
      </c>
      <c r="G986" s="11" t="s">
        <v>1389</v>
      </c>
      <c r="H986" s="11" t="s">
        <v>181</v>
      </c>
      <c r="I986" s="11" t="s">
        <v>1982</v>
      </c>
      <c r="J986" s="11">
        <v>44.260753000000001</v>
      </c>
      <c r="K986" s="11">
        <v>-85.408919999999995</v>
      </c>
      <c r="L986" s="11">
        <v>3635</v>
      </c>
      <c r="M986" s="11">
        <v>3635</v>
      </c>
      <c r="N986" s="175" t="str">
        <f>VLOOKUP(M986, '2017 SIC to NAICS'!A:D, 2)</f>
        <v>Household Vacuum Cleaners</v>
      </c>
      <c r="O986" s="11">
        <v>335210</v>
      </c>
      <c r="P986" s="187" t="str">
        <f>VLOOKUP(M986, '2017 SIC to NAICS'!A:D, 4)</f>
        <v>Small Electrical Appliance Manufacturing</v>
      </c>
      <c r="Q986" s="176" t="e">
        <f>IFERROR(VLOOKUP(O986, 'NAICS OES crosswalk'!A:C, 3, FALSE), VLOOKUP(M986, 'NAICS OES crosswalk'!A:C, 3, FALSE))</f>
        <v>#N/A</v>
      </c>
      <c r="U986" s="190" t="s">
        <v>1391</v>
      </c>
      <c r="V986" s="11" t="s">
        <v>1390</v>
      </c>
      <c r="W986" s="11"/>
      <c r="X986" s="11">
        <v>0.1338281375</v>
      </c>
      <c r="Y986" s="11" t="b">
        <f t="shared" si="17"/>
        <v>0</v>
      </c>
    </row>
    <row r="987" spans="1:25" x14ac:dyDescent="0.35">
      <c r="A987" s="11">
        <v>2023</v>
      </c>
      <c r="B987" s="11" t="s">
        <v>1980</v>
      </c>
      <c r="C987" s="11" t="s">
        <v>1560</v>
      </c>
      <c r="D987" s="163">
        <v>110041253256</v>
      </c>
      <c r="E987" s="11" t="s">
        <v>444</v>
      </c>
      <c r="F987" s="11" t="s">
        <v>337</v>
      </c>
      <c r="G987" s="11" t="s">
        <v>823</v>
      </c>
      <c r="H987" s="11" t="s">
        <v>221</v>
      </c>
      <c r="I987" s="11" t="s">
        <v>1982</v>
      </c>
      <c r="J987" s="11">
        <v>36.132570000000001</v>
      </c>
      <c r="K987" s="11">
        <v>-115.16477</v>
      </c>
      <c r="L987" s="11">
        <v>7011</v>
      </c>
      <c r="M987" s="11">
        <v>7011</v>
      </c>
      <c r="N987" s="175" t="str">
        <f>VLOOKUP(M987, '2017 SIC to NAICS'!A:D, 2)</f>
        <v>Hotels and Motels</v>
      </c>
      <c r="O987" s="11">
        <v>721120</v>
      </c>
      <c r="P987" s="187" t="str">
        <f>VLOOKUP(M987, '2017 SIC to NAICS'!A:D, 4)</f>
        <v>All Other Traveler Accommodation</v>
      </c>
      <c r="Q987" s="176" t="e">
        <f>IFERROR(VLOOKUP(O987, 'NAICS OES crosswalk'!A:C, 3, FALSE), VLOOKUP(M987, 'NAICS OES crosswalk'!A:C, 3, FALSE))</f>
        <v>#N/A</v>
      </c>
      <c r="U987" s="188">
        <v>150100150604</v>
      </c>
      <c r="V987" s="11" t="s">
        <v>738</v>
      </c>
      <c r="W987" s="11"/>
      <c r="X987" s="11">
        <v>0.1271003</v>
      </c>
      <c r="Y987" s="11" t="b">
        <f t="shared" si="17"/>
        <v>0</v>
      </c>
    </row>
    <row r="988" spans="1:25" x14ac:dyDescent="0.35">
      <c r="A988" s="11">
        <v>2023</v>
      </c>
      <c r="B988" s="11" t="s">
        <v>1980</v>
      </c>
      <c r="C988" s="11" t="s">
        <v>841</v>
      </c>
      <c r="D988" s="163">
        <v>110000324391</v>
      </c>
      <c r="E988" s="11" t="s">
        <v>315</v>
      </c>
      <c r="F988" s="11" t="s">
        <v>316</v>
      </c>
      <c r="G988" s="11" t="s">
        <v>842</v>
      </c>
      <c r="H988" s="11" t="s">
        <v>126</v>
      </c>
      <c r="I988" s="11" t="s">
        <v>1981</v>
      </c>
      <c r="J988" s="11">
        <v>42.575806</v>
      </c>
      <c r="K988" s="11">
        <v>-73.859943999999999</v>
      </c>
      <c r="L988" s="11">
        <v>2821</v>
      </c>
      <c r="M988" s="11">
        <v>2821</v>
      </c>
      <c r="N988" s="175" t="str">
        <f>VLOOKUP(M988, '2017 SIC to NAICS'!A:D, 2)</f>
        <v>Plastics Materials and Resins</v>
      </c>
      <c r="P988" s="187" t="str">
        <f>VLOOKUP(M988, '2017 SIC to NAICS'!A:D, 4)</f>
        <v>Plastics Material and Resin Manufacturing</v>
      </c>
      <c r="Q988" s="176" t="str">
        <f>IFERROR(VLOOKUP(O988, 'NAICS OES crosswalk'!A:C, 3, FALSE), VLOOKUP(M988, 'NAICS OES crosswalk'!A:C, 3, FALSE))</f>
        <v>Processing as a reactant</v>
      </c>
      <c r="U988" s="190" t="s">
        <v>844</v>
      </c>
      <c r="V988" s="11" t="s">
        <v>843</v>
      </c>
      <c r="W988" s="11"/>
      <c r="X988" s="11">
        <v>0.123942</v>
      </c>
      <c r="Y988" s="11" t="b">
        <f t="shared" si="17"/>
        <v>0</v>
      </c>
    </row>
    <row r="989" spans="1:25" x14ac:dyDescent="0.35">
      <c r="A989" s="11">
        <v>2023</v>
      </c>
      <c r="B989" s="11" t="s">
        <v>1980</v>
      </c>
      <c r="C989" s="11" t="s">
        <v>885</v>
      </c>
      <c r="D989" s="163">
        <v>110071349304</v>
      </c>
      <c r="E989" s="11" t="s">
        <v>439</v>
      </c>
      <c r="F989" s="11" t="s">
        <v>440</v>
      </c>
      <c r="G989" s="11" t="s">
        <v>886</v>
      </c>
      <c r="H989" s="11" t="s">
        <v>102</v>
      </c>
      <c r="I989" s="11" t="s">
        <v>1981</v>
      </c>
      <c r="J989" s="11">
        <v>38.030833000000001</v>
      </c>
      <c r="K989" s="11">
        <v>-122.075</v>
      </c>
      <c r="L989" s="11">
        <v>2911</v>
      </c>
      <c r="M989" s="11">
        <v>2911</v>
      </c>
      <c r="N989" s="175" t="str">
        <f>VLOOKUP(M989, '2017 SIC to NAICS'!A:D, 2)</f>
        <v>Petroleum Refining</v>
      </c>
      <c r="P989" s="187" t="str">
        <f>VLOOKUP(M989, '2017 SIC to NAICS'!A:D, 4)</f>
        <v>Petroleum Refineries</v>
      </c>
      <c r="Q989" s="176" t="e">
        <f>IFERROR(VLOOKUP(O989, 'NAICS OES crosswalk'!A:C, 3, FALSE), VLOOKUP(M989, 'NAICS OES crosswalk'!A:C, 3, FALSE))</f>
        <v>#N/A</v>
      </c>
      <c r="U989" s="188">
        <v>180500010302</v>
      </c>
      <c r="V989" s="11" t="s">
        <v>887</v>
      </c>
      <c r="W989" s="11"/>
      <c r="X989" s="11">
        <v>0.122434152</v>
      </c>
      <c r="Y989" s="11" t="b">
        <f t="shared" si="17"/>
        <v>0</v>
      </c>
    </row>
    <row r="990" spans="1:25" x14ac:dyDescent="0.35">
      <c r="A990" s="11">
        <v>2023</v>
      </c>
      <c r="B990" s="11" t="s">
        <v>1980</v>
      </c>
      <c r="C990" s="11" t="s">
        <v>1332</v>
      </c>
      <c r="D990" s="163">
        <v>110064621805</v>
      </c>
      <c r="E990" s="11" t="s">
        <v>449</v>
      </c>
      <c r="F990" s="11" t="s">
        <v>450</v>
      </c>
      <c r="G990" s="11" t="s">
        <v>1333</v>
      </c>
      <c r="H990" s="11" t="s">
        <v>451</v>
      </c>
      <c r="I990" s="11" t="s">
        <v>1981</v>
      </c>
      <c r="J990" s="11">
        <v>41.952649999999998</v>
      </c>
      <c r="K990" s="11">
        <v>-71.269720000000007</v>
      </c>
      <c r="L990" s="11">
        <v>3356</v>
      </c>
      <c r="M990" s="11">
        <v>3356</v>
      </c>
      <c r="N990" s="175" t="str">
        <f>VLOOKUP(M990, '2017 SIC to NAICS'!A:D, 2)</f>
        <v>Nonferrous Rolling and Drawing, Nec</v>
      </c>
      <c r="P990" s="187" t="str">
        <f>VLOOKUP(M990, '2017 SIC to NAICS'!A:D, 4)</f>
        <v>Nonferrous Metal (except Copper and Aluminum) Rolling, Drawing, and Extruding</v>
      </c>
      <c r="Q990" s="176" t="e">
        <f>IFERROR(VLOOKUP(O990, 'NAICS OES crosswalk'!A:C, 3, FALSE), VLOOKUP(M990, 'NAICS OES crosswalk'!A:C, 3, FALSE))</f>
        <v>#N/A</v>
      </c>
      <c r="U990" s="190" t="s">
        <v>1336</v>
      </c>
      <c r="V990" s="11" t="s">
        <v>1334</v>
      </c>
      <c r="W990" s="11"/>
      <c r="X990" s="11">
        <v>0.11421404607750001</v>
      </c>
      <c r="Y990" s="11" t="b">
        <f t="shared" si="17"/>
        <v>0</v>
      </c>
    </row>
    <row r="991" spans="1:25" x14ac:dyDescent="0.35">
      <c r="A991" s="11">
        <v>2023</v>
      </c>
      <c r="B991" s="11" t="s">
        <v>1980</v>
      </c>
      <c r="C991" s="11" t="s">
        <v>822</v>
      </c>
      <c r="D991" s="163">
        <v>110015972562</v>
      </c>
      <c r="E991" s="11" t="s">
        <v>381</v>
      </c>
      <c r="F991" s="11" t="s">
        <v>337</v>
      </c>
      <c r="G991" s="11" t="s">
        <v>823</v>
      </c>
      <c r="H991" s="11" t="s">
        <v>221</v>
      </c>
      <c r="I991" s="11" t="s">
        <v>1982</v>
      </c>
      <c r="J991" s="11">
        <v>36.116160999999998</v>
      </c>
      <c r="K991" s="11">
        <v>-115.172741</v>
      </c>
      <c r="L991" s="11">
        <v>7011</v>
      </c>
      <c r="M991" s="11">
        <v>7011</v>
      </c>
      <c r="N991" s="175" t="str">
        <f>VLOOKUP(M991, '2017 SIC to NAICS'!A:D, 2)</f>
        <v>Hotels and Motels</v>
      </c>
      <c r="O991" s="11">
        <v>721120</v>
      </c>
      <c r="P991" s="187" t="str">
        <f>VLOOKUP(M991, '2017 SIC to NAICS'!A:D, 4)</f>
        <v>All Other Traveler Accommodation</v>
      </c>
      <c r="Q991" s="176" t="e">
        <f>IFERROR(VLOOKUP(O991, 'NAICS OES crosswalk'!A:C, 3, FALSE), VLOOKUP(M991, 'NAICS OES crosswalk'!A:C, 3, FALSE))</f>
        <v>#N/A</v>
      </c>
      <c r="U991" s="188">
        <v>150100150604</v>
      </c>
      <c r="V991" s="11" t="s">
        <v>738</v>
      </c>
      <c r="W991" s="11"/>
      <c r="X991" s="11">
        <v>0.1119060893375</v>
      </c>
      <c r="Y991" s="11" t="b">
        <f t="shared" si="17"/>
        <v>0</v>
      </c>
    </row>
    <row r="992" spans="1:25" x14ac:dyDescent="0.35">
      <c r="A992" s="11">
        <v>2023</v>
      </c>
      <c r="B992" s="11" t="s">
        <v>1980</v>
      </c>
      <c r="C992" s="11" t="s">
        <v>1625</v>
      </c>
      <c r="D992" s="163">
        <v>110064634686</v>
      </c>
      <c r="E992" s="11" t="s">
        <v>461</v>
      </c>
      <c r="F992" s="11" t="s">
        <v>462</v>
      </c>
      <c r="G992" s="11" t="s">
        <v>1626</v>
      </c>
      <c r="H992" s="11" t="s">
        <v>340</v>
      </c>
      <c r="I992" s="11" t="s">
        <v>1981</v>
      </c>
      <c r="J992" s="11">
        <v>40.095258000000001</v>
      </c>
      <c r="K992" s="11">
        <v>-74.877359999999996</v>
      </c>
      <c r="L992" s="11">
        <v>2821</v>
      </c>
      <c r="M992" s="11">
        <v>2821</v>
      </c>
      <c r="N992" s="175" t="str">
        <f>VLOOKUP(M992, '2017 SIC to NAICS'!A:D, 2)</f>
        <v>Plastics Materials and Resins</v>
      </c>
      <c r="P992" s="187" t="str">
        <f>VLOOKUP(M992, '2017 SIC to NAICS'!A:D, 4)</f>
        <v>Plastics Material and Resin Manufacturing</v>
      </c>
      <c r="Q992" s="176" t="str">
        <f>IFERROR(VLOOKUP(O992, 'NAICS OES crosswalk'!A:C, 3, FALSE), VLOOKUP(M992, 'NAICS OES crosswalk'!A:C, 3, FALSE))</f>
        <v>Processing as a reactant</v>
      </c>
      <c r="U992" s="190" t="s">
        <v>1628</v>
      </c>
      <c r="V992" s="11" t="s">
        <v>1627</v>
      </c>
      <c r="W992" s="11"/>
      <c r="X992" s="11">
        <v>0.1045108</v>
      </c>
      <c r="Y992" s="11" t="b">
        <f t="shared" si="17"/>
        <v>0</v>
      </c>
    </row>
    <row r="993" spans="1:25" x14ac:dyDescent="0.35">
      <c r="A993" s="11">
        <v>2023</v>
      </c>
      <c r="B993" s="11" t="s">
        <v>1980</v>
      </c>
      <c r="C993" s="11" t="s">
        <v>1597</v>
      </c>
      <c r="D993" s="163">
        <v>110015744024</v>
      </c>
      <c r="E993" s="11" t="s">
        <v>469</v>
      </c>
      <c r="F993" s="11" t="s">
        <v>470</v>
      </c>
      <c r="G993" s="11" t="s">
        <v>1598</v>
      </c>
      <c r="H993" s="11" t="s">
        <v>126</v>
      </c>
      <c r="I993" s="11" t="s">
        <v>1982</v>
      </c>
      <c r="J993" s="11">
        <v>42.025620000000004</v>
      </c>
      <c r="K993" s="11">
        <v>-74.099329999999995</v>
      </c>
      <c r="L993" s="11">
        <v>9511</v>
      </c>
      <c r="M993" s="11">
        <v>9511</v>
      </c>
      <c r="N993" s="175" t="str">
        <f>VLOOKUP(M993, '2017 SIC to NAICS'!A:D, 2)</f>
        <v>Air, Water, and Solid Waste Management</v>
      </c>
      <c r="P993" s="187" t="str">
        <f>VLOOKUP(M993, '2017 SIC to NAICS'!A:D, 4)</f>
        <v>Administration of Air and Water Resource
and Solid Waste Management Programs</v>
      </c>
      <c r="Q993" s="176" t="e">
        <f>IFERROR(VLOOKUP(O993, 'NAICS OES crosswalk'!A:C, 3, FALSE), VLOOKUP(M993, 'NAICS OES crosswalk'!A:C, 3, FALSE))</f>
        <v>#N/A</v>
      </c>
      <c r="U993" s="190" t="s">
        <v>1600</v>
      </c>
      <c r="V993" s="11" t="s">
        <v>1599</v>
      </c>
      <c r="W993" s="11"/>
      <c r="X993" s="11">
        <v>9.6208795400000005E-2</v>
      </c>
      <c r="Y993" s="11" t="b">
        <f t="shared" si="17"/>
        <v>0</v>
      </c>
    </row>
    <row r="994" spans="1:25" ht="29" x14ac:dyDescent="0.35">
      <c r="A994" s="11">
        <v>2023</v>
      </c>
      <c r="B994" s="11" t="s">
        <v>1980</v>
      </c>
      <c r="C994" s="11" t="s">
        <v>1364</v>
      </c>
      <c r="D994" s="163">
        <v>110009900884</v>
      </c>
      <c r="E994" s="11" t="s">
        <v>467</v>
      </c>
      <c r="F994" s="11" t="s">
        <v>308</v>
      </c>
      <c r="G994" s="11" t="s">
        <v>1365</v>
      </c>
      <c r="H994" s="11" t="s">
        <v>181</v>
      </c>
      <c r="I994" s="11" t="s">
        <v>1982</v>
      </c>
      <c r="J994" s="11">
        <v>42.293660000000003</v>
      </c>
      <c r="K994" s="11">
        <v>-85.223643999999993</v>
      </c>
      <c r="L994" s="11">
        <v>9999</v>
      </c>
      <c r="M994" s="11">
        <v>9999</v>
      </c>
      <c r="N994" s="175" t="str">
        <f>VLOOKUP(M994, '2017 SIC to NAICS'!A:D, 2)</f>
        <v>Nonclassifiable Establishments</v>
      </c>
      <c r="P994" s="187">
        <f>VLOOKUP(M994, '2017 SIC to NAICS'!A:D, 4)</f>
        <v>0</v>
      </c>
      <c r="Q994" s="176" t="str">
        <f>IFERROR(VLOOKUP(O994, 'NAICS OES crosswalk'!A:C, 3, FALSE), VLOOKUP(M994, 'NAICS OES crosswalk'!A:C, 3, FALSE))</f>
        <v>Uncertain, possibly a remediation site</v>
      </c>
      <c r="U994" s="190" t="s">
        <v>1367</v>
      </c>
      <c r="V994" s="11" t="s">
        <v>1366</v>
      </c>
      <c r="W994" s="11"/>
      <c r="X994" s="11">
        <v>8.8866122500000005E-2</v>
      </c>
      <c r="Y994" s="11" t="b">
        <f t="shared" si="17"/>
        <v>0</v>
      </c>
    </row>
    <row r="995" spans="1:25" x14ac:dyDescent="0.35">
      <c r="A995" s="11">
        <v>2023</v>
      </c>
      <c r="B995" s="11" t="s">
        <v>1980</v>
      </c>
      <c r="C995" s="11" t="s">
        <v>1358</v>
      </c>
      <c r="D995" s="163">
        <v>110000408238</v>
      </c>
      <c r="E995" s="11" t="s">
        <v>499</v>
      </c>
      <c r="F995" s="11" t="s">
        <v>500</v>
      </c>
      <c r="G995" s="11" t="s">
        <v>1359</v>
      </c>
      <c r="H995" s="11" t="s">
        <v>181</v>
      </c>
      <c r="I995" s="11" t="s">
        <v>1982</v>
      </c>
      <c r="J995" s="11">
        <v>43.185969999999998</v>
      </c>
      <c r="K995" s="11">
        <v>-85.256680000000003</v>
      </c>
      <c r="L995" s="11">
        <v>3632</v>
      </c>
      <c r="M995" s="11">
        <v>3632</v>
      </c>
      <c r="N995" s="175" t="str">
        <f>VLOOKUP(M995, '2017 SIC to NAICS'!A:D, 2)</f>
        <v>Household Refrigerators and Freezers</v>
      </c>
      <c r="O995" s="11">
        <v>333415</v>
      </c>
      <c r="P995" s="187" t="str">
        <f>VLOOKUP(M995, '2017 SIC to NAICS'!A:D, 4)</f>
        <v>Major Household Appliance Manufacturing</v>
      </c>
      <c r="Q995" s="176" t="e">
        <f>IFERROR(VLOOKUP(O995, 'NAICS OES crosswalk'!A:C, 3, FALSE), VLOOKUP(M995, 'NAICS OES crosswalk'!A:C, 3, FALSE))</f>
        <v>#N/A</v>
      </c>
      <c r="U995" s="190" t="s">
        <v>1363</v>
      </c>
      <c r="V995" s="11" t="s">
        <v>1362</v>
      </c>
      <c r="W995" s="11"/>
      <c r="X995" s="11">
        <v>1.30214639635E-3</v>
      </c>
      <c r="Y995" s="11" t="b">
        <f t="shared" si="17"/>
        <v>0</v>
      </c>
    </row>
    <row r="996" spans="1:25" x14ac:dyDescent="0.35">
      <c r="A996" s="11">
        <v>2023</v>
      </c>
      <c r="B996" s="11" t="s">
        <v>1980</v>
      </c>
      <c r="C996" s="11" t="s">
        <v>1375</v>
      </c>
      <c r="D996" s="163">
        <v>110009900679</v>
      </c>
      <c r="E996" s="11" t="s">
        <v>475</v>
      </c>
      <c r="F996" s="11" t="s">
        <v>476</v>
      </c>
      <c r="G996" s="11" t="s">
        <v>1365</v>
      </c>
      <c r="H996" s="11" t="s">
        <v>181</v>
      </c>
      <c r="I996" s="11" t="s">
        <v>1982</v>
      </c>
      <c r="J996" s="11">
        <v>42.250990000000002</v>
      </c>
      <c r="K996" s="11">
        <v>-84.736580000000004</v>
      </c>
      <c r="L996" s="11">
        <v>1799</v>
      </c>
      <c r="M996" s="11">
        <v>1799</v>
      </c>
      <c r="N996" s="175" t="str">
        <f>VLOOKUP(M996, '2017 SIC to NAICS'!A:D, 2)</f>
        <v>Special Trade Contractors, Nec</v>
      </c>
      <c r="O996" s="11">
        <v>562910</v>
      </c>
      <c r="P996" s="187" t="str">
        <f>VLOOKUP(M996, '2017 SIC to NAICS'!A:D, 4)</f>
        <v>Remediation Services</v>
      </c>
      <c r="Q996" s="176" t="e">
        <f>IFERROR(VLOOKUP(O996, 'NAICS OES crosswalk'!A:C, 3, FALSE), VLOOKUP(M996, 'NAICS OES crosswalk'!A:C, 3, FALSE))</f>
        <v>#N/A</v>
      </c>
      <c r="U996" s="190" t="s">
        <v>1377</v>
      </c>
      <c r="V996" s="11" t="s">
        <v>1376</v>
      </c>
      <c r="W996" s="11"/>
      <c r="X996" s="11">
        <v>7.8614450000000002E-2</v>
      </c>
      <c r="Y996" s="11" t="b">
        <f t="shared" si="17"/>
        <v>0</v>
      </c>
    </row>
    <row r="997" spans="1:25" x14ac:dyDescent="0.35">
      <c r="A997" s="11">
        <v>2023</v>
      </c>
      <c r="B997" s="11" t="s">
        <v>1980</v>
      </c>
      <c r="C997" s="11" t="s">
        <v>855</v>
      </c>
      <c r="D997" s="163">
        <v>110000373621</v>
      </c>
      <c r="E997" s="11" t="s">
        <v>324</v>
      </c>
      <c r="F997" s="11" t="s">
        <v>325</v>
      </c>
      <c r="G997" s="11" t="s">
        <v>856</v>
      </c>
      <c r="H997" s="11" t="s">
        <v>161</v>
      </c>
      <c r="I997" s="11" t="s">
        <v>1982</v>
      </c>
      <c r="J997" s="11">
        <v>35.607599999999998</v>
      </c>
      <c r="K997" s="11">
        <v>-89.237700000000004</v>
      </c>
      <c r="L997" s="11">
        <v>3087</v>
      </c>
      <c r="M997" s="11">
        <v>3087</v>
      </c>
      <c r="N997" s="175" t="str">
        <f>VLOOKUP(M997, '2017 SIC to NAICS'!A:D, 2)</f>
        <v>Custom Compound Purchased Resins</v>
      </c>
      <c r="O997" s="11">
        <v>325991</v>
      </c>
      <c r="P997" s="187" t="str">
        <f>VLOOKUP(M997, '2017 SIC to NAICS'!A:D, 4)</f>
        <v>Custom Compounding of Purchased
Resins</v>
      </c>
      <c r="Q997" s="176" t="e">
        <f>IFERROR(VLOOKUP(O997, 'NAICS OES crosswalk'!A:C, 3, FALSE), VLOOKUP(M997, 'NAICS OES crosswalk'!A:C, 3, FALSE))</f>
        <v>#N/A</v>
      </c>
      <c r="U997" s="190" t="s">
        <v>860</v>
      </c>
      <c r="V997" s="11" t="s">
        <v>859</v>
      </c>
      <c r="W997" s="11"/>
      <c r="X997" s="11">
        <v>7.5983875000000006E-2</v>
      </c>
      <c r="Y997" s="11" t="b">
        <f t="shared" si="17"/>
        <v>0</v>
      </c>
    </row>
    <row r="998" spans="1:25" x14ac:dyDescent="0.35">
      <c r="A998" s="11">
        <v>2023</v>
      </c>
      <c r="B998" s="11" t="s">
        <v>1980</v>
      </c>
      <c r="C998" s="11" t="s">
        <v>730</v>
      </c>
      <c r="D998" s="163">
        <v>110017979810</v>
      </c>
      <c r="E998" s="11" t="s">
        <v>309</v>
      </c>
      <c r="F998" s="11" t="s">
        <v>158</v>
      </c>
      <c r="G998" s="11" t="s">
        <v>434</v>
      </c>
      <c r="H998" s="11" t="s">
        <v>129</v>
      </c>
      <c r="I998" s="11" t="s">
        <v>1982</v>
      </c>
      <c r="J998" s="11">
        <v>38.959018999999998</v>
      </c>
      <c r="K998" s="11">
        <v>-94.576569000000006</v>
      </c>
      <c r="L998" s="11">
        <v>6552</v>
      </c>
      <c r="M998" s="11">
        <v>6552</v>
      </c>
      <c r="N998" s="175" t="str">
        <f>VLOOKUP(M998, '2017 SIC to NAICS'!A:D, 2)</f>
        <v>Subdividers and Developers, Nec</v>
      </c>
      <c r="P998" s="187" t="str">
        <f>VLOOKUP(M998, '2017 SIC to NAICS'!A:D, 4)</f>
        <v>Land Subdivision</v>
      </c>
      <c r="Q998" s="176" t="e">
        <f>IFERROR(VLOOKUP(O998, 'NAICS OES crosswalk'!A:C, 3, FALSE), VLOOKUP(M998, 'NAICS OES crosswalk'!A:C, 3, FALSE))</f>
        <v>#N/A</v>
      </c>
      <c r="U998" s="188">
        <v>103001010105</v>
      </c>
      <c r="V998" s="11" t="s">
        <v>733</v>
      </c>
      <c r="W998" s="11"/>
      <c r="X998" s="11">
        <v>7.3862382500000004E-2</v>
      </c>
      <c r="Y998" s="11" t="b">
        <f t="shared" si="17"/>
        <v>0</v>
      </c>
    </row>
    <row r="999" spans="1:25" x14ac:dyDescent="0.35">
      <c r="A999" s="11">
        <v>2023</v>
      </c>
      <c r="B999" s="11" t="s">
        <v>1980</v>
      </c>
      <c r="C999" s="11" t="s">
        <v>1568</v>
      </c>
      <c r="D999" s="163">
        <v>110000737365</v>
      </c>
      <c r="E999" s="11" t="s">
        <v>588</v>
      </c>
      <c r="F999" s="11" t="s">
        <v>589</v>
      </c>
      <c r="G999" s="11" t="s">
        <v>831</v>
      </c>
      <c r="H999" s="11" t="s">
        <v>126</v>
      </c>
      <c r="I999" s="11" t="s">
        <v>1981</v>
      </c>
      <c r="J999" s="11">
        <v>43.129750000000001</v>
      </c>
      <c r="K999" s="11">
        <v>-78.939679999999996</v>
      </c>
      <c r="L999" s="11">
        <v>9511</v>
      </c>
      <c r="M999" s="11">
        <v>9511</v>
      </c>
      <c r="N999" s="175" t="str">
        <f>VLOOKUP(M999, '2017 SIC to NAICS'!A:D, 2)</f>
        <v>Air, Water, and Solid Waste Management</v>
      </c>
      <c r="P999" s="187" t="str">
        <f>VLOOKUP(M999, '2017 SIC to NAICS'!A:D, 4)</f>
        <v>Administration of Air and Water Resource
and Solid Waste Management Programs</v>
      </c>
      <c r="Q999" s="176" t="e">
        <f>IFERROR(VLOOKUP(O999, 'NAICS OES crosswalk'!A:C, 3, FALSE), VLOOKUP(M999, 'NAICS OES crosswalk'!A:C, 3, FALSE))</f>
        <v>#N/A</v>
      </c>
      <c r="U999" s="190" t="s">
        <v>1570</v>
      </c>
      <c r="V999" s="11" t="s">
        <v>1569</v>
      </c>
      <c r="W999" s="11"/>
      <c r="X999" s="11">
        <v>1.26163431501E-2</v>
      </c>
      <c r="Y999" s="11" t="b">
        <f t="shared" si="17"/>
        <v>0</v>
      </c>
    </row>
    <row r="1000" spans="1:25" ht="29" x14ac:dyDescent="0.35">
      <c r="A1000" s="11">
        <v>2023</v>
      </c>
      <c r="B1000" s="11" t="s">
        <v>1980</v>
      </c>
      <c r="C1000" s="11" t="s">
        <v>941</v>
      </c>
      <c r="D1000" s="163">
        <v>110000519920</v>
      </c>
      <c r="E1000" s="11" t="s">
        <v>482</v>
      </c>
      <c r="F1000" s="11" t="s">
        <v>483</v>
      </c>
      <c r="G1000" s="11" t="s">
        <v>942</v>
      </c>
      <c r="H1000" s="11" t="s">
        <v>102</v>
      </c>
      <c r="I1000" s="11" t="s">
        <v>1982</v>
      </c>
      <c r="J1000" s="11">
        <v>39.259749999999997</v>
      </c>
      <c r="K1000" s="11">
        <v>-121.03075</v>
      </c>
      <c r="L1000" s="11">
        <v>4952</v>
      </c>
      <c r="M1000" s="11">
        <v>4952</v>
      </c>
      <c r="N1000" s="175" t="str">
        <f>VLOOKUP(M1000, '2017 SIC to NAICS'!A:D, 2)</f>
        <v>Sewerage Systems</v>
      </c>
      <c r="P1000" s="187" t="str">
        <f>VLOOKUP(M1000, '2017 SIC to NAICS'!A:D, 4)</f>
        <v>Sewage Treatment Facilities</v>
      </c>
      <c r="Q1000" s="176" t="str">
        <f>IFERROR(VLOOKUP(O1000, 'NAICS OES crosswalk'!A:C, 3, FALSE), VLOOKUP(M1000, 'NAICS OES crosswalk'!A:C, 3, FALSE))</f>
        <v>Waste handling, disposal, and treatment</v>
      </c>
      <c r="U1000" s="188">
        <v>180201250802</v>
      </c>
      <c r="V1000" s="11" t="s">
        <v>943</v>
      </c>
      <c r="W1000" s="11"/>
      <c r="X1000" s="11">
        <v>6.8742110199999998E-2</v>
      </c>
      <c r="Y1000" s="11" t="b">
        <f t="shared" si="17"/>
        <v>0</v>
      </c>
    </row>
    <row r="1001" spans="1:25" x14ac:dyDescent="0.35">
      <c r="A1001" s="11">
        <v>2023</v>
      </c>
      <c r="B1001" s="11" t="s">
        <v>1980</v>
      </c>
      <c r="C1001" s="11" t="s">
        <v>1709</v>
      </c>
      <c r="D1001" s="163">
        <v>110060340162</v>
      </c>
      <c r="E1001" s="11" t="s">
        <v>313</v>
      </c>
      <c r="F1001" s="11" t="s">
        <v>314</v>
      </c>
      <c r="G1001" s="11" t="s">
        <v>747</v>
      </c>
      <c r="H1001" s="11" t="s">
        <v>95</v>
      </c>
      <c r="I1001" s="11" t="s">
        <v>1982</v>
      </c>
      <c r="J1001" s="11">
        <v>29.738610999999999</v>
      </c>
      <c r="K1001" s="11">
        <v>-95.166944000000001</v>
      </c>
      <c r="L1001" s="11">
        <v>2869</v>
      </c>
      <c r="M1001" s="11">
        <v>2869</v>
      </c>
      <c r="N1001" s="175" t="str">
        <f>VLOOKUP(M1001, '2017 SIC to NAICS'!A:D, 2)</f>
        <v>Industrial Organic Chemicals, Nec</v>
      </c>
      <c r="P1001" s="187" t="str">
        <f>VLOOKUP(M1001, '2017 SIC to NAICS'!A:D, 4)</f>
        <v>All Other Miscellaneous Chemical Product and Preparation Manufacturing</v>
      </c>
      <c r="Q1001" s="176" t="str">
        <f>IFERROR(VLOOKUP(O1001, 'NAICS OES crosswalk'!A:C, 3, FALSE), VLOOKUP(M1001, 'NAICS OES crosswalk'!A:C, 3, FALSE))</f>
        <v>Manufacturing</v>
      </c>
      <c r="U1001" s="188">
        <v>120401040703</v>
      </c>
      <c r="V1001" s="11" t="s">
        <v>1688</v>
      </c>
      <c r="W1001" s="11"/>
      <c r="X1001" s="11">
        <v>6.4240912499999997E-2</v>
      </c>
      <c r="Y1001" s="11" t="b">
        <f t="shared" si="17"/>
        <v>0</v>
      </c>
    </row>
    <row r="1002" spans="1:25" x14ac:dyDescent="0.35">
      <c r="A1002" s="11">
        <v>2023</v>
      </c>
      <c r="B1002" s="11" t="s">
        <v>1980</v>
      </c>
      <c r="C1002" s="11" t="s">
        <v>1563</v>
      </c>
      <c r="D1002" s="163">
        <v>110070948151</v>
      </c>
      <c r="E1002" s="11" t="s">
        <v>487</v>
      </c>
      <c r="F1002" s="11" t="s">
        <v>337</v>
      </c>
      <c r="G1002" s="11" t="s">
        <v>736</v>
      </c>
      <c r="H1002" s="11" t="s">
        <v>221</v>
      </c>
      <c r="I1002" s="11" t="s">
        <v>1982</v>
      </c>
      <c r="J1002" s="11">
        <v>36.090899999999998</v>
      </c>
      <c r="K1002" s="11">
        <v>-115.1833</v>
      </c>
      <c r="L1002" s="11">
        <v>7941</v>
      </c>
      <c r="M1002" s="11">
        <v>7941</v>
      </c>
      <c r="N1002" s="175" t="str">
        <f>VLOOKUP(M1002, '2017 SIC to NAICS'!A:D, 2)</f>
        <v>Sports Clubs, Managers, and Promoters</v>
      </c>
      <c r="O1002" s="11">
        <v>711211</v>
      </c>
      <c r="P1002" s="187" t="str">
        <f>VLOOKUP(M1002, '2017 SIC to NAICS'!A:D, 4)</f>
        <v>Agents and Managers for Artists, Athletes,
Entertainers, and Other Public Figures</v>
      </c>
      <c r="Q1002" s="176" t="e">
        <f>IFERROR(VLOOKUP(O1002, 'NAICS OES crosswalk'!A:C, 3, FALSE), VLOOKUP(M1002, 'NAICS OES crosswalk'!A:C, 3, FALSE))</f>
        <v>#N/A</v>
      </c>
      <c r="U1002" s="188">
        <v>150100150505</v>
      </c>
      <c r="V1002" s="11" t="s">
        <v>825</v>
      </c>
      <c r="W1002" s="11"/>
      <c r="X1002" s="11">
        <v>6.2714327375000004E-2</v>
      </c>
      <c r="Y1002" s="11" t="b">
        <f t="shared" si="17"/>
        <v>0</v>
      </c>
    </row>
    <row r="1003" spans="1:25" x14ac:dyDescent="0.35">
      <c r="A1003" s="11">
        <v>2023</v>
      </c>
      <c r="B1003" s="11" t="s">
        <v>1980</v>
      </c>
      <c r="C1003" s="11" t="s">
        <v>1536</v>
      </c>
      <c r="D1003" s="163">
        <v>110010134185</v>
      </c>
      <c r="E1003" s="11" t="s">
        <v>668</v>
      </c>
      <c r="F1003" s="11" t="s">
        <v>669</v>
      </c>
      <c r="G1003" s="11" t="s">
        <v>1534</v>
      </c>
      <c r="H1003" s="11" t="s">
        <v>670</v>
      </c>
      <c r="I1003" s="11" t="s">
        <v>1982</v>
      </c>
      <c r="J1003" s="11">
        <v>37.041677</v>
      </c>
      <c r="K1003" s="11">
        <v>-109.500685</v>
      </c>
      <c r="L1003" s="11">
        <v>1311</v>
      </c>
      <c r="M1003" s="11">
        <v>1311</v>
      </c>
      <c r="N1003" s="175" t="str">
        <f>VLOOKUP(M1003, '2017 SIC to NAICS'!A:D, 2)</f>
        <v>Crude Petroleum and Natural Gas</v>
      </c>
      <c r="P1003" s="187" t="str">
        <f>VLOOKUP(M1003, '2017 SIC to NAICS'!A:D, 4)</f>
        <v>Crude Petroleum Extraction</v>
      </c>
      <c r="Q1003" s="176" t="e">
        <f>IFERROR(VLOOKUP(O1003, 'NAICS OES crosswalk'!A:C, 3, FALSE), VLOOKUP(M1003, 'NAICS OES crosswalk'!A:C, 3, FALSE))</f>
        <v>#N/A</v>
      </c>
      <c r="U1003" s="188">
        <v>140802010602</v>
      </c>
      <c r="V1003" s="11" t="s">
        <v>1539</v>
      </c>
      <c r="W1003" s="11"/>
      <c r="X1003" s="11">
        <v>1.124145E-3</v>
      </c>
      <c r="Y1003" s="11" t="b">
        <f t="shared" si="17"/>
        <v>1</v>
      </c>
    </row>
    <row r="1004" spans="1:25" ht="29" x14ac:dyDescent="0.35">
      <c r="A1004" s="11">
        <v>2023</v>
      </c>
      <c r="B1004" s="11" t="s">
        <v>1980</v>
      </c>
      <c r="C1004" s="11" t="s">
        <v>1010</v>
      </c>
      <c r="D1004" s="163">
        <v>110010731262</v>
      </c>
      <c r="E1004" s="11" t="s">
        <v>365</v>
      </c>
      <c r="F1004" s="11" t="s">
        <v>366</v>
      </c>
      <c r="G1004" s="11" t="s">
        <v>1011</v>
      </c>
      <c r="H1004" s="11" t="s">
        <v>156</v>
      </c>
      <c r="I1004" s="11" t="s">
        <v>1981</v>
      </c>
      <c r="J1004" s="11">
        <v>22.079093</v>
      </c>
      <c r="K1004" s="11">
        <v>-159.35138900000001</v>
      </c>
      <c r="L1004" s="11">
        <v>4952</v>
      </c>
      <c r="M1004" s="11">
        <v>4952</v>
      </c>
      <c r="N1004" s="175" t="str">
        <f>VLOOKUP(M1004, '2017 SIC to NAICS'!A:D, 2)</f>
        <v>Sewerage Systems</v>
      </c>
      <c r="P1004" s="187" t="str">
        <f>VLOOKUP(M1004, '2017 SIC to NAICS'!A:D, 4)</f>
        <v>Sewage Treatment Facilities</v>
      </c>
      <c r="Q1004" s="176" t="str">
        <f>IFERROR(VLOOKUP(O1004, 'NAICS OES crosswalk'!A:C, 3, FALSE), VLOOKUP(M1004, 'NAICS OES crosswalk'!A:C, 3, FALSE))</f>
        <v>Waste handling, disposal, and treatment</v>
      </c>
      <c r="U1004" s="188">
        <v>200700000202</v>
      </c>
      <c r="V1004" s="11" t="s">
        <v>1012</v>
      </c>
      <c r="W1004" s="11"/>
      <c r="X1004" s="11">
        <v>5.9018748000000003E-2</v>
      </c>
      <c r="Y1004" s="11" t="b">
        <f t="shared" si="17"/>
        <v>0</v>
      </c>
    </row>
    <row r="1005" spans="1:25" ht="29" x14ac:dyDescent="0.35">
      <c r="A1005" s="11">
        <v>2023</v>
      </c>
      <c r="B1005" s="11" t="s">
        <v>1980</v>
      </c>
      <c r="C1005" s="11" t="s">
        <v>1653</v>
      </c>
      <c r="D1005" s="163">
        <v>110000817439</v>
      </c>
      <c r="E1005" s="11" t="s">
        <v>435</v>
      </c>
      <c r="F1005" s="11" t="s">
        <v>436</v>
      </c>
      <c r="G1005" s="11" t="s">
        <v>1626</v>
      </c>
      <c r="H1005" s="11" t="s">
        <v>340</v>
      </c>
      <c r="I1005" s="11" t="s">
        <v>1982</v>
      </c>
      <c r="J1005" s="11">
        <v>40.159343999999997</v>
      </c>
      <c r="K1005" s="11">
        <v>-74.776695000000004</v>
      </c>
      <c r="L1005" s="11">
        <v>4953</v>
      </c>
      <c r="M1005" s="11">
        <v>4953</v>
      </c>
      <c r="N1005" s="175" t="str">
        <f>VLOOKUP(M1005, '2017 SIC to NAICS'!A:D, 2)</f>
        <v>Refuse Systems</v>
      </c>
      <c r="P1005" s="187" t="str">
        <f>VLOOKUP(M1005, '2017 SIC to NAICS'!A:D, 4)</f>
        <v>Materials Recovery Facilities</v>
      </c>
      <c r="Q1005" s="176" t="str">
        <f>IFERROR(VLOOKUP(O1005, 'NAICS OES crosswalk'!A:C, 3, FALSE), VLOOKUP(M1005, 'NAICS OES crosswalk'!A:C, 3, FALSE))</f>
        <v>Waste handling, disposal, and treatment</v>
      </c>
      <c r="U1005" s="190" t="s">
        <v>1654</v>
      </c>
      <c r="V1005" s="11" t="s">
        <v>1630</v>
      </c>
      <c r="W1005" s="11"/>
      <c r="X1005" s="11">
        <v>5.7816899999999997E-2</v>
      </c>
      <c r="Y1005" s="11" t="b">
        <f t="shared" si="17"/>
        <v>0</v>
      </c>
    </row>
    <row r="1006" spans="1:25" x14ac:dyDescent="0.35">
      <c r="A1006" s="11">
        <v>2023</v>
      </c>
      <c r="B1006" s="11" t="s">
        <v>1980</v>
      </c>
      <c r="C1006" s="11" t="s">
        <v>822</v>
      </c>
      <c r="D1006" s="163">
        <v>110015972562</v>
      </c>
      <c r="E1006" s="11" t="s">
        <v>381</v>
      </c>
      <c r="F1006" s="11" t="s">
        <v>337</v>
      </c>
      <c r="G1006" s="11" t="s">
        <v>823</v>
      </c>
      <c r="H1006" s="11" t="s">
        <v>221</v>
      </c>
      <c r="I1006" s="11" t="s">
        <v>1982</v>
      </c>
      <c r="J1006" s="11">
        <v>36.116160999999998</v>
      </c>
      <c r="K1006" s="11">
        <v>-115.172741</v>
      </c>
      <c r="L1006" s="11">
        <v>7011</v>
      </c>
      <c r="M1006" s="11">
        <v>7011</v>
      </c>
      <c r="N1006" s="175" t="str">
        <f>VLOOKUP(M1006, '2017 SIC to NAICS'!A:D, 2)</f>
        <v>Hotels and Motels</v>
      </c>
      <c r="O1006" s="11">
        <v>721120</v>
      </c>
      <c r="P1006" s="187" t="str">
        <f>VLOOKUP(M1006, '2017 SIC to NAICS'!A:D, 4)</f>
        <v>All Other Traveler Accommodation</v>
      </c>
      <c r="Q1006" s="176" t="e">
        <f>IFERROR(VLOOKUP(O1006, 'NAICS OES crosswalk'!A:C, 3, FALSE), VLOOKUP(M1006, 'NAICS OES crosswalk'!A:C, 3, FALSE))</f>
        <v>#N/A</v>
      </c>
      <c r="U1006" s="188">
        <v>150100150604</v>
      </c>
      <c r="V1006" s="11" t="s">
        <v>738</v>
      </c>
      <c r="W1006" s="11"/>
      <c r="X1006" s="11">
        <v>5.3379590050000002E-2</v>
      </c>
      <c r="Y1006" s="11" t="b">
        <f t="shared" si="17"/>
        <v>0</v>
      </c>
    </row>
    <row r="1007" spans="1:25" ht="29" x14ac:dyDescent="0.35">
      <c r="A1007" s="11">
        <v>2023</v>
      </c>
      <c r="B1007" s="11" t="s">
        <v>1980</v>
      </c>
      <c r="C1007" s="11" t="s">
        <v>1396</v>
      </c>
      <c r="D1007" s="163">
        <v>110009900330</v>
      </c>
      <c r="E1007" s="11" t="s">
        <v>505</v>
      </c>
      <c r="F1007" s="11" t="s">
        <v>409</v>
      </c>
      <c r="G1007" s="11" t="s">
        <v>1397</v>
      </c>
      <c r="H1007" s="11" t="s">
        <v>181</v>
      </c>
      <c r="I1007" s="11" t="s">
        <v>1982</v>
      </c>
      <c r="J1007" s="11">
        <v>41.802622</v>
      </c>
      <c r="K1007" s="11">
        <v>-85.388092</v>
      </c>
      <c r="L1007" s="11">
        <v>4953</v>
      </c>
      <c r="M1007" s="11">
        <v>4953</v>
      </c>
      <c r="N1007" s="175" t="str">
        <f>VLOOKUP(M1007, '2017 SIC to NAICS'!A:D, 2)</f>
        <v>Refuse Systems</v>
      </c>
      <c r="O1007" s="11">
        <v>562212</v>
      </c>
      <c r="P1007" s="187" t="str">
        <f>VLOOKUP(M1007, '2017 SIC to NAICS'!A:D, 4)</f>
        <v>Materials Recovery Facilities</v>
      </c>
      <c r="Q1007" s="176" t="str">
        <f>IFERROR(VLOOKUP(O1007, 'NAICS OES crosswalk'!A:C, 3, FALSE), VLOOKUP(M1007, 'NAICS OES crosswalk'!A:C, 3, FALSE))</f>
        <v>Waste handling, disposal, and treatment</v>
      </c>
      <c r="U1007" s="190" t="s">
        <v>1399</v>
      </c>
      <c r="V1007" s="11" t="s">
        <v>1398</v>
      </c>
      <c r="W1007" s="11"/>
      <c r="X1007" s="11">
        <v>5.2608093500000001E-2</v>
      </c>
      <c r="Y1007" s="11" t="b">
        <f t="shared" si="17"/>
        <v>0</v>
      </c>
    </row>
    <row r="1008" spans="1:25" x14ac:dyDescent="0.35">
      <c r="A1008" s="11">
        <v>2023</v>
      </c>
      <c r="B1008" s="11" t="s">
        <v>1980</v>
      </c>
      <c r="C1008" s="11" t="s">
        <v>1442</v>
      </c>
      <c r="D1008" s="163">
        <v>110071223319</v>
      </c>
      <c r="E1008" s="11" t="s">
        <v>506</v>
      </c>
      <c r="F1008" s="11" t="s">
        <v>507</v>
      </c>
      <c r="G1008" s="11" t="s">
        <v>1443</v>
      </c>
      <c r="H1008" s="11" t="s">
        <v>181</v>
      </c>
      <c r="I1008" s="11" t="s">
        <v>1982</v>
      </c>
      <c r="J1008" s="11">
        <v>43.953519999999997</v>
      </c>
      <c r="K1008" s="11">
        <v>-86.451409999999996</v>
      </c>
      <c r="L1008" s="11">
        <v>3873</v>
      </c>
      <c r="M1008" s="11">
        <v>3873</v>
      </c>
      <c r="N1008" s="175" t="str">
        <f>VLOOKUP(M1008, '2017 SIC to NAICS'!A:D, 2)</f>
        <v>Watches, Clocks, Watchcases, and Parts</v>
      </c>
      <c r="O1008" s="11">
        <v>334519</v>
      </c>
      <c r="P1008" s="187" t="str">
        <f>VLOOKUP(M1008, '2017 SIC to NAICS'!A:D, 4)</f>
        <v>Other Measuring and Controlling Device
Manufacturing</v>
      </c>
      <c r="Q1008" s="176" t="e">
        <f>IFERROR(VLOOKUP(O1008, 'NAICS OES crosswalk'!A:C, 3, FALSE), VLOOKUP(M1008, 'NAICS OES crosswalk'!A:C, 3, FALSE))</f>
        <v>#N/A</v>
      </c>
      <c r="U1008" s="190" t="s">
        <v>1445</v>
      </c>
      <c r="V1008" s="11" t="s">
        <v>1444</v>
      </c>
      <c r="W1008" s="11"/>
      <c r="X1008" s="11">
        <v>5.1596814077375E-2</v>
      </c>
      <c r="Y1008" s="11" t="b">
        <f t="shared" si="17"/>
        <v>0</v>
      </c>
    </row>
    <row r="1009" spans="1:25" x14ac:dyDescent="0.35">
      <c r="A1009" s="11">
        <v>2023</v>
      </c>
      <c r="B1009" s="11" t="s">
        <v>1980</v>
      </c>
      <c r="C1009" s="11" t="s">
        <v>1659</v>
      </c>
      <c r="D1009" s="163">
        <v>110013738045</v>
      </c>
      <c r="E1009" s="11" t="s">
        <v>510</v>
      </c>
      <c r="F1009" s="11" t="s">
        <v>511</v>
      </c>
      <c r="G1009" s="11" t="s">
        <v>1656</v>
      </c>
      <c r="H1009" s="11" t="s">
        <v>400</v>
      </c>
      <c r="I1009" s="11" t="s">
        <v>1982</v>
      </c>
      <c r="J1009" s="11">
        <v>41.711390000000002</v>
      </c>
      <c r="K1009" s="11">
        <v>-71.426670000000001</v>
      </c>
      <c r="L1009" s="11">
        <v>9511</v>
      </c>
      <c r="M1009" s="11">
        <v>9511</v>
      </c>
      <c r="N1009" s="175" t="str">
        <f>VLOOKUP(M1009, '2017 SIC to NAICS'!A:D, 2)</f>
        <v>Air, Water, and Solid Waste Management</v>
      </c>
      <c r="P1009" s="187" t="str">
        <f>VLOOKUP(M1009, '2017 SIC to NAICS'!A:D, 4)</f>
        <v>Administration of Air and Water Resource
and Solid Waste Management Programs</v>
      </c>
      <c r="Q1009" s="176" t="e">
        <f>IFERROR(VLOOKUP(O1009, 'NAICS OES crosswalk'!A:C, 3, FALSE), VLOOKUP(M1009, 'NAICS OES crosswalk'!A:C, 3, FALSE))</f>
        <v>#N/A</v>
      </c>
      <c r="U1009" s="190" t="s">
        <v>1661</v>
      </c>
      <c r="V1009" s="11" t="s">
        <v>1660</v>
      </c>
      <c r="W1009" s="11"/>
      <c r="X1009" s="11">
        <v>4.7236572900000003E-2</v>
      </c>
      <c r="Y1009" s="11" t="b">
        <f t="shared" si="17"/>
        <v>0</v>
      </c>
    </row>
    <row r="1010" spans="1:25" x14ac:dyDescent="0.35">
      <c r="A1010" s="11">
        <v>2023</v>
      </c>
      <c r="B1010" s="11" t="s">
        <v>1980</v>
      </c>
      <c r="C1010" s="11" t="s">
        <v>1522</v>
      </c>
      <c r="D1010" s="163">
        <v>110070219521</v>
      </c>
      <c r="E1010" s="11" t="s">
        <v>471</v>
      </c>
      <c r="F1010" s="11" t="s">
        <v>472</v>
      </c>
      <c r="G1010" s="11" t="s">
        <v>1163</v>
      </c>
      <c r="H1010" s="11" t="s">
        <v>254</v>
      </c>
      <c r="I1010" s="11" t="s">
        <v>1982</v>
      </c>
      <c r="J1010" s="11">
        <v>40.393389999999997</v>
      </c>
      <c r="K1010" s="11">
        <v>-74.758080000000007</v>
      </c>
      <c r="M1010" s="11"/>
      <c r="N1010" s="175" t="e">
        <f>VLOOKUP(M1010, '2017 SIC to NAICS'!A:D, 2)</f>
        <v>#N/A</v>
      </c>
      <c r="P1010" s="187" t="e">
        <f>VLOOKUP(M1010, '2017 SIC to NAICS'!A:D, 4)</f>
        <v>#N/A</v>
      </c>
      <c r="Q1010" s="176" t="e">
        <f>IFERROR(VLOOKUP(O1010, 'NAICS OES crosswalk'!A:C, 3, FALSE), VLOOKUP(M1010, 'NAICS OES crosswalk'!A:C, 3, FALSE))</f>
        <v>#N/A</v>
      </c>
      <c r="U1010" s="190" t="s">
        <v>1524</v>
      </c>
      <c r="V1010" s="11" t="s">
        <v>1523</v>
      </c>
      <c r="W1010" s="11"/>
      <c r="X1010" s="11">
        <v>4.6839289837499999E-2</v>
      </c>
      <c r="Y1010" s="11" t="b">
        <f t="shared" si="17"/>
        <v>0</v>
      </c>
    </row>
    <row r="1011" spans="1:25" x14ac:dyDescent="0.35">
      <c r="A1011" s="11">
        <v>2023</v>
      </c>
      <c r="B1011" s="11" t="s">
        <v>1980</v>
      </c>
      <c r="C1011" s="11" t="s">
        <v>730</v>
      </c>
      <c r="D1011" s="163">
        <v>110017979810</v>
      </c>
      <c r="E1011" s="11" t="s">
        <v>309</v>
      </c>
      <c r="F1011" s="11" t="s">
        <v>158</v>
      </c>
      <c r="G1011" s="11" t="s">
        <v>434</v>
      </c>
      <c r="H1011" s="11" t="s">
        <v>129</v>
      </c>
      <c r="I1011" s="11" t="s">
        <v>1982</v>
      </c>
      <c r="J1011" s="11">
        <v>38.959018999999998</v>
      </c>
      <c r="K1011" s="11">
        <v>-94.576569000000006</v>
      </c>
      <c r="L1011" s="11">
        <v>6552</v>
      </c>
      <c r="M1011" s="11">
        <v>6552</v>
      </c>
      <c r="N1011" s="175" t="str">
        <f>VLOOKUP(M1011, '2017 SIC to NAICS'!A:D, 2)</f>
        <v>Subdividers and Developers, Nec</v>
      </c>
      <c r="P1011" s="187" t="str">
        <f>VLOOKUP(M1011, '2017 SIC to NAICS'!A:D, 4)</f>
        <v>Land Subdivision</v>
      </c>
      <c r="Q1011" s="176" t="e">
        <f>IFERROR(VLOOKUP(O1011, 'NAICS OES crosswalk'!A:C, 3, FALSE), VLOOKUP(M1011, 'NAICS OES crosswalk'!A:C, 3, FALSE))</f>
        <v>#N/A</v>
      </c>
      <c r="U1011" s="188">
        <v>103001010105</v>
      </c>
      <c r="V1011" s="11" t="s">
        <v>733</v>
      </c>
      <c r="W1011" s="11"/>
      <c r="X1011" s="11">
        <v>4.530361125E-2</v>
      </c>
      <c r="Y1011" s="11" t="b">
        <f t="shared" si="17"/>
        <v>0</v>
      </c>
    </row>
    <row r="1012" spans="1:25" x14ac:dyDescent="0.35">
      <c r="A1012" s="11">
        <v>2023</v>
      </c>
      <c r="B1012" s="11" t="s">
        <v>1980</v>
      </c>
      <c r="C1012" s="11" t="s">
        <v>1571</v>
      </c>
      <c r="D1012" s="163">
        <v>110000326193</v>
      </c>
      <c r="E1012" s="11" t="s">
        <v>459</v>
      </c>
      <c r="F1012" s="11" t="s">
        <v>460</v>
      </c>
      <c r="G1012" s="11" t="s">
        <v>1572</v>
      </c>
      <c r="H1012" s="11" t="s">
        <v>126</v>
      </c>
      <c r="I1012" s="11" t="s">
        <v>1981</v>
      </c>
      <c r="J1012" s="11">
        <v>42.308895999999997</v>
      </c>
      <c r="K1012" s="11">
        <v>-75.397531999999998</v>
      </c>
      <c r="L1012" s="11">
        <v>3471</v>
      </c>
      <c r="M1012" s="11">
        <v>3471</v>
      </c>
      <c r="N1012" s="175" t="str">
        <f>VLOOKUP(M1012, '2017 SIC to NAICS'!A:D, 2)</f>
        <v>Plating and Polishing</v>
      </c>
      <c r="P1012" s="187" t="str">
        <f>VLOOKUP(M1012, '2017 SIC to NAICS'!A:D, 4)</f>
        <v>Electroplating, Plating, Polishing,
Anodizing, and Coloring</v>
      </c>
      <c r="Q1012" s="176" t="e">
        <f>IFERROR(VLOOKUP(O1012, 'NAICS OES crosswalk'!A:C, 3, FALSE), VLOOKUP(M1012, 'NAICS OES crosswalk'!A:C, 3, FALSE))</f>
        <v>#N/A</v>
      </c>
      <c r="U1012" s="190" t="s">
        <v>1574</v>
      </c>
      <c r="V1012" s="11" t="s">
        <v>1573</v>
      </c>
      <c r="W1012" s="11"/>
      <c r="X1012" s="11">
        <v>4.4775851667499998E-2</v>
      </c>
      <c r="Y1012" s="11" t="b">
        <f t="shared" si="17"/>
        <v>0</v>
      </c>
    </row>
    <row r="1013" spans="1:25" x14ac:dyDescent="0.35">
      <c r="A1013" s="11">
        <v>2023</v>
      </c>
      <c r="B1013" s="11" t="s">
        <v>1980</v>
      </c>
      <c r="C1013" s="11" t="s">
        <v>1040</v>
      </c>
      <c r="D1013" s="163">
        <v>110000547196</v>
      </c>
      <c r="E1013" s="11" t="s">
        <v>468</v>
      </c>
      <c r="F1013" s="11" t="s">
        <v>260</v>
      </c>
      <c r="G1013" s="11" t="s">
        <v>1041</v>
      </c>
      <c r="H1013" s="11" t="s">
        <v>111</v>
      </c>
      <c r="I1013" s="11" t="s">
        <v>1982</v>
      </c>
      <c r="J1013" s="11">
        <v>41.405655000000003</v>
      </c>
      <c r="K1013" s="11">
        <v>-88.335212999999996</v>
      </c>
      <c r="L1013" s="11">
        <v>2869</v>
      </c>
      <c r="M1013" s="11">
        <v>2869</v>
      </c>
      <c r="N1013" s="175" t="str">
        <f>VLOOKUP(M1013, '2017 SIC to NAICS'!A:D, 2)</f>
        <v>Industrial Organic Chemicals, Nec</v>
      </c>
      <c r="P1013" s="187" t="str">
        <f>VLOOKUP(M1013, '2017 SIC to NAICS'!A:D, 4)</f>
        <v>All Other Miscellaneous Chemical Product and Preparation Manufacturing</v>
      </c>
      <c r="Q1013" s="176" t="str">
        <f>IFERROR(VLOOKUP(O1013, 'NAICS OES crosswalk'!A:C, 3, FALSE), VLOOKUP(M1013, 'NAICS OES crosswalk'!A:C, 3, FALSE))</f>
        <v>Manufacturing</v>
      </c>
      <c r="U1013" s="190" t="s">
        <v>799</v>
      </c>
      <c r="V1013" s="11" t="s">
        <v>798</v>
      </c>
      <c r="W1013" s="11"/>
      <c r="X1013" s="11">
        <v>4.451016E-2</v>
      </c>
      <c r="Y1013" s="11" t="b">
        <f t="shared" si="17"/>
        <v>0</v>
      </c>
    </row>
    <row r="1014" spans="1:25" x14ac:dyDescent="0.35">
      <c r="A1014" s="11">
        <v>2023</v>
      </c>
      <c r="B1014" s="11" t="s">
        <v>1980</v>
      </c>
      <c r="C1014" s="11" t="s">
        <v>1501</v>
      </c>
      <c r="D1014" s="163">
        <v>110000321651</v>
      </c>
      <c r="E1014" s="11" t="s">
        <v>541</v>
      </c>
      <c r="F1014" s="11" t="s">
        <v>542</v>
      </c>
      <c r="G1014" s="11" t="s">
        <v>818</v>
      </c>
      <c r="H1014" s="11" t="s">
        <v>254</v>
      </c>
      <c r="I1014" s="11" t="s">
        <v>1981</v>
      </c>
      <c r="J1014" s="11">
        <v>40.331944</v>
      </c>
      <c r="K1014" s="11">
        <v>-74.619721999999996</v>
      </c>
      <c r="L1014" s="11">
        <v>2869</v>
      </c>
      <c r="M1014" s="11">
        <v>2869</v>
      </c>
      <c r="N1014" s="175" t="str">
        <f>VLOOKUP(M1014, '2017 SIC to NAICS'!A:D, 2)</f>
        <v>Industrial Organic Chemicals, Nec</v>
      </c>
      <c r="O1014" s="11">
        <v>325199</v>
      </c>
      <c r="P1014" s="187" t="str">
        <f>VLOOKUP(M1014, '2017 SIC to NAICS'!A:D, 4)</f>
        <v>All Other Miscellaneous Chemical Product and Preparation Manufacturing</v>
      </c>
      <c r="Q1014" s="176" t="str">
        <f>IFERROR(VLOOKUP(O1014, 'NAICS OES crosswalk'!A:C, 3, FALSE), VLOOKUP(M1014, 'NAICS OES crosswalk'!A:C, 3, FALSE))</f>
        <v>Manufacturing</v>
      </c>
      <c r="U1014" s="190" t="s">
        <v>1503</v>
      </c>
      <c r="V1014" s="11" t="s">
        <v>1502</v>
      </c>
      <c r="W1014" s="11"/>
      <c r="X1014" s="11">
        <v>3.0999999999999999E-3</v>
      </c>
      <c r="Y1014" s="11" t="b">
        <f t="shared" si="17"/>
        <v>0</v>
      </c>
    </row>
    <row r="1015" spans="1:25" x14ac:dyDescent="0.35">
      <c r="A1015" s="11">
        <v>2023</v>
      </c>
      <c r="B1015" s="11" t="s">
        <v>1980</v>
      </c>
      <c r="C1015" s="11" t="s">
        <v>829</v>
      </c>
      <c r="D1015" s="163">
        <v>110059844156</v>
      </c>
      <c r="E1015" s="11" t="s">
        <v>512</v>
      </c>
      <c r="F1015" s="11" t="s">
        <v>337</v>
      </c>
      <c r="G1015" s="11" t="s">
        <v>823</v>
      </c>
      <c r="H1015" s="11" t="s">
        <v>221</v>
      </c>
      <c r="I1015" s="11" t="s">
        <v>1982</v>
      </c>
      <c r="J1015" s="11">
        <v>36.131489999999999</v>
      </c>
      <c r="K1015" s="11">
        <v>-115.15483</v>
      </c>
      <c r="L1015" s="11">
        <v>1799</v>
      </c>
      <c r="M1015" s="11">
        <v>1799</v>
      </c>
      <c r="N1015" s="175" t="str">
        <f>VLOOKUP(M1015, '2017 SIC to NAICS'!A:D, 2)</f>
        <v>Special Trade Contractors, Nec</v>
      </c>
      <c r="O1015" s="11">
        <v>562910</v>
      </c>
      <c r="P1015" s="187" t="str">
        <f>VLOOKUP(M1015, '2017 SIC to NAICS'!A:D, 4)</f>
        <v>Remediation Services</v>
      </c>
      <c r="Q1015" s="176" t="e">
        <f>IFERROR(VLOOKUP(O1015, 'NAICS OES crosswalk'!A:C, 3, FALSE), VLOOKUP(M1015, 'NAICS OES crosswalk'!A:C, 3, FALSE))</f>
        <v>#N/A</v>
      </c>
      <c r="U1015" s="188">
        <v>150100150604</v>
      </c>
      <c r="V1015" s="11" t="s">
        <v>738</v>
      </c>
      <c r="W1015" s="11"/>
      <c r="X1015" s="11">
        <v>4.09242243125E-2</v>
      </c>
      <c r="Y1015" s="11" t="b">
        <f t="shared" si="17"/>
        <v>0</v>
      </c>
    </row>
    <row r="1016" spans="1:25" x14ac:dyDescent="0.35">
      <c r="A1016" s="11">
        <v>2023</v>
      </c>
      <c r="B1016" s="11" t="s">
        <v>1980</v>
      </c>
      <c r="C1016" s="11" t="s">
        <v>735</v>
      </c>
      <c r="D1016" s="163">
        <v>110004306938</v>
      </c>
      <c r="E1016" s="11" t="s">
        <v>336</v>
      </c>
      <c r="F1016" s="11" t="s">
        <v>337</v>
      </c>
      <c r="G1016" s="11" t="s">
        <v>736</v>
      </c>
      <c r="H1016" s="11" t="s">
        <v>221</v>
      </c>
      <c r="I1016" s="11" t="s">
        <v>1982</v>
      </c>
      <c r="J1016" s="11">
        <v>36.122100000000003</v>
      </c>
      <c r="K1016" s="11">
        <v>-115.17139</v>
      </c>
      <c r="L1016" s="11">
        <v>7011</v>
      </c>
      <c r="M1016" s="11">
        <v>7011</v>
      </c>
      <c r="N1016" s="175" t="str">
        <f>VLOOKUP(M1016, '2017 SIC to NAICS'!A:D, 2)</f>
        <v>Hotels and Motels</v>
      </c>
      <c r="P1016" s="187" t="str">
        <f>VLOOKUP(M1016, '2017 SIC to NAICS'!A:D, 4)</f>
        <v>All Other Traveler Accommodation</v>
      </c>
      <c r="Q1016" s="176" t="e">
        <f>IFERROR(VLOOKUP(O1016, 'NAICS OES crosswalk'!A:C, 3, FALSE), VLOOKUP(M1016, 'NAICS OES crosswalk'!A:C, 3, FALSE))</f>
        <v>#N/A</v>
      </c>
      <c r="U1016" s="188">
        <v>150100150604</v>
      </c>
      <c r="V1016" s="11" t="s">
        <v>738</v>
      </c>
      <c r="W1016" s="11"/>
      <c r="X1016" s="11">
        <v>3.9787919999999997E-2</v>
      </c>
      <c r="Y1016" s="11" t="b">
        <f t="shared" si="17"/>
        <v>0</v>
      </c>
    </row>
    <row r="1017" spans="1:25" x14ac:dyDescent="0.35">
      <c r="A1017" s="11">
        <v>2023</v>
      </c>
      <c r="B1017" s="11" t="s">
        <v>1980</v>
      </c>
      <c r="C1017" s="11" t="s">
        <v>1371</v>
      </c>
      <c r="D1017" s="163">
        <v>110000410190</v>
      </c>
      <c r="E1017" s="11" t="s">
        <v>179</v>
      </c>
      <c r="F1017" s="11" t="s">
        <v>180</v>
      </c>
      <c r="G1017" s="11" t="s">
        <v>1372</v>
      </c>
      <c r="H1017" s="11" t="s">
        <v>181</v>
      </c>
      <c r="I1017" s="11" t="s">
        <v>1982</v>
      </c>
      <c r="J1017" s="11">
        <v>42.718290000000003</v>
      </c>
      <c r="K1017" s="11">
        <v>-85.463239999999999</v>
      </c>
      <c r="L1017" s="11">
        <v>3639</v>
      </c>
      <c r="M1017" s="11">
        <v>3639</v>
      </c>
      <c r="N1017" s="175" t="str">
        <f>VLOOKUP(M1017, '2017 SIC to NAICS'!A:D, 2)</f>
        <v>Household Appliances, Nec</v>
      </c>
      <c r="O1017" s="11">
        <v>335220</v>
      </c>
      <c r="P1017" s="187" t="str">
        <f>VLOOKUP(M1017, '2017 SIC to NAICS'!A:D, 4)</f>
        <v>Major Household Appliance Manufacturing</v>
      </c>
      <c r="Q1017" s="176" t="e">
        <f>IFERROR(VLOOKUP(O1017, 'NAICS OES crosswalk'!A:C, 3, FALSE), VLOOKUP(M1017, 'NAICS OES crosswalk'!A:C, 3, FALSE))</f>
        <v>#N/A</v>
      </c>
      <c r="U1017" s="190" t="s">
        <v>1374</v>
      </c>
      <c r="V1017" s="11" t="s">
        <v>1373</v>
      </c>
      <c r="W1017" s="11"/>
      <c r="X1017" s="11">
        <v>3.890241925E-2</v>
      </c>
      <c r="Y1017" s="11" t="b">
        <f t="shared" si="17"/>
        <v>0</v>
      </c>
    </row>
    <row r="1018" spans="1:25" x14ac:dyDescent="0.35">
      <c r="A1018" s="11">
        <v>2023</v>
      </c>
      <c r="B1018" s="11" t="s">
        <v>1980</v>
      </c>
      <c r="C1018" s="11" t="s">
        <v>829</v>
      </c>
      <c r="D1018" s="163">
        <v>110059844156</v>
      </c>
      <c r="E1018" s="11" t="s">
        <v>512</v>
      </c>
      <c r="F1018" s="11" t="s">
        <v>337</v>
      </c>
      <c r="G1018" s="11" t="s">
        <v>823</v>
      </c>
      <c r="H1018" s="11" t="s">
        <v>221</v>
      </c>
      <c r="I1018" s="11" t="s">
        <v>1982</v>
      </c>
      <c r="J1018" s="11">
        <v>36.131489999999999</v>
      </c>
      <c r="K1018" s="11">
        <v>-115.15483</v>
      </c>
      <c r="L1018" s="11">
        <v>1799</v>
      </c>
      <c r="M1018" s="11">
        <v>1799</v>
      </c>
      <c r="N1018" s="175" t="str">
        <f>VLOOKUP(M1018, '2017 SIC to NAICS'!A:D, 2)</f>
        <v>Special Trade Contractors, Nec</v>
      </c>
      <c r="O1018" s="11">
        <v>562910</v>
      </c>
      <c r="P1018" s="187" t="str">
        <f>VLOOKUP(M1018, '2017 SIC to NAICS'!A:D, 4)</f>
        <v>Remediation Services</v>
      </c>
      <c r="Q1018" s="176" t="e">
        <f>IFERROR(VLOOKUP(O1018, 'NAICS OES crosswalk'!A:C, 3, FALSE), VLOOKUP(M1018, 'NAICS OES crosswalk'!A:C, 3, FALSE))</f>
        <v>#N/A</v>
      </c>
      <c r="U1018" s="188">
        <v>150100150604</v>
      </c>
      <c r="V1018" s="11" t="s">
        <v>738</v>
      </c>
      <c r="W1018" s="11"/>
      <c r="X1018" s="11">
        <v>3.7662098406249997E-2</v>
      </c>
      <c r="Y1018" s="11" t="b">
        <f t="shared" si="17"/>
        <v>0</v>
      </c>
    </row>
    <row r="1019" spans="1:25" x14ac:dyDescent="0.35">
      <c r="A1019" s="11">
        <v>2023</v>
      </c>
      <c r="B1019" s="11" t="s">
        <v>1980</v>
      </c>
      <c r="C1019" s="11" t="s">
        <v>817</v>
      </c>
      <c r="D1019" s="163">
        <v>110070215141</v>
      </c>
      <c r="E1019" s="11" t="s">
        <v>627</v>
      </c>
      <c r="F1019" s="11" t="s">
        <v>628</v>
      </c>
      <c r="G1019" s="11" t="s">
        <v>818</v>
      </c>
      <c r="H1019" s="11" t="s">
        <v>254</v>
      </c>
      <c r="I1019" s="11" t="s">
        <v>1982</v>
      </c>
      <c r="J1019" s="11">
        <v>40.515906999999999</v>
      </c>
      <c r="K1019" s="11">
        <v>-74.325175999999999</v>
      </c>
      <c r="M1019" s="11"/>
      <c r="N1019" s="175" t="e">
        <f>VLOOKUP(M1019, '2017 SIC to NAICS'!A:D, 2)</f>
        <v>#N/A</v>
      </c>
      <c r="P1019" s="187" t="e">
        <f>VLOOKUP(M1019, '2017 SIC to NAICS'!A:D, 4)</f>
        <v>#N/A</v>
      </c>
      <c r="Q1019" s="176" t="e">
        <f>IFERROR(VLOOKUP(O1019, 'NAICS OES crosswalk'!A:C, 3, FALSE), VLOOKUP(M1019, 'NAICS OES crosswalk'!A:C, 3, FALSE))</f>
        <v>#N/A</v>
      </c>
      <c r="U1019" s="190" t="s">
        <v>820</v>
      </c>
      <c r="V1019" s="11" t="s">
        <v>819</v>
      </c>
      <c r="W1019" s="11"/>
      <c r="X1019" s="11">
        <v>1.8751865016000001E-3</v>
      </c>
      <c r="Y1019" s="11" t="b">
        <f t="shared" si="17"/>
        <v>0</v>
      </c>
    </row>
    <row r="1020" spans="1:25" x14ac:dyDescent="0.35">
      <c r="A1020" s="11">
        <v>2023</v>
      </c>
      <c r="B1020" s="11" t="s">
        <v>1980</v>
      </c>
      <c r="C1020" s="11" t="s">
        <v>817</v>
      </c>
      <c r="D1020" s="163">
        <v>110070215141</v>
      </c>
      <c r="E1020" s="11" t="s">
        <v>627</v>
      </c>
      <c r="F1020" s="11" t="s">
        <v>628</v>
      </c>
      <c r="G1020" s="11" t="s">
        <v>818</v>
      </c>
      <c r="H1020" s="11" t="s">
        <v>254</v>
      </c>
      <c r="I1020" s="11" t="s">
        <v>1982</v>
      </c>
      <c r="J1020" s="11">
        <v>40.515906999999999</v>
      </c>
      <c r="K1020" s="11">
        <v>-74.325175999999999</v>
      </c>
      <c r="M1020" s="11"/>
      <c r="N1020" s="175" t="e">
        <f>VLOOKUP(M1020, '2017 SIC to NAICS'!A:D, 2)</f>
        <v>#N/A</v>
      </c>
      <c r="P1020" s="187" t="e">
        <f>VLOOKUP(M1020, '2017 SIC to NAICS'!A:D, 4)</f>
        <v>#N/A</v>
      </c>
      <c r="Q1020" s="176" t="e">
        <f>IFERROR(VLOOKUP(O1020, 'NAICS OES crosswalk'!A:C, 3, FALSE), VLOOKUP(M1020, 'NAICS OES crosswalk'!A:C, 3, FALSE))</f>
        <v>#N/A</v>
      </c>
      <c r="U1020" s="190" t="s">
        <v>820</v>
      </c>
      <c r="V1020" s="11" t="s">
        <v>819</v>
      </c>
      <c r="W1020" s="11"/>
      <c r="X1020" s="11">
        <v>9.1605781199999994E-5</v>
      </c>
      <c r="Y1020" s="11" t="b">
        <f t="shared" si="17"/>
        <v>1</v>
      </c>
    </row>
    <row r="1021" spans="1:25" x14ac:dyDescent="0.35">
      <c r="A1021" s="11">
        <v>2023</v>
      </c>
      <c r="B1021" s="11" t="s">
        <v>1980</v>
      </c>
      <c r="C1021" s="11" t="s">
        <v>730</v>
      </c>
      <c r="D1021" s="163">
        <v>110017979810</v>
      </c>
      <c r="E1021" s="11" t="s">
        <v>309</v>
      </c>
      <c r="F1021" s="11" t="s">
        <v>158</v>
      </c>
      <c r="G1021" s="11" t="s">
        <v>434</v>
      </c>
      <c r="H1021" s="11" t="s">
        <v>129</v>
      </c>
      <c r="I1021" s="11" t="s">
        <v>1982</v>
      </c>
      <c r="J1021" s="11">
        <v>38.959018999999998</v>
      </c>
      <c r="K1021" s="11">
        <v>-94.576569000000006</v>
      </c>
      <c r="L1021" s="11">
        <v>6552</v>
      </c>
      <c r="M1021" s="11">
        <v>6552</v>
      </c>
      <c r="N1021" s="175" t="str">
        <f>VLOOKUP(M1021, '2017 SIC to NAICS'!A:D, 2)</f>
        <v>Subdividers and Developers, Nec</v>
      </c>
      <c r="P1021" s="187" t="str">
        <f>VLOOKUP(M1021, '2017 SIC to NAICS'!A:D, 4)</f>
        <v>Land Subdivision</v>
      </c>
      <c r="Q1021" s="176" t="e">
        <f>IFERROR(VLOOKUP(O1021, 'NAICS OES crosswalk'!A:C, 3, FALSE), VLOOKUP(M1021, 'NAICS OES crosswalk'!A:C, 3, FALSE))</f>
        <v>#N/A</v>
      </c>
      <c r="U1021" s="188">
        <v>103001010105</v>
      </c>
      <c r="V1021" s="11" t="s">
        <v>733</v>
      </c>
      <c r="W1021" s="11"/>
      <c r="X1021" s="11">
        <v>3.7329562500000003E-2</v>
      </c>
      <c r="Y1021" s="11" t="b">
        <f t="shared" si="17"/>
        <v>0</v>
      </c>
    </row>
    <row r="1022" spans="1:25" x14ac:dyDescent="0.35">
      <c r="A1022" s="11">
        <v>2023</v>
      </c>
      <c r="B1022" s="11" t="s">
        <v>1980</v>
      </c>
      <c r="C1022" s="11" t="s">
        <v>1341</v>
      </c>
      <c r="D1022" s="163">
        <v>110071514272</v>
      </c>
      <c r="E1022" s="11" t="s">
        <v>537</v>
      </c>
      <c r="F1022" s="11" t="s">
        <v>538</v>
      </c>
      <c r="G1022" s="11" t="s">
        <v>1342</v>
      </c>
      <c r="H1022" s="11" t="s">
        <v>451</v>
      </c>
      <c r="I1022" s="11" t="s">
        <v>1982</v>
      </c>
      <c r="J1022" s="11">
        <v>42.380471999999997</v>
      </c>
      <c r="K1022" s="11">
        <v>-71.175021999999998</v>
      </c>
      <c r="L1022" s="11">
        <v>4959</v>
      </c>
      <c r="M1022" s="11">
        <v>4959</v>
      </c>
      <c r="N1022" s="175" t="str">
        <f>VLOOKUP(M1022, '2017 SIC to NAICS'!A:D, 2)</f>
        <v>Sanitary Services, Nec</v>
      </c>
      <c r="O1022" s="11">
        <v>562910</v>
      </c>
      <c r="P1022" s="187" t="str">
        <f>VLOOKUP(M1022, '2017 SIC to NAICS'!A:D, 4)</f>
        <v>All Other Miscellaneous Waste
Management Services</v>
      </c>
      <c r="Q1022" s="176" t="e">
        <f>IFERROR(VLOOKUP(O1022, 'NAICS OES crosswalk'!A:C, 3, FALSE), VLOOKUP(M1022, 'NAICS OES crosswalk'!A:C, 3, FALSE))</f>
        <v>#N/A</v>
      </c>
      <c r="U1022" s="190" t="s">
        <v>1344</v>
      </c>
      <c r="V1022" s="11" t="s">
        <v>1343</v>
      </c>
      <c r="W1022" s="11"/>
      <c r="X1022" s="11">
        <v>3.2979462000000001E-2</v>
      </c>
      <c r="Y1022" s="11" t="b">
        <f t="shared" si="17"/>
        <v>0</v>
      </c>
    </row>
    <row r="1023" spans="1:25" x14ac:dyDescent="0.35">
      <c r="A1023" s="11">
        <v>2023</v>
      </c>
      <c r="B1023" s="11" t="s">
        <v>1980</v>
      </c>
      <c r="C1023" s="11" t="s">
        <v>1468</v>
      </c>
      <c r="D1023" s="163">
        <v>110000595909</v>
      </c>
      <c r="E1023" s="11" t="s">
        <v>529</v>
      </c>
      <c r="F1023" s="11" t="s">
        <v>128</v>
      </c>
      <c r="G1023" s="11" t="s">
        <v>1132</v>
      </c>
      <c r="H1023" s="11" t="s">
        <v>129</v>
      </c>
      <c r="I1023" s="11" t="s">
        <v>1982</v>
      </c>
      <c r="J1023" s="11">
        <v>38.539057</v>
      </c>
      <c r="K1023" s="11">
        <v>-90.971136000000001</v>
      </c>
      <c r="L1023" s="11">
        <v>3499</v>
      </c>
      <c r="M1023" s="11">
        <v>3499</v>
      </c>
      <c r="N1023" s="175" t="str">
        <f>VLOOKUP(M1023, '2017 SIC to NAICS'!A:D, 2)</f>
        <v>Fabricated Metal Products, Nec</v>
      </c>
      <c r="P1023" s="187" t="str">
        <f>VLOOKUP(M1023, '2017 SIC to NAICS'!A:D, 4)</f>
        <v>Showcase, Partition, Shelving, and Locker
Manufacturing</v>
      </c>
      <c r="Q1023" s="176" t="e">
        <f>IFERROR(VLOOKUP(O1023, 'NAICS OES crosswalk'!A:C, 3, FALSE), VLOOKUP(M1023, 'NAICS OES crosswalk'!A:C, 3, FALSE))</f>
        <v>#N/A</v>
      </c>
      <c r="U1023" s="188">
        <v>103002000601</v>
      </c>
      <c r="V1023" s="11" t="s">
        <v>1460</v>
      </c>
      <c r="W1023" s="11"/>
      <c r="X1023" s="11">
        <v>3.2189895859999998E-2</v>
      </c>
      <c r="Y1023" s="11" t="b">
        <f t="shared" si="17"/>
        <v>0</v>
      </c>
    </row>
    <row r="1024" spans="1:25" x14ac:dyDescent="0.35">
      <c r="A1024" s="11">
        <v>2023</v>
      </c>
      <c r="B1024" s="11" t="s">
        <v>1980</v>
      </c>
      <c r="C1024" s="11" t="s">
        <v>990</v>
      </c>
      <c r="D1024" s="163">
        <v>110070053140</v>
      </c>
      <c r="E1024" s="11" t="s">
        <v>490</v>
      </c>
      <c r="F1024" s="11" t="s">
        <v>491</v>
      </c>
      <c r="G1024" s="11" t="s">
        <v>991</v>
      </c>
      <c r="H1024" s="11" t="s">
        <v>492</v>
      </c>
      <c r="I1024" s="11" t="s">
        <v>1982</v>
      </c>
      <c r="J1024" s="11">
        <v>40.393799999999999</v>
      </c>
      <c r="K1024" s="11">
        <v>-105.074</v>
      </c>
      <c r="L1024" s="11">
        <v>7521</v>
      </c>
      <c r="M1024" s="11">
        <v>7521</v>
      </c>
      <c r="N1024" s="175" t="str">
        <f>VLOOKUP(M1024, '2017 SIC to NAICS'!A:D, 2)</f>
        <v>Automobile Parking</v>
      </c>
      <c r="P1024" s="187" t="str">
        <f>VLOOKUP(M1024, '2017 SIC to NAICS'!A:D, 4)</f>
        <v>Parking Lots and Garages</v>
      </c>
      <c r="Q1024" s="176" t="e">
        <f>IFERROR(VLOOKUP(O1024, 'NAICS OES crosswalk'!A:C, 3, FALSE), VLOOKUP(M1024, 'NAICS OES crosswalk'!A:C, 3, FALSE))</f>
        <v>#N/A</v>
      </c>
      <c r="U1024" s="188">
        <v>101900060605</v>
      </c>
      <c r="V1024" s="11" t="s">
        <v>992</v>
      </c>
      <c r="W1024" s="11"/>
      <c r="X1024" s="11">
        <v>5.8727870750000001E-2</v>
      </c>
      <c r="Y1024" s="11" t="b">
        <f t="shared" si="17"/>
        <v>0</v>
      </c>
    </row>
    <row r="1025" spans="1:25" x14ac:dyDescent="0.35">
      <c r="A1025" s="11">
        <v>2023</v>
      </c>
      <c r="B1025" s="11" t="s">
        <v>1980</v>
      </c>
      <c r="C1025" s="11" t="s">
        <v>1759</v>
      </c>
      <c r="D1025" s="163">
        <v>110071426611</v>
      </c>
      <c r="E1025" s="11" t="s">
        <v>546</v>
      </c>
      <c r="F1025" s="11" t="s">
        <v>402</v>
      </c>
      <c r="G1025" s="11" t="s">
        <v>1729</v>
      </c>
      <c r="H1025" s="11" t="s">
        <v>276</v>
      </c>
      <c r="I1025" s="11" t="s">
        <v>1982</v>
      </c>
      <c r="J1025" s="11">
        <v>38.884332000000001</v>
      </c>
      <c r="K1025" s="11">
        <v>-77.174546000000007</v>
      </c>
      <c r="L1025" s="11">
        <v>1794</v>
      </c>
      <c r="M1025" s="11">
        <v>1794</v>
      </c>
      <c r="N1025" s="175" t="str">
        <f>VLOOKUP(M1025, '2017 SIC to NAICS'!A:D, 2)</f>
        <v>Excavation Work</v>
      </c>
      <c r="P1025" s="187" t="str">
        <f>VLOOKUP(M1025, '2017 SIC to NAICS'!A:D, 4)</f>
        <v>Site Preparation Contractors</v>
      </c>
      <c r="Q1025" s="176" t="e">
        <f>IFERROR(VLOOKUP(O1025, 'NAICS OES crosswalk'!A:C, 3, FALSE), VLOOKUP(M1025, 'NAICS OES crosswalk'!A:C, 3, FALSE))</f>
        <v>#N/A</v>
      </c>
      <c r="U1025" s="190" t="s">
        <v>1755</v>
      </c>
      <c r="V1025" s="11" t="s">
        <v>1730</v>
      </c>
      <c r="W1025" s="11"/>
      <c r="X1025" s="191">
        <v>2.8831967142857101E-2</v>
      </c>
      <c r="Y1025" s="11" t="b">
        <f t="shared" si="17"/>
        <v>0</v>
      </c>
    </row>
    <row r="1026" spans="1:25" x14ac:dyDescent="0.35">
      <c r="A1026" s="11">
        <v>2023</v>
      </c>
      <c r="B1026" s="11" t="s">
        <v>1980</v>
      </c>
      <c r="C1026" s="11" t="s">
        <v>1615</v>
      </c>
      <c r="D1026" s="163">
        <v>110000329038</v>
      </c>
      <c r="E1026" s="11" t="s">
        <v>548</v>
      </c>
      <c r="F1026" s="11" t="s">
        <v>339</v>
      </c>
      <c r="G1026" s="11" t="s">
        <v>1616</v>
      </c>
      <c r="H1026" s="11" t="s">
        <v>340</v>
      </c>
      <c r="I1026" s="11" t="s">
        <v>1981</v>
      </c>
      <c r="J1026" s="11">
        <v>40.670580000000001</v>
      </c>
      <c r="K1026" s="11">
        <v>-80.336500000000001</v>
      </c>
      <c r="L1026" s="11">
        <v>2869</v>
      </c>
      <c r="M1026" s="11">
        <v>2869</v>
      </c>
      <c r="N1026" s="175" t="str">
        <f>VLOOKUP(M1026, '2017 SIC to NAICS'!A:D, 2)</f>
        <v>Industrial Organic Chemicals, Nec</v>
      </c>
      <c r="O1026" s="11">
        <v>325110</v>
      </c>
      <c r="P1026" s="187" t="str">
        <f>VLOOKUP(M1026, '2017 SIC to NAICS'!A:D, 4)</f>
        <v>All Other Miscellaneous Chemical Product and Preparation Manufacturing</v>
      </c>
      <c r="Q1026" s="176" t="str">
        <f>IFERROR(VLOOKUP(O1026, 'NAICS OES crosswalk'!A:C, 3, FALSE), VLOOKUP(M1026, 'NAICS OES crosswalk'!A:C, 3, FALSE))</f>
        <v>Processing as a reactant</v>
      </c>
      <c r="U1026" s="190" t="s">
        <v>1618</v>
      </c>
      <c r="V1026" s="11" t="s">
        <v>1617</v>
      </c>
      <c r="W1026" s="11"/>
      <c r="X1026" s="11">
        <v>2.8147999999999999E-2</v>
      </c>
      <c r="Y1026" s="11" t="b">
        <f t="shared" si="17"/>
        <v>0</v>
      </c>
    </row>
    <row r="1027" spans="1:25" ht="29" x14ac:dyDescent="0.35">
      <c r="A1027" s="11">
        <v>2023</v>
      </c>
      <c r="B1027" s="11" t="s">
        <v>1980</v>
      </c>
      <c r="C1027" s="11" t="s">
        <v>1419</v>
      </c>
      <c r="D1027" s="163">
        <v>110006739789</v>
      </c>
      <c r="E1027" s="11" t="s">
        <v>549</v>
      </c>
      <c r="F1027" s="11" t="s">
        <v>507</v>
      </c>
      <c r="G1027" s="11" t="s">
        <v>1086</v>
      </c>
      <c r="H1027" s="11" t="s">
        <v>181</v>
      </c>
      <c r="I1027" s="11" t="s">
        <v>1982</v>
      </c>
      <c r="J1027" s="11">
        <v>43.977820999999999</v>
      </c>
      <c r="K1027" s="11">
        <v>-86.457807000000003</v>
      </c>
      <c r="L1027" s="11">
        <v>9999</v>
      </c>
      <c r="M1027" s="11">
        <v>9999</v>
      </c>
      <c r="N1027" s="175" t="str">
        <f>VLOOKUP(M1027, '2017 SIC to NAICS'!A:D, 2)</f>
        <v>Nonclassifiable Establishments</v>
      </c>
      <c r="O1027" s="11">
        <v>562910</v>
      </c>
      <c r="P1027" s="187">
        <f>VLOOKUP(M1027, '2017 SIC to NAICS'!A:D, 4)</f>
        <v>0</v>
      </c>
      <c r="Q1027" s="176" t="str">
        <f>IFERROR(VLOOKUP(O1027, 'NAICS OES crosswalk'!A:C, 3, FALSE), VLOOKUP(M1027, 'NAICS OES crosswalk'!A:C, 3, FALSE))</f>
        <v>Uncertain, possibly a remediation site</v>
      </c>
      <c r="U1027" s="190" t="s">
        <v>1421</v>
      </c>
      <c r="V1027" s="11" t="s">
        <v>1420</v>
      </c>
      <c r="W1027" s="11"/>
      <c r="X1027" s="11">
        <v>2.7437465000000001E-2</v>
      </c>
      <c r="Y1027" s="11" t="b">
        <f t="shared" si="17"/>
        <v>0</v>
      </c>
    </row>
    <row r="1028" spans="1:25" x14ac:dyDescent="0.35">
      <c r="A1028" s="11">
        <v>2023</v>
      </c>
      <c r="B1028" s="11" t="s">
        <v>1980</v>
      </c>
      <c r="C1028" s="11" t="s">
        <v>735</v>
      </c>
      <c r="D1028" s="163">
        <v>110004306938</v>
      </c>
      <c r="E1028" s="11" t="s">
        <v>336</v>
      </c>
      <c r="F1028" s="11" t="s">
        <v>337</v>
      </c>
      <c r="G1028" s="11" t="s">
        <v>736</v>
      </c>
      <c r="H1028" s="11" t="s">
        <v>221</v>
      </c>
      <c r="I1028" s="11" t="s">
        <v>1982</v>
      </c>
      <c r="J1028" s="11">
        <v>36.122100000000003</v>
      </c>
      <c r="K1028" s="11">
        <v>-115.17139</v>
      </c>
      <c r="L1028" s="11">
        <v>7011</v>
      </c>
      <c r="M1028" s="11">
        <v>7011</v>
      </c>
      <c r="N1028" s="175" t="str">
        <f>VLOOKUP(M1028, '2017 SIC to NAICS'!A:D, 2)</f>
        <v>Hotels and Motels</v>
      </c>
      <c r="P1028" s="187" t="str">
        <f>VLOOKUP(M1028, '2017 SIC to NAICS'!A:D, 4)</f>
        <v>All Other Traveler Accommodation</v>
      </c>
      <c r="Q1028" s="176" t="e">
        <f>IFERROR(VLOOKUP(O1028, 'NAICS OES crosswalk'!A:C, 3, FALSE), VLOOKUP(M1028, 'NAICS OES crosswalk'!A:C, 3, FALSE))</f>
        <v>#N/A</v>
      </c>
      <c r="U1028" s="188">
        <v>150100150604</v>
      </c>
      <c r="V1028" s="11" t="s">
        <v>738</v>
      </c>
      <c r="W1028" s="11"/>
      <c r="X1028" s="11">
        <v>2.5347529937499998E-2</v>
      </c>
      <c r="Y1028" s="11" t="b">
        <f t="shared" si="17"/>
        <v>0</v>
      </c>
    </row>
    <row r="1029" spans="1:25" x14ac:dyDescent="0.35">
      <c r="A1029" s="11">
        <v>2023</v>
      </c>
      <c r="B1029" s="11" t="s">
        <v>1980</v>
      </c>
      <c r="C1029" s="11" t="s">
        <v>855</v>
      </c>
      <c r="D1029" s="163">
        <v>110000373621</v>
      </c>
      <c r="E1029" s="11" t="s">
        <v>324</v>
      </c>
      <c r="F1029" s="11" t="s">
        <v>325</v>
      </c>
      <c r="G1029" s="11" t="s">
        <v>856</v>
      </c>
      <c r="H1029" s="11" t="s">
        <v>161</v>
      </c>
      <c r="I1029" s="11" t="s">
        <v>1982</v>
      </c>
      <c r="J1029" s="11">
        <v>35.607599999999998</v>
      </c>
      <c r="K1029" s="11">
        <v>-89.237700000000004</v>
      </c>
      <c r="L1029" s="11">
        <v>3087</v>
      </c>
      <c r="M1029" s="11">
        <v>3087</v>
      </c>
      <c r="N1029" s="175" t="str">
        <f>VLOOKUP(M1029, '2017 SIC to NAICS'!A:D, 2)</f>
        <v>Custom Compound Purchased Resins</v>
      </c>
      <c r="O1029" s="11">
        <v>325991</v>
      </c>
      <c r="P1029" s="187" t="str">
        <f>VLOOKUP(M1029, '2017 SIC to NAICS'!A:D, 4)</f>
        <v>Custom Compounding of Purchased
Resins</v>
      </c>
      <c r="Q1029" s="176" t="e">
        <f>IFERROR(VLOOKUP(O1029, 'NAICS OES crosswalk'!A:C, 3, FALSE), VLOOKUP(M1029, 'NAICS OES crosswalk'!A:C, 3, FALSE))</f>
        <v>#N/A</v>
      </c>
      <c r="U1029" s="190" t="s">
        <v>860</v>
      </c>
      <c r="V1029" s="11" t="s">
        <v>859</v>
      </c>
      <c r="W1029" s="11"/>
      <c r="X1029" s="11">
        <v>2.4176687499999999E-2</v>
      </c>
      <c r="Y1029" s="11" t="b">
        <f t="shared" si="17"/>
        <v>0</v>
      </c>
    </row>
    <row r="1030" spans="1:25" x14ac:dyDescent="0.35">
      <c r="A1030" s="11">
        <v>2023</v>
      </c>
      <c r="B1030" s="11" t="s">
        <v>1980</v>
      </c>
      <c r="C1030" s="11" t="s">
        <v>923</v>
      </c>
      <c r="D1030" s="163">
        <v>110037256867</v>
      </c>
      <c r="E1030" s="11" t="s">
        <v>424</v>
      </c>
      <c r="F1030" s="11" t="s">
        <v>425</v>
      </c>
      <c r="G1030" s="11" t="s">
        <v>924</v>
      </c>
      <c r="H1030" s="11" t="s">
        <v>102</v>
      </c>
      <c r="I1030" s="11" t="s">
        <v>1982</v>
      </c>
      <c r="J1030" s="11">
        <v>35.178620000000002</v>
      </c>
      <c r="K1030" s="11">
        <v>-120.62067500000001</v>
      </c>
      <c r="L1030" s="11">
        <v>2911</v>
      </c>
      <c r="M1030" s="11">
        <v>2911</v>
      </c>
      <c r="N1030" s="175" t="str">
        <f>VLOOKUP(M1030, '2017 SIC to NAICS'!A:D, 2)</f>
        <v>Petroleum Refining</v>
      </c>
      <c r="P1030" s="187" t="str">
        <f>VLOOKUP(M1030, '2017 SIC to NAICS'!A:D, 4)</f>
        <v>Petroleum Refineries</v>
      </c>
      <c r="Q1030" s="176" t="e">
        <f>IFERROR(VLOOKUP(O1030, 'NAICS OES crosswalk'!A:C, 3, FALSE), VLOOKUP(M1030, 'NAICS OES crosswalk'!A:C, 3, FALSE))</f>
        <v>#N/A</v>
      </c>
      <c r="U1030" s="188">
        <v>180600060703</v>
      </c>
      <c r="V1030" s="11" t="s">
        <v>925</v>
      </c>
      <c r="W1030" s="11"/>
      <c r="X1030" s="11">
        <v>2.0115003999999999E-2</v>
      </c>
      <c r="Y1030" s="11" t="b">
        <f t="shared" si="17"/>
        <v>0</v>
      </c>
    </row>
    <row r="1031" spans="1:25" x14ac:dyDescent="0.35">
      <c r="A1031" s="11">
        <v>2023</v>
      </c>
      <c r="B1031" s="11" t="s">
        <v>1980</v>
      </c>
      <c r="C1031" s="11" t="s">
        <v>1497</v>
      </c>
      <c r="D1031" s="163">
        <v>110013317614</v>
      </c>
      <c r="E1031" s="11" t="s">
        <v>561</v>
      </c>
      <c r="F1031" s="11" t="s">
        <v>562</v>
      </c>
      <c r="G1031" s="11" t="s">
        <v>1492</v>
      </c>
      <c r="H1031" s="11" t="s">
        <v>254</v>
      </c>
      <c r="I1031" s="11" t="s">
        <v>1981</v>
      </c>
      <c r="J1031" s="11">
        <v>39.845474000000003</v>
      </c>
      <c r="K1031" s="11">
        <v>-75.209485999999998</v>
      </c>
      <c r="L1031" s="11">
        <v>2821</v>
      </c>
      <c r="M1031" s="11">
        <v>2821</v>
      </c>
      <c r="N1031" s="175" t="str">
        <f>VLOOKUP(M1031, '2017 SIC to NAICS'!A:D, 2)</f>
        <v>Plastics Materials and Resins</v>
      </c>
      <c r="O1031" s="11">
        <v>325211</v>
      </c>
      <c r="P1031" s="187" t="str">
        <f>VLOOKUP(M1031, '2017 SIC to NAICS'!A:D, 4)</f>
        <v>Plastics Material and Resin Manufacturing</v>
      </c>
      <c r="Q1031" s="176" t="str">
        <f>IFERROR(VLOOKUP(O1031, 'NAICS OES crosswalk'!A:C, 3, FALSE), VLOOKUP(M1031, 'NAICS OES crosswalk'!A:C, 3, FALSE))</f>
        <v>Processing as a reactant</v>
      </c>
      <c r="U1031" s="190" t="s">
        <v>1500</v>
      </c>
      <c r="V1031" s="11" t="s">
        <v>1498</v>
      </c>
      <c r="W1031" s="11"/>
      <c r="X1031" s="11">
        <v>2.2561850000000001E-2</v>
      </c>
      <c r="Y1031" s="11" t="b">
        <f t="shared" si="17"/>
        <v>0</v>
      </c>
    </row>
    <row r="1032" spans="1:25" x14ac:dyDescent="0.35">
      <c r="A1032" s="11">
        <v>2023</v>
      </c>
      <c r="B1032" s="11" t="s">
        <v>1980</v>
      </c>
      <c r="C1032" s="11" t="s">
        <v>1513</v>
      </c>
      <c r="D1032" s="163">
        <v>110070220772</v>
      </c>
      <c r="E1032" s="11" t="s">
        <v>556</v>
      </c>
      <c r="F1032" s="11" t="s">
        <v>557</v>
      </c>
      <c r="G1032" s="11" t="s">
        <v>818</v>
      </c>
      <c r="H1032" s="11" t="s">
        <v>254</v>
      </c>
      <c r="I1032" s="11" t="s">
        <v>1982</v>
      </c>
      <c r="J1032" s="11">
        <v>40.382820000000002</v>
      </c>
      <c r="K1032" s="11">
        <v>-74.501608000000004</v>
      </c>
      <c r="L1032" s="11">
        <v>3492</v>
      </c>
      <c r="M1032" s="11">
        <v>3492</v>
      </c>
      <c r="N1032" s="175" t="str">
        <f>VLOOKUP(M1032, '2017 SIC to NAICS'!A:D, 2)</f>
        <v>Fluid Power Valves and Hose Fittings</v>
      </c>
      <c r="P1032" s="187" t="str">
        <f>VLOOKUP(M1032, '2017 SIC to NAICS'!A:D, 4)</f>
        <v>Fluid Power Valve and Hose Fitting
Manufacturing</v>
      </c>
      <c r="Q1032" s="176" t="e">
        <f>IFERROR(VLOOKUP(O1032, 'NAICS OES crosswalk'!A:C, 3, FALSE), VLOOKUP(M1032, 'NAICS OES crosswalk'!A:C, 3, FALSE))</f>
        <v>#N/A</v>
      </c>
      <c r="U1032" s="190" t="s">
        <v>1512</v>
      </c>
      <c r="V1032" s="11" t="s">
        <v>1510</v>
      </c>
      <c r="W1032" s="11"/>
      <c r="X1032" s="11">
        <v>1.865648453E-2</v>
      </c>
      <c r="Y1032" s="11" t="b">
        <f t="shared" si="17"/>
        <v>0</v>
      </c>
    </row>
    <row r="1033" spans="1:25" x14ac:dyDescent="0.35">
      <c r="A1033" s="11">
        <v>2023</v>
      </c>
      <c r="B1033" s="11" t="s">
        <v>1980</v>
      </c>
      <c r="C1033" s="11" t="s">
        <v>763</v>
      </c>
      <c r="D1033" s="163">
        <v>110018199377</v>
      </c>
      <c r="E1033" s="11" t="s">
        <v>109</v>
      </c>
      <c r="F1033" s="11" t="s">
        <v>110</v>
      </c>
      <c r="G1033" s="11" t="s">
        <v>764</v>
      </c>
      <c r="H1033" s="11" t="s">
        <v>111</v>
      </c>
      <c r="I1033" s="11" t="s">
        <v>1982</v>
      </c>
      <c r="J1033" s="11">
        <v>41.692782000000001</v>
      </c>
      <c r="K1033" s="11">
        <v>-87.951100999999994</v>
      </c>
      <c r="L1033" s="11">
        <v>4226</v>
      </c>
      <c r="M1033" s="11">
        <v>4226</v>
      </c>
      <c r="N1033" s="175" t="str">
        <f>VLOOKUP(M1033, '2017 SIC to NAICS'!A:D, 2)</f>
        <v>Special Warehousing and Storage, Nec</v>
      </c>
      <c r="P1033" s="187" t="str">
        <f>VLOOKUP(M1033, '2017 SIC to NAICS'!A:D, 4)</f>
        <v>Other Warehousing and Storage</v>
      </c>
      <c r="Q1033" s="176" t="e">
        <f>IFERROR(VLOOKUP(O1033, 'NAICS OES crosswalk'!A:C, 3, FALSE), VLOOKUP(M1033, 'NAICS OES crosswalk'!A:C, 3, FALSE))</f>
        <v>#N/A</v>
      </c>
      <c r="U1033" s="190" t="s">
        <v>769</v>
      </c>
      <c r="V1033" s="11" t="s">
        <v>767</v>
      </c>
      <c r="W1033" s="11"/>
      <c r="X1033" s="11">
        <v>2.0083210000000001E-2</v>
      </c>
      <c r="Y1033" s="11" t="b">
        <f t="shared" si="17"/>
        <v>0</v>
      </c>
    </row>
    <row r="1034" spans="1:25" x14ac:dyDescent="0.35">
      <c r="A1034" s="11">
        <v>2023</v>
      </c>
      <c r="B1034" s="11" t="s">
        <v>1980</v>
      </c>
      <c r="C1034" s="11" t="s">
        <v>1320</v>
      </c>
      <c r="D1034" s="163">
        <v>110012254363</v>
      </c>
      <c r="E1034" s="11" t="s">
        <v>686</v>
      </c>
      <c r="F1034" s="11" t="s">
        <v>304</v>
      </c>
      <c r="G1034" s="11" t="s">
        <v>779</v>
      </c>
      <c r="H1034" s="11" t="s">
        <v>91</v>
      </c>
      <c r="I1034" s="11" t="s">
        <v>1982</v>
      </c>
      <c r="J1034" s="11">
        <v>30.563776000000001</v>
      </c>
      <c r="K1034" s="11">
        <v>-91.212565999999995</v>
      </c>
      <c r="L1034" s="11">
        <v>4491</v>
      </c>
      <c r="M1034" s="11">
        <v>4491</v>
      </c>
      <c r="N1034" s="175" t="str">
        <f>VLOOKUP(M1034, '2017 SIC to NAICS'!A:D, 2)</f>
        <v>Marine Cargo Handling</v>
      </c>
      <c r="P1034" s="187" t="str">
        <f>VLOOKUP(M1034, '2017 SIC to NAICS'!A:D, 4)</f>
        <v>Marine Cargo Handling</v>
      </c>
      <c r="Q1034" s="176" t="e">
        <f>IFERROR(VLOOKUP(O1034, 'NAICS OES crosswalk'!A:C, 3, FALSE), VLOOKUP(M1034, 'NAICS OES crosswalk'!A:C, 3, FALSE))</f>
        <v>#N/A</v>
      </c>
      <c r="U1034" s="190" t="s">
        <v>1322</v>
      </c>
      <c r="V1034" s="11" t="s">
        <v>1321</v>
      </c>
      <c r="W1034" s="11"/>
      <c r="X1034" s="11">
        <v>4.3460978624999997E-4</v>
      </c>
      <c r="Y1034" s="11" t="b">
        <f t="shared" si="17"/>
        <v>1</v>
      </c>
    </row>
    <row r="1035" spans="1:25" ht="29" x14ac:dyDescent="0.35">
      <c r="A1035" s="11">
        <v>2023</v>
      </c>
      <c r="B1035" s="11" t="s">
        <v>1980</v>
      </c>
      <c r="C1035" s="11" t="s">
        <v>778</v>
      </c>
      <c r="D1035" s="163">
        <v>110064644782</v>
      </c>
      <c r="E1035" s="11" t="s">
        <v>303</v>
      </c>
      <c r="F1035" s="11" t="s">
        <v>304</v>
      </c>
      <c r="G1035" s="11" t="s">
        <v>779</v>
      </c>
      <c r="H1035" s="11" t="s">
        <v>91</v>
      </c>
      <c r="I1035" s="11" t="s">
        <v>1981</v>
      </c>
      <c r="J1035" s="11">
        <v>30.584540000000001</v>
      </c>
      <c r="K1035" s="11">
        <v>-91.247479999999996</v>
      </c>
      <c r="L1035" s="11">
        <v>4953</v>
      </c>
      <c r="M1035" s="11">
        <v>4953</v>
      </c>
      <c r="N1035" s="175" t="str">
        <f>VLOOKUP(M1035, '2017 SIC to NAICS'!A:D, 2)</f>
        <v>Refuse Systems</v>
      </c>
      <c r="P1035" s="187" t="str">
        <f>VLOOKUP(M1035, '2017 SIC to NAICS'!A:D, 4)</f>
        <v>Materials Recovery Facilities</v>
      </c>
      <c r="Q1035" s="176" t="str">
        <f>IFERROR(VLOOKUP(O1035, 'NAICS OES crosswalk'!A:C, 3, FALSE), VLOOKUP(M1035, 'NAICS OES crosswalk'!A:C, 3, FALSE))</f>
        <v>Waste handling, disposal, and treatment</v>
      </c>
      <c r="U1035" s="190" t="s">
        <v>806</v>
      </c>
      <c r="V1035" s="11" t="s">
        <v>780</v>
      </c>
      <c r="W1035" s="11"/>
      <c r="X1035" s="11">
        <v>1.9485872655E-2</v>
      </c>
      <c r="Y1035" s="11" t="b">
        <f t="shared" si="17"/>
        <v>0</v>
      </c>
    </row>
    <row r="1036" spans="1:25" x14ac:dyDescent="0.35">
      <c r="A1036" s="11">
        <v>2023</v>
      </c>
      <c r="B1036" s="11" t="s">
        <v>1980</v>
      </c>
      <c r="C1036" s="11" t="s">
        <v>735</v>
      </c>
      <c r="D1036" s="163">
        <v>110004306938</v>
      </c>
      <c r="E1036" s="11" t="s">
        <v>336</v>
      </c>
      <c r="F1036" s="11" t="s">
        <v>337</v>
      </c>
      <c r="G1036" s="11" t="s">
        <v>736</v>
      </c>
      <c r="H1036" s="11" t="s">
        <v>221</v>
      </c>
      <c r="I1036" s="11" t="s">
        <v>1982</v>
      </c>
      <c r="J1036" s="11">
        <v>36.122100000000003</v>
      </c>
      <c r="K1036" s="11">
        <v>-115.17139</v>
      </c>
      <c r="L1036" s="11">
        <v>7011</v>
      </c>
      <c r="M1036" s="11">
        <v>7011</v>
      </c>
      <c r="N1036" s="175" t="str">
        <f>VLOOKUP(M1036, '2017 SIC to NAICS'!A:D, 2)</f>
        <v>Hotels and Motels</v>
      </c>
      <c r="P1036" s="187" t="str">
        <f>VLOOKUP(M1036, '2017 SIC to NAICS'!A:D, 4)</f>
        <v>All Other Traveler Accommodation</v>
      </c>
      <c r="Q1036" s="176" t="e">
        <f>IFERROR(VLOOKUP(O1036, 'NAICS OES crosswalk'!A:C, 3, FALSE), VLOOKUP(M1036, 'NAICS OES crosswalk'!A:C, 3, FALSE))</f>
        <v>#N/A</v>
      </c>
      <c r="U1036" s="188">
        <v>150100150604</v>
      </c>
      <c r="V1036" s="11" t="s">
        <v>738</v>
      </c>
      <c r="W1036" s="11"/>
      <c r="X1036" s="11">
        <v>1.94138800625E-2</v>
      </c>
      <c r="Y1036" s="11" t="b">
        <f t="shared" ref="Y1036:Y1099" si="18" xml:space="preserve"> X1036 &lt;= _xlfn.PERCENTILE.INC($X$907:$X$1120, 0.1)</f>
        <v>0</v>
      </c>
    </row>
    <row r="1037" spans="1:25" x14ac:dyDescent="0.35">
      <c r="A1037" s="11">
        <v>2023</v>
      </c>
      <c r="B1037" s="11" t="s">
        <v>1980</v>
      </c>
      <c r="C1037" s="11" t="s">
        <v>902</v>
      </c>
      <c r="D1037" s="163">
        <v>110000484039</v>
      </c>
      <c r="E1037" s="11" t="s">
        <v>554</v>
      </c>
      <c r="F1037" s="11" t="s">
        <v>555</v>
      </c>
      <c r="G1037" s="11" t="s">
        <v>903</v>
      </c>
      <c r="H1037" s="11" t="s">
        <v>102</v>
      </c>
      <c r="I1037" s="11" t="s">
        <v>1981</v>
      </c>
      <c r="J1037" s="11">
        <v>37.318058999999998</v>
      </c>
      <c r="K1037" s="11">
        <v>-122.09263199999999</v>
      </c>
      <c r="L1037" s="11">
        <v>3241</v>
      </c>
      <c r="M1037" s="11">
        <v>3241</v>
      </c>
      <c r="N1037" s="175" t="str">
        <f>VLOOKUP(M1037, '2017 SIC to NAICS'!A:D, 2)</f>
        <v>Cement, Hydraulic</v>
      </c>
      <c r="P1037" s="187" t="str">
        <f>VLOOKUP(M1037, '2017 SIC to NAICS'!A:D, 4)</f>
        <v>Cement Manufacturing</v>
      </c>
      <c r="Q1037" s="176" t="e">
        <f>IFERROR(VLOOKUP(O1037, 'NAICS OES crosswalk'!A:C, 3, FALSE), VLOOKUP(M1037, 'NAICS OES crosswalk'!A:C, 3, FALSE))</f>
        <v>#N/A</v>
      </c>
      <c r="U1037" s="188">
        <v>180500030406</v>
      </c>
      <c r="V1037" s="11" t="s">
        <v>906</v>
      </c>
      <c r="W1037" s="11"/>
      <c r="X1037" s="11">
        <v>2.5298485799999999E-2</v>
      </c>
      <c r="Y1037" s="11" t="b">
        <f t="shared" si="18"/>
        <v>0</v>
      </c>
    </row>
    <row r="1038" spans="1:25" x14ac:dyDescent="0.35">
      <c r="A1038" s="11">
        <v>2023</v>
      </c>
      <c r="B1038" s="11" t="s">
        <v>1980</v>
      </c>
      <c r="C1038" s="11" t="s">
        <v>1434</v>
      </c>
      <c r="D1038" s="163">
        <v>110003614358</v>
      </c>
      <c r="E1038" s="11" t="s">
        <v>520</v>
      </c>
      <c r="F1038" s="11" t="s">
        <v>521</v>
      </c>
      <c r="G1038" s="11" t="s">
        <v>1310</v>
      </c>
      <c r="H1038" s="11" t="s">
        <v>181</v>
      </c>
      <c r="I1038" s="11" t="s">
        <v>1982</v>
      </c>
      <c r="J1038" s="11">
        <v>42.606527</v>
      </c>
      <c r="K1038" s="11">
        <v>-83.921477999999993</v>
      </c>
      <c r="L1038" s="11">
        <v>4959</v>
      </c>
      <c r="M1038" s="11">
        <v>4959</v>
      </c>
      <c r="N1038" s="175" t="str">
        <f>VLOOKUP(M1038, '2017 SIC to NAICS'!A:D, 2)</f>
        <v>Sanitary Services, Nec</v>
      </c>
      <c r="O1038" s="11">
        <v>562910</v>
      </c>
      <c r="P1038" s="187" t="str">
        <f>VLOOKUP(M1038, '2017 SIC to NAICS'!A:D, 4)</f>
        <v>All Other Miscellaneous Waste
Management Services</v>
      </c>
      <c r="Q1038" s="176" t="e">
        <f>IFERROR(VLOOKUP(O1038, 'NAICS OES crosswalk'!A:C, 3, FALSE), VLOOKUP(M1038, 'NAICS OES crosswalk'!A:C, 3, FALSE))</f>
        <v>#N/A</v>
      </c>
      <c r="U1038" s="190" t="s">
        <v>1437</v>
      </c>
      <c r="V1038" s="11" t="s">
        <v>1435</v>
      </c>
      <c r="W1038" s="11"/>
      <c r="X1038" s="191">
        <v>1.8011094545454499E-2</v>
      </c>
      <c r="Y1038" s="11" t="b">
        <f t="shared" si="18"/>
        <v>0</v>
      </c>
    </row>
    <row r="1039" spans="1:25" x14ac:dyDescent="0.35">
      <c r="A1039" s="11">
        <v>2023</v>
      </c>
      <c r="B1039" s="11" t="s">
        <v>1980</v>
      </c>
      <c r="C1039" s="11" t="s">
        <v>1581</v>
      </c>
      <c r="D1039" s="163">
        <v>110019560722</v>
      </c>
      <c r="E1039" s="11" t="s">
        <v>528</v>
      </c>
      <c r="F1039" s="11" t="s">
        <v>143</v>
      </c>
      <c r="G1039" s="11" t="s">
        <v>1582</v>
      </c>
      <c r="H1039" s="11" t="s">
        <v>126</v>
      </c>
      <c r="I1039" s="11" t="s">
        <v>1982</v>
      </c>
      <c r="J1039" s="11">
        <v>43.087819000000003</v>
      </c>
      <c r="K1039" s="11">
        <v>-75.182382000000004</v>
      </c>
      <c r="L1039" s="11">
        <v>9511</v>
      </c>
      <c r="M1039" s="11">
        <v>9511</v>
      </c>
      <c r="N1039" s="175" t="str">
        <f>VLOOKUP(M1039, '2017 SIC to NAICS'!A:D, 2)</f>
        <v>Air, Water, and Solid Waste Management</v>
      </c>
      <c r="P1039" s="187" t="str">
        <f>VLOOKUP(M1039, '2017 SIC to NAICS'!A:D, 4)</f>
        <v>Administration of Air and Water Resource
and Solid Waste Management Programs</v>
      </c>
      <c r="Q1039" s="176" t="e">
        <f>IFERROR(VLOOKUP(O1039, 'NAICS OES crosswalk'!A:C, 3, FALSE), VLOOKUP(M1039, 'NAICS OES crosswalk'!A:C, 3, FALSE))</f>
        <v>#N/A</v>
      </c>
      <c r="U1039" s="190" t="s">
        <v>1584</v>
      </c>
      <c r="V1039" s="11" t="s">
        <v>1583</v>
      </c>
      <c r="W1039" s="11"/>
      <c r="X1039" s="11">
        <v>1.774449635E-2</v>
      </c>
      <c r="Y1039" s="11" t="b">
        <f t="shared" si="18"/>
        <v>0</v>
      </c>
    </row>
    <row r="1040" spans="1:25" x14ac:dyDescent="0.35">
      <c r="A1040" s="11">
        <v>2023</v>
      </c>
      <c r="B1040" s="11" t="s">
        <v>1980</v>
      </c>
      <c r="C1040" s="11" t="s">
        <v>1323</v>
      </c>
      <c r="D1040" s="163">
        <v>110000834688</v>
      </c>
      <c r="E1040" s="11" t="s">
        <v>368</v>
      </c>
      <c r="F1040" s="11" t="s">
        <v>369</v>
      </c>
      <c r="G1040" s="11" t="s">
        <v>1324</v>
      </c>
      <c r="H1040" s="11" t="s">
        <v>91</v>
      </c>
      <c r="I1040" s="11" t="s">
        <v>1982</v>
      </c>
      <c r="J1040" s="11">
        <v>29.924576999999999</v>
      </c>
      <c r="K1040" s="11">
        <v>-90.145308</v>
      </c>
      <c r="L1040" s="11">
        <v>4226</v>
      </c>
      <c r="M1040" s="11">
        <v>4226</v>
      </c>
      <c r="N1040" s="175" t="str">
        <f>VLOOKUP(M1040, '2017 SIC to NAICS'!A:D, 2)</f>
        <v>Special Warehousing and Storage, Nec</v>
      </c>
      <c r="P1040" s="187" t="str">
        <f>VLOOKUP(M1040, '2017 SIC to NAICS'!A:D, 4)</f>
        <v>Other Warehousing and Storage</v>
      </c>
      <c r="Q1040" s="176" t="e">
        <f>IFERROR(VLOOKUP(O1040, 'NAICS OES crosswalk'!A:C, 3, FALSE), VLOOKUP(M1040, 'NAICS OES crosswalk'!A:C, 3, FALSE))</f>
        <v>#N/A</v>
      </c>
      <c r="U1040" s="190" t="s">
        <v>1326</v>
      </c>
      <c r="V1040" s="11" t="s">
        <v>1325</v>
      </c>
      <c r="W1040" s="11"/>
      <c r="X1040" s="11">
        <v>1.7405201379999999E-2</v>
      </c>
      <c r="Y1040" s="11" t="b">
        <f t="shared" si="18"/>
        <v>0</v>
      </c>
    </row>
    <row r="1041" spans="1:25" x14ac:dyDescent="0.35">
      <c r="A1041" s="11">
        <v>2023</v>
      </c>
      <c r="B1041" s="11" t="s">
        <v>1980</v>
      </c>
      <c r="C1041" s="11" t="s">
        <v>1066</v>
      </c>
      <c r="D1041" s="163">
        <v>110000400012</v>
      </c>
      <c r="E1041" s="11" t="s">
        <v>580</v>
      </c>
      <c r="F1041" s="11" t="s">
        <v>581</v>
      </c>
      <c r="G1041" s="11" t="s">
        <v>1067</v>
      </c>
      <c r="H1041" s="11" t="s">
        <v>151</v>
      </c>
      <c r="I1041" s="11" t="s">
        <v>1982</v>
      </c>
      <c r="J1041" s="11">
        <v>40.86168</v>
      </c>
      <c r="K1041" s="11">
        <v>-85.599149999999995</v>
      </c>
      <c r="L1041" s="11">
        <v>3714</v>
      </c>
      <c r="M1041" s="11">
        <v>3714</v>
      </c>
      <c r="N1041" s="175" t="str">
        <f>VLOOKUP(M1041, '2017 SIC to NAICS'!A:D, 2)</f>
        <v>Motor Vehicle Parts and Accessories</v>
      </c>
      <c r="P1041" s="187" t="str">
        <f>VLOOKUP(M1041, '2017 SIC to NAICS'!A:D, 4)</f>
        <v>Other Motor Vehicle Parts Manufacturing</v>
      </c>
      <c r="Q1041" s="176" t="e">
        <f>IFERROR(VLOOKUP(O1041, 'NAICS OES crosswalk'!A:C, 3, FALSE), VLOOKUP(M1041, 'NAICS OES crosswalk'!A:C, 3, FALSE))</f>
        <v>#N/A</v>
      </c>
      <c r="U1041" s="190" t="s">
        <v>1069</v>
      </c>
      <c r="V1041" s="11" t="s">
        <v>1068</v>
      </c>
      <c r="W1041" s="11"/>
      <c r="X1041" s="11">
        <v>1.7399523408767499E-2</v>
      </c>
      <c r="Y1041" s="11" t="b">
        <f t="shared" si="18"/>
        <v>0</v>
      </c>
    </row>
    <row r="1042" spans="1:25" ht="29" x14ac:dyDescent="0.35">
      <c r="A1042" s="11">
        <v>2023</v>
      </c>
      <c r="B1042" s="11" t="s">
        <v>1980</v>
      </c>
      <c r="C1042" s="11" t="s">
        <v>888</v>
      </c>
      <c r="D1042" s="163">
        <v>110000730451</v>
      </c>
      <c r="E1042" s="11" t="s">
        <v>486</v>
      </c>
      <c r="F1042" s="11" t="s">
        <v>415</v>
      </c>
      <c r="G1042" s="11" t="s">
        <v>889</v>
      </c>
      <c r="H1042" s="11" t="s">
        <v>102</v>
      </c>
      <c r="I1042" s="11" t="s">
        <v>1981</v>
      </c>
      <c r="J1042" s="11">
        <v>39.916111000000001</v>
      </c>
      <c r="K1042" s="11">
        <v>-122.104444</v>
      </c>
      <c r="L1042" s="11">
        <v>4952</v>
      </c>
      <c r="M1042" s="11">
        <v>4952</v>
      </c>
      <c r="N1042" s="175" t="str">
        <f>VLOOKUP(M1042, '2017 SIC to NAICS'!A:D, 2)</f>
        <v>Sewerage Systems</v>
      </c>
      <c r="P1042" s="187" t="str">
        <f>VLOOKUP(M1042, '2017 SIC to NAICS'!A:D, 4)</f>
        <v>Sewage Treatment Facilities</v>
      </c>
      <c r="Q1042" s="176" t="str">
        <f>IFERROR(VLOOKUP(O1042, 'NAICS OES crosswalk'!A:C, 3, FALSE), VLOOKUP(M1042, 'NAICS OES crosswalk'!A:C, 3, FALSE))</f>
        <v>Waste handling, disposal, and treatment</v>
      </c>
      <c r="U1042" s="188">
        <v>180201570701</v>
      </c>
      <c r="V1042" s="11" t="s">
        <v>890</v>
      </c>
      <c r="W1042" s="11"/>
      <c r="X1042" s="191">
        <v>1.63941168533333E-2</v>
      </c>
      <c r="Y1042" s="11" t="b">
        <f t="shared" si="18"/>
        <v>0</v>
      </c>
    </row>
    <row r="1043" spans="1:25" ht="29" x14ac:dyDescent="0.35">
      <c r="A1043" s="11">
        <v>2023</v>
      </c>
      <c r="B1043" s="11" t="s">
        <v>1980</v>
      </c>
      <c r="C1043" s="11" t="s">
        <v>894</v>
      </c>
      <c r="D1043" s="163">
        <v>110010059649</v>
      </c>
      <c r="E1043" s="11" t="s">
        <v>484</v>
      </c>
      <c r="F1043" s="11" t="s">
        <v>485</v>
      </c>
      <c r="G1043" s="11" t="s">
        <v>895</v>
      </c>
      <c r="H1043" s="11" t="s">
        <v>102</v>
      </c>
      <c r="I1043" s="11" t="s">
        <v>1982</v>
      </c>
      <c r="J1043" s="11">
        <v>40.638300000000001</v>
      </c>
      <c r="K1043" s="11">
        <v>-124.22553000000001</v>
      </c>
      <c r="L1043" s="11">
        <v>4952</v>
      </c>
      <c r="M1043" s="11">
        <v>4952</v>
      </c>
      <c r="N1043" s="175" t="str">
        <f>VLOOKUP(M1043, '2017 SIC to NAICS'!A:D, 2)</f>
        <v>Sewerage Systems</v>
      </c>
      <c r="P1043" s="187" t="str">
        <f>VLOOKUP(M1043, '2017 SIC to NAICS'!A:D, 4)</f>
        <v>Sewage Treatment Facilities</v>
      </c>
      <c r="Q1043" s="176" t="str">
        <f>IFERROR(VLOOKUP(O1043, 'NAICS OES crosswalk'!A:C, 3, FALSE), VLOOKUP(M1043, 'NAICS OES crosswalk'!A:C, 3, FALSE))</f>
        <v>Waste handling, disposal, and treatment</v>
      </c>
      <c r="U1043" s="188">
        <v>180101051102</v>
      </c>
      <c r="V1043" s="11" t="s">
        <v>896</v>
      </c>
      <c r="W1043" s="11"/>
      <c r="X1043" s="11">
        <v>1.6301995E-2</v>
      </c>
      <c r="Y1043" s="11" t="b">
        <f t="shared" si="18"/>
        <v>0</v>
      </c>
    </row>
    <row r="1044" spans="1:25" ht="29" x14ac:dyDescent="0.35">
      <c r="A1044" s="11">
        <v>2023</v>
      </c>
      <c r="B1044" s="11" t="s">
        <v>1980</v>
      </c>
      <c r="C1044" s="11" t="s">
        <v>1719</v>
      </c>
      <c r="D1044" s="163">
        <v>110070544905</v>
      </c>
      <c r="E1044" s="11" t="s">
        <v>501</v>
      </c>
      <c r="F1044" s="11" t="s">
        <v>502</v>
      </c>
      <c r="G1044" s="11" t="s">
        <v>1720</v>
      </c>
      <c r="H1044" s="11" t="s">
        <v>276</v>
      </c>
      <c r="I1044" s="11" t="s">
        <v>1982</v>
      </c>
      <c r="J1044" s="11">
        <v>38.400409000000003</v>
      </c>
      <c r="K1044" s="11">
        <v>-78.895222000000004</v>
      </c>
      <c r="L1044" s="11">
        <v>4953</v>
      </c>
      <c r="M1044" s="11">
        <v>4953</v>
      </c>
      <c r="N1044" s="175" t="str">
        <f>VLOOKUP(M1044, '2017 SIC to NAICS'!A:D, 2)</f>
        <v>Refuse Systems</v>
      </c>
      <c r="P1044" s="187" t="str">
        <f>VLOOKUP(M1044, '2017 SIC to NAICS'!A:D, 4)</f>
        <v>Materials Recovery Facilities</v>
      </c>
      <c r="Q1044" s="176" t="str">
        <f>IFERROR(VLOOKUP(O1044, 'NAICS OES crosswalk'!A:C, 3, FALSE), VLOOKUP(M1044, 'NAICS OES crosswalk'!A:C, 3, FALSE))</f>
        <v>Waste handling, disposal, and treatment</v>
      </c>
      <c r="U1044" s="190" t="s">
        <v>1722</v>
      </c>
      <c r="V1044" s="11" t="s">
        <v>1721</v>
      </c>
      <c r="W1044" s="11"/>
      <c r="X1044" s="11">
        <v>1.6071896523E-2</v>
      </c>
      <c r="Y1044" s="11" t="b">
        <f t="shared" si="18"/>
        <v>0</v>
      </c>
    </row>
    <row r="1045" spans="1:25" x14ac:dyDescent="0.35">
      <c r="A1045" s="11">
        <v>2023</v>
      </c>
      <c r="B1045" s="11" t="s">
        <v>1980</v>
      </c>
      <c r="C1045" s="11" t="s">
        <v>763</v>
      </c>
      <c r="D1045" s="163">
        <v>110018199377</v>
      </c>
      <c r="E1045" s="11" t="s">
        <v>109</v>
      </c>
      <c r="F1045" s="11" t="s">
        <v>110</v>
      </c>
      <c r="G1045" s="11" t="s">
        <v>764</v>
      </c>
      <c r="H1045" s="11" t="s">
        <v>111</v>
      </c>
      <c r="I1045" s="11" t="s">
        <v>1982</v>
      </c>
      <c r="J1045" s="11">
        <v>41.692782000000001</v>
      </c>
      <c r="K1045" s="11">
        <v>-87.951100999999994</v>
      </c>
      <c r="L1045" s="11">
        <v>4226</v>
      </c>
      <c r="M1045" s="11">
        <v>4226</v>
      </c>
      <c r="N1045" s="175" t="str">
        <f>VLOOKUP(M1045, '2017 SIC to NAICS'!A:D, 2)</f>
        <v>Special Warehousing and Storage, Nec</v>
      </c>
      <c r="P1045" s="187" t="str">
        <f>VLOOKUP(M1045, '2017 SIC to NAICS'!A:D, 4)</f>
        <v>Other Warehousing and Storage</v>
      </c>
      <c r="Q1045" s="176" t="e">
        <f>IFERROR(VLOOKUP(O1045, 'NAICS OES crosswalk'!A:C, 3, FALSE), VLOOKUP(M1045, 'NAICS OES crosswalk'!A:C, 3, FALSE))</f>
        <v>#N/A</v>
      </c>
      <c r="U1045" s="190" t="s">
        <v>769</v>
      </c>
      <c r="V1045" s="11" t="s">
        <v>767</v>
      </c>
      <c r="W1045" s="11"/>
      <c r="X1045" s="11">
        <v>1.58875375E-2</v>
      </c>
      <c r="Y1045" s="11" t="b">
        <f t="shared" si="18"/>
        <v>0</v>
      </c>
    </row>
    <row r="1046" spans="1:25" x14ac:dyDescent="0.35">
      <c r="A1046" s="11">
        <v>2023</v>
      </c>
      <c r="B1046" s="11" t="s">
        <v>1980</v>
      </c>
      <c r="C1046" s="11" t="s">
        <v>1054</v>
      </c>
      <c r="D1046" s="163">
        <v>110000433022</v>
      </c>
      <c r="E1046" s="11" t="s">
        <v>407</v>
      </c>
      <c r="F1046" s="11" t="s">
        <v>260</v>
      </c>
      <c r="G1046" s="11" t="s">
        <v>795</v>
      </c>
      <c r="H1046" s="11" t="s">
        <v>111</v>
      </c>
      <c r="I1046" s="11" t="s">
        <v>1982</v>
      </c>
      <c r="J1046" s="11">
        <v>41.305320000000002</v>
      </c>
      <c r="K1046" s="11">
        <v>-88.561769999999996</v>
      </c>
      <c r="L1046" s="11">
        <v>2821</v>
      </c>
      <c r="M1046" s="11">
        <v>2821</v>
      </c>
      <c r="N1046" s="175" t="str">
        <f>VLOOKUP(M1046, '2017 SIC to NAICS'!A:D, 2)</f>
        <v>Plastics Materials and Resins</v>
      </c>
      <c r="P1046" s="187" t="str">
        <f>VLOOKUP(M1046, '2017 SIC to NAICS'!A:D, 4)</f>
        <v>Plastics Material and Resin Manufacturing</v>
      </c>
      <c r="Q1046" s="176" t="str">
        <f>IFERROR(VLOOKUP(O1046, 'NAICS OES crosswalk'!A:C, 3, FALSE), VLOOKUP(M1046, 'NAICS OES crosswalk'!A:C, 3, FALSE))</f>
        <v>Processing as a reactant</v>
      </c>
      <c r="U1046" s="190" t="s">
        <v>1056</v>
      </c>
      <c r="V1046" s="11" t="s">
        <v>1055</v>
      </c>
      <c r="W1046" s="11"/>
      <c r="X1046" s="11">
        <v>3.7533314999999998E-2</v>
      </c>
      <c r="Y1046" s="11" t="b">
        <f t="shared" si="18"/>
        <v>0</v>
      </c>
    </row>
    <row r="1047" spans="1:25" x14ac:dyDescent="0.35">
      <c r="A1047" s="11">
        <v>2023</v>
      </c>
      <c r="B1047" s="11" t="s">
        <v>1980</v>
      </c>
      <c r="C1047" s="11" t="s">
        <v>800</v>
      </c>
      <c r="D1047" s="163">
        <v>110005812371</v>
      </c>
      <c r="E1047" s="11" t="s">
        <v>353</v>
      </c>
      <c r="F1047" s="11" t="s">
        <v>354</v>
      </c>
      <c r="G1047" s="11" t="s">
        <v>801</v>
      </c>
      <c r="H1047" s="11" t="s">
        <v>111</v>
      </c>
      <c r="I1047" s="11" t="s">
        <v>1982</v>
      </c>
      <c r="J1047" s="11">
        <v>42.304209</v>
      </c>
      <c r="K1047" s="11">
        <v>-89.055548999999999</v>
      </c>
      <c r="L1047" s="11">
        <v>3728</v>
      </c>
      <c r="M1047" s="11">
        <v>3728</v>
      </c>
      <c r="N1047" s="175" t="str">
        <f>VLOOKUP(M1047, '2017 SIC to NAICS'!A:D, 2)</f>
        <v>Aircraft Parts and Auxiliary Equipment, NEC (research and development not
producing prototypes)</v>
      </c>
      <c r="P1047" s="187" t="str">
        <f>VLOOKUP(M1047, '2017 SIC to NAICS'!A:D, 4)</f>
        <v>Research and Development in Nanotechnology</v>
      </c>
      <c r="Q1047" s="176" t="e">
        <f>IFERROR(VLOOKUP(O1047, 'NAICS OES crosswalk'!A:C, 3, FALSE), VLOOKUP(M1047, 'NAICS OES crosswalk'!A:C, 3, FALSE))</f>
        <v>#N/A</v>
      </c>
      <c r="U1047" s="190" t="s">
        <v>1039</v>
      </c>
      <c r="V1047" s="11" t="s">
        <v>802</v>
      </c>
      <c r="W1047" s="11"/>
      <c r="X1047" s="189">
        <v>1.4361804000000001E-2</v>
      </c>
      <c r="Y1047" s="11" t="b">
        <f t="shared" si="18"/>
        <v>0</v>
      </c>
    </row>
    <row r="1048" spans="1:25" x14ac:dyDescent="0.35">
      <c r="A1048" s="11">
        <v>2023</v>
      </c>
      <c r="B1048" s="11" t="s">
        <v>1980</v>
      </c>
      <c r="C1048" s="11" t="s">
        <v>1504</v>
      </c>
      <c r="D1048" s="163">
        <v>110070210457</v>
      </c>
      <c r="E1048" s="11" t="s">
        <v>650</v>
      </c>
      <c r="F1048" s="11" t="s">
        <v>651</v>
      </c>
      <c r="G1048" s="11" t="s">
        <v>1492</v>
      </c>
      <c r="H1048" s="11" t="s">
        <v>254</v>
      </c>
      <c r="I1048" s="11" t="s">
        <v>1982</v>
      </c>
      <c r="J1048" s="11">
        <v>39.827696000000003</v>
      </c>
      <c r="K1048" s="11">
        <v>-75.277782000000002</v>
      </c>
      <c r="L1048" s="11">
        <v>2869</v>
      </c>
      <c r="M1048" s="11">
        <v>2869</v>
      </c>
      <c r="N1048" s="175" t="str">
        <f>VLOOKUP(M1048, '2017 SIC to NAICS'!A:D, 2)</f>
        <v>Industrial Organic Chemicals, Nec</v>
      </c>
      <c r="P1048" s="187" t="str">
        <f>VLOOKUP(M1048, '2017 SIC to NAICS'!A:D, 4)</f>
        <v>All Other Miscellaneous Chemical Product and Preparation Manufacturing</v>
      </c>
      <c r="Q1048" s="176" t="str">
        <f>IFERROR(VLOOKUP(O1048, 'NAICS OES crosswalk'!A:C, 3, FALSE), VLOOKUP(M1048, 'NAICS OES crosswalk'!A:C, 3, FALSE))</f>
        <v>Manufacturing</v>
      </c>
      <c r="U1048" s="190" t="s">
        <v>1500</v>
      </c>
      <c r="V1048" s="11" t="s">
        <v>1498</v>
      </c>
      <c r="W1048" s="11"/>
      <c r="X1048" s="11">
        <v>2.2850802000000002E-3</v>
      </c>
      <c r="Y1048" s="11" t="b">
        <f t="shared" si="18"/>
        <v>0</v>
      </c>
    </row>
    <row r="1049" spans="1:25" x14ac:dyDescent="0.35">
      <c r="A1049" s="11">
        <v>2023</v>
      </c>
      <c r="B1049" s="11" t="s">
        <v>1980</v>
      </c>
      <c r="C1049" s="11" t="s">
        <v>1610</v>
      </c>
      <c r="D1049" s="163">
        <v>110000701973</v>
      </c>
      <c r="E1049" s="11" t="s">
        <v>550</v>
      </c>
      <c r="F1049" s="11" t="s">
        <v>551</v>
      </c>
      <c r="G1049" s="11" t="s">
        <v>1611</v>
      </c>
      <c r="H1049" s="11" t="s">
        <v>340</v>
      </c>
      <c r="I1049" s="11" t="s">
        <v>1982</v>
      </c>
      <c r="J1049" s="11">
        <v>40.359177000000003</v>
      </c>
      <c r="K1049" s="11">
        <v>-79.902659999999997</v>
      </c>
      <c r="L1049" s="11">
        <v>8733</v>
      </c>
      <c r="M1049" s="11">
        <v>8733</v>
      </c>
      <c r="N1049" s="175" t="str">
        <f>VLOOKUP(M1049, '2017 SIC to NAICS'!A:D, 2)</f>
        <v>Noncommercial Research Organizations</v>
      </c>
      <c r="P1049" s="187" t="str">
        <f>VLOOKUP(M1049, '2017 SIC to NAICS'!A:D, 4)</f>
        <v>Research and Development in the Social
Sciences and Humanities</v>
      </c>
      <c r="Q1049" s="176" t="e">
        <f>IFERROR(VLOOKUP(O1049, 'NAICS OES crosswalk'!A:C, 3, FALSE), VLOOKUP(M1049, 'NAICS OES crosswalk'!A:C, 3, FALSE))</f>
        <v>#N/A</v>
      </c>
      <c r="U1049" s="190" t="s">
        <v>1614</v>
      </c>
      <c r="V1049" s="11" t="s">
        <v>1612</v>
      </c>
      <c r="W1049" s="11"/>
      <c r="X1049" s="11">
        <v>1.3949617500000001E-2</v>
      </c>
      <c r="Y1049" s="11" t="b">
        <f t="shared" si="18"/>
        <v>0</v>
      </c>
    </row>
    <row r="1050" spans="1:25" x14ac:dyDescent="0.35">
      <c r="A1050" s="11">
        <v>2023</v>
      </c>
      <c r="B1050" s="11" t="s">
        <v>1980</v>
      </c>
      <c r="C1050" s="11" t="s">
        <v>1565</v>
      </c>
      <c r="D1050" s="163">
        <v>110000734661</v>
      </c>
      <c r="E1050" s="11" t="s">
        <v>516</v>
      </c>
      <c r="F1050" s="11" t="s">
        <v>517</v>
      </c>
      <c r="G1050" s="11" t="s">
        <v>831</v>
      </c>
      <c r="H1050" s="11" t="s">
        <v>126</v>
      </c>
      <c r="I1050" s="11" t="s">
        <v>1981</v>
      </c>
      <c r="J1050" s="11">
        <v>43.047975999999998</v>
      </c>
      <c r="K1050" s="11">
        <v>-78.859217000000001</v>
      </c>
      <c r="L1050" s="11">
        <v>9511</v>
      </c>
      <c r="M1050" s="11">
        <v>9511</v>
      </c>
      <c r="N1050" s="175" t="str">
        <f>VLOOKUP(M1050, '2017 SIC to NAICS'!A:D, 2)</f>
        <v>Air, Water, and Solid Waste Management</v>
      </c>
      <c r="P1050" s="187" t="str">
        <f>VLOOKUP(M1050, '2017 SIC to NAICS'!A:D, 4)</f>
        <v>Administration of Air and Water Resource
and Solid Waste Management Programs</v>
      </c>
      <c r="Q1050" s="176" t="e">
        <f>IFERROR(VLOOKUP(O1050, 'NAICS OES crosswalk'!A:C, 3, FALSE), VLOOKUP(M1050, 'NAICS OES crosswalk'!A:C, 3, FALSE))</f>
        <v>#N/A</v>
      </c>
      <c r="U1050" s="190" t="s">
        <v>1567</v>
      </c>
      <c r="V1050" s="11" t="s">
        <v>1566</v>
      </c>
      <c r="W1050" s="11"/>
      <c r="X1050" s="11">
        <v>4.2250203302000001E-2</v>
      </c>
      <c r="Y1050" s="11" t="b">
        <f t="shared" si="18"/>
        <v>0</v>
      </c>
    </row>
    <row r="1051" spans="1:25" x14ac:dyDescent="0.35">
      <c r="A1051" s="11">
        <v>2023</v>
      </c>
      <c r="B1051" s="11" t="s">
        <v>1980</v>
      </c>
      <c r="C1051" s="11" t="s">
        <v>1604</v>
      </c>
      <c r="D1051" s="163">
        <v>110000487633</v>
      </c>
      <c r="E1051" s="11" t="s">
        <v>599</v>
      </c>
      <c r="F1051" s="11" t="s">
        <v>600</v>
      </c>
      <c r="G1051" s="11" t="s">
        <v>1605</v>
      </c>
      <c r="H1051" s="11" t="s">
        <v>601</v>
      </c>
      <c r="I1051" s="11" t="s">
        <v>1982</v>
      </c>
      <c r="J1051" s="11">
        <v>45.543847</v>
      </c>
      <c r="K1051" s="11">
        <v>-122.46656299999999</v>
      </c>
      <c r="L1051" s="11">
        <v>3728</v>
      </c>
      <c r="M1051" s="11">
        <v>3728</v>
      </c>
      <c r="N1051" s="175" t="str">
        <f>VLOOKUP(M1051, '2017 SIC to NAICS'!A:D, 2)</f>
        <v>Aircraft Parts and Auxiliary Equipment, NEC (research and development not
producing prototypes)</v>
      </c>
      <c r="P1051" s="187" t="str">
        <f>VLOOKUP(M1051, '2017 SIC to NAICS'!A:D, 4)</f>
        <v>Research and Development in Nanotechnology</v>
      </c>
      <c r="Q1051" s="176" t="e">
        <f>IFERROR(VLOOKUP(O1051, 'NAICS OES crosswalk'!A:C, 3, FALSE), VLOOKUP(M1051, 'NAICS OES crosswalk'!A:C, 3, FALSE))</f>
        <v>#N/A</v>
      </c>
      <c r="U1051" s="188">
        <v>170900120201</v>
      </c>
      <c r="V1051" s="11" t="s">
        <v>1606</v>
      </c>
      <c r="W1051" s="11"/>
      <c r="X1051" s="11">
        <v>1.23342552E-2</v>
      </c>
      <c r="Y1051" s="11" t="b">
        <f t="shared" si="18"/>
        <v>0</v>
      </c>
    </row>
    <row r="1052" spans="1:25" x14ac:dyDescent="0.35">
      <c r="A1052" s="11">
        <v>2023</v>
      </c>
      <c r="B1052" s="11" t="s">
        <v>1980</v>
      </c>
      <c r="C1052" s="11" t="s">
        <v>1412</v>
      </c>
      <c r="D1052" s="163">
        <v>110006739832</v>
      </c>
      <c r="E1052" s="11" t="s">
        <v>186</v>
      </c>
      <c r="F1052" s="11" t="s">
        <v>187</v>
      </c>
      <c r="G1052" s="11" t="s">
        <v>1413</v>
      </c>
      <c r="H1052" s="11" t="s">
        <v>181</v>
      </c>
      <c r="I1052" s="11" t="s">
        <v>1982</v>
      </c>
      <c r="J1052" s="11">
        <v>43.064709999999998</v>
      </c>
      <c r="K1052" s="11">
        <v>-86.233519999999999</v>
      </c>
      <c r="L1052" s="11">
        <v>5812</v>
      </c>
      <c r="M1052" s="11">
        <v>5812</v>
      </c>
      <c r="N1052" s="175" t="str">
        <f>VLOOKUP(M1052, '2017 SIC to NAICS'!A:D, 2)</f>
        <v>Eating Places</v>
      </c>
      <c r="O1052" s="11">
        <v>531120</v>
      </c>
      <c r="P1052" s="187" t="str">
        <f>VLOOKUP(M1052, '2017 SIC to NAICS'!A:D, 4)</f>
        <v>Snack and Nonalcoholic Beverage Bars</v>
      </c>
      <c r="Q1052" s="176" t="e">
        <f>IFERROR(VLOOKUP(O1052, 'NAICS OES crosswalk'!A:C, 3, FALSE), VLOOKUP(M1052, 'NAICS OES crosswalk'!A:C, 3, FALSE))</f>
        <v>#N/A</v>
      </c>
      <c r="U1052" s="190" t="s">
        <v>1415</v>
      </c>
      <c r="V1052" s="11" t="s">
        <v>1414</v>
      </c>
      <c r="W1052" s="11"/>
      <c r="X1052" s="11">
        <v>1.2063552E-2</v>
      </c>
      <c r="Y1052" s="11" t="b">
        <f t="shared" si="18"/>
        <v>0</v>
      </c>
    </row>
    <row r="1053" spans="1:25" x14ac:dyDescent="0.35">
      <c r="A1053" s="11">
        <v>2023</v>
      </c>
      <c r="B1053" s="11" t="s">
        <v>1980</v>
      </c>
      <c r="C1053" s="11" t="s">
        <v>1575</v>
      </c>
      <c r="D1053" s="163">
        <v>110000324765</v>
      </c>
      <c r="E1053" s="11" t="s">
        <v>605</v>
      </c>
      <c r="F1053" s="11" t="s">
        <v>606</v>
      </c>
      <c r="G1053" s="11" t="s">
        <v>1576</v>
      </c>
      <c r="H1053" s="11" t="s">
        <v>126</v>
      </c>
      <c r="I1053" s="11" t="s">
        <v>1982</v>
      </c>
      <c r="J1053" s="11">
        <v>41.570210000000003</v>
      </c>
      <c r="K1053" s="11">
        <v>-73.599559999999997</v>
      </c>
      <c r="L1053" s="11">
        <v>3069</v>
      </c>
      <c r="M1053" s="11">
        <v>3069</v>
      </c>
      <c r="N1053" s="175" t="str">
        <f>VLOOKUP(M1053, '2017 SIC to NAICS'!A:D, 2)</f>
        <v>Fabricated Rubber Products, Nec</v>
      </c>
      <c r="P1053" s="187" t="str">
        <f>VLOOKUP(M1053, '2017 SIC to NAICS'!A:D, 4)</f>
        <v>Doll, Toy, and Game Manufacturing</v>
      </c>
      <c r="Q1053" s="176" t="e">
        <f>IFERROR(VLOOKUP(O1053, 'NAICS OES crosswalk'!A:C, 3, FALSE), VLOOKUP(M1053, 'NAICS OES crosswalk'!A:C, 3, FALSE))</f>
        <v>#N/A</v>
      </c>
      <c r="U1053" s="190" t="s">
        <v>1578</v>
      </c>
      <c r="V1053" s="11" t="s">
        <v>1577</v>
      </c>
      <c r="W1053" s="11"/>
      <c r="X1053" s="11">
        <v>1.1981612711375E-2</v>
      </c>
      <c r="Y1053" s="11" t="b">
        <f t="shared" si="18"/>
        <v>0</v>
      </c>
    </row>
    <row r="1054" spans="1:25" x14ac:dyDescent="0.35">
      <c r="A1054" s="11">
        <v>2023</v>
      </c>
      <c r="B1054" s="11" t="s">
        <v>1980</v>
      </c>
      <c r="C1054" s="11" t="s">
        <v>1506</v>
      </c>
      <c r="D1054" s="163">
        <v>110009721836</v>
      </c>
      <c r="E1054" s="11" t="s">
        <v>568</v>
      </c>
      <c r="F1054" s="11" t="s">
        <v>300</v>
      </c>
      <c r="G1054" s="11" t="s">
        <v>1492</v>
      </c>
      <c r="H1054" s="11" t="s">
        <v>254</v>
      </c>
      <c r="I1054" s="11" t="s">
        <v>1982</v>
      </c>
      <c r="J1054" s="11">
        <v>39.799250000000001</v>
      </c>
      <c r="K1054" s="11">
        <v>-75.33296</v>
      </c>
      <c r="L1054" s="11">
        <v>4213</v>
      </c>
      <c r="M1054" s="11">
        <v>4213</v>
      </c>
      <c r="N1054" s="175" t="str">
        <f>VLOOKUP(M1054, '2017 SIC to NAICS'!A:D, 2)</f>
        <v>Trucking, Except Local</v>
      </c>
      <c r="O1054" s="11">
        <v>484230</v>
      </c>
      <c r="P1054" s="187" t="str">
        <f>VLOOKUP(M1054, '2017 SIC to NAICS'!A:D, 4)</f>
        <v>Specialized Freight (except Used Goods)
Trucking, Long-Distance</v>
      </c>
      <c r="Q1054" s="176" t="e">
        <f>IFERROR(VLOOKUP(O1054, 'NAICS OES crosswalk'!A:C, 3, FALSE), VLOOKUP(M1054, 'NAICS OES crosswalk'!A:C, 3, FALSE))</f>
        <v>#N/A</v>
      </c>
      <c r="U1054" s="190" t="s">
        <v>1508</v>
      </c>
      <c r="V1054" s="11" t="s">
        <v>1507</v>
      </c>
      <c r="W1054" s="11"/>
      <c r="X1054" s="11">
        <v>1.15182685488E-2</v>
      </c>
      <c r="Y1054" s="11" t="b">
        <f t="shared" si="18"/>
        <v>0</v>
      </c>
    </row>
    <row r="1055" spans="1:25" x14ac:dyDescent="0.35">
      <c r="A1055" s="11">
        <v>2023</v>
      </c>
      <c r="B1055" s="11" t="s">
        <v>1980</v>
      </c>
      <c r="C1055" s="11" t="s">
        <v>897</v>
      </c>
      <c r="D1055" s="163">
        <v>110001163062</v>
      </c>
      <c r="E1055" s="11" t="s">
        <v>607</v>
      </c>
      <c r="F1055" s="11" t="s">
        <v>608</v>
      </c>
      <c r="G1055" s="11" t="s">
        <v>886</v>
      </c>
      <c r="H1055" s="11" t="s">
        <v>102</v>
      </c>
      <c r="I1055" s="11" t="s">
        <v>1982</v>
      </c>
      <c r="J1055" s="11">
        <v>38.055900000000001</v>
      </c>
      <c r="K1055" s="11">
        <v>-122.21435</v>
      </c>
      <c r="L1055" s="11">
        <v>4931</v>
      </c>
      <c r="M1055" s="11">
        <v>4931</v>
      </c>
      <c r="N1055" s="175" t="str">
        <f>VLOOKUP(M1055, '2017 SIC to NAICS'!A:D, 2)</f>
        <v>Electric and Other Services Combined</v>
      </c>
      <c r="P1055" s="187" t="str">
        <f>VLOOKUP(M1055, '2017 SIC to NAICS'!A:D, 4)</f>
        <v>Natural Gas Distribution</v>
      </c>
      <c r="Q1055" s="176" t="e">
        <f>IFERROR(VLOOKUP(O1055, 'NAICS OES crosswalk'!A:C, 3, FALSE), VLOOKUP(M1055, 'NAICS OES crosswalk'!A:C, 3, FALSE))</f>
        <v>#N/A</v>
      </c>
      <c r="U1055" s="188">
        <v>180500010303</v>
      </c>
      <c r="V1055" s="11" t="s">
        <v>898</v>
      </c>
      <c r="W1055" s="11"/>
      <c r="X1055" s="11">
        <v>1.12444806495E-2</v>
      </c>
      <c r="Y1055" s="11" t="b">
        <f t="shared" si="18"/>
        <v>0</v>
      </c>
    </row>
    <row r="1056" spans="1:25" x14ac:dyDescent="0.35">
      <c r="A1056" s="11">
        <v>2023</v>
      </c>
      <c r="B1056" s="11" t="s">
        <v>1980</v>
      </c>
      <c r="C1056" s="11" t="s">
        <v>1426</v>
      </c>
      <c r="D1056" s="163">
        <v>110016695272</v>
      </c>
      <c r="E1056" s="11" t="s">
        <v>597</v>
      </c>
      <c r="F1056" s="11" t="s">
        <v>598</v>
      </c>
      <c r="G1056" s="11" t="s">
        <v>1310</v>
      </c>
      <c r="H1056" s="11" t="s">
        <v>181</v>
      </c>
      <c r="I1056" s="11" t="s">
        <v>1982</v>
      </c>
      <c r="J1056" s="11">
        <v>42.456085000000002</v>
      </c>
      <c r="K1056" s="11">
        <v>-84.084230000000005</v>
      </c>
      <c r="L1056" s="11">
        <v>9511</v>
      </c>
      <c r="M1056" s="11">
        <v>9511</v>
      </c>
      <c r="N1056" s="175" t="str">
        <f>VLOOKUP(M1056, '2017 SIC to NAICS'!A:D, 2)</f>
        <v>Air, Water, and Solid Waste Management</v>
      </c>
      <c r="O1056" s="11">
        <v>924110</v>
      </c>
      <c r="P1056" s="187" t="str">
        <f>VLOOKUP(M1056, '2017 SIC to NAICS'!A:D, 4)</f>
        <v>Administration of Air and Water Resource
and Solid Waste Management Programs</v>
      </c>
      <c r="Q1056" s="176" t="e">
        <f>IFERROR(VLOOKUP(O1056, 'NAICS OES crosswalk'!A:C, 3, FALSE), VLOOKUP(M1056, 'NAICS OES crosswalk'!A:C, 3, FALSE))</f>
        <v>#N/A</v>
      </c>
      <c r="U1056" s="190" t="s">
        <v>1429</v>
      </c>
      <c r="V1056" s="11" t="s">
        <v>1427</v>
      </c>
      <c r="W1056" s="11"/>
      <c r="X1056" s="11">
        <v>1.1171427499999999E-2</v>
      </c>
      <c r="Y1056" s="11" t="b">
        <f t="shared" si="18"/>
        <v>0</v>
      </c>
    </row>
    <row r="1057" spans="1:25" x14ac:dyDescent="0.35">
      <c r="A1057" s="11">
        <v>2023</v>
      </c>
      <c r="B1057" s="11" t="s">
        <v>1980</v>
      </c>
      <c r="C1057" s="11" t="s">
        <v>1706</v>
      </c>
      <c r="D1057" s="163">
        <v>110035762822</v>
      </c>
      <c r="E1057" s="11" t="s">
        <v>577</v>
      </c>
      <c r="F1057" s="11" t="s">
        <v>578</v>
      </c>
      <c r="G1057" s="11" t="s">
        <v>1707</v>
      </c>
      <c r="H1057" s="11" t="s">
        <v>95</v>
      </c>
      <c r="I1057" s="11" t="s">
        <v>1982</v>
      </c>
      <c r="J1057" s="11">
        <v>30.265280000000001</v>
      </c>
      <c r="K1057" s="11">
        <v>-97.746499999999997</v>
      </c>
      <c r="L1057" s="11">
        <v>6513</v>
      </c>
      <c r="M1057" s="11">
        <v>6513</v>
      </c>
      <c r="N1057" s="175" t="str">
        <f>VLOOKUP(M1057, '2017 SIC to NAICS'!A:D, 2)</f>
        <v>Apartment Building Operators</v>
      </c>
      <c r="P1057" s="187" t="str">
        <f>VLOOKUP(M1057, '2017 SIC to NAICS'!A:D, 4)</f>
        <v>Lessors of Residential Buildings and
Dwellings</v>
      </c>
      <c r="Q1057" s="176" t="e">
        <f>IFERROR(VLOOKUP(O1057, 'NAICS OES crosswalk'!A:C, 3, FALSE), VLOOKUP(M1057, 'NAICS OES crosswalk'!A:C, 3, FALSE))</f>
        <v>#N/A</v>
      </c>
      <c r="U1057" s="188">
        <v>120902050306</v>
      </c>
      <c r="V1057" s="11" t="s">
        <v>1708</v>
      </c>
      <c r="W1057" s="11"/>
      <c r="X1057" s="11">
        <v>1.1077177214999999E-2</v>
      </c>
      <c r="Y1057" s="11" t="b">
        <f t="shared" si="18"/>
        <v>0</v>
      </c>
    </row>
    <row r="1058" spans="1:25" ht="29" x14ac:dyDescent="0.35">
      <c r="A1058" s="11">
        <v>2023</v>
      </c>
      <c r="B1058" s="11" t="s">
        <v>1980</v>
      </c>
      <c r="C1058" s="11" t="s">
        <v>1403</v>
      </c>
      <c r="D1058" s="163">
        <v>110034151450</v>
      </c>
      <c r="E1058" s="11" t="s">
        <v>584</v>
      </c>
      <c r="F1058" s="11" t="s">
        <v>585</v>
      </c>
      <c r="G1058" s="11" t="s">
        <v>1372</v>
      </c>
      <c r="H1058" s="11" t="s">
        <v>181</v>
      </c>
      <c r="I1058" s="11" t="s">
        <v>1982</v>
      </c>
      <c r="J1058" s="11">
        <v>42.665671000000003</v>
      </c>
      <c r="K1058" s="11">
        <v>-85.290707999999995</v>
      </c>
      <c r="L1058" s="11">
        <v>4953</v>
      </c>
      <c r="M1058" s="11">
        <v>4953</v>
      </c>
      <c r="N1058" s="175" t="str">
        <f>VLOOKUP(M1058, '2017 SIC to NAICS'!A:D, 2)</f>
        <v>Refuse Systems</v>
      </c>
      <c r="O1058" s="11">
        <v>562212</v>
      </c>
      <c r="P1058" s="187" t="str">
        <f>VLOOKUP(M1058, '2017 SIC to NAICS'!A:D, 4)</f>
        <v>Materials Recovery Facilities</v>
      </c>
      <c r="Q1058" s="176" t="str">
        <f>IFERROR(VLOOKUP(O1058, 'NAICS OES crosswalk'!A:C, 3, FALSE), VLOOKUP(M1058, 'NAICS OES crosswalk'!A:C, 3, FALSE))</f>
        <v>Waste handling, disposal, and treatment</v>
      </c>
      <c r="U1058" s="190" t="s">
        <v>1405</v>
      </c>
      <c r="V1058" s="11" t="s">
        <v>1404</v>
      </c>
      <c r="W1058" s="11"/>
      <c r="X1058" s="11">
        <v>1.0739937499999999E-2</v>
      </c>
      <c r="Y1058" s="11" t="b">
        <f t="shared" si="18"/>
        <v>0</v>
      </c>
    </row>
    <row r="1059" spans="1:25" x14ac:dyDescent="0.35">
      <c r="A1059" s="11">
        <v>2023</v>
      </c>
      <c r="B1059" s="11" t="s">
        <v>1980</v>
      </c>
      <c r="C1059" s="11" t="s">
        <v>1559</v>
      </c>
      <c r="D1059" s="163">
        <v>110037274133</v>
      </c>
      <c r="E1059" s="11" t="s">
        <v>657</v>
      </c>
      <c r="F1059" s="11" t="s">
        <v>337</v>
      </c>
      <c r="G1059" s="11" t="s">
        <v>823</v>
      </c>
      <c r="H1059" s="11" t="s">
        <v>221</v>
      </c>
      <c r="I1059" s="11" t="s">
        <v>1982</v>
      </c>
      <c r="J1059" s="11">
        <v>36.119079999999997</v>
      </c>
      <c r="K1059" s="11">
        <v>-115.15727</v>
      </c>
      <c r="L1059" s="11">
        <v>6512</v>
      </c>
      <c r="M1059" s="11">
        <v>6512</v>
      </c>
      <c r="N1059" s="175" t="str">
        <f>VLOOKUP(M1059, '2017 SIC to NAICS'!A:D, 2)</f>
        <v>Nonresidential Building Operators</v>
      </c>
      <c r="O1059" s="11">
        <v>531210</v>
      </c>
      <c r="P1059" s="187" t="str">
        <f>VLOOKUP(M1059, '2017 SIC to NAICS'!A:D, 4)</f>
        <v>Promoters of Performing Arts, Sports, and
Similar Events with Facilities</v>
      </c>
      <c r="Q1059" s="176" t="e">
        <f>IFERROR(VLOOKUP(O1059, 'NAICS OES crosswalk'!A:C, 3, FALSE), VLOOKUP(M1059, 'NAICS OES crosswalk'!A:C, 3, FALSE))</f>
        <v>#N/A</v>
      </c>
      <c r="U1059" s="188">
        <v>150100150505</v>
      </c>
      <c r="V1059" s="11" t="s">
        <v>825</v>
      </c>
      <c r="W1059" s="11"/>
      <c r="X1059" s="11">
        <v>2.0722875E-6</v>
      </c>
      <c r="Y1059" s="11" t="b">
        <f t="shared" si="18"/>
        <v>1</v>
      </c>
    </row>
    <row r="1060" spans="1:25" x14ac:dyDescent="0.35">
      <c r="A1060" s="11">
        <v>2023</v>
      </c>
      <c r="B1060" s="11" t="s">
        <v>1980</v>
      </c>
      <c r="C1060" s="11" t="s">
        <v>1430</v>
      </c>
      <c r="D1060" s="163">
        <v>110000409406</v>
      </c>
      <c r="E1060" s="11" t="s">
        <v>603</v>
      </c>
      <c r="F1060" s="11" t="s">
        <v>604</v>
      </c>
      <c r="G1060" s="11" t="s">
        <v>1401</v>
      </c>
      <c r="H1060" s="11" t="s">
        <v>181</v>
      </c>
      <c r="I1060" s="11" t="s">
        <v>1982</v>
      </c>
      <c r="J1060" s="11">
        <v>42.04945</v>
      </c>
      <c r="K1060" s="11">
        <v>-86.511949999999999</v>
      </c>
      <c r="L1060" s="11">
        <v>3321</v>
      </c>
      <c r="M1060" s="11">
        <v>3321</v>
      </c>
      <c r="N1060" s="175" t="str">
        <f>VLOOKUP(M1060, '2017 SIC to NAICS'!A:D, 2)</f>
        <v>Gray and Ductile Iron Foundries</v>
      </c>
      <c r="O1060" s="11">
        <v>336340</v>
      </c>
      <c r="P1060" s="187" t="str">
        <f>VLOOKUP(M1060, '2017 SIC to NAICS'!A:D, 4)</f>
        <v>Iron Foundries</v>
      </c>
      <c r="Q1060" s="176" t="e">
        <f>IFERROR(VLOOKUP(O1060, 'NAICS OES crosswalk'!A:C, 3, FALSE), VLOOKUP(M1060, 'NAICS OES crosswalk'!A:C, 3, FALSE))</f>
        <v>#N/A</v>
      </c>
      <c r="U1060" s="190" t="s">
        <v>1433</v>
      </c>
      <c r="V1060" s="11" t="s">
        <v>1431</v>
      </c>
      <c r="W1060" s="11"/>
      <c r="X1060" s="11">
        <v>9.4573088725000004E-3</v>
      </c>
      <c r="Y1060" s="11" t="b">
        <f t="shared" si="18"/>
        <v>0</v>
      </c>
    </row>
    <row r="1061" spans="1:25" ht="29" x14ac:dyDescent="0.35">
      <c r="A1061" s="11">
        <v>2023</v>
      </c>
      <c r="B1061" s="11" t="s">
        <v>1980</v>
      </c>
      <c r="C1061" s="11" t="s">
        <v>1723</v>
      </c>
      <c r="D1061" s="163">
        <v>110054919406</v>
      </c>
      <c r="E1061" s="11" t="s">
        <v>614</v>
      </c>
      <c r="F1061" s="11" t="s">
        <v>615</v>
      </c>
      <c r="G1061" s="11" t="s">
        <v>1482</v>
      </c>
      <c r="H1061" s="11" t="s">
        <v>276</v>
      </c>
      <c r="I1061" s="11" t="s">
        <v>1982</v>
      </c>
      <c r="J1061" s="11">
        <v>38.814979999999998</v>
      </c>
      <c r="K1061" s="11">
        <v>-78.2834</v>
      </c>
      <c r="L1061" s="11">
        <v>4953</v>
      </c>
      <c r="M1061" s="11">
        <v>4953</v>
      </c>
      <c r="N1061" s="175" t="str">
        <f>VLOOKUP(M1061, '2017 SIC to NAICS'!A:D, 2)</f>
        <v>Refuse Systems</v>
      </c>
      <c r="P1061" s="187" t="str">
        <f>VLOOKUP(M1061, '2017 SIC to NAICS'!A:D, 4)</f>
        <v>Materials Recovery Facilities</v>
      </c>
      <c r="Q1061" s="176" t="str">
        <f>IFERROR(VLOOKUP(O1061, 'NAICS OES crosswalk'!A:C, 3, FALSE), VLOOKUP(M1061, 'NAICS OES crosswalk'!A:C, 3, FALSE))</f>
        <v>Waste handling, disposal, and treatment</v>
      </c>
      <c r="U1061" s="190" t="s">
        <v>1725</v>
      </c>
      <c r="V1061" s="11" t="s">
        <v>1724</v>
      </c>
      <c r="W1061" s="11"/>
      <c r="X1061" s="11">
        <v>9.2350309624999998E-3</v>
      </c>
      <c r="Y1061" s="11" t="b">
        <f t="shared" si="18"/>
        <v>0</v>
      </c>
    </row>
    <row r="1062" spans="1:25" x14ac:dyDescent="0.35">
      <c r="A1062" s="11">
        <v>2023</v>
      </c>
      <c r="B1062" s="11" t="s">
        <v>1980</v>
      </c>
      <c r="C1062" s="11" t="s">
        <v>1717</v>
      </c>
      <c r="D1062" s="163">
        <v>110070546877</v>
      </c>
      <c r="E1062" s="11" t="s">
        <v>616</v>
      </c>
      <c r="F1062" s="11" t="s">
        <v>275</v>
      </c>
      <c r="G1062" s="11" t="s">
        <v>1718</v>
      </c>
      <c r="H1062" s="11" t="s">
        <v>276</v>
      </c>
      <c r="I1062" s="11" t="s">
        <v>1982</v>
      </c>
      <c r="J1062" s="11">
        <v>38.861800000000002</v>
      </c>
      <c r="K1062" s="11">
        <v>-77.086969999999994</v>
      </c>
      <c r="L1062" s="11">
        <v>1794</v>
      </c>
      <c r="M1062" s="11">
        <v>1794</v>
      </c>
      <c r="N1062" s="175" t="str">
        <f>VLOOKUP(M1062, '2017 SIC to NAICS'!A:D, 2)</f>
        <v>Excavation Work</v>
      </c>
      <c r="P1062" s="187" t="str">
        <f>VLOOKUP(M1062, '2017 SIC to NAICS'!A:D, 4)</f>
        <v>Site Preparation Contractors</v>
      </c>
      <c r="Q1062" s="176" t="e">
        <f>IFERROR(VLOOKUP(O1062, 'NAICS OES crosswalk'!A:C, 3, FALSE), VLOOKUP(M1062, 'NAICS OES crosswalk'!A:C, 3, FALSE))</f>
        <v>#N/A</v>
      </c>
      <c r="U1062" s="190" t="s">
        <v>1713</v>
      </c>
      <c r="V1062" s="11" t="s">
        <v>1711</v>
      </c>
      <c r="W1062" s="11"/>
      <c r="X1062" s="11">
        <v>8.9960658580500001E-3</v>
      </c>
      <c r="Y1062" s="11" t="b">
        <f t="shared" si="18"/>
        <v>0</v>
      </c>
    </row>
    <row r="1063" spans="1:25" x14ac:dyDescent="0.35">
      <c r="A1063" s="11">
        <v>2023</v>
      </c>
      <c r="B1063" s="11" t="s">
        <v>1980</v>
      </c>
      <c r="C1063" s="11" t="s">
        <v>752</v>
      </c>
      <c r="D1063" s="163">
        <v>110000749021</v>
      </c>
      <c r="E1063" s="11" t="s">
        <v>530</v>
      </c>
      <c r="F1063" s="11" t="s">
        <v>531</v>
      </c>
      <c r="G1063" s="11" t="s">
        <v>753</v>
      </c>
      <c r="H1063" s="11" t="s">
        <v>276</v>
      </c>
      <c r="I1063" s="11" t="s">
        <v>1982</v>
      </c>
      <c r="J1063" s="11">
        <v>38.748759999999997</v>
      </c>
      <c r="K1063" s="11">
        <v>-77.511420000000001</v>
      </c>
      <c r="L1063" s="11">
        <v>4959</v>
      </c>
      <c r="M1063" s="11">
        <v>4959</v>
      </c>
      <c r="N1063" s="175" t="str">
        <f>VLOOKUP(M1063, '2017 SIC to NAICS'!A:D, 2)</f>
        <v>Sanitary Services, Nec</v>
      </c>
      <c r="O1063" s="11">
        <v>562910</v>
      </c>
      <c r="P1063" s="187" t="str">
        <f>VLOOKUP(M1063, '2017 SIC to NAICS'!A:D, 4)</f>
        <v>All Other Miscellaneous Waste
Management Services</v>
      </c>
      <c r="Q1063" s="176" t="e">
        <f>IFERROR(VLOOKUP(O1063, 'NAICS OES crosswalk'!A:C, 3, FALSE), VLOOKUP(M1063, 'NAICS OES crosswalk'!A:C, 3, FALSE))</f>
        <v>#N/A</v>
      </c>
      <c r="U1063" s="190" t="s">
        <v>758</v>
      </c>
      <c r="V1063" s="11" t="s">
        <v>756</v>
      </c>
      <c r="W1063" s="11"/>
      <c r="X1063" s="11">
        <v>2.99276165E-2</v>
      </c>
      <c r="Y1063" s="11" t="b">
        <f t="shared" si="18"/>
        <v>0</v>
      </c>
    </row>
    <row r="1064" spans="1:25" x14ac:dyDescent="0.35">
      <c r="A1064" s="11">
        <v>2023</v>
      </c>
      <c r="B1064" s="11" t="s">
        <v>1980</v>
      </c>
      <c r="C1064" s="11" t="s">
        <v>966</v>
      </c>
      <c r="D1064" s="163">
        <v>110012876557</v>
      </c>
      <c r="E1064" s="11" t="s">
        <v>621</v>
      </c>
      <c r="F1064" s="11" t="s">
        <v>504</v>
      </c>
      <c r="G1064" s="11" t="s">
        <v>790</v>
      </c>
      <c r="H1064" s="11" t="s">
        <v>102</v>
      </c>
      <c r="I1064" s="11" t="s">
        <v>1982</v>
      </c>
      <c r="J1064" s="11">
        <v>32.781489999999998</v>
      </c>
      <c r="K1064" s="11">
        <v>-115.5035</v>
      </c>
      <c r="L1064" s="11">
        <v>6515</v>
      </c>
      <c r="M1064" s="11">
        <v>6515</v>
      </c>
      <c r="N1064" s="175" t="str">
        <f>VLOOKUP(M1064, '2017 SIC to NAICS'!A:D, 2)</f>
        <v>Mobile Home Site Operators</v>
      </c>
      <c r="P1064" s="187" t="str">
        <f>VLOOKUP(M1064, '2017 SIC to NAICS'!A:D, 4)</f>
        <v>Lessors of Other Real Estate Property</v>
      </c>
      <c r="Q1064" s="176" t="e">
        <f>IFERROR(VLOOKUP(O1064, 'NAICS OES crosswalk'!A:C, 3, FALSE), VLOOKUP(M1064, 'NAICS OES crosswalk'!A:C, 3, FALSE))</f>
        <v>#N/A</v>
      </c>
      <c r="U1064" s="188">
        <v>181002040701</v>
      </c>
      <c r="V1064" s="11" t="s">
        <v>791</v>
      </c>
      <c r="W1064" s="11"/>
      <c r="X1064" s="11">
        <v>7.94376875E-3</v>
      </c>
      <c r="Y1064" s="11" t="b">
        <f t="shared" si="18"/>
        <v>0</v>
      </c>
    </row>
    <row r="1065" spans="1:25" x14ac:dyDescent="0.35">
      <c r="A1065" s="11">
        <v>2023</v>
      </c>
      <c r="B1065" s="11" t="s">
        <v>1980</v>
      </c>
      <c r="C1065" s="11" t="s">
        <v>752</v>
      </c>
      <c r="D1065" s="163">
        <v>110000749021</v>
      </c>
      <c r="E1065" s="11" t="s">
        <v>530</v>
      </c>
      <c r="F1065" s="11" t="s">
        <v>531</v>
      </c>
      <c r="G1065" s="11" t="s">
        <v>753</v>
      </c>
      <c r="H1065" s="11" t="s">
        <v>276</v>
      </c>
      <c r="I1065" s="11" t="s">
        <v>1982</v>
      </c>
      <c r="J1065" s="11">
        <v>38.748759999999997</v>
      </c>
      <c r="K1065" s="11">
        <v>-77.511420000000001</v>
      </c>
      <c r="L1065" s="11">
        <v>4959</v>
      </c>
      <c r="M1065" s="11">
        <v>4959</v>
      </c>
      <c r="N1065" s="175" t="str">
        <f>VLOOKUP(M1065, '2017 SIC to NAICS'!A:D, 2)</f>
        <v>Sanitary Services, Nec</v>
      </c>
      <c r="O1065" s="11">
        <v>562910</v>
      </c>
      <c r="P1065" s="187" t="str">
        <f>VLOOKUP(M1065, '2017 SIC to NAICS'!A:D, 4)</f>
        <v>All Other Miscellaneous Waste
Management Services</v>
      </c>
      <c r="Q1065" s="176" t="e">
        <f>IFERROR(VLOOKUP(O1065, 'NAICS OES crosswalk'!A:C, 3, FALSE), VLOOKUP(M1065, 'NAICS OES crosswalk'!A:C, 3, FALSE))</f>
        <v>#N/A</v>
      </c>
      <c r="U1065" s="190" t="s">
        <v>758</v>
      </c>
      <c r="V1065" s="11" t="s">
        <v>756</v>
      </c>
      <c r="W1065" s="11"/>
      <c r="X1065" s="11">
        <v>8.9583379999999997E-3</v>
      </c>
      <c r="Y1065" s="11" t="b">
        <f t="shared" si="18"/>
        <v>0</v>
      </c>
    </row>
    <row r="1066" spans="1:25" x14ac:dyDescent="0.35">
      <c r="A1066" s="11">
        <v>2023</v>
      </c>
      <c r="B1066" s="11" t="s">
        <v>1980</v>
      </c>
      <c r="C1066" s="11" t="s">
        <v>752</v>
      </c>
      <c r="D1066" s="163">
        <v>110000749021</v>
      </c>
      <c r="E1066" s="11" t="s">
        <v>530</v>
      </c>
      <c r="F1066" s="11" t="s">
        <v>531</v>
      </c>
      <c r="G1066" s="11" t="s">
        <v>753</v>
      </c>
      <c r="H1066" s="11" t="s">
        <v>276</v>
      </c>
      <c r="I1066" s="11" t="s">
        <v>1982</v>
      </c>
      <c r="J1066" s="11">
        <v>38.748759999999997</v>
      </c>
      <c r="K1066" s="11">
        <v>-77.511420000000001</v>
      </c>
      <c r="L1066" s="11">
        <v>4959</v>
      </c>
      <c r="M1066" s="11">
        <v>4959</v>
      </c>
      <c r="N1066" s="175" t="str">
        <f>VLOOKUP(M1066, '2017 SIC to NAICS'!A:D, 2)</f>
        <v>Sanitary Services, Nec</v>
      </c>
      <c r="O1066" s="11">
        <v>562910</v>
      </c>
      <c r="P1066" s="187" t="str">
        <f>VLOOKUP(M1066, '2017 SIC to NAICS'!A:D, 4)</f>
        <v>All Other Miscellaneous Waste
Management Services</v>
      </c>
      <c r="Q1066" s="176" t="e">
        <f>IFERROR(VLOOKUP(O1066, 'NAICS OES crosswalk'!A:C, 3, FALSE), VLOOKUP(M1066, 'NAICS OES crosswalk'!A:C, 3, FALSE))</f>
        <v>#N/A</v>
      </c>
      <c r="U1066" s="190" t="s">
        <v>758</v>
      </c>
      <c r="V1066" s="11" t="s">
        <v>756</v>
      </c>
      <c r="W1066" s="11"/>
      <c r="X1066" s="11">
        <v>8.1097410000000002E-3</v>
      </c>
      <c r="Y1066" s="11" t="b">
        <f t="shared" si="18"/>
        <v>0</v>
      </c>
    </row>
    <row r="1067" spans="1:25" x14ac:dyDescent="0.35">
      <c r="A1067" s="11">
        <v>2023</v>
      </c>
      <c r="B1067" s="11" t="s">
        <v>1980</v>
      </c>
      <c r="C1067" s="11" t="s">
        <v>1620</v>
      </c>
      <c r="D1067" s="163">
        <v>110000584305</v>
      </c>
      <c r="E1067" s="11" t="s">
        <v>624</v>
      </c>
      <c r="F1067" s="11" t="s">
        <v>625</v>
      </c>
      <c r="G1067" s="11" t="s">
        <v>1621</v>
      </c>
      <c r="H1067" s="11" t="s">
        <v>340</v>
      </c>
      <c r="I1067" s="11" t="s">
        <v>1982</v>
      </c>
      <c r="J1067" s="11">
        <v>40.627648000000001</v>
      </c>
      <c r="K1067" s="11">
        <v>-76.064880000000002</v>
      </c>
      <c r="L1067" s="11">
        <v>3951</v>
      </c>
      <c r="M1067" s="11">
        <v>3951</v>
      </c>
      <c r="N1067" s="175" t="str">
        <f>VLOOKUP(M1067, '2017 SIC to NAICS'!A:D, 2)</f>
        <v>Pens and Mechanical Pencils</v>
      </c>
      <c r="P1067" s="187" t="str">
        <f>VLOOKUP(M1067, '2017 SIC to NAICS'!A:D, 4)</f>
        <v>Office Supplies (except Paper)
Manufacturing</v>
      </c>
      <c r="Q1067" s="176" t="e">
        <f>IFERROR(VLOOKUP(O1067, 'NAICS OES crosswalk'!A:C, 3, FALSE), VLOOKUP(M1067, 'NAICS OES crosswalk'!A:C, 3, FALSE))</f>
        <v>#N/A</v>
      </c>
      <c r="U1067" s="190" t="s">
        <v>1624</v>
      </c>
      <c r="V1067" s="11" t="s">
        <v>1622</v>
      </c>
      <c r="W1067" s="11"/>
      <c r="X1067" s="11">
        <v>7.2435700000000004E-3</v>
      </c>
      <c r="Y1067" s="11" t="b">
        <f t="shared" si="18"/>
        <v>0</v>
      </c>
    </row>
    <row r="1068" spans="1:25" x14ac:dyDescent="0.35">
      <c r="A1068" s="11">
        <v>2023</v>
      </c>
      <c r="B1068" s="11" t="s">
        <v>1980</v>
      </c>
      <c r="C1068" s="11" t="s">
        <v>752</v>
      </c>
      <c r="D1068" s="163">
        <v>110000749021</v>
      </c>
      <c r="E1068" s="11" t="s">
        <v>530</v>
      </c>
      <c r="F1068" s="11" t="s">
        <v>531</v>
      </c>
      <c r="G1068" s="11" t="s">
        <v>753</v>
      </c>
      <c r="H1068" s="11" t="s">
        <v>276</v>
      </c>
      <c r="I1068" s="11" t="s">
        <v>1982</v>
      </c>
      <c r="J1068" s="11">
        <v>38.748759999999997</v>
      </c>
      <c r="K1068" s="11">
        <v>-77.511420000000001</v>
      </c>
      <c r="L1068" s="11">
        <v>4959</v>
      </c>
      <c r="M1068" s="11">
        <v>4959</v>
      </c>
      <c r="N1068" s="175" t="str">
        <f>VLOOKUP(M1068, '2017 SIC to NAICS'!A:D, 2)</f>
        <v>Sanitary Services, Nec</v>
      </c>
      <c r="O1068" s="11">
        <v>562910</v>
      </c>
      <c r="P1068" s="187" t="str">
        <f>VLOOKUP(M1068, '2017 SIC to NAICS'!A:D, 4)</f>
        <v>All Other Miscellaneous Waste
Management Services</v>
      </c>
      <c r="Q1068" s="176" t="e">
        <f>IFERROR(VLOOKUP(O1068, 'NAICS OES crosswalk'!A:C, 3, FALSE), VLOOKUP(M1068, 'NAICS OES crosswalk'!A:C, 3, FALSE))</f>
        <v>#N/A</v>
      </c>
      <c r="U1068" s="190" t="s">
        <v>758</v>
      </c>
      <c r="V1068" s="11" t="s">
        <v>756</v>
      </c>
      <c r="W1068" s="11"/>
      <c r="X1068" s="11">
        <v>3.7312529999999999E-3</v>
      </c>
      <c r="Y1068" s="11" t="b">
        <f t="shared" si="18"/>
        <v>0</v>
      </c>
    </row>
    <row r="1069" spans="1:25" x14ac:dyDescent="0.35">
      <c r="A1069" s="11">
        <v>2023</v>
      </c>
      <c r="B1069" s="11" t="s">
        <v>1980</v>
      </c>
      <c r="C1069" s="11" t="s">
        <v>1685</v>
      </c>
      <c r="D1069" s="163">
        <v>110000461107</v>
      </c>
      <c r="E1069" s="11" t="s">
        <v>532</v>
      </c>
      <c r="F1069" s="11" t="s">
        <v>94</v>
      </c>
      <c r="G1069" s="11" t="s">
        <v>747</v>
      </c>
      <c r="H1069" s="11" t="s">
        <v>95</v>
      </c>
      <c r="I1069" s="11" t="s">
        <v>1981</v>
      </c>
      <c r="J1069" s="11">
        <v>29.706247999999999</v>
      </c>
      <c r="K1069" s="11">
        <v>-95.251079000000004</v>
      </c>
      <c r="L1069" s="11">
        <v>2869</v>
      </c>
      <c r="M1069" s="11">
        <v>2869</v>
      </c>
      <c r="N1069" s="175" t="str">
        <f>VLOOKUP(M1069, '2017 SIC to NAICS'!A:D, 2)</f>
        <v>Industrial Organic Chemicals, Nec</v>
      </c>
      <c r="P1069" s="187" t="str">
        <f>VLOOKUP(M1069, '2017 SIC to NAICS'!A:D, 4)</f>
        <v>All Other Miscellaneous Chemical Product and Preparation Manufacturing</v>
      </c>
      <c r="Q1069" s="176" t="str">
        <f>IFERROR(VLOOKUP(O1069, 'NAICS OES crosswalk'!A:C, 3, FALSE), VLOOKUP(M1069, 'NAICS OES crosswalk'!A:C, 3, FALSE))</f>
        <v>Manufacturing</v>
      </c>
      <c r="U1069" s="188">
        <v>120401040502</v>
      </c>
      <c r="V1069" s="11" t="s">
        <v>787</v>
      </c>
      <c r="W1069" s="11"/>
      <c r="X1069" s="11">
        <v>3.3141999999999998E-2</v>
      </c>
      <c r="Y1069" s="11" t="b">
        <f t="shared" si="18"/>
        <v>0</v>
      </c>
    </row>
    <row r="1070" spans="1:25" x14ac:dyDescent="0.35">
      <c r="A1070" s="11">
        <v>2023</v>
      </c>
      <c r="B1070" s="11" t="s">
        <v>1980</v>
      </c>
      <c r="C1070" s="11" t="s">
        <v>996</v>
      </c>
      <c r="D1070" s="163">
        <v>110000339027</v>
      </c>
      <c r="E1070" s="11" t="s">
        <v>679</v>
      </c>
      <c r="F1070" s="11" t="s">
        <v>680</v>
      </c>
      <c r="G1070" s="11" t="s">
        <v>997</v>
      </c>
      <c r="H1070" s="11" t="s">
        <v>515</v>
      </c>
      <c r="I1070" s="11" t="s">
        <v>1981</v>
      </c>
      <c r="J1070" s="11">
        <v>38.631867</v>
      </c>
      <c r="K1070" s="11">
        <v>-75.628372999999996</v>
      </c>
      <c r="L1070" s="11">
        <v>2821</v>
      </c>
      <c r="M1070" s="11">
        <v>2821</v>
      </c>
      <c r="N1070" s="175" t="str">
        <f>VLOOKUP(M1070, '2017 SIC to NAICS'!A:D, 2)</f>
        <v>Plastics Materials and Resins</v>
      </c>
      <c r="P1070" s="187" t="str">
        <f>VLOOKUP(M1070, '2017 SIC to NAICS'!A:D, 4)</f>
        <v>Plastics Material and Resin Manufacturing</v>
      </c>
      <c r="Q1070" s="176" t="str">
        <f>IFERROR(VLOOKUP(O1070, 'NAICS OES crosswalk'!A:C, 3, FALSE), VLOOKUP(M1070, 'NAICS OES crosswalk'!A:C, 3, FALSE))</f>
        <v>Processing as a reactant</v>
      </c>
      <c r="U1070" s="190" t="s">
        <v>999</v>
      </c>
      <c r="V1070" s="11" t="s">
        <v>998</v>
      </c>
      <c r="W1070" s="11"/>
      <c r="X1070" s="11">
        <v>4.9258999999999997E-5</v>
      </c>
      <c r="Y1070" s="11" t="b">
        <f t="shared" si="18"/>
        <v>1</v>
      </c>
    </row>
    <row r="1071" spans="1:25" x14ac:dyDescent="0.35">
      <c r="A1071" s="11">
        <v>2023</v>
      </c>
      <c r="B1071" s="11" t="s">
        <v>1980</v>
      </c>
      <c r="C1071" s="11" t="s">
        <v>1645</v>
      </c>
      <c r="D1071" s="163">
        <v>110017796330</v>
      </c>
      <c r="E1071" s="11" t="s">
        <v>642</v>
      </c>
      <c r="F1071" s="11" t="s">
        <v>643</v>
      </c>
      <c r="G1071" s="11" t="s">
        <v>1646</v>
      </c>
      <c r="H1071" s="11" t="s">
        <v>340</v>
      </c>
      <c r="I1071" s="11" t="s">
        <v>1982</v>
      </c>
      <c r="J1071" s="11">
        <v>40.725278000000003</v>
      </c>
      <c r="K1071" s="11">
        <v>-77.056944000000001</v>
      </c>
      <c r="L1071" s="11">
        <v>3645</v>
      </c>
      <c r="M1071" s="11">
        <v>3645</v>
      </c>
      <c r="N1071" s="175" t="str">
        <f>VLOOKUP(M1071, '2017 SIC to NAICS'!A:D, 2)</f>
        <v>Residential Lighting Fixtures</v>
      </c>
      <c r="P1071" s="187" t="str">
        <f>VLOOKUP(M1071, '2017 SIC to NAICS'!A:D, 4)</f>
        <v>Residential Electric Lighting Fixture
Manufacturing</v>
      </c>
      <c r="Q1071" s="176" t="e">
        <f>IFERROR(VLOOKUP(O1071, 'NAICS OES crosswalk'!A:C, 3, FALSE), VLOOKUP(M1071, 'NAICS OES crosswalk'!A:C, 3, FALSE))</f>
        <v>#N/A</v>
      </c>
      <c r="U1071" s="190" t="s">
        <v>1648</v>
      </c>
      <c r="V1071" s="11" t="s">
        <v>1647</v>
      </c>
      <c r="W1071" s="11"/>
      <c r="X1071" s="11">
        <v>4.4248542499999996E-3</v>
      </c>
      <c r="Y1071" s="11" t="b">
        <f t="shared" si="18"/>
        <v>0</v>
      </c>
    </row>
    <row r="1072" spans="1:25" x14ac:dyDescent="0.35">
      <c r="A1072" s="11">
        <v>2023</v>
      </c>
      <c r="B1072" s="11" t="s">
        <v>1980</v>
      </c>
      <c r="C1072" s="11" t="s">
        <v>1757</v>
      </c>
      <c r="D1072" s="163">
        <v>110071428198</v>
      </c>
      <c r="E1072" s="11" t="s">
        <v>637</v>
      </c>
      <c r="F1072" s="11" t="s">
        <v>638</v>
      </c>
      <c r="G1072" s="11" t="s">
        <v>1758</v>
      </c>
      <c r="H1072" s="11" t="s">
        <v>276</v>
      </c>
      <c r="I1072" s="11" t="s">
        <v>1982</v>
      </c>
      <c r="J1072" s="11">
        <v>38.899099999999997</v>
      </c>
      <c r="K1072" s="11">
        <v>-77.269300000000001</v>
      </c>
      <c r="L1072" s="11">
        <v>6519</v>
      </c>
      <c r="M1072" s="11">
        <v>6519</v>
      </c>
      <c r="N1072" s="175" t="str">
        <f>VLOOKUP(M1072, '2017 SIC to NAICS'!A:D, 2)</f>
        <v>Real Property Lessors, Nec</v>
      </c>
      <c r="P1072" s="187" t="str">
        <f>VLOOKUP(M1072, '2017 SIC to NAICS'!A:D, 4)</f>
        <v>Lessors of Other Real Estate Property</v>
      </c>
      <c r="Q1072" s="176" t="e">
        <f>IFERROR(VLOOKUP(O1072, 'NAICS OES crosswalk'!A:C, 3, FALSE), VLOOKUP(M1072, 'NAICS OES crosswalk'!A:C, 3, FALSE))</f>
        <v>#N/A</v>
      </c>
      <c r="U1072" s="190" t="s">
        <v>1736</v>
      </c>
      <c r="V1072" s="11" t="s">
        <v>1716</v>
      </c>
      <c r="W1072" s="11"/>
      <c r="X1072" s="11">
        <v>5.3597838524699999E-3</v>
      </c>
      <c r="Y1072" s="11" t="b">
        <f t="shared" si="18"/>
        <v>0</v>
      </c>
    </row>
    <row r="1073" spans="1:25" x14ac:dyDescent="0.35">
      <c r="A1073" s="11">
        <v>2023</v>
      </c>
      <c r="B1073" s="11" t="s">
        <v>1980</v>
      </c>
      <c r="C1073" s="11" t="s">
        <v>1474</v>
      </c>
      <c r="D1073" s="163">
        <v>110001512603</v>
      </c>
      <c r="E1073" s="11" t="s">
        <v>558</v>
      </c>
      <c r="F1073" s="11" t="s">
        <v>559</v>
      </c>
      <c r="G1073" s="11" t="s">
        <v>1475</v>
      </c>
      <c r="H1073" s="11" t="s">
        <v>560</v>
      </c>
      <c r="I1073" s="11" t="s">
        <v>1982</v>
      </c>
      <c r="J1073" s="11">
        <v>41.111856000000003</v>
      </c>
      <c r="K1073" s="11">
        <v>-95.923699999999997</v>
      </c>
      <c r="L1073" s="11">
        <v>9711</v>
      </c>
      <c r="M1073" s="11">
        <v>9711</v>
      </c>
      <c r="N1073" s="175" t="str">
        <f>VLOOKUP(M1073, '2017 SIC to NAICS'!A:D, 2)</f>
        <v>National Security</v>
      </c>
      <c r="P1073" s="187" t="str">
        <f>VLOOKUP(M1073, '2017 SIC to NAICS'!A:D, 4)</f>
        <v>National Security</v>
      </c>
      <c r="Q1073" s="176" t="e">
        <f>IFERROR(VLOOKUP(O1073, 'NAICS OES crosswalk'!A:C, 3, FALSE), VLOOKUP(M1073, 'NAICS OES crosswalk'!A:C, 3, FALSE))</f>
        <v>#N/A</v>
      </c>
      <c r="U1073" s="188">
        <v>102300060206</v>
      </c>
      <c r="V1073" s="11" t="s">
        <v>1476</v>
      </c>
      <c r="W1073" s="11"/>
      <c r="X1073" s="11">
        <v>5.0842012499999999E-3</v>
      </c>
      <c r="Y1073" s="11" t="b">
        <f t="shared" si="18"/>
        <v>0</v>
      </c>
    </row>
    <row r="1074" spans="1:25" x14ac:dyDescent="0.35">
      <c r="A1074" s="11">
        <v>2023</v>
      </c>
      <c r="B1074" s="11" t="s">
        <v>1980</v>
      </c>
      <c r="C1074" s="11" t="s">
        <v>1337</v>
      </c>
      <c r="D1074" s="163">
        <v>110071445083</v>
      </c>
      <c r="E1074" s="11" t="s">
        <v>639</v>
      </c>
      <c r="F1074" s="11" t="s">
        <v>640</v>
      </c>
      <c r="G1074" s="11" t="s">
        <v>1338</v>
      </c>
      <c r="H1074" s="11" t="s">
        <v>451</v>
      </c>
      <c r="I1074" s="11" t="s">
        <v>1982</v>
      </c>
      <c r="J1074" s="11">
        <v>42.313240999999998</v>
      </c>
      <c r="K1074" s="11">
        <v>-71.046143999999998</v>
      </c>
      <c r="L1074" s="11">
        <v>4959</v>
      </c>
      <c r="M1074" s="11">
        <v>4959</v>
      </c>
      <c r="N1074" s="175" t="str">
        <f>VLOOKUP(M1074, '2017 SIC to NAICS'!A:D, 2)</f>
        <v>Sanitary Services, Nec</v>
      </c>
      <c r="O1074" s="11">
        <v>562910</v>
      </c>
      <c r="P1074" s="187" t="str">
        <f>VLOOKUP(M1074, '2017 SIC to NAICS'!A:D, 4)</f>
        <v>All Other Miscellaneous Waste
Management Services</v>
      </c>
      <c r="Q1074" s="176" t="e">
        <f>IFERROR(VLOOKUP(O1074, 'NAICS OES crosswalk'!A:C, 3, FALSE), VLOOKUP(M1074, 'NAICS OES crosswalk'!A:C, 3, FALSE))</f>
        <v>#N/A</v>
      </c>
      <c r="U1074" s="190" t="s">
        <v>1340</v>
      </c>
      <c r="V1074" s="11" t="s">
        <v>1339</v>
      </c>
      <c r="W1074" s="11"/>
      <c r="X1074" s="11">
        <v>4.6591457500000004E-3</v>
      </c>
      <c r="Y1074" s="11" t="b">
        <f t="shared" si="18"/>
        <v>0</v>
      </c>
    </row>
    <row r="1075" spans="1:25" x14ac:dyDescent="0.35">
      <c r="A1075" s="11">
        <v>2023</v>
      </c>
      <c r="B1075" s="11" t="s">
        <v>1980</v>
      </c>
      <c r="C1075" s="11" t="s">
        <v>986</v>
      </c>
      <c r="D1075" s="163">
        <v>110056125376</v>
      </c>
      <c r="E1075" s="11" t="s">
        <v>641</v>
      </c>
      <c r="F1075" s="11" t="s">
        <v>623</v>
      </c>
      <c r="G1075" s="11" t="s">
        <v>623</v>
      </c>
      <c r="H1075" s="11" t="s">
        <v>492</v>
      </c>
      <c r="I1075" s="11" t="s">
        <v>1982</v>
      </c>
      <c r="J1075" s="11">
        <v>39.754530000000003</v>
      </c>
      <c r="K1075" s="11">
        <v>-105.00681</v>
      </c>
      <c r="L1075" s="11">
        <v>1799</v>
      </c>
      <c r="M1075" s="11">
        <v>1799</v>
      </c>
      <c r="N1075" s="175" t="str">
        <f>VLOOKUP(M1075, '2017 SIC to NAICS'!A:D, 2)</f>
        <v>Special Trade Contractors, Nec</v>
      </c>
      <c r="P1075" s="187" t="str">
        <f>VLOOKUP(M1075, '2017 SIC to NAICS'!A:D, 4)</f>
        <v>Remediation Services</v>
      </c>
      <c r="Q1075" s="176" t="e">
        <f>IFERROR(VLOOKUP(O1075, 'NAICS OES crosswalk'!A:C, 3, FALSE), VLOOKUP(M1075, 'NAICS OES crosswalk'!A:C, 3, FALSE))</f>
        <v>#N/A</v>
      </c>
      <c r="U1075" s="188">
        <v>101900030304</v>
      </c>
      <c r="V1075" s="11" t="s">
        <v>987</v>
      </c>
      <c r="W1075" s="11"/>
      <c r="X1075" s="11">
        <v>4.4653348250000002E-3</v>
      </c>
      <c r="Y1075" s="11" t="b">
        <f t="shared" si="18"/>
        <v>0</v>
      </c>
    </row>
    <row r="1076" spans="1:25" x14ac:dyDescent="0.35">
      <c r="A1076" s="11">
        <v>2023</v>
      </c>
      <c r="B1076" s="11" t="s">
        <v>1980</v>
      </c>
      <c r="C1076" s="11" t="s">
        <v>1682</v>
      </c>
      <c r="D1076" s="163">
        <v>110071710882</v>
      </c>
      <c r="E1076" s="11" t="s">
        <v>477</v>
      </c>
      <c r="F1076" s="11" t="s">
        <v>478</v>
      </c>
      <c r="G1076" s="11" t="s">
        <v>782</v>
      </c>
      <c r="H1076" s="11" t="s">
        <v>95</v>
      </c>
      <c r="I1076" s="11" t="s">
        <v>1981</v>
      </c>
      <c r="J1076" s="11">
        <v>30.014958</v>
      </c>
      <c r="K1076" s="11">
        <v>-94.029087000000004</v>
      </c>
      <c r="L1076" s="11">
        <v>2869</v>
      </c>
      <c r="M1076" s="11">
        <v>2869</v>
      </c>
      <c r="N1076" s="175" t="str">
        <f>VLOOKUP(M1076, '2017 SIC to NAICS'!A:D, 2)</f>
        <v>Industrial Organic Chemicals, Nec</v>
      </c>
      <c r="P1076" s="187" t="str">
        <f>VLOOKUP(M1076, '2017 SIC to NAICS'!A:D, 4)</f>
        <v>All Other Miscellaneous Chemical Product and Preparation Manufacturing</v>
      </c>
      <c r="Q1076" s="176" t="str">
        <f>IFERROR(VLOOKUP(O1076, 'NAICS OES crosswalk'!A:C, 3, FALSE), VLOOKUP(M1076, 'NAICS OES crosswalk'!A:C, 3, FALSE))</f>
        <v>Manufacturing</v>
      </c>
      <c r="U1076" s="188">
        <v>120200030407</v>
      </c>
      <c r="V1076" s="11" t="s">
        <v>1683</v>
      </c>
      <c r="W1076" s="11"/>
      <c r="X1076" s="11">
        <v>7.5969492E-2</v>
      </c>
      <c r="Y1076" s="11" t="b">
        <f t="shared" si="18"/>
        <v>0</v>
      </c>
    </row>
    <row r="1077" spans="1:25" x14ac:dyDescent="0.35">
      <c r="A1077" s="11">
        <v>2023</v>
      </c>
      <c r="B1077" s="11" t="s">
        <v>1980</v>
      </c>
      <c r="C1077" s="11" t="s">
        <v>1734</v>
      </c>
      <c r="D1077" s="163">
        <v>110070684897</v>
      </c>
      <c r="E1077" s="11" t="s">
        <v>571</v>
      </c>
      <c r="F1077" s="11" t="s">
        <v>572</v>
      </c>
      <c r="G1077" s="11" t="s">
        <v>1735</v>
      </c>
      <c r="H1077" s="11" t="s">
        <v>276</v>
      </c>
      <c r="I1077" s="11" t="s">
        <v>1982</v>
      </c>
      <c r="J1077" s="11">
        <v>38.920251999999998</v>
      </c>
      <c r="K1077" s="11">
        <v>-77.231944999999996</v>
      </c>
      <c r="L1077" s="11">
        <v>1794</v>
      </c>
      <c r="M1077" s="11">
        <v>1794</v>
      </c>
      <c r="N1077" s="175" t="str">
        <f>VLOOKUP(M1077, '2017 SIC to NAICS'!A:D, 2)</f>
        <v>Excavation Work</v>
      </c>
      <c r="P1077" s="187" t="str">
        <f>VLOOKUP(M1077, '2017 SIC to NAICS'!A:D, 4)</f>
        <v>Site Preparation Contractors</v>
      </c>
      <c r="Q1077" s="176" t="e">
        <f>IFERROR(VLOOKUP(O1077, 'NAICS OES crosswalk'!A:C, 3, FALSE), VLOOKUP(M1077, 'NAICS OES crosswalk'!A:C, 3, FALSE))</f>
        <v>#N/A</v>
      </c>
      <c r="U1077" s="190" t="s">
        <v>1736</v>
      </c>
      <c r="V1077" s="11" t="s">
        <v>1716</v>
      </c>
      <c r="W1077" s="11"/>
      <c r="X1077" s="191">
        <v>4.3259948672727203E-3</v>
      </c>
      <c r="Y1077" s="11" t="b">
        <f t="shared" si="18"/>
        <v>0</v>
      </c>
    </row>
    <row r="1078" spans="1:25" x14ac:dyDescent="0.35">
      <c r="A1078" s="11">
        <v>2023</v>
      </c>
      <c r="B1078" s="11" t="s">
        <v>1980</v>
      </c>
      <c r="C1078" s="11" t="s">
        <v>1317</v>
      </c>
      <c r="D1078" s="163">
        <v>110000846602</v>
      </c>
      <c r="E1078" s="11" t="s">
        <v>611</v>
      </c>
      <c r="F1078" s="11" t="s">
        <v>612</v>
      </c>
      <c r="G1078" s="11" t="s">
        <v>612</v>
      </c>
      <c r="H1078" s="11" t="s">
        <v>91</v>
      </c>
      <c r="I1078" s="11" t="s">
        <v>1982</v>
      </c>
      <c r="J1078" s="11">
        <v>30.27083</v>
      </c>
      <c r="K1078" s="11">
        <v>-92.037279999999996</v>
      </c>
      <c r="L1078" s="11">
        <v>2821</v>
      </c>
      <c r="M1078" s="11">
        <v>2821</v>
      </c>
      <c r="N1078" s="175" t="str">
        <f>VLOOKUP(M1078, '2017 SIC to NAICS'!A:D, 2)</f>
        <v>Plastics Materials and Resins</v>
      </c>
      <c r="P1078" s="187" t="str">
        <f>VLOOKUP(M1078, '2017 SIC to NAICS'!A:D, 4)</f>
        <v>Plastics Material and Resin Manufacturing</v>
      </c>
      <c r="Q1078" s="176" t="str">
        <f>IFERROR(VLOOKUP(O1078, 'NAICS OES crosswalk'!A:C, 3, FALSE), VLOOKUP(M1078, 'NAICS OES crosswalk'!A:C, 3, FALSE))</f>
        <v>Processing as a reactant</v>
      </c>
      <c r="U1078" s="190" t="s">
        <v>1319</v>
      </c>
      <c r="V1078" s="11" t="s">
        <v>1318</v>
      </c>
      <c r="W1078" s="11"/>
      <c r="X1078" s="11">
        <v>4.0637557874999997E-3</v>
      </c>
      <c r="Y1078" s="11" t="b">
        <f t="shared" si="18"/>
        <v>0</v>
      </c>
    </row>
    <row r="1079" spans="1:25" x14ac:dyDescent="0.35">
      <c r="A1079" s="11">
        <v>2023</v>
      </c>
      <c r="B1079" s="11" t="s">
        <v>1980</v>
      </c>
      <c r="C1079" s="11" t="s">
        <v>1592</v>
      </c>
      <c r="D1079" s="163">
        <v>110000616414</v>
      </c>
      <c r="E1079" s="11" t="s">
        <v>595</v>
      </c>
      <c r="F1079" s="11" t="s">
        <v>596</v>
      </c>
      <c r="G1079" s="11" t="s">
        <v>1593</v>
      </c>
      <c r="H1079" s="11" t="s">
        <v>126</v>
      </c>
      <c r="I1079" s="11" t="s">
        <v>1982</v>
      </c>
      <c r="J1079" s="11">
        <v>43.211829000000002</v>
      </c>
      <c r="K1079" s="11">
        <v>-77.929390999999995</v>
      </c>
      <c r="L1079" s="11">
        <v>9511</v>
      </c>
      <c r="M1079" s="11">
        <v>9511</v>
      </c>
      <c r="N1079" s="175" t="str">
        <f>VLOOKUP(M1079, '2017 SIC to NAICS'!A:D, 2)</f>
        <v>Air, Water, and Solid Waste Management</v>
      </c>
      <c r="P1079" s="187" t="str">
        <f>VLOOKUP(M1079, '2017 SIC to NAICS'!A:D, 4)</f>
        <v>Administration of Air and Water Resource
and Solid Waste Management Programs</v>
      </c>
      <c r="Q1079" s="176" t="e">
        <f>IFERROR(VLOOKUP(O1079, 'NAICS OES crosswalk'!A:C, 3, FALSE), VLOOKUP(M1079, 'NAICS OES crosswalk'!A:C, 3, FALSE))</f>
        <v>#N/A</v>
      </c>
      <c r="U1079" s="190" t="s">
        <v>1595</v>
      </c>
      <c r="V1079" s="11" t="s">
        <v>1594</v>
      </c>
      <c r="W1079" s="11"/>
      <c r="X1079" s="11">
        <v>1.0230889999999999E-2</v>
      </c>
      <c r="Y1079" s="11" t="b">
        <f t="shared" si="18"/>
        <v>0</v>
      </c>
    </row>
    <row r="1080" spans="1:25" ht="29" x14ac:dyDescent="0.35">
      <c r="A1080" s="11">
        <v>2023</v>
      </c>
      <c r="B1080" s="11" t="s">
        <v>1980</v>
      </c>
      <c r="C1080" s="11" t="s">
        <v>973</v>
      </c>
      <c r="D1080" s="163">
        <v>110002043217</v>
      </c>
      <c r="E1080" s="11" t="s">
        <v>646</v>
      </c>
      <c r="F1080" s="11" t="s">
        <v>647</v>
      </c>
      <c r="G1080" s="11" t="s">
        <v>790</v>
      </c>
      <c r="H1080" s="11" t="s">
        <v>102</v>
      </c>
      <c r="I1080" s="11" t="s">
        <v>1981</v>
      </c>
      <c r="J1080" s="11">
        <v>33.147531999999998</v>
      </c>
      <c r="K1080" s="11">
        <v>-115.54533000000001</v>
      </c>
      <c r="L1080" s="11">
        <v>4952</v>
      </c>
      <c r="M1080" s="11">
        <v>4952</v>
      </c>
      <c r="N1080" s="175" t="str">
        <f>VLOOKUP(M1080, '2017 SIC to NAICS'!A:D, 2)</f>
        <v>Sewerage Systems</v>
      </c>
      <c r="P1080" s="187" t="str">
        <f>VLOOKUP(M1080, '2017 SIC to NAICS'!A:D, 4)</f>
        <v>Sewage Treatment Facilities</v>
      </c>
      <c r="Q1080" s="176" t="str">
        <f>IFERROR(VLOOKUP(O1080, 'NAICS OES crosswalk'!A:C, 3, FALSE), VLOOKUP(M1080, 'NAICS OES crosswalk'!A:C, 3, FALSE))</f>
        <v>Waste handling, disposal, and treatment</v>
      </c>
      <c r="U1080" s="188">
        <v>181002040707</v>
      </c>
      <c r="V1080" s="11" t="s">
        <v>974</v>
      </c>
      <c r="W1080" s="11"/>
      <c r="X1080" s="11">
        <v>3.813009E-3</v>
      </c>
      <c r="Y1080" s="11" t="b">
        <f t="shared" si="18"/>
        <v>0</v>
      </c>
    </row>
    <row r="1081" spans="1:25" x14ac:dyDescent="0.35">
      <c r="A1081" s="11">
        <v>2023</v>
      </c>
      <c r="B1081" s="11" t="s">
        <v>1980</v>
      </c>
      <c r="C1081" s="11" t="s">
        <v>1694</v>
      </c>
      <c r="D1081" s="163">
        <v>110000599479</v>
      </c>
      <c r="E1081" s="11" t="s">
        <v>593</v>
      </c>
      <c r="F1081" s="11" t="s">
        <v>594</v>
      </c>
      <c r="G1081" s="11" t="s">
        <v>1695</v>
      </c>
      <c r="H1081" s="11" t="s">
        <v>95</v>
      </c>
      <c r="I1081" s="11" t="s">
        <v>1982</v>
      </c>
      <c r="J1081" s="11">
        <v>29.458400000000001</v>
      </c>
      <c r="K1081" s="11">
        <v>-95.330399999999997</v>
      </c>
      <c r="L1081" s="11">
        <v>2869</v>
      </c>
      <c r="M1081" s="11">
        <v>2869</v>
      </c>
      <c r="N1081" s="175" t="str">
        <f>VLOOKUP(M1081, '2017 SIC to NAICS'!A:D, 2)</f>
        <v>Industrial Organic Chemicals, Nec</v>
      </c>
      <c r="P1081" s="187" t="str">
        <f>VLOOKUP(M1081, '2017 SIC to NAICS'!A:D, 4)</f>
        <v>All Other Miscellaneous Chemical Product and Preparation Manufacturing</v>
      </c>
      <c r="Q1081" s="176" t="str">
        <f>IFERROR(VLOOKUP(O1081, 'NAICS OES crosswalk'!A:C, 3, FALSE), VLOOKUP(M1081, 'NAICS OES crosswalk'!A:C, 3, FALSE))</f>
        <v>Manufacturing</v>
      </c>
      <c r="U1081" s="188">
        <v>120402040400</v>
      </c>
      <c r="V1081" s="11" t="s">
        <v>1696</v>
      </c>
      <c r="W1081" s="11"/>
      <c r="X1081" s="11">
        <v>1.4913900000000001E-2</v>
      </c>
      <c r="Y1081" s="11" t="b">
        <f t="shared" si="18"/>
        <v>0</v>
      </c>
    </row>
    <row r="1082" spans="1:25" x14ac:dyDescent="0.35">
      <c r="A1082" s="11">
        <v>2023</v>
      </c>
      <c r="B1082" s="11" t="s">
        <v>1980</v>
      </c>
      <c r="C1082" s="11" t="s">
        <v>1227</v>
      </c>
      <c r="D1082" s="163">
        <v>110043544144</v>
      </c>
      <c r="E1082" s="11" t="s">
        <v>586</v>
      </c>
      <c r="F1082" s="11" t="s">
        <v>587</v>
      </c>
      <c r="G1082" s="11" t="s">
        <v>457</v>
      </c>
      <c r="H1082" s="11" t="s">
        <v>108</v>
      </c>
      <c r="I1082" s="11" t="s">
        <v>1982</v>
      </c>
      <c r="J1082" s="11">
        <v>38.072870000000002</v>
      </c>
      <c r="K1082" s="11">
        <v>-84.484369999999998</v>
      </c>
      <c r="L1082" s="11">
        <v>3579</v>
      </c>
      <c r="M1082" s="11">
        <v>3579</v>
      </c>
      <c r="N1082" s="175" t="str">
        <f>VLOOKUP(M1082, '2017 SIC to NAICS'!A:D, 2)</f>
        <v>Office Machines, Nec</v>
      </c>
      <c r="O1082" s="11">
        <v>333313</v>
      </c>
      <c r="P1082" s="187" t="str">
        <f>VLOOKUP(M1082, '2017 SIC to NAICS'!A:D, 4)</f>
        <v>Office Supplies (except Paper)
Manufacturing</v>
      </c>
      <c r="Q1082" s="176" t="e">
        <f>IFERROR(VLOOKUP(O1082, 'NAICS OES crosswalk'!A:C, 3, FALSE), VLOOKUP(M1082, 'NAICS OES crosswalk'!A:C, 3, FALSE))</f>
        <v>#N/A</v>
      </c>
      <c r="U1082" s="190" t="s">
        <v>1231</v>
      </c>
      <c r="V1082" s="11" t="s">
        <v>1230</v>
      </c>
      <c r="W1082" s="11"/>
      <c r="X1082" s="11">
        <v>1.2351969000000001E-2</v>
      </c>
      <c r="Y1082" s="11" t="b">
        <f t="shared" si="18"/>
        <v>0</v>
      </c>
    </row>
    <row r="1083" spans="1:25" x14ac:dyDescent="0.35">
      <c r="A1083" s="11">
        <v>2023</v>
      </c>
      <c r="B1083" s="11" t="s">
        <v>1980</v>
      </c>
      <c r="C1083" s="11" t="s">
        <v>1368</v>
      </c>
      <c r="D1083" s="163">
        <v>110000410957</v>
      </c>
      <c r="E1083" s="11" t="s">
        <v>405</v>
      </c>
      <c r="F1083" s="11" t="s">
        <v>406</v>
      </c>
      <c r="G1083" s="11" t="s">
        <v>406</v>
      </c>
      <c r="H1083" s="11" t="s">
        <v>181</v>
      </c>
      <c r="I1083" s="11" t="s">
        <v>1982</v>
      </c>
      <c r="J1083" s="11">
        <v>43.215029999999999</v>
      </c>
      <c r="K1083" s="11">
        <v>-86.245689999999996</v>
      </c>
      <c r="L1083" s="11">
        <v>3714</v>
      </c>
      <c r="M1083" s="11">
        <v>3714</v>
      </c>
      <c r="N1083" s="175" t="str">
        <f>VLOOKUP(M1083, '2017 SIC to NAICS'!A:D, 2)</f>
        <v>Motor Vehicle Parts and Accessories</v>
      </c>
      <c r="O1083" s="11">
        <v>331511</v>
      </c>
      <c r="P1083" s="187" t="str">
        <f>VLOOKUP(M1083, '2017 SIC to NAICS'!A:D, 4)</f>
        <v>Other Motor Vehicle Parts Manufacturing</v>
      </c>
      <c r="Q1083" s="176" t="e">
        <f>IFERROR(VLOOKUP(O1083, 'NAICS OES crosswalk'!A:C, 3, FALSE), VLOOKUP(M1083, 'NAICS OES crosswalk'!A:C, 3, FALSE))</f>
        <v>#N/A</v>
      </c>
      <c r="U1083" s="190" t="s">
        <v>1370</v>
      </c>
      <c r="V1083" s="11" t="s">
        <v>1369</v>
      </c>
      <c r="W1083" s="11"/>
      <c r="X1083" s="11">
        <v>0.19230638750000001</v>
      </c>
      <c r="Y1083" s="11" t="b">
        <f t="shared" si="18"/>
        <v>0</v>
      </c>
    </row>
    <row r="1084" spans="1:25" ht="29" x14ac:dyDescent="0.35">
      <c r="A1084" s="11">
        <v>2023</v>
      </c>
      <c r="B1084" s="11" t="s">
        <v>1980</v>
      </c>
      <c r="C1084" s="11" t="s">
        <v>1062</v>
      </c>
      <c r="D1084" s="163">
        <v>110009974117</v>
      </c>
      <c r="E1084" s="11" t="s">
        <v>652</v>
      </c>
      <c r="F1084" s="11" t="s">
        <v>201</v>
      </c>
      <c r="G1084" s="11" t="s">
        <v>1063</v>
      </c>
      <c r="H1084" s="11" t="s">
        <v>151</v>
      </c>
      <c r="I1084" s="11" t="s">
        <v>1982</v>
      </c>
      <c r="J1084" s="11">
        <v>39.264667000000003</v>
      </c>
      <c r="K1084" s="11">
        <v>-85.231278000000003</v>
      </c>
      <c r="L1084" s="11">
        <v>4953</v>
      </c>
      <c r="M1084" s="11">
        <v>4953</v>
      </c>
      <c r="N1084" s="175" t="str">
        <f>VLOOKUP(M1084, '2017 SIC to NAICS'!A:D, 2)</f>
        <v>Refuse Systems</v>
      </c>
      <c r="P1084" s="187" t="str">
        <f>VLOOKUP(M1084, '2017 SIC to NAICS'!A:D, 4)</f>
        <v>Materials Recovery Facilities</v>
      </c>
      <c r="Q1084" s="176" t="str">
        <f>IFERROR(VLOOKUP(O1084, 'NAICS OES crosswalk'!A:C, 3, FALSE), VLOOKUP(M1084, 'NAICS OES crosswalk'!A:C, 3, FALSE))</f>
        <v>Waste handling, disposal, and treatment</v>
      </c>
      <c r="U1084" s="190" t="s">
        <v>1065</v>
      </c>
      <c r="V1084" s="11" t="s">
        <v>1064</v>
      </c>
      <c r="W1084" s="11"/>
      <c r="X1084" s="11">
        <v>2.7498393810399999E-3</v>
      </c>
      <c r="Y1084" s="11" t="b">
        <f t="shared" si="18"/>
        <v>0</v>
      </c>
    </row>
    <row r="1085" spans="1:25" x14ac:dyDescent="0.35">
      <c r="A1085" s="11">
        <v>2023</v>
      </c>
      <c r="B1085" s="11" t="s">
        <v>1980</v>
      </c>
      <c r="C1085" s="11" t="s">
        <v>988</v>
      </c>
      <c r="D1085" s="163">
        <v>110070162955</v>
      </c>
      <c r="E1085" s="11" t="s">
        <v>622</v>
      </c>
      <c r="F1085" s="11" t="s">
        <v>623</v>
      </c>
      <c r="G1085" s="11" t="s">
        <v>623</v>
      </c>
      <c r="H1085" s="11" t="s">
        <v>492</v>
      </c>
      <c r="I1085" s="11" t="s">
        <v>1982</v>
      </c>
      <c r="J1085" s="11">
        <v>39.781474000000003</v>
      </c>
      <c r="K1085" s="11">
        <v>-104.97438</v>
      </c>
      <c r="L1085" s="11">
        <v>1629</v>
      </c>
      <c r="M1085" s="11">
        <v>1629</v>
      </c>
      <c r="N1085" s="175" t="str">
        <f>VLOOKUP(M1085, '2017 SIC to NAICS'!A:D, 2)</f>
        <v>Heavy Construction, Nec</v>
      </c>
      <c r="P1085" s="187" t="str">
        <f>VLOOKUP(M1085, '2017 SIC to NAICS'!A:D, 4)</f>
        <v>Site Preparation Contractors</v>
      </c>
      <c r="Q1085" s="176" t="e">
        <f>IFERROR(VLOOKUP(O1085, 'NAICS OES crosswalk'!A:C, 3, FALSE), VLOOKUP(M1085, 'NAICS OES crosswalk'!A:C, 3, FALSE))</f>
        <v>#N/A</v>
      </c>
      <c r="U1085" s="188">
        <v>101900030304</v>
      </c>
      <c r="V1085" s="11" t="s">
        <v>987</v>
      </c>
      <c r="W1085" s="11"/>
      <c r="X1085" s="11">
        <v>2.5072994424999999E-3</v>
      </c>
      <c r="Y1085" s="11" t="b">
        <f t="shared" si="18"/>
        <v>0</v>
      </c>
    </row>
    <row r="1086" spans="1:25" x14ac:dyDescent="0.35">
      <c r="A1086" s="11">
        <v>2023</v>
      </c>
      <c r="B1086" s="11" t="s">
        <v>1980</v>
      </c>
      <c r="C1086" s="11" t="s">
        <v>1640</v>
      </c>
      <c r="D1086" s="163">
        <v>110008476327</v>
      </c>
      <c r="E1086" s="11" t="s">
        <v>609</v>
      </c>
      <c r="F1086" s="11" t="s">
        <v>610</v>
      </c>
      <c r="G1086" s="11" t="s">
        <v>1641</v>
      </c>
      <c r="H1086" s="11" t="s">
        <v>340</v>
      </c>
      <c r="I1086" s="11" t="s">
        <v>1982</v>
      </c>
      <c r="J1086" s="11">
        <v>41.452778000000002</v>
      </c>
      <c r="K1086" s="11">
        <v>-79.690278000000006</v>
      </c>
      <c r="L1086" s="11">
        <v>2865</v>
      </c>
      <c r="M1086" s="11">
        <v>2865</v>
      </c>
      <c r="N1086" s="175" t="str">
        <f>VLOOKUP(M1086, '2017 SIC to NAICS'!A:D, 2)</f>
        <v>Cyclic Crudes and Intermediates</v>
      </c>
      <c r="P1086" s="187" t="str">
        <f>VLOOKUP(M1086, '2017 SIC to NAICS'!A:D, 4)</f>
        <v>Cyclic Crude, Intermediate, and Gum and
Wood Chemical Manufacturing</v>
      </c>
      <c r="Q1086" s="176" t="e">
        <f>IFERROR(VLOOKUP(O1086, 'NAICS OES crosswalk'!A:C, 3, FALSE), VLOOKUP(M1086, 'NAICS OES crosswalk'!A:C, 3, FALSE))</f>
        <v>#N/A</v>
      </c>
      <c r="U1086" s="190" t="s">
        <v>1644</v>
      </c>
      <c r="V1086" s="11" t="s">
        <v>1642</v>
      </c>
      <c r="W1086" s="11"/>
      <c r="X1086" s="11">
        <v>2.4856499999999998E-3</v>
      </c>
      <c r="Y1086" s="11" t="b">
        <f t="shared" si="18"/>
        <v>0</v>
      </c>
    </row>
    <row r="1087" spans="1:25" x14ac:dyDescent="0.35">
      <c r="A1087" s="11">
        <v>2023</v>
      </c>
      <c r="B1087" s="11" t="s">
        <v>1980</v>
      </c>
      <c r="C1087" s="11" t="s">
        <v>1553</v>
      </c>
      <c r="D1087" s="163">
        <v>110004300596</v>
      </c>
      <c r="E1087" s="11" t="s">
        <v>658</v>
      </c>
      <c r="F1087" s="11" t="s">
        <v>337</v>
      </c>
      <c r="G1087" s="11" t="s">
        <v>823</v>
      </c>
      <c r="H1087" s="11" t="s">
        <v>221</v>
      </c>
      <c r="I1087" s="11" t="s">
        <v>1982</v>
      </c>
      <c r="J1087" s="11">
        <v>36.170819999999999</v>
      </c>
      <c r="K1087" s="11">
        <v>-115.14431</v>
      </c>
      <c r="L1087" s="11">
        <v>7011</v>
      </c>
      <c r="M1087" s="11">
        <v>7011</v>
      </c>
      <c r="N1087" s="175" t="str">
        <f>VLOOKUP(M1087, '2017 SIC to NAICS'!A:D, 2)</f>
        <v>Hotels and Motels</v>
      </c>
      <c r="O1087" s="11">
        <v>721120</v>
      </c>
      <c r="P1087" s="187" t="str">
        <f>VLOOKUP(M1087, '2017 SIC to NAICS'!A:D, 4)</f>
        <v>All Other Traveler Accommodation</v>
      </c>
      <c r="Q1087" s="176" t="e">
        <f>IFERROR(VLOOKUP(O1087, 'NAICS OES crosswalk'!A:C, 3, FALSE), VLOOKUP(M1087, 'NAICS OES crosswalk'!A:C, 3, FALSE))</f>
        <v>#N/A</v>
      </c>
      <c r="U1087" s="188">
        <v>150100150604</v>
      </c>
      <c r="V1087" s="11" t="s">
        <v>738</v>
      </c>
      <c r="W1087" s="11"/>
      <c r="X1087" s="11">
        <v>2.2898776875000001E-3</v>
      </c>
      <c r="Y1087" s="11" t="b">
        <f t="shared" si="18"/>
        <v>0</v>
      </c>
    </row>
    <row r="1088" spans="1:25" x14ac:dyDescent="0.35">
      <c r="A1088" s="11">
        <v>2023</v>
      </c>
      <c r="B1088" s="11" t="s">
        <v>1980</v>
      </c>
      <c r="C1088" s="11" t="s">
        <v>826</v>
      </c>
      <c r="D1088" s="163">
        <v>110064134459</v>
      </c>
      <c r="E1088" s="11" t="s">
        <v>547</v>
      </c>
      <c r="F1088" s="11" t="s">
        <v>337</v>
      </c>
      <c r="G1088" s="11" t="s">
        <v>823</v>
      </c>
      <c r="H1088" s="11" t="s">
        <v>221</v>
      </c>
      <c r="I1088" s="11" t="s">
        <v>1982</v>
      </c>
      <c r="J1088" s="11">
        <v>36.075400000000002</v>
      </c>
      <c r="K1088" s="11">
        <v>-115.1669</v>
      </c>
      <c r="L1088" s="11">
        <v>4581</v>
      </c>
      <c r="M1088" s="11">
        <v>4581</v>
      </c>
      <c r="N1088" s="175" t="str">
        <f>VLOOKUP(M1088, '2017 SIC to NAICS'!A:D, 2)</f>
        <v>Airports, Flying Fields, and Services</v>
      </c>
      <c r="O1088" s="11">
        <v>488119</v>
      </c>
      <c r="P1088" s="187" t="str">
        <f>VLOOKUP(M1088, '2017 SIC to NAICS'!A:D, 4)</f>
        <v>Reupholstery and Furniture Repair</v>
      </c>
      <c r="Q1088" s="176" t="e">
        <f>IFERROR(VLOOKUP(O1088, 'NAICS OES crosswalk'!A:C, 3, FALSE), VLOOKUP(M1088, 'NAICS OES crosswalk'!A:C, 3, FALSE))</f>
        <v>#N/A</v>
      </c>
      <c r="U1088" s="188">
        <v>150100150704</v>
      </c>
      <c r="V1088" s="11" t="s">
        <v>827</v>
      </c>
      <c r="W1088" s="11"/>
      <c r="X1088" s="11">
        <v>7.1289528749999996E-3</v>
      </c>
      <c r="Y1088" s="11" t="b">
        <f t="shared" si="18"/>
        <v>0</v>
      </c>
    </row>
    <row r="1089" spans="1:25" x14ac:dyDescent="0.35">
      <c r="A1089" s="11">
        <v>2023</v>
      </c>
      <c r="B1089" s="11" t="s">
        <v>1980</v>
      </c>
      <c r="C1089" s="11" t="s">
        <v>826</v>
      </c>
      <c r="D1089" s="163">
        <v>110064134459</v>
      </c>
      <c r="E1089" s="11" t="s">
        <v>547</v>
      </c>
      <c r="F1089" s="11" t="s">
        <v>337</v>
      </c>
      <c r="G1089" s="11" t="s">
        <v>823</v>
      </c>
      <c r="H1089" s="11" t="s">
        <v>221</v>
      </c>
      <c r="I1089" s="11" t="s">
        <v>1982</v>
      </c>
      <c r="J1089" s="11">
        <v>36.075400000000002</v>
      </c>
      <c r="K1089" s="11">
        <v>-115.1669</v>
      </c>
      <c r="L1089" s="11">
        <v>4581</v>
      </c>
      <c r="M1089" s="11">
        <v>4581</v>
      </c>
      <c r="N1089" s="175" t="str">
        <f>VLOOKUP(M1089, '2017 SIC to NAICS'!A:D, 2)</f>
        <v>Airports, Flying Fields, and Services</v>
      </c>
      <c r="O1089" s="11">
        <v>488119</v>
      </c>
      <c r="P1089" s="187" t="str">
        <f>VLOOKUP(M1089, '2017 SIC to NAICS'!A:D, 4)</f>
        <v>Reupholstery and Furniture Repair</v>
      </c>
      <c r="Q1089" s="176" t="e">
        <f>IFERROR(VLOOKUP(O1089, 'NAICS OES crosswalk'!A:C, 3, FALSE), VLOOKUP(M1089, 'NAICS OES crosswalk'!A:C, 3, FALSE))</f>
        <v>#N/A</v>
      </c>
      <c r="U1089" s="188">
        <v>150100150704</v>
      </c>
      <c r="V1089" s="11" t="s">
        <v>827</v>
      </c>
      <c r="W1089" s="11"/>
      <c r="X1089" s="11">
        <v>4.0396358750000002E-3</v>
      </c>
      <c r="Y1089" s="11" t="b">
        <f t="shared" si="18"/>
        <v>0</v>
      </c>
    </row>
    <row r="1090" spans="1:25" ht="29" x14ac:dyDescent="0.35">
      <c r="A1090" s="11">
        <v>2023</v>
      </c>
      <c r="B1090" s="11" t="s">
        <v>1980</v>
      </c>
      <c r="C1090" s="11" t="s">
        <v>971</v>
      </c>
      <c r="D1090" s="163">
        <v>110013128169</v>
      </c>
      <c r="E1090" s="11" t="s">
        <v>661</v>
      </c>
      <c r="F1090" s="11" t="s">
        <v>504</v>
      </c>
      <c r="G1090" s="11" t="s">
        <v>790</v>
      </c>
      <c r="H1090" s="11" t="s">
        <v>102</v>
      </c>
      <c r="I1090" s="11" t="s">
        <v>1982</v>
      </c>
      <c r="J1090" s="11">
        <v>32.796432000000003</v>
      </c>
      <c r="K1090" s="11">
        <v>-115.667761</v>
      </c>
      <c r="L1090" s="11">
        <v>4952</v>
      </c>
      <c r="M1090" s="11">
        <v>4952</v>
      </c>
      <c r="N1090" s="175" t="str">
        <f>VLOOKUP(M1090, '2017 SIC to NAICS'!A:D, 2)</f>
        <v>Sewerage Systems</v>
      </c>
      <c r="P1090" s="187" t="str">
        <f>VLOOKUP(M1090, '2017 SIC to NAICS'!A:D, 4)</f>
        <v>Sewage Treatment Facilities</v>
      </c>
      <c r="Q1090" s="176" t="str">
        <f>IFERROR(VLOOKUP(O1090, 'NAICS OES crosswalk'!A:C, 3, FALSE), VLOOKUP(M1090, 'NAICS OES crosswalk'!A:C, 3, FALSE))</f>
        <v>Waste handling, disposal, and treatment</v>
      </c>
      <c r="U1090" s="188">
        <v>181002040902</v>
      </c>
      <c r="V1090" s="11" t="s">
        <v>972</v>
      </c>
      <c r="W1090" s="11"/>
      <c r="X1090" s="11">
        <v>2.0722875000000001E-3</v>
      </c>
      <c r="Y1090" s="11" t="b">
        <f t="shared" si="18"/>
        <v>0</v>
      </c>
    </row>
    <row r="1091" spans="1:25" ht="29" x14ac:dyDescent="0.35">
      <c r="A1091" s="11">
        <v>2023</v>
      </c>
      <c r="B1091" s="11" t="s">
        <v>1980</v>
      </c>
      <c r="C1091" s="11" t="s">
        <v>778</v>
      </c>
      <c r="D1091" s="163">
        <v>110064644782</v>
      </c>
      <c r="E1091" s="11" t="s">
        <v>303</v>
      </c>
      <c r="F1091" s="11" t="s">
        <v>304</v>
      </c>
      <c r="G1091" s="11" t="s">
        <v>779</v>
      </c>
      <c r="H1091" s="11" t="s">
        <v>91</v>
      </c>
      <c r="I1091" s="11" t="s">
        <v>1981</v>
      </c>
      <c r="J1091" s="11">
        <v>30.584540000000001</v>
      </c>
      <c r="K1091" s="11">
        <v>-91.247479999999996</v>
      </c>
      <c r="L1091" s="11">
        <v>4953</v>
      </c>
      <c r="M1091" s="11">
        <v>4953</v>
      </c>
      <c r="N1091" s="175" t="str">
        <f>VLOOKUP(M1091, '2017 SIC to NAICS'!A:D, 2)</f>
        <v>Refuse Systems</v>
      </c>
      <c r="P1091" s="187" t="str">
        <f>VLOOKUP(M1091, '2017 SIC to NAICS'!A:D, 4)</f>
        <v>Materials Recovery Facilities</v>
      </c>
      <c r="Q1091" s="176" t="str">
        <f>IFERROR(VLOOKUP(O1091, 'NAICS OES crosswalk'!A:C, 3, FALSE), VLOOKUP(M1091, 'NAICS OES crosswalk'!A:C, 3, FALSE))</f>
        <v>Waste handling, disposal, and treatment</v>
      </c>
      <c r="U1091" s="190" t="s">
        <v>806</v>
      </c>
      <c r="V1091" s="11" t="s">
        <v>780</v>
      </c>
      <c r="W1091" s="11"/>
      <c r="X1091" s="11">
        <v>1.9980504024999998E-3</v>
      </c>
      <c r="Y1091" s="11" t="b">
        <f t="shared" si="18"/>
        <v>0</v>
      </c>
    </row>
    <row r="1092" spans="1:25" x14ac:dyDescent="0.35">
      <c r="A1092" s="11">
        <v>2023</v>
      </c>
      <c r="B1092" s="11" t="s">
        <v>1980</v>
      </c>
      <c r="C1092" s="11" t="s">
        <v>1557</v>
      </c>
      <c r="D1092" s="163">
        <v>110020039402</v>
      </c>
      <c r="E1092" s="11" t="s">
        <v>654</v>
      </c>
      <c r="F1092" s="11" t="s">
        <v>337</v>
      </c>
      <c r="G1092" s="11" t="s">
        <v>823</v>
      </c>
      <c r="H1092" s="11" t="s">
        <v>221</v>
      </c>
      <c r="I1092" s="11" t="s">
        <v>1982</v>
      </c>
      <c r="J1092" s="11">
        <v>36.137529999999998</v>
      </c>
      <c r="K1092" s="11">
        <v>-115.15479000000001</v>
      </c>
      <c r="L1092" s="11">
        <v>7011</v>
      </c>
      <c r="M1092" s="11">
        <v>7011</v>
      </c>
      <c r="N1092" s="175" t="str">
        <f>VLOOKUP(M1092, '2017 SIC to NAICS'!A:D, 2)</f>
        <v>Hotels and Motels</v>
      </c>
      <c r="O1092" s="11">
        <v>812990</v>
      </c>
      <c r="P1092" s="187" t="str">
        <f>VLOOKUP(M1092, '2017 SIC to NAICS'!A:D, 4)</f>
        <v>All Other Traveler Accommodation</v>
      </c>
      <c r="Q1092" s="176" t="e">
        <f>IFERROR(VLOOKUP(O1092, 'NAICS OES crosswalk'!A:C, 3, FALSE), VLOOKUP(M1092, 'NAICS OES crosswalk'!A:C, 3, FALSE))</f>
        <v>#N/A</v>
      </c>
      <c r="U1092" s="188">
        <v>150100150604</v>
      </c>
      <c r="V1092" s="11" t="s">
        <v>738</v>
      </c>
      <c r="W1092" s="11"/>
      <c r="X1092" s="11">
        <v>1.9505063768887501E-3</v>
      </c>
      <c r="Y1092" s="11" t="b">
        <f t="shared" si="18"/>
        <v>0</v>
      </c>
    </row>
    <row r="1093" spans="1:25" ht="29" x14ac:dyDescent="0.35">
      <c r="A1093" s="11">
        <v>2023</v>
      </c>
      <c r="B1093" s="11" t="s">
        <v>1980</v>
      </c>
      <c r="C1093" s="11" t="s">
        <v>993</v>
      </c>
      <c r="D1093" s="163">
        <v>110012150858</v>
      </c>
      <c r="E1093" s="11" t="s">
        <v>663</v>
      </c>
      <c r="F1093" s="11" t="s">
        <v>664</v>
      </c>
      <c r="G1093" s="11" t="s">
        <v>991</v>
      </c>
      <c r="H1093" s="11" t="s">
        <v>492</v>
      </c>
      <c r="I1093" s="11" t="s">
        <v>1982</v>
      </c>
      <c r="J1093" s="11">
        <v>40.49682</v>
      </c>
      <c r="K1093" s="11">
        <v>-105.11552</v>
      </c>
      <c r="L1093" s="11">
        <v>4953</v>
      </c>
      <c r="M1093" s="11">
        <v>4953</v>
      </c>
      <c r="N1093" s="175" t="str">
        <f>VLOOKUP(M1093, '2017 SIC to NAICS'!A:D, 2)</f>
        <v>Refuse Systems</v>
      </c>
      <c r="P1093" s="187" t="str">
        <f>VLOOKUP(M1093, '2017 SIC to NAICS'!A:D, 4)</f>
        <v>Materials Recovery Facilities</v>
      </c>
      <c r="Q1093" s="176" t="str">
        <f>IFERROR(VLOOKUP(O1093, 'NAICS OES crosswalk'!A:C, 3, FALSE), VLOOKUP(M1093, 'NAICS OES crosswalk'!A:C, 3, FALSE))</f>
        <v>Waste handling, disposal, and treatment</v>
      </c>
      <c r="U1093" s="188">
        <v>101900071002</v>
      </c>
      <c r="V1093" s="11" t="s">
        <v>994</v>
      </c>
      <c r="W1093" s="11"/>
      <c r="X1093" s="191">
        <v>1.7898783272727199E-3</v>
      </c>
      <c r="Y1093" s="11" t="b">
        <f t="shared" si="18"/>
        <v>0</v>
      </c>
    </row>
    <row r="1094" spans="1:25" x14ac:dyDescent="0.35">
      <c r="A1094" s="11">
        <v>2023</v>
      </c>
      <c r="B1094" s="11" t="s">
        <v>1980</v>
      </c>
      <c r="C1094" s="11" t="s">
        <v>1515</v>
      </c>
      <c r="D1094" s="163">
        <v>110070212323</v>
      </c>
      <c r="E1094" s="11" t="s">
        <v>662</v>
      </c>
      <c r="F1094" s="11" t="s">
        <v>557</v>
      </c>
      <c r="G1094" s="11" t="s">
        <v>818</v>
      </c>
      <c r="H1094" s="11" t="s">
        <v>254</v>
      </c>
      <c r="I1094" s="11" t="s">
        <v>1982</v>
      </c>
      <c r="J1094" s="11">
        <v>40.428542</v>
      </c>
      <c r="K1094" s="11">
        <v>-74.518662000000006</v>
      </c>
      <c r="M1094" s="11"/>
      <c r="N1094" s="175" t="e">
        <f>VLOOKUP(M1094, '2017 SIC to NAICS'!A:D, 2)</f>
        <v>#N/A</v>
      </c>
      <c r="P1094" s="187" t="e">
        <f>VLOOKUP(M1094, '2017 SIC to NAICS'!A:D, 4)</f>
        <v>#N/A</v>
      </c>
      <c r="Q1094" s="176" t="e">
        <f>IFERROR(VLOOKUP(O1094, 'NAICS OES crosswalk'!A:C, 3, FALSE), VLOOKUP(M1094, 'NAICS OES crosswalk'!A:C, 3, FALSE))</f>
        <v>#N/A</v>
      </c>
      <c r="U1094" s="190" t="s">
        <v>1512</v>
      </c>
      <c r="V1094" s="11" t="s">
        <v>1510</v>
      </c>
      <c r="W1094" s="11"/>
      <c r="X1094" s="11">
        <v>1.7107079639999999E-3</v>
      </c>
      <c r="Y1094" s="11" t="b">
        <f t="shared" si="18"/>
        <v>0</v>
      </c>
    </row>
    <row r="1095" spans="1:25" x14ac:dyDescent="0.35">
      <c r="A1095" s="11">
        <v>2023</v>
      </c>
      <c r="B1095" s="11" t="s">
        <v>1980</v>
      </c>
      <c r="C1095" s="11" t="s">
        <v>1385</v>
      </c>
      <c r="D1095" s="163">
        <v>110009900312</v>
      </c>
      <c r="E1095" s="11" t="s">
        <v>648</v>
      </c>
      <c r="F1095" s="11" t="s">
        <v>378</v>
      </c>
      <c r="G1095" s="11" t="s">
        <v>814</v>
      </c>
      <c r="H1095" s="11" t="s">
        <v>181</v>
      </c>
      <c r="I1095" s="11" t="s">
        <v>1982</v>
      </c>
      <c r="J1095" s="11">
        <v>42.672580000000004</v>
      </c>
      <c r="K1095" s="11">
        <v>-84.663955999999999</v>
      </c>
      <c r="L1095" s="11">
        <v>9199</v>
      </c>
      <c r="M1095" s="11">
        <v>9199</v>
      </c>
      <c r="N1095" s="175" t="str">
        <f>VLOOKUP(M1095, '2017 SIC to NAICS'!A:D, 2)</f>
        <v>General Government, Nec</v>
      </c>
      <c r="O1095" s="11">
        <v>921190</v>
      </c>
      <c r="P1095" s="187" t="str">
        <f>VLOOKUP(M1095, '2017 SIC to NAICS'!A:D, 4)</f>
        <v>Other General Government Support</v>
      </c>
      <c r="Q1095" s="176" t="e">
        <f>IFERROR(VLOOKUP(O1095, 'NAICS OES crosswalk'!A:C, 3, FALSE), VLOOKUP(M1095, 'NAICS OES crosswalk'!A:C, 3, FALSE))</f>
        <v>#N/A</v>
      </c>
      <c r="U1095" s="190" t="s">
        <v>1387</v>
      </c>
      <c r="V1095" s="11" t="s">
        <v>1386</v>
      </c>
      <c r="W1095" s="11"/>
      <c r="X1095" s="11">
        <v>3.3002768137500001E-3</v>
      </c>
      <c r="Y1095" s="11" t="b">
        <f t="shared" si="18"/>
        <v>0</v>
      </c>
    </row>
    <row r="1096" spans="1:25" ht="29" x14ac:dyDescent="0.35">
      <c r="A1096" s="11">
        <v>2023</v>
      </c>
      <c r="B1096" s="11" t="s">
        <v>1980</v>
      </c>
      <c r="C1096" s="11" t="s">
        <v>1143</v>
      </c>
      <c r="D1096" s="163">
        <v>110006644872</v>
      </c>
      <c r="E1096" s="11" t="s">
        <v>170</v>
      </c>
      <c r="F1096" s="11" t="s">
        <v>171</v>
      </c>
      <c r="G1096" s="11" t="s">
        <v>1144</v>
      </c>
      <c r="H1096" s="11" t="s">
        <v>108</v>
      </c>
      <c r="I1096" s="11" t="s">
        <v>1981</v>
      </c>
      <c r="J1096" s="11">
        <v>37.491857000000003</v>
      </c>
      <c r="K1096" s="11">
        <v>-82.539703000000003</v>
      </c>
      <c r="L1096" s="11">
        <v>4952</v>
      </c>
      <c r="M1096" s="11">
        <v>4952</v>
      </c>
      <c r="N1096" s="175" t="str">
        <f>VLOOKUP(M1096, '2017 SIC to NAICS'!A:D, 2)</f>
        <v>Sewerage Systems</v>
      </c>
      <c r="O1096" s="11">
        <v>221320</v>
      </c>
      <c r="P1096" s="187" t="str">
        <f>VLOOKUP(M1096, '2017 SIC to NAICS'!A:D, 4)</f>
        <v>Sewage Treatment Facilities</v>
      </c>
      <c r="Q1096" s="176" t="str">
        <f>IFERROR(VLOOKUP(O1096, 'NAICS OES crosswalk'!A:C, 3, FALSE), VLOOKUP(M1096, 'NAICS OES crosswalk'!A:C, 3, FALSE))</f>
        <v>Waste handling, disposal, and treatment</v>
      </c>
      <c r="U1096" s="190" t="s">
        <v>1146</v>
      </c>
      <c r="V1096" s="11" t="s">
        <v>1145</v>
      </c>
      <c r="W1096" s="11"/>
      <c r="X1096" s="11">
        <v>1.2218897862500001E-3</v>
      </c>
      <c r="Y1096" s="11" t="b">
        <f t="shared" si="18"/>
        <v>0</v>
      </c>
    </row>
    <row r="1097" spans="1:25" x14ac:dyDescent="0.35">
      <c r="A1097" s="11">
        <v>2023</v>
      </c>
      <c r="B1097" s="11" t="s">
        <v>1980</v>
      </c>
      <c r="C1097" s="11" t="s">
        <v>1608</v>
      </c>
      <c r="D1097" s="163">
        <v>110000487447</v>
      </c>
      <c r="E1097" s="11" t="s">
        <v>655</v>
      </c>
      <c r="F1097" s="11" t="s">
        <v>600</v>
      </c>
      <c r="G1097" s="11" t="s">
        <v>1605</v>
      </c>
      <c r="H1097" s="11" t="s">
        <v>601</v>
      </c>
      <c r="I1097" s="11" t="s">
        <v>1982</v>
      </c>
      <c r="J1097" s="11">
        <v>45.548641000000003</v>
      </c>
      <c r="K1097" s="11">
        <v>-122.72292299999999</v>
      </c>
      <c r="L1097" s="11">
        <v>5169</v>
      </c>
      <c r="M1097" s="11">
        <v>5169</v>
      </c>
      <c r="N1097" s="175" t="str">
        <f>VLOOKUP(M1097, '2017 SIC to NAICS'!A:D, 2)</f>
        <v>Chemicals and Allied Products, Nec</v>
      </c>
      <c r="P1097" s="187" t="str">
        <f>VLOOKUP(M1097, '2017 SIC to NAICS'!A:D, 4)</f>
        <v>Wholesale Trade Agents and Brokers</v>
      </c>
      <c r="Q1097" s="176" t="e">
        <f>IFERROR(VLOOKUP(O1097, 'NAICS OES crosswalk'!A:C, 3, FALSE), VLOOKUP(M1097, 'NAICS OES crosswalk'!A:C, 3, FALSE))</f>
        <v>#N/A</v>
      </c>
      <c r="U1097" s="188">
        <v>170900120202</v>
      </c>
      <c r="V1097" s="11" t="s">
        <v>1609</v>
      </c>
      <c r="W1097" s="11"/>
      <c r="X1097" s="11">
        <v>1.2107627568E-3</v>
      </c>
      <c r="Y1097" s="11" t="b">
        <f t="shared" si="18"/>
        <v>0</v>
      </c>
    </row>
    <row r="1098" spans="1:25" x14ac:dyDescent="0.35">
      <c r="A1098" s="11">
        <v>2023</v>
      </c>
      <c r="B1098" s="11" t="s">
        <v>1980</v>
      </c>
      <c r="C1098" s="11" t="s">
        <v>1509</v>
      </c>
      <c r="D1098" s="163">
        <v>110070220269</v>
      </c>
      <c r="E1098" s="11" t="s">
        <v>659</v>
      </c>
      <c r="F1098" s="11" t="s">
        <v>660</v>
      </c>
      <c r="G1098" s="11" t="s">
        <v>818</v>
      </c>
      <c r="H1098" s="11" t="s">
        <v>254</v>
      </c>
      <c r="I1098" s="11" t="s">
        <v>1982</v>
      </c>
      <c r="J1098" s="11">
        <v>40.471558999999999</v>
      </c>
      <c r="K1098" s="11">
        <v>-74.446973</v>
      </c>
      <c r="L1098" s="11">
        <v>3053</v>
      </c>
      <c r="M1098" s="11">
        <v>3053</v>
      </c>
      <c r="N1098" s="175" t="str">
        <f>VLOOKUP(M1098, '2017 SIC to NAICS'!A:D, 2)</f>
        <v>Gaskets; Packing and Sealing Devices</v>
      </c>
      <c r="P1098" s="187" t="str">
        <f>VLOOKUP(M1098, '2017 SIC to NAICS'!A:D, 4)</f>
        <v>Gasket, Packing, and Sealing Device
Manufacturing</v>
      </c>
      <c r="Q1098" s="176" t="e">
        <f>IFERROR(VLOOKUP(O1098, 'NAICS OES crosswalk'!A:C, 3, FALSE), VLOOKUP(M1098, 'NAICS OES crosswalk'!A:C, 3, FALSE))</f>
        <v>#N/A</v>
      </c>
      <c r="U1098" s="190" t="s">
        <v>1512</v>
      </c>
      <c r="V1098" s="11" t="s">
        <v>1510</v>
      </c>
      <c r="W1098" s="11"/>
      <c r="X1098" s="11">
        <v>1.1696047424999999E-3</v>
      </c>
      <c r="Y1098" s="11" t="b">
        <f t="shared" si="18"/>
        <v>0</v>
      </c>
    </row>
    <row r="1099" spans="1:25" x14ac:dyDescent="0.35">
      <c r="A1099" s="11">
        <v>2023</v>
      </c>
      <c r="B1099" s="11" t="s">
        <v>1980</v>
      </c>
      <c r="C1099" s="11" t="s">
        <v>1347</v>
      </c>
      <c r="D1099" s="163">
        <v>110041245015</v>
      </c>
      <c r="E1099" s="11" t="s">
        <v>673</v>
      </c>
      <c r="F1099" s="11" t="s">
        <v>674</v>
      </c>
      <c r="G1099" s="11" t="s">
        <v>1250</v>
      </c>
      <c r="H1099" s="11" t="s">
        <v>481</v>
      </c>
      <c r="I1099" s="11" t="s">
        <v>1982</v>
      </c>
      <c r="J1099" s="11">
        <v>39.567390000000003</v>
      </c>
      <c r="K1099" s="11">
        <v>-76.920410000000004</v>
      </c>
      <c r="M1099" s="11"/>
      <c r="N1099" s="175" t="e">
        <f>VLOOKUP(M1099, '2017 SIC to NAICS'!A:D, 2)</f>
        <v>#N/A</v>
      </c>
      <c r="P1099" s="187" t="e">
        <f>VLOOKUP(M1099, '2017 SIC to NAICS'!A:D, 4)</f>
        <v>#N/A</v>
      </c>
      <c r="Q1099" s="176" t="e">
        <f>IFERROR(VLOOKUP(O1099, 'NAICS OES crosswalk'!A:C, 3, FALSE), VLOOKUP(M1099, 'NAICS OES crosswalk'!A:C, 3, FALSE))</f>
        <v>#N/A</v>
      </c>
      <c r="U1099" s="190" t="s">
        <v>1349</v>
      </c>
      <c r="V1099" s="11" t="s">
        <v>1348</v>
      </c>
      <c r="W1099" s="11"/>
      <c r="X1099" s="11">
        <v>1.0257823125000001E-3</v>
      </c>
      <c r="Y1099" s="11" t="b">
        <f t="shared" si="18"/>
        <v>1</v>
      </c>
    </row>
    <row r="1100" spans="1:25" x14ac:dyDescent="0.35">
      <c r="A1100" s="11">
        <v>2023</v>
      </c>
      <c r="B1100" s="11" t="s">
        <v>1980</v>
      </c>
      <c r="C1100" s="11" t="s">
        <v>1760</v>
      </c>
      <c r="D1100" s="163">
        <v>110071427202</v>
      </c>
      <c r="E1100" s="11" t="s">
        <v>675</v>
      </c>
      <c r="F1100" s="11" t="s">
        <v>402</v>
      </c>
      <c r="G1100" s="11" t="s">
        <v>1758</v>
      </c>
      <c r="H1100" s="11" t="s">
        <v>276</v>
      </c>
      <c r="I1100" s="11" t="s">
        <v>1982</v>
      </c>
      <c r="J1100" s="11">
        <v>38.848126999999998</v>
      </c>
      <c r="K1100" s="11">
        <v>-77.132767999999999</v>
      </c>
      <c r="L1100" s="11">
        <v>1794</v>
      </c>
      <c r="M1100" s="11">
        <v>1794</v>
      </c>
      <c r="N1100" s="175" t="str">
        <f>VLOOKUP(M1100, '2017 SIC to NAICS'!A:D, 2)</f>
        <v>Excavation Work</v>
      </c>
      <c r="P1100" s="187" t="str">
        <f>VLOOKUP(M1100, '2017 SIC to NAICS'!A:D, 4)</f>
        <v>Site Preparation Contractors</v>
      </c>
      <c r="Q1100" s="176" t="e">
        <f>IFERROR(VLOOKUP(O1100, 'NAICS OES crosswalk'!A:C, 3, FALSE), VLOOKUP(M1100, 'NAICS OES crosswalk'!A:C, 3, FALSE))</f>
        <v>#N/A</v>
      </c>
      <c r="U1100" s="190" t="s">
        <v>1755</v>
      </c>
      <c r="V1100" s="11" t="s">
        <v>1730</v>
      </c>
      <c r="W1100" s="11"/>
      <c r="X1100" s="11">
        <v>1.0137744E-3</v>
      </c>
      <c r="Y1100" s="11" t="b">
        <f t="shared" ref="Y1100:Y1120" si="19" xml:space="preserve"> X1100 &lt;= _xlfn.PERCENTILE.INC($X$907:$X$1120, 0.1)</f>
        <v>1</v>
      </c>
    </row>
    <row r="1101" spans="1:25" x14ac:dyDescent="0.35">
      <c r="A1101" s="11">
        <v>2023</v>
      </c>
      <c r="B1101" s="11" t="s">
        <v>1980</v>
      </c>
      <c r="C1101" s="11" t="s">
        <v>824</v>
      </c>
      <c r="D1101" s="163">
        <v>110059861065</v>
      </c>
      <c r="E1101" s="11" t="s">
        <v>677</v>
      </c>
      <c r="F1101" s="11" t="s">
        <v>337</v>
      </c>
      <c r="G1101" s="11" t="s">
        <v>823</v>
      </c>
      <c r="H1101" s="11" t="s">
        <v>221</v>
      </c>
      <c r="I1101" s="11" t="s">
        <v>1982</v>
      </c>
      <c r="J1101" s="11">
        <v>36.108890000000002</v>
      </c>
      <c r="K1101" s="11">
        <v>-115.18118</v>
      </c>
      <c r="L1101" s="11">
        <v>6531</v>
      </c>
      <c r="M1101" s="11">
        <v>6531</v>
      </c>
      <c r="N1101" s="175" t="str">
        <f>VLOOKUP(M1101, '2017 SIC to NAICS'!A:D, 2)</f>
        <v>Real Estate Agents and Managers</v>
      </c>
      <c r="P1101" s="187" t="str">
        <f>VLOOKUP(M1101, '2017 SIC to NAICS'!A:D, 4)</f>
        <v>Other Similar Organizations (except Business, Professional, Labor, and
Political Organizations)</v>
      </c>
      <c r="Q1101" s="176" t="e">
        <f>IFERROR(VLOOKUP(O1101, 'NAICS OES crosswalk'!A:C, 3, FALSE), VLOOKUP(M1101, 'NAICS OES crosswalk'!A:C, 3, FALSE))</f>
        <v>#N/A</v>
      </c>
      <c r="U1101" s="188">
        <v>150100150505</v>
      </c>
      <c r="V1101" s="11" t="s">
        <v>825</v>
      </c>
      <c r="W1101" s="11"/>
      <c r="X1101" s="11">
        <v>7.2391909999999999E-4</v>
      </c>
      <c r="Y1101" s="11" t="b">
        <f t="shared" si="19"/>
        <v>1</v>
      </c>
    </row>
    <row r="1102" spans="1:25" ht="29" x14ac:dyDescent="0.35">
      <c r="A1102" s="11">
        <v>2023</v>
      </c>
      <c r="B1102" s="11" t="s">
        <v>1980</v>
      </c>
      <c r="C1102" s="11" t="s">
        <v>1135</v>
      </c>
      <c r="D1102" s="163">
        <v>110064265496</v>
      </c>
      <c r="E1102" s="11" t="s">
        <v>182</v>
      </c>
      <c r="F1102" s="11" t="s">
        <v>183</v>
      </c>
      <c r="G1102" s="11" t="s">
        <v>1136</v>
      </c>
      <c r="H1102" s="11" t="s">
        <v>108</v>
      </c>
      <c r="I1102" s="11" t="s">
        <v>1981</v>
      </c>
      <c r="J1102" s="11">
        <v>37.304611999999999</v>
      </c>
      <c r="K1102" s="11">
        <v>-87.145292999999995</v>
      </c>
      <c r="L1102" s="11">
        <v>4952</v>
      </c>
      <c r="M1102" s="11">
        <v>4952</v>
      </c>
      <c r="N1102" s="175" t="str">
        <f>VLOOKUP(M1102, '2017 SIC to NAICS'!A:D, 2)</f>
        <v>Sewerage Systems</v>
      </c>
      <c r="O1102" s="11">
        <v>221320</v>
      </c>
      <c r="P1102" s="187" t="str">
        <f>VLOOKUP(M1102, '2017 SIC to NAICS'!A:D, 4)</f>
        <v>Sewage Treatment Facilities</v>
      </c>
      <c r="Q1102" s="176" t="str">
        <f>IFERROR(VLOOKUP(O1102, 'NAICS OES crosswalk'!A:C, 3, FALSE), VLOOKUP(M1102, 'NAICS OES crosswalk'!A:C, 3, FALSE))</f>
        <v>Waste handling, disposal, and treatment</v>
      </c>
      <c r="U1102" s="190" t="s">
        <v>1138</v>
      </c>
      <c r="V1102" s="11" t="s">
        <v>1137</v>
      </c>
      <c r="W1102" s="11"/>
      <c r="X1102" s="11">
        <v>5.9681879999999999E-4</v>
      </c>
      <c r="Y1102" s="11" t="b">
        <f t="shared" si="19"/>
        <v>1</v>
      </c>
    </row>
    <row r="1103" spans="1:25" x14ac:dyDescent="0.35">
      <c r="A1103" s="11">
        <v>2023</v>
      </c>
      <c r="B1103" s="11" t="s">
        <v>1980</v>
      </c>
      <c r="C1103" s="11" t="s">
        <v>759</v>
      </c>
      <c r="D1103" s="163">
        <v>110064624018</v>
      </c>
      <c r="E1103" s="11" t="s">
        <v>334</v>
      </c>
      <c r="F1103" s="11" t="s">
        <v>335</v>
      </c>
      <c r="G1103" s="11" t="s">
        <v>335</v>
      </c>
      <c r="H1103" s="11" t="s">
        <v>102</v>
      </c>
      <c r="I1103" s="11" t="s">
        <v>1981</v>
      </c>
      <c r="J1103" s="11">
        <v>33.990146000000003</v>
      </c>
      <c r="K1103" s="11">
        <v>-118.36358</v>
      </c>
      <c r="L1103" s="11">
        <v>2911</v>
      </c>
      <c r="M1103" s="11">
        <v>2911</v>
      </c>
      <c r="N1103" s="175" t="str">
        <f>VLOOKUP(M1103, '2017 SIC to NAICS'!A:D, 2)</f>
        <v>Petroleum Refining</v>
      </c>
      <c r="P1103" s="187" t="str">
        <f>VLOOKUP(M1103, '2017 SIC to NAICS'!A:D, 4)</f>
        <v>Petroleum Refineries</v>
      </c>
      <c r="Q1103" s="176" t="e">
        <f>IFERROR(VLOOKUP(O1103, 'NAICS OES crosswalk'!A:C, 3, FALSE), VLOOKUP(M1103, 'NAICS OES crosswalk'!A:C, 3, FALSE))</f>
        <v>#N/A</v>
      </c>
      <c r="U1103" s="188">
        <v>180701040300</v>
      </c>
      <c r="V1103" s="11" t="s">
        <v>762</v>
      </c>
      <c r="W1103" s="11"/>
      <c r="X1103" s="11">
        <v>5.5261000000000004E-4</v>
      </c>
      <c r="Y1103" s="11" t="b">
        <f t="shared" si="19"/>
        <v>1</v>
      </c>
    </row>
    <row r="1104" spans="1:25" x14ac:dyDescent="0.35">
      <c r="A1104" s="11">
        <v>2023</v>
      </c>
      <c r="B1104" s="11" t="s">
        <v>1980</v>
      </c>
      <c r="C1104" s="11" t="s">
        <v>1698</v>
      </c>
      <c r="D1104" s="163">
        <v>110000463677</v>
      </c>
      <c r="E1104" s="11" t="s">
        <v>649</v>
      </c>
      <c r="F1104" s="11" t="s">
        <v>421</v>
      </c>
      <c r="G1104" s="11" t="s">
        <v>747</v>
      </c>
      <c r="H1104" s="11" t="s">
        <v>95</v>
      </c>
      <c r="I1104" s="11" t="s">
        <v>1982</v>
      </c>
      <c r="J1104" s="11">
        <v>29.726065999999999</v>
      </c>
      <c r="K1104" s="11">
        <v>-95.079583999999997</v>
      </c>
      <c r="L1104" s="11">
        <v>2821</v>
      </c>
      <c r="M1104" s="11">
        <v>2821</v>
      </c>
      <c r="N1104" s="175" t="str">
        <f>VLOOKUP(M1104, '2017 SIC to NAICS'!A:D, 2)</f>
        <v>Plastics Materials and Resins</v>
      </c>
      <c r="P1104" s="187" t="str">
        <f>VLOOKUP(M1104, '2017 SIC to NAICS'!A:D, 4)</f>
        <v>Plastics Material and Resin Manufacturing</v>
      </c>
      <c r="Q1104" s="176" t="str">
        <f>IFERROR(VLOOKUP(O1104, 'NAICS OES crosswalk'!A:C, 3, FALSE), VLOOKUP(M1104, 'NAICS OES crosswalk'!A:C, 3, FALSE))</f>
        <v>Processing as a reactant</v>
      </c>
      <c r="U1104" s="188">
        <v>120401040706</v>
      </c>
      <c r="V1104" s="11" t="s">
        <v>750</v>
      </c>
      <c r="W1104" s="11"/>
      <c r="X1104" s="11">
        <v>3.4964810000000001E-3</v>
      </c>
      <c r="Y1104" s="11" t="b">
        <f t="shared" si="19"/>
        <v>0</v>
      </c>
    </row>
    <row r="1105" spans="1:25" ht="29" x14ac:dyDescent="0.35">
      <c r="A1105" s="11">
        <v>2023</v>
      </c>
      <c r="B1105" s="11" t="s">
        <v>1980</v>
      </c>
      <c r="C1105" s="11" t="s">
        <v>1091</v>
      </c>
      <c r="D1105" s="163">
        <v>110000736730</v>
      </c>
      <c r="E1105" s="11" t="s">
        <v>277</v>
      </c>
      <c r="F1105" s="11" t="s">
        <v>278</v>
      </c>
      <c r="G1105" s="11" t="s">
        <v>1092</v>
      </c>
      <c r="H1105" s="11" t="s">
        <v>108</v>
      </c>
      <c r="I1105" s="11" t="s">
        <v>1981</v>
      </c>
      <c r="J1105" s="11">
        <v>36.856732000000001</v>
      </c>
      <c r="K1105" s="11">
        <v>-86.889048000000003</v>
      </c>
      <c r="L1105" s="11">
        <v>4952</v>
      </c>
      <c r="M1105" s="11">
        <v>4952</v>
      </c>
      <c r="N1105" s="175" t="str">
        <f>VLOOKUP(M1105, '2017 SIC to NAICS'!A:D, 2)</f>
        <v>Sewerage Systems</v>
      </c>
      <c r="O1105" s="11">
        <v>221320</v>
      </c>
      <c r="P1105" s="187" t="str">
        <f>VLOOKUP(M1105, '2017 SIC to NAICS'!A:D, 4)</f>
        <v>Sewage Treatment Facilities</v>
      </c>
      <c r="Q1105" s="176" t="str">
        <f>IFERROR(VLOOKUP(O1105, 'NAICS OES crosswalk'!A:C, 3, FALSE), VLOOKUP(M1105, 'NAICS OES crosswalk'!A:C, 3, FALSE))</f>
        <v>Waste handling, disposal, and treatment</v>
      </c>
      <c r="U1105" s="190" t="s">
        <v>1094</v>
      </c>
      <c r="V1105" s="11" t="s">
        <v>1093</v>
      </c>
      <c r="W1105" s="11"/>
      <c r="X1105" s="11">
        <v>4.6557392499999999E-4</v>
      </c>
      <c r="Y1105" s="11" t="b">
        <f t="shared" si="19"/>
        <v>1</v>
      </c>
    </row>
    <row r="1106" spans="1:25" x14ac:dyDescent="0.35">
      <c r="A1106" s="11">
        <v>2023</v>
      </c>
      <c r="B1106" s="11" t="s">
        <v>1980</v>
      </c>
      <c r="C1106" s="11" t="s">
        <v>1516</v>
      </c>
      <c r="D1106" s="163">
        <v>110070217974</v>
      </c>
      <c r="E1106" s="11" t="s">
        <v>684</v>
      </c>
      <c r="F1106" s="11" t="s">
        <v>685</v>
      </c>
      <c r="G1106" s="11" t="s">
        <v>1517</v>
      </c>
      <c r="H1106" s="11" t="s">
        <v>254</v>
      </c>
      <c r="I1106" s="11" t="s">
        <v>1982</v>
      </c>
      <c r="J1106" s="11">
        <v>40.52516</v>
      </c>
      <c r="K1106" s="11">
        <v>-74.601039999999998</v>
      </c>
      <c r="L1106" s="11">
        <v>2851</v>
      </c>
      <c r="M1106" s="11">
        <v>2851</v>
      </c>
      <c r="N1106" s="175" t="str">
        <f>VLOOKUP(M1106, '2017 SIC to NAICS'!A:D, 2)</f>
        <v>Paints and Allied Products</v>
      </c>
      <c r="P1106" s="187" t="str">
        <f>VLOOKUP(M1106, '2017 SIC to NAICS'!A:D, 4)</f>
        <v>Paint and Coating Manufacturing</v>
      </c>
      <c r="Q1106" s="176" t="e">
        <f>IFERROR(VLOOKUP(O1106, 'NAICS OES crosswalk'!A:C, 3, FALSE), VLOOKUP(M1106, 'NAICS OES crosswalk'!A:C, 3, FALSE))</f>
        <v>#N/A</v>
      </c>
      <c r="U1106" s="190" t="s">
        <v>1521</v>
      </c>
      <c r="V1106" s="11" t="s">
        <v>1520</v>
      </c>
      <c r="W1106" s="11"/>
      <c r="X1106" s="11">
        <v>4.4448093755999999E-4</v>
      </c>
      <c r="Y1106" s="11" t="b">
        <f t="shared" si="19"/>
        <v>1</v>
      </c>
    </row>
    <row r="1107" spans="1:25" x14ac:dyDescent="0.35">
      <c r="A1107" s="11">
        <v>2023</v>
      </c>
      <c r="B1107" s="11" t="s">
        <v>1980</v>
      </c>
      <c r="C1107" s="11" t="s">
        <v>1486</v>
      </c>
      <c r="D1107" s="163">
        <v>110041022274</v>
      </c>
      <c r="E1107" s="11" t="s">
        <v>699</v>
      </c>
      <c r="F1107" s="11" t="s">
        <v>700</v>
      </c>
      <c r="G1107" s="11" t="s">
        <v>1487</v>
      </c>
      <c r="H1107" s="11" t="s">
        <v>254</v>
      </c>
      <c r="I1107" s="11" t="s">
        <v>1981</v>
      </c>
      <c r="J1107" s="11">
        <v>39.766944000000002</v>
      </c>
      <c r="K1107" s="11">
        <v>-75.421361000000005</v>
      </c>
      <c r="L1107" s="11">
        <v>2821</v>
      </c>
      <c r="M1107" s="11">
        <v>2821</v>
      </c>
      <c r="N1107" s="175" t="str">
        <f>VLOOKUP(M1107, '2017 SIC to NAICS'!A:D, 2)</f>
        <v>Plastics Materials and Resins</v>
      </c>
      <c r="O1107" s="11">
        <v>325211</v>
      </c>
      <c r="P1107" s="187" t="str">
        <f>VLOOKUP(M1107, '2017 SIC to NAICS'!A:D, 4)</f>
        <v>Plastics Material and Resin Manufacturing</v>
      </c>
      <c r="Q1107" s="176" t="str">
        <f>IFERROR(VLOOKUP(O1107, 'NAICS OES crosswalk'!A:C, 3, FALSE), VLOOKUP(M1107, 'NAICS OES crosswalk'!A:C, 3, FALSE))</f>
        <v>Processing as a reactant</v>
      </c>
      <c r="U1107" s="190" t="s">
        <v>1490</v>
      </c>
      <c r="V1107" s="11" t="s">
        <v>1488</v>
      </c>
      <c r="W1107" s="11"/>
      <c r="X1107" s="11">
        <v>2.8900000000000001E-5</v>
      </c>
      <c r="Y1107" s="11" t="b">
        <f t="shared" si="19"/>
        <v>1</v>
      </c>
    </row>
    <row r="1108" spans="1:25" x14ac:dyDescent="0.35">
      <c r="A1108" s="11">
        <v>2023</v>
      </c>
      <c r="B1108" s="11" t="s">
        <v>1980</v>
      </c>
      <c r="C1108" s="11" t="s">
        <v>824</v>
      </c>
      <c r="D1108" s="163">
        <v>110059861065</v>
      </c>
      <c r="E1108" s="11" t="s">
        <v>677</v>
      </c>
      <c r="F1108" s="11" t="s">
        <v>337</v>
      </c>
      <c r="G1108" s="11" t="s">
        <v>823</v>
      </c>
      <c r="H1108" s="11" t="s">
        <v>221</v>
      </c>
      <c r="I1108" s="11" t="s">
        <v>1982</v>
      </c>
      <c r="J1108" s="11">
        <v>36.108890000000002</v>
      </c>
      <c r="K1108" s="11">
        <v>-115.18118</v>
      </c>
      <c r="L1108" s="11">
        <v>6531</v>
      </c>
      <c r="M1108" s="11">
        <v>6531</v>
      </c>
      <c r="N1108" s="175" t="str">
        <f>VLOOKUP(M1108, '2017 SIC to NAICS'!A:D, 2)</f>
        <v>Real Estate Agents and Managers</v>
      </c>
      <c r="P1108" s="187" t="str">
        <f>VLOOKUP(M1108, '2017 SIC to NAICS'!A:D, 4)</f>
        <v>Other Similar Organizations (except Business, Professional, Labor, and
Political Organizations)</v>
      </c>
      <c r="Q1108" s="176" t="e">
        <f>IFERROR(VLOOKUP(O1108, 'NAICS OES crosswalk'!A:C, 3, FALSE), VLOOKUP(M1108, 'NAICS OES crosswalk'!A:C, 3, FALSE))</f>
        <v>#N/A</v>
      </c>
      <c r="U1108" s="188">
        <v>150100150505</v>
      </c>
      <c r="V1108" s="11" t="s">
        <v>825</v>
      </c>
      <c r="W1108" s="11"/>
      <c r="X1108" s="11">
        <v>3.4607201250000001E-4</v>
      </c>
      <c r="Y1108" s="11" t="b">
        <f t="shared" si="19"/>
        <v>1</v>
      </c>
    </row>
    <row r="1109" spans="1:25" x14ac:dyDescent="0.35">
      <c r="A1109" s="11">
        <v>2023</v>
      </c>
      <c r="B1109" s="11" t="s">
        <v>1980</v>
      </c>
      <c r="C1109" s="11" t="s">
        <v>774</v>
      </c>
      <c r="D1109" s="163">
        <v>110000449435</v>
      </c>
      <c r="E1109" s="11" t="s">
        <v>692</v>
      </c>
      <c r="F1109" s="11" t="s">
        <v>693</v>
      </c>
      <c r="G1109" s="11" t="s">
        <v>775</v>
      </c>
      <c r="H1109" s="11" t="s">
        <v>91</v>
      </c>
      <c r="I1109" s="11" t="s">
        <v>1982</v>
      </c>
      <c r="J1109" s="11">
        <v>30.230833000000001</v>
      </c>
      <c r="K1109" s="11">
        <v>-92.306667000000004</v>
      </c>
      <c r="L1109" s="11">
        <v>5169</v>
      </c>
      <c r="M1109" s="11">
        <v>5169</v>
      </c>
      <c r="N1109" s="175" t="str">
        <f>VLOOKUP(M1109, '2017 SIC to NAICS'!A:D, 2)</f>
        <v>Chemicals and Allied Products, Nec</v>
      </c>
      <c r="P1109" s="187" t="str">
        <f>VLOOKUP(M1109, '2017 SIC to NAICS'!A:D, 4)</f>
        <v>Wholesale Trade Agents and Brokers</v>
      </c>
      <c r="Q1109" s="176" t="e">
        <f>IFERROR(VLOOKUP(O1109, 'NAICS OES crosswalk'!A:C, 3, FALSE), VLOOKUP(M1109, 'NAICS OES crosswalk'!A:C, 3, FALSE))</f>
        <v>#N/A</v>
      </c>
      <c r="U1109" s="190" t="s">
        <v>777</v>
      </c>
      <c r="V1109" s="11" t="s">
        <v>776</v>
      </c>
      <c r="W1109" s="11"/>
      <c r="X1109" s="11">
        <v>2.8784924999999999E-4</v>
      </c>
      <c r="Y1109" s="11" t="b">
        <f t="shared" si="19"/>
        <v>1</v>
      </c>
    </row>
    <row r="1110" spans="1:25" x14ac:dyDescent="0.35">
      <c r="A1110" s="11">
        <v>2023</v>
      </c>
      <c r="B1110" s="11" t="s">
        <v>1980</v>
      </c>
      <c r="C1110" s="11" t="s">
        <v>781</v>
      </c>
      <c r="D1110" s="163">
        <v>110000440416</v>
      </c>
      <c r="E1110" s="11" t="s">
        <v>198</v>
      </c>
      <c r="F1110" s="11" t="s">
        <v>199</v>
      </c>
      <c r="G1110" s="11" t="s">
        <v>782</v>
      </c>
      <c r="H1110" s="11" t="s">
        <v>129</v>
      </c>
      <c r="I1110" s="11" t="s">
        <v>1982</v>
      </c>
      <c r="J1110" s="11">
        <v>38.209220000000002</v>
      </c>
      <c r="K1110" s="11">
        <v>-90.476910000000004</v>
      </c>
      <c r="L1110" s="11">
        <v>1795</v>
      </c>
      <c r="M1110" s="11">
        <v>1795</v>
      </c>
      <c r="N1110" s="175" t="str">
        <f>VLOOKUP(M1110, '2017 SIC to NAICS'!A:D, 2)</f>
        <v>Wrecking and Demolition Work</v>
      </c>
      <c r="P1110" s="187" t="str">
        <f>VLOOKUP(M1110, '2017 SIC to NAICS'!A:D, 4)</f>
        <v>Site Preparation Contractors</v>
      </c>
      <c r="Q1110" s="176" t="e">
        <f>IFERROR(VLOOKUP(O1110, 'NAICS OES crosswalk'!A:C, 3, FALSE), VLOOKUP(M1110, 'NAICS OES crosswalk'!A:C, 3, FALSE))</f>
        <v>#N/A</v>
      </c>
      <c r="U1110" s="190" t="s">
        <v>1453</v>
      </c>
      <c r="V1110" s="11" t="s">
        <v>783</v>
      </c>
      <c r="W1110" s="11"/>
      <c r="X1110" s="11">
        <v>1.5904569999999999E-4</v>
      </c>
      <c r="Y1110" s="11" t="b">
        <f t="shared" si="19"/>
        <v>1</v>
      </c>
    </row>
    <row r="1111" spans="1:25" x14ac:dyDescent="0.35">
      <c r="A1111" s="11">
        <v>2023</v>
      </c>
      <c r="B1111" s="11" t="s">
        <v>1980</v>
      </c>
      <c r="C1111" s="11" t="s">
        <v>1756</v>
      </c>
      <c r="D1111" s="163">
        <v>110071347994</v>
      </c>
      <c r="E1111" s="11" t="s">
        <v>697</v>
      </c>
      <c r="F1111" s="11" t="s">
        <v>275</v>
      </c>
      <c r="G1111" s="11" t="s">
        <v>1718</v>
      </c>
      <c r="H1111" s="11" t="s">
        <v>276</v>
      </c>
      <c r="I1111" s="11" t="s">
        <v>1982</v>
      </c>
      <c r="J1111" s="11">
        <v>38.85615</v>
      </c>
      <c r="K1111" s="11">
        <v>-77.051146000000003</v>
      </c>
      <c r="L1111" s="11">
        <v>1794</v>
      </c>
      <c r="M1111" s="11">
        <v>1794</v>
      </c>
      <c r="N1111" s="175" t="str">
        <f>VLOOKUP(M1111, '2017 SIC to NAICS'!A:D, 2)</f>
        <v>Excavation Work</v>
      </c>
      <c r="P1111" s="187" t="str">
        <f>VLOOKUP(M1111, '2017 SIC to NAICS'!A:D, 4)</f>
        <v>Site Preparation Contractors</v>
      </c>
      <c r="Q1111" s="176" t="e">
        <f>IFERROR(VLOOKUP(O1111, 'NAICS OES crosswalk'!A:C, 3, FALSE), VLOOKUP(M1111, 'NAICS OES crosswalk'!A:C, 3, FALSE))</f>
        <v>#N/A</v>
      </c>
      <c r="U1111" s="190" t="s">
        <v>1741</v>
      </c>
      <c r="V1111" s="11" t="s">
        <v>1727</v>
      </c>
      <c r="W1111" s="11"/>
      <c r="X1111" s="11">
        <v>9.3678750000000005E-5</v>
      </c>
      <c r="Y1111" s="11" t="b">
        <f t="shared" si="19"/>
        <v>1</v>
      </c>
    </row>
    <row r="1112" spans="1:25" x14ac:dyDescent="0.35">
      <c r="A1112" s="11">
        <v>2023</v>
      </c>
      <c r="B1112" s="11" t="s">
        <v>1980</v>
      </c>
      <c r="C1112" s="11" t="s">
        <v>1596</v>
      </c>
      <c r="D1112" s="163">
        <v>110002321345</v>
      </c>
      <c r="E1112" s="11" t="s">
        <v>629</v>
      </c>
      <c r="F1112" s="11" t="s">
        <v>620</v>
      </c>
      <c r="G1112" s="11" t="s">
        <v>1589</v>
      </c>
      <c r="H1112" s="11" t="s">
        <v>126</v>
      </c>
      <c r="I1112" s="11" t="s">
        <v>1982</v>
      </c>
      <c r="J1112" s="11">
        <v>43.107216000000001</v>
      </c>
      <c r="K1112" s="11">
        <v>-75.225815999999995</v>
      </c>
      <c r="L1112" s="11">
        <v>5169</v>
      </c>
      <c r="M1112" s="11">
        <v>5169</v>
      </c>
      <c r="N1112" s="175" t="str">
        <f>VLOOKUP(M1112, '2017 SIC to NAICS'!A:D, 2)</f>
        <v>Chemicals and Allied Products, Nec</v>
      </c>
      <c r="P1112" s="187" t="str">
        <f>VLOOKUP(M1112, '2017 SIC to NAICS'!A:D, 4)</f>
        <v>Wholesale Trade Agents and Brokers</v>
      </c>
      <c r="Q1112" s="176" t="e">
        <f>IFERROR(VLOOKUP(O1112, 'NAICS OES crosswalk'!A:C, 3, FALSE), VLOOKUP(M1112, 'NAICS OES crosswalk'!A:C, 3, FALSE))</f>
        <v>#N/A</v>
      </c>
      <c r="U1112" s="190" t="s">
        <v>1584</v>
      </c>
      <c r="V1112" s="11" t="s">
        <v>1583</v>
      </c>
      <c r="W1112" s="11"/>
      <c r="X1112" s="11">
        <v>6.0083847000000001E-3</v>
      </c>
      <c r="Y1112" s="11" t="b">
        <f t="shared" si="19"/>
        <v>0</v>
      </c>
    </row>
    <row r="1113" spans="1:25" x14ac:dyDescent="0.35">
      <c r="A1113" s="11">
        <v>2023</v>
      </c>
      <c r="B1113" s="11" t="s">
        <v>1980</v>
      </c>
      <c r="C1113" s="11" t="s">
        <v>845</v>
      </c>
      <c r="D1113" s="163">
        <v>110008011490</v>
      </c>
      <c r="E1113" s="11" t="s">
        <v>445</v>
      </c>
      <c r="F1113" s="11" t="s">
        <v>446</v>
      </c>
      <c r="G1113" s="11" t="s">
        <v>846</v>
      </c>
      <c r="H1113" s="11" t="s">
        <v>126</v>
      </c>
      <c r="I1113" s="11" t="s">
        <v>1982</v>
      </c>
      <c r="J1113" s="11">
        <v>42.805160000000001</v>
      </c>
      <c r="K1113" s="11">
        <v>-78.64658</v>
      </c>
      <c r="L1113" s="11">
        <v>3492</v>
      </c>
      <c r="M1113" s="11">
        <v>3492</v>
      </c>
      <c r="N1113" s="175" t="str">
        <f>VLOOKUP(M1113, '2017 SIC to NAICS'!A:D, 2)</f>
        <v>Fluid Power Valves and Hose Fittings</v>
      </c>
      <c r="P1113" s="187" t="str">
        <f>VLOOKUP(M1113, '2017 SIC to NAICS'!A:D, 4)</f>
        <v>Fluid Power Valve and Hose Fitting
Manufacturing</v>
      </c>
      <c r="Q1113" s="176" t="e">
        <f>IFERROR(VLOOKUP(O1113, 'NAICS OES crosswalk'!A:C, 3, FALSE), VLOOKUP(M1113, 'NAICS OES crosswalk'!A:C, 3, FALSE))</f>
        <v>#N/A</v>
      </c>
      <c r="U1113" s="190" t="s">
        <v>849</v>
      </c>
      <c r="V1113" s="11" t="s">
        <v>847</v>
      </c>
      <c r="W1113" s="11"/>
      <c r="X1113" s="11">
        <v>9.3463005000000002E-2</v>
      </c>
      <c r="Y1113" s="11" t="b">
        <f t="shared" si="19"/>
        <v>0</v>
      </c>
    </row>
    <row r="1114" spans="1:25" x14ac:dyDescent="0.35">
      <c r="A1114" s="11">
        <v>2023</v>
      </c>
      <c r="B1114" s="11" t="s">
        <v>1980</v>
      </c>
      <c r="C1114" s="11" t="s">
        <v>1710</v>
      </c>
      <c r="D1114" s="163">
        <v>110010844426</v>
      </c>
      <c r="E1114" s="11" t="s">
        <v>696</v>
      </c>
      <c r="F1114" s="11" t="s">
        <v>275</v>
      </c>
      <c r="G1114" s="11" t="s">
        <v>275</v>
      </c>
      <c r="H1114" s="11" t="s">
        <v>276</v>
      </c>
      <c r="I1114" s="11" t="s">
        <v>1982</v>
      </c>
      <c r="J1114" s="11">
        <v>38.88223</v>
      </c>
      <c r="K1114" s="11">
        <v>-77.112300000000005</v>
      </c>
      <c r="L1114" s="11">
        <v>4959</v>
      </c>
      <c r="M1114" s="11">
        <v>4959</v>
      </c>
      <c r="N1114" s="175" t="str">
        <f>VLOOKUP(M1114, '2017 SIC to NAICS'!A:D, 2)</f>
        <v>Sanitary Services, Nec</v>
      </c>
      <c r="O1114" s="11">
        <v>562910</v>
      </c>
      <c r="P1114" s="187" t="str">
        <f>VLOOKUP(M1114, '2017 SIC to NAICS'!A:D, 4)</f>
        <v>All Other Miscellaneous Waste
Management Services</v>
      </c>
      <c r="Q1114" s="176" t="e">
        <f>IFERROR(VLOOKUP(O1114, 'NAICS OES crosswalk'!A:C, 3, FALSE), VLOOKUP(M1114, 'NAICS OES crosswalk'!A:C, 3, FALSE))</f>
        <v>#N/A</v>
      </c>
      <c r="U1114" s="190" t="s">
        <v>1713</v>
      </c>
      <c r="V1114" s="11" t="s">
        <v>1711</v>
      </c>
      <c r="W1114" s="11"/>
      <c r="X1114" s="11">
        <v>4.1105100000000001E-5</v>
      </c>
      <c r="Y1114" s="11" t="b">
        <f t="shared" si="19"/>
        <v>1</v>
      </c>
    </row>
    <row r="1115" spans="1:25" x14ac:dyDescent="0.35">
      <c r="A1115" s="11">
        <v>2023</v>
      </c>
      <c r="B1115" s="11" t="s">
        <v>1980</v>
      </c>
      <c r="C1115" s="11" t="s">
        <v>774</v>
      </c>
      <c r="D1115" s="163">
        <v>110000449435</v>
      </c>
      <c r="E1115" s="11" t="s">
        <v>692</v>
      </c>
      <c r="F1115" s="11" t="s">
        <v>693</v>
      </c>
      <c r="G1115" s="11" t="s">
        <v>775</v>
      </c>
      <c r="H1115" s="11" t="s">
        <v>91</v>
      </c>
      <c r="I1115" s="11" t="s">
        <v>1982</v>
      </c>
      <c r="J1115" s="11">
        <v>30.230833000000001</v>
      </c>
      <c r="K1115" s="11">
        <v>-92.306667000000004</v>
      </c>
      <c r="L1115" s="11">
        <v>5169</v>
      </c>
      <c r="M1115" s="11">
        <v>5169</v>
      </c>
      <c r="N1115" s="175" t="str">
        <f>VLOOKUP(M1115, '2017 SIC to NAICS'!A:D, 2)</f>
        <v>Chemicals and Allied Products, Nec</v>
      </c>
      <c r="P1115" s="187" t="str">
        <f>VLOOKUP(M1115, '2017 SIC to NAICS'!A:D, 4)</f>
        <v>Wholesale Trade Agents and Brokers</v>
      </c>
      <c r="Q1115" s="176" t="e">
        <f>IFERROR(VLOOKUP(O1115, 'NAICS OES crosswalk'!A:C, 3, FALSE), VLOOKUP(M1115, 'NAICS OES crosswalk'!A:C, 3, FALSE))</f>
        <v>#N/A</v>
      </c>
      <c r="U1115" s="190" t="s">
        <v>777</v>
      </c>
      <c r="V1115" s="11" t="s">
        <v>776</v>
      </c>
      <c r="W1115" s="11"/>
      <c r="X1115" s="11">
        <v>2.8784925000000001E-5</v>
      </c>
      <c r="Y1115" s="11" t="b">
        <f t="shared" si="19"/>
        <v>1</v>
      </c>
    </row>
    <row r="1116" spans="1:25" x14ac:dyDescent="0.35">
      <c r="A1116" s="11">
        <v>2023</v>
      </c>
      <c r="B1116" s="11" t="s">
        <v>1980</v>
      </c>
      <c r="C1116" s="11" t="s">
        <v>774</v>
      </c>
      <c r="D1116" s="163">
        <v>110000449435</v>
      </c>
      <c r="E1116" s="11" t="s">
        <v>692</v>
      </c>
      <c r="F1116" s="11" t="s">
        <v>693</v>
      </c>
      <c r="G1116" s="11" t="s">
        <v>775</v>
      </c>
      <c r="H1116" s="11" t="s">
        <v>91</v>
      </c>
      <c r="I1116" s="11" t="s">
        <v>1982</v>
      </c>
      <c r="J1116" s="11">
        <v>30.230833000000001</v>
      </c>
      <c r="K1116" s="11">
        <v>-92.306667000000004</v>
      </c>
      <c r="L1116" s="11">
        <v>5169</v>
      </c>
      <c r="M1116" s="11">
        <v>5169</v>
      </c>
      <c r="N1116" s="175" t="str">
        <f>VLOOKUP(M1116, '2017 SIC to NAICS'!A:D, 2)</f>
        <v>Chemicals and Allied Products, Nec</v>
      </c>
      <c r="P1116" s="187" t="str">
        <f>VLOOKUP(M1116, '2017 SIC to NAICS'!A:D, 4)</f>
        <v>Wholesale Trade Agents and Brokers</v>
      </c>
      <c r="Q1116" s="176" t="e">
        <f>IFERROR(VLOOKUP(O1116, 'NAICS OES crosswalk'!A:C, 3, FALSE), VLOOKUP(M1116, 'NAICS OES crosswalk'!A:C, 3, FALSE))</f>
        <v>#N/A</v>
      </c>
      <c r="U1116" s="190" t="s">
        <v>777</v>
      </c>
      <c r="V1116" s="11" t="s">
        <v>776</v>
      </c>
      <c r="W1116" s="11"/>
      <c r="X1116" s="11">
        <v>2.8784925000000001E-5</v>
      </c>
      <c r="Y1116" s="11" t="b">
        <f t="shared" si="19"/>
        <v>1</v>
      </c>
    </row>
    <row r="1117" spans="1:25" x14ac:dyDescent="0.35">
      <c r="A1117" s="11">
        <v>2023</v>
      </c>
      <c r="B1117" s="11" t="s">
        <v>1980</v>
      </c>
      <c r="C1117" s="11" t="s">
        <v>845</v>
      </c>
      <c r="D1117" s="163">
        <v>110008011490</v>
      </c>
      <c r="E1117" s="11" t="s">
        <v>445</v>
      </c>
      <c r="F1117" s="11" t="s">
        <v>446</v>
      </c>
      <c r="G1117" s="11" t="s">
        <v>846</v>
      </c>
      <c r="H1117" s="11" t="s">
        <v>126</v>
      </c>
      <c r="I1117" s="11" t="s">
        <v>1982</v>
      </c>
      <c r="J1117" s="11">
        <v>42.805160000000001</v>
      </c>
      <c r="K1117" s="11">
        <v>-78.64658</v>
      </c>
      <c r="L1117" s="11">
        <v>3492</v>
      </c>
      <c r="M1117" s="11">
        <v>3492</v>
      </c>
      <c r="N1117" s="175" t="str">
        <f>VLOOKUP(M1117, '2017 SIC to NAICS'!A:D, 2)</f>
        <v>Fluid Power Valves and Hose Fittings</v>
      </c>
      <c r="P1117" s="187" t="str">
        <f>VLOOKUP(M1117, '2017 SIC to NAICS'!A:D, 4)</f>
        <v>Fluid Power Valve and Hose Fitting
Manufacturing</v>
      </c>
      <c r="Q1117" s="176" t="e">
        <f>IFERROR(VLOOKUP(O1117, 'NAICS OES crosswalk'!A:C, 3, FALSE), VLOOKUP(M1117, 'NAICS OES crosswalk'!A:C, 3, FALSE))</f>
        <v>#N/A</v>
      </c>
      <c r="U1117" s="190" t="s">
        <v>849</v>
      </c>
      <c r="V1117" s="11" t="s">
        <v>847</v>
      </c>
      <c r="W1117" s="11"/>
      <c r="X1117" s="11">
        <v>3.4754627000000001E-3</v>
      </c>
      <c r="Y1117" s="11" t="b">
        <f t="shared" si="19"/>
        <v>0</v>
      </c>
    </row>
    <row r="1118" spans="1:25" x14ac:dyDescent="0.35">
      <c r="A1118" s="11">
        <v>2023</v>
      </c>
      <c r="B1118" s="11" t="s">
        <v>1980</v>
      </c>
      <c r="C1118" s="11" t="s">
        <v>1750</v>
      </c>
      <c r="D1118" s="163">
        <v>110071076435</v>
      </c>
      <c r="E1118" s="11" t="s">
        <v>681</v>
      </c>
      <c r="F1118" s="11" t="s">
        <v>645</v>
      </c>
      <c r="G1118" s="11" t="s">
        <v>1743</v>
      </c>
      <c r="H1118" s="11" t="s">
        <v>276</v>
      </c>
      <c r="I1118" s="11" t="s">
        <v>1982</v>
      </c>
      <c r="J1118" s="11">
        <v>36.840694999999997</v>
      </c>
      <c r="K1118" s="11">
        <v>-75.984082999999998</v>
      </c>
      <c r="L1118" s="11">
        <v>1799</v>
      </c>
      <c r="M1118" s="11">
        <v>1799</v>
      </c>
      <c r="N1118" s="175" t="str">
        <f>VLOOKUP(M1118, '2017 SIC to NAICS'!A:D, 2)</f>
        <v>Special Trade Contractors, Nec</v>
      </c>
      <c r="P1118" s="187" t="str">
        <f>VLOOKUP(M1118, '2017 SIC to NAICS'!A:D, 4)</f>
        <v>Remediation Services</v>
      </c>
      <c r="Q1118" s="176" t="e">
        <f>IFERROR(VLOOKUP(O1118, 'NAICS OES crosswalk'!A:C, 3, FALSE), VLOOKUP(M1118, 'NAICS OES crosswalk'!A:C, 3, FALSE))</f>
        <v>#N/A</v>
      </c>
      <c r="U1118" s="190" t="s">
        <v>1752</v>
      </c>
      <c r="V1118" s="11" t="s">
        <v>1751</v>
      </c>
      <c r="W1118" s="11"/>
      <c r="X1118" s="11">
        <v>5.0529749999999997E-6</v>
      </c>
      <c r="Y1118" s="11" t="b">
        <f t="shared" si="19"/>
        <v>1</v>
      </c>
    </row>
    <row r="1119" spans="1:25" x14ac:dyDescent="0.35">
      <c r="A1119" s="11">
        <v>2023</v>
      </c>
      <c r="B1119" s="11" t="s">
        <v>1980</v>
      </c>
      <c r="C1119" s="11" t="s">
        <v>1378</v>
      </c>
      <c r="D1119" s="163">
        <v>110056966699</v>
      </c>
      <c r="E1119" s="11" t="s">
        <v>703</v>
      </c>
      <c r="F1119" s="11" t="s">
        <v>704</v>
      </c>
      <c r="G1119" s="11" t="s">
        <v>1379</v>
      </c>
      <c r="H1119" s="11" t="s">
        <v>181</v>
      </c>
      <c r="I1119" s="11" t="s">
        <v>1981</v>
      </c>
      <c r="J1119" s="11">
        <v>41.948850999999998</v>
      </c>
      <c r="K1119" s="11">
        <v>-83.958619999999996</v>
      </c>
      <c r="L1119" s="11">
        <v>2821</v>
      </c>
      <c r="M1119" s="11">
        <v>2821</v>
      </c>
      <c r="N1119" s="175" t="str">
        <f>VLOOKUP(M1119, '2017 SIC to NAICS'!A:D, 2)</f>
        <v>Plastics Materials and Resins</v>
      </c>
      <c r="O1119" s="11">
        <v>325212</v>
      </c>
      <c r="P1119" s="187" t="str">
        <f>VLOOKUP(M1119, '2017 SIC to NAICS'!A:D, 4)</f>
        <v>Plastics Material and Resin Manufacturing</v>
      </c>
      <c r="Q1119" s="176" t="str">
        <f>IFERROR(VLOOKUP(O1119, 'NAICS OES crosswalk'!A:C, 3, FALSE), VLOOKUP(M1119, 'NAICS OES crosswalk'!A:C, 3, FALSE))</f>
        <v>Processing as a reactant</v>
      </c>
      <c r="U1119" s="190" t="s">
        <v>1381</v>
      </c>
      <c r="V1119" s="11" t="s">
        <v>1380</v>
      </c>
      <c r="W1119" s="11"/>
      <c r="X1119" s="11">
        <v>4.4919108500000003E-6</v>
      </c>
      <c r="Y1119" s="11" t="b">
        <f t="shared" si="19"/>
        <v>1</v>
      </c>
    </row>
    <row r="1120" spans="1:25" x14ac:dyDescent="0.35">
      <c r="A1120" s="11">
        <v>2023</v>
      </c>
      <c r="B1120" s="11" t="s">
        <v>1980</v>
      </c>
      <c r="C1120" s="11" t="s">
        <v>1303</v>
      </c>
      <c r="D1120" s="163">
        <v>110007015871</v>
      </c>
      <c r="E1120" s="11" t="s">
        <v>418</v>
      </c>
      <c r="F1120" s="11" t="s">
        <v>419</v>
      </c>
      <c r="G1120" s="11" t="s">
        <v>1304</v>
      </c>
      <c r="H1120" s="11" t="s">
        <v>91</v>
      </c>
      <c r="I1120" s="11" t="s">
        <v>1981</v>
      </c>
      <c r="J1120" s="11">
        <v>30.048590999999998</v>
      </c>
      <c r="K1120" s="11">
        <v>-90.630941000000007</v>
      </c>
      <c r="L1120" s="11">
        <v>2869</v>
      </c>
      <c r="M1120" s="11">
        <v>2869</v>
      </c>
      <c r="N1120" s="175" t="str">
        <f>VLOOKUP(M1120, '2017 SIC to NAICS'!A:D, 2)</f>
        <v>Industrial Organic Chemicals, Nec</v>
      </c>
      <c r="P1120" s="187" t="str">
        <f>VLOOKUP(M1120, '2017 SIC to NAICS'!A:D, 4)</f>
        <v>All Other Miscellaneous Chemical Product and Preparation Manufacturing</v>
      </c>
      <c r="Q1120" s="176" t="str">
        <f>IFERROR(VLOOKUP(O1120, 'NAICS OES crosswalk'!A:C, 3, FALSE), VLOOKUP(M1120, 'NAICS OES crosswalk'!A:C, 3, FALSE))</f>
        <v>Manufacturing</v>
      </c>
      <c r="U1120" s="190" t="s">
        <v>1307</v>
      </c>
      <c r="V1120" s="11" t="s">
        <v>1305</v>
      </c>
      <c r="W1120" s="11"/>
      <c r="X1120" s="11">
        <v>8.2854999999999998E-2</v>
      </c>
      <c r="Y1120" s="11" t="b">
        <f t="shared" si="19"/>
        <v>0</v>
      </c>
    </row>
  </sheetData>
  <sheetProtection sheet="1" objects="1" scenarios="1" formatCells="0" formatColumns="0" formatRows="0" sort="0" autoFilter="0"/>
  <autoFilter ref="A1:Y1120" xr:uid="{99832817-F5AD-48AE-A027-A54EB639EF52}"/>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7BBDD-24C1-495D-B389-D0CD617C630C}">
  <sheetPr codeName="Sheet12"/>
  <dimension ref="B1:M49"/>
  <sheetViews>
    <sheetView workbookViewId="0"/>
  </sheetViews>
  <sheetFormatPr defaultRowHeight="14.5" x14ac:dyDescent="0.35"/>
  <cols>
    <col min="1" max="1" width="8.7265625" style="11"/>
    <col min="2" max="2" width="53.7265625" style="11" bestFit="1" customWidth="1"/>
    <col min="3" max="3" width="19.7265625" style="11" bestFit="1" customWidth="1"/>
    <col min="4" max="4" width="16.26953125" style="11" customWidth="1"/>
    <col min="5" max="5" width="14.54296875" style="11" customWidth="1"/>
    <col min="6" max="11" width="8.7265625" style="11"/>
    <col min="12" max="12" width="19.7265625" style="11" bestFit="1" customWidth="1"/>
    <col min="13" max="13" width="21" style="11" customWidth="1"/>
    <col min="14" max="16384" width="8.7265625" style="11"/>
  </cols>
  <sheetData>
    <row r="1" spans="2:13" ht="15" thickBot="1" x14ac:dyDescent="0.4">
      <c r="B1" s="192" t="s">
        <v>70</v>
      </c>
      <c r="C1" s="192" t="s">
        <v>73</v>
      </c>
      <c r="D1" s="192" t="s">
        <v>1774</v>
      </c>
      <c r="E1" s="193" t="s">
        <v>711</v>
      </c>
      <c r="L1" s="192" t="s">
        <v>73</v>
      </c>
      <c r="M1" s="193" t="s">
        <v>711</v>
      </c>
    </row>
    <row r="2" spans="2:13" x14ac:dyDescent="0.35">
      <c r="B2" s="11" t="s">
        <v>93</v>
      </c>
      <c r="C2" s="11" t="s">
        <v>96</v>
      </c>
      <c r="D2" s="34" t="s">
        <v>1786</v>
      </c>
      <c r="E2" s="194">
        <v>2023</v>
      </c>
      <c r="L2" s="11" t="s">
        <v>96</v>
      </c>
      <c r="M2" s="11">
        <f>_xlfn.MAXIFS($E$2:$E$139, $C$2:$C$139, L2)</f>
        <v>2023</v>
      </c>
    </row>
    <row r="3" spans="2:13" x14ac:dyDescent="0.35">
      <c r="B3" s="34"/>
      <c r="C3" s="34"/>
      <c r="D3" s="34"/>
      <c r="E3" s="194"/>
      <c r="L3" s="34"/>
      <c r="M3" s="11">
        <f t="shared" ref="M3:M49" si="0">_xlfn.MAXIFS($E$2:$E$139, $C$2:$C$139, L3)</f>
        <v>0</v>
      </c>
    </row>
    <row r="4" spans="2:13" x14ac:dyDescent="0.35">
      <c r="B4" s="34"/>
      <c r="C4" s="34"/>
      <c r="D4" s="34"/>
      <c r="E4" s="194"/>
      <c r="L4" s="34"/>
      <c r="M4" s="11">
        <f t="shared" si="0"/>
        <v>0</v>
      </c>
    </row>
    <row r="5" spans="2:13" x14ac:dyDescent="0.35">
      <c r="B5" s="34"/>
      <c r="C5" s="34"/>
      <c r="D5" s="34"/>
      <c r="E5" s="194"/>
      <c r="L5" s="34"/>
      <c r="M5" s="11">
        <f t="shared" si="0"/>
        <v>0</v>
      </c>
    </row>
    <row r="6" spans="2:13" x14ac:dyDescent="0.35">
      <c r="B6" s="34"/>
      <c r="C6" s="34"/>
      <c r="D6" s="34"/>
      <c r="E6" s="194"/>
      <c r="L6" s="34"/>
      <c r="M6" s="11">
        <f t="shared" si="0"/>
        <v>0</v>
      </c>
    </row>
    <row r="7" spans="2:13" x14ac:dyDescent="0.35">
      <c r="B7" s="34"/>
      <c r="C7" s="34"/>
      <c r="D7" s="34"/>
      <c r="E7" s="194"/>
      <c r="L7" s="34"/>
      <c r="M7" s="11">
        <f t="shared" si="0"/>
        <v>0</v>
      </c>
    </row>
    <row r="8" spans="2:13" x14ac:dyDescent="0.35">
      <c r="B8" s="34"/>
      <c r="C8" s="34"/>
      <c r="D8" s="34"/>
      <c r="E8" s="194"/>
      <c r="L8" s="34"/>
      <c r="M8" s="11">
        <f t="shared" si="0"/>
        <v>0</v>
      </c>
    </row>
    <row r="9" spans="2:13" x14ac:dyDescent="0.35">
      <c r="B9" s="34"/>
      <c r="C9" s="34"/>
      <c r="D9" s="34"/>
      <c r="E9" s="194"/>
      <c r="I9" s="11" t="s">
        <v>1904</v>
      </c>
      <c r="L9" s="34"/>
      <c r="M9" s="11">
        <f t="shared" si="0"/>
        <v>0</v>
      </c>
    </row>
    <row r="10" spans="2:13" x14ac:dyDescent="0.35">
      <c r="B10" s="34"/>
      <c r="C10" s="34"/>
      <c r="D10" s="34"/>
      <c r="E10" s="194"/>
      <c r="L10" s="34"/>
      <c r="M10" s="11">
        <f t="shared" si="0"/>
        <v>0</v>
      </c>
    </row>
    <row r="11" spans="2:13" x14ac:dyDescent="0.35">
      <c r="B11" s="34"/>
      <c r="C11" s="34"/>
      <c r="D11" s="34"/>
      <c r="E11" s="194"/>
      <c r="L11" s="34"/>
      <c r="M11" s="11">
        <f t="shared" si="0"/>
        <v>0</v>
      </c>
    </row>
    <row r="12" spans="2:13" x14ac:dyDescent="0.35">
      <c r="B12" s="34"/>
      <c r="C12" s="34"/>
      <c r="D12" s="34"/>
      <c r="E12" s="194"/>
      <c r="L12" s="34"/>
      <c r="M12" s="11">
        <f t="shared" si="0"/>
        <v>0</v>
      </c>
    </row>
    <row r="13" spans="2:13" x14ac:dyDescent="0.35">
      <c r="B13" s="34"/>
      <c r="C13" s="34"/>
      <c r="D13" s="34"/>
      <c r="E13" s="194"/>
      <c r="L13" s="34"/>
      <c r="M13" s="11">
        <f t="shared" si="0"/>
        <v>0</v>
      </c>
    </row>
    <row r="14" spans="2:13" x14ac:dyDescent="0.35">
      <c r="B14" s="34"/>
      <c r="C14" s="34"/>
      <c r="D14" s="34"/>
      <c r="E14" s="194"/>
      <c r="L14" s="34"/>
      <c r="M14" s="11">
        <f t="shared" si="0"/>
        <v>0</v>
      </c>
    </row>
    <row r="15" spans="2:13" x14ac:dyDescent="0.35">
      <c r="B15" s="34"/>
      <c r="C15" s="34"/>
      <c r="D15" s="34"/>
      <c r="E15" s="194"/>
      <c r="L15" s="34"/>
      <c r="M15" s="11">
        <f t="shared" si="0"/>
        <v>0</v>
      </c>
    </row>
    <row r="16" spans="2:13" x14ac:dyDescent="0.35">
      <c r="B16" s="34"/>
      <c r="C16" s="34"/>
      <c r="D16" s="34"/>
      <c r="E16" s="194"/>
      <c r="L16" s="34"/>
      <c r="M16" s="11">
        <f t="shared" si="0"/>
        <v>0</v>
      </c>
    </row>
    <row r="17" spans="12:13" x14ac:dyDescent="0.35">
      <c r="L17" s="34"/>
      <c r="M17" s="11">
        <f t="shared" si="0"/>
        <v>0</v>
      </c>
    </row>
    <row r="18" spans="12:13" x14ac:dyDescent="0.35">
      <c r="L18" s="34"/>
      <c r="M18" s="11">
        <f t="shared" si="0"/>
        <v>0</v>
      </c>
    </row>
    <row r="19" spans="12:13" x14ac:dyDescent="0.35">
      <c r="L19" s="34"/>
      <c r="M19" s="11">
        <f t="shared" si="0"/>
        <v>0</v>
      </c>
    </row>
    <row r="20" spans="12:13" x14ac:dyDescent="0.35">
      <c r="L20" s="34"/>
      <c r="M20" s="11">
        <f t="shared" si="0"/>
        <v>0</v>
      </c>
    </row>
    <row r="21" spans="12:13" x14ac:dyDescent="0.35">
      <c r="L21" s="34"/>
      <c r="M21" s="11">
        <f t="shared" si="0"/>
        <v>0</v>
      </c>
    </row>
    <row r="22" spans="12:13" x14ac:dyDescent="0.35">
      <c r="L22" s="34"/>
      <c r="M22" s="11">
        <f t="shared" si="0"/>
        <v>0</v>
      </c>
    </row>
    <row r="23" spans="12:13" x14ac:dyDescent="0.35">
      <c r="L23" s="34"/>
      <c r="M23" s="11">
        <f t="shared" si="0"/>
        <v>0</v>
      </c>
    </row>
    <row r="24" spans="12:13" x14ac:dyDescent="0.35">
      <c r="L24" s="34"/>
      <c r="M24" s="11">
        <f t="shared" si="0"/>
        <v>0</v>
      </c>
    </row>
    <row r="25" spans="12:13" x14ac:dyDescent="0.35">
      <c r="L25" s="34"/>
      <c r="M25" s="11">
        <f t="shared" si="0"/>
        <v>0</v>
      </c>
    </row>
    <row r="26" spans="12:13" x14ac:dyDescent="0.35">
      <c r="L26" s="34"/>
      <c r="M26" s="11">
        <f t="shared" si="0"/>
        <v>0</v>
      </c>
    </row>
    <row r="27" spans="12:13" x14ac:dyDescent="0.35">
      <c r="L27" s="34"/>
      <c r="M27" s="11">
        <f t="shared" si="0"/>
        <v>0</v>
      </c>
    </row>
    <row r="28" spans="12:13" x14ac:dyDescent="0.35">
      <c r="L28" s="34"/>
      <c r="M28" s="11">
        <f t="shared" si="0"/>
        <v>0</v>
      </c>
    </row>
    <row r="29" spans="12:13" x14ac:dyDescent="0.35">
      <c r="L29" s="34"/>
      <c r="M29" s="11">
        <f t="shared" si="0"/>
        <v>0</v>
      </c>
    </row>
    <row r="30" spans="12:13" x14ac:dyDescent="0.35">
      <c r="L30" s="34"/>
      <c r="M30" s="11">
        <f t="shared" si="0"/>
        <v>0</v>
      </c>
    </row>
    <row r="31" spans="12:13" x14ac:dyDescent="0.35">
      <c r="L31" s="34"/>
      <c r="M31" s="11">
        <f t="shared" si="0"/>
        <v>0</v>
      </c>
    </row>
    <row r="32" spans="12:13" x14ac:dyDescent="0.35">
      <c r="L32" s="34"/>
      <c r="M32" s="11">
        <f t="shared" si="0"/>
        <v>0</v>
      </c>
    </row>
    <row r="33" spans="12:13" x14ac:dyDescent="0.35">
      <c r="L33" s="34"/>
      <c r="M33" s="11">
        <f t="shared" si="0"/>
        <v>0</v>
      </c>
    </row>
    <row r="34" spans="12:13" x14ac:dyDescent="0.35">
      <c r="L34" s="34"/>
      <c r="M34" s="11">
        <f t="shared" si="0"/>
        <v>0</v>
      </c>
    </row>
    <row r="35" spans="12:13" x14ac:dyDescent="0.35">
      <c r="L35" s="34"/>
      <c r="M35" s="11">
        <f t="shared" si="0"/>
        <v>0</v>
      </c>
    </row>
    <row r="36" spans="12:13" x14ac:dyDescent="0.35">
      <c r="L36" s="34"/>
      <c r="M36" s="11">
        <f t="shared" si="0"/>
        <v>0</v>
      </c>
    </row>
    <row r="37" spans="12:13" x14ac:dyDescent="0.35">
      <c r="L37" s="34"/>
      <c r="M37" s="11">
        <f t="shared" si="0"/>
        <v>0</v>
      </c>
    </row>
    <row r="38" spans="12:13" x14ac:dyDescent="0.35">
      <c r="L38" s="34"/>
      <c r="M38" s="11">
        <f t="shared" si="0"/>
        <v>0</v>
      </c>
    </row>
    <row r="39" spans="12:13" x14ac:dyDescent="0.35">
      <c r="L39" s="34"/>
      <c r="M39" s="11">
        <f t="shared" si="0"/>
        <v>0</v>
      </c>
    </row>
    <row r="40" spans="12:13" x14ac:dyDescent="0.35">
      <c r="L40" s="34"/>
      <c r="M40" s="11">
        <f t="shared" si="0"/>
        <v>0</v>
      </c>
    </row>
    <row r="41" spans="12:13" x14ac:dyDescent="0.35">
      <c r="L41" s="34"/>
      <c r="M41" s="11">
        <f t="shared" si="0"/>
        <v>0</v>
      </c>
    </row>
    <row r="42" spans="12:13" x14ac:dyDescent="0.35">
      <c r="L42" s="34"/>
      <c r="M42" s="11">
        <f t="shared" si="0"/>
        <v>0</v>
      </c>
    </row>
    <row r="43" spans="12:13" x14ac:dyDescent="0.35">
      <c r="L43" s="34"/>
      <c r="M43" s="11">
        <f t="shared" si="0"/>
        <v>0</v>
      </c>
    </row>
    <row r="44" spans="12:13" x14ac:dyDescent="0.35">
      <c r="L44" s="34"/>
      <c r="M44" s="11">
        <f t="shared" si="0"/>
        <v>0</v>
      </c>
    </row>
    <row r="45" spans="12:13" x14ac:dyDescent="0.35">
      <c r="L45" s="34"/>
      <c r="M45" s="11">
        <f t="shared" si="0"/>
        <v>0</v>
      </c>
    </row>
    <row r="46" spans="12:13" x14ac:dyDescent="0.35">
      <c r="L46" s="34"/>
      <c r="M46" s="11">
        <f t="shared" si="0"/>
        <v>0</v>
      </c>
    </row>
    <row r="47" spans="12:13" x14ac:dyDescent="0.35">
      <c r="L47" s="34"/>
      <c r="M47" s="11">
        <f t="shared" si="0"/>
        <v>0</v>
      </c>
    </row>
    <row r="48" spans="12:13" x14ac:dyDescent="0.35">
      <c r="L48" s="34"/>
      <c r="M48" s="11">
        <f t="shared" si="0"/>
        <v>0</v>
      </c>
    </row>
    <row r="49" spans="12:13" x14ac:dyDescent="0.35">
      <c r="L49" s="34"/>
      <c r="M49" s="11">
        <f t="shared" si="0"/>
        <v>0</v>
      </c>
    </row>
  </sheetData>
  <sheetProtection sheet="1" objects="1" scenarios="1" formatCells="0" formatColumns="0" formatRows="0" sort="0" autoFilter="0"/>
  <autoFilter ref="B1:M49" xr:uid="{1607BBDD-24C1-495D-B389-D0CD617C630C}"/>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75D4A-24DA-4189-BAC3-07495A5ACCEB}">
  <sheetPr codeName="Sheet13">
    <tabColor rgb="FFFFFF00"/>
  </sheetPr>
  <dimension ref="A1:F11"/>
  <sheetViews>
    <sheetView workbookViewId="0"/>
  </sheetViews>
  <sheetFormatPr defaultRowHeight="14.5" x14ac:dyDescent="0.35"/>
  <cols>
    <col min="1" max="1" width="33.1796875" style="11" customWidth="1"/>
    <col min="2" max="2" width="69.453125" style="11" customWidth="1"/>
    <col min="3" max="3" width="120.26953125" style="11" customWidth="1"/>
    <col min="4" max="4" width="123.26953125" style="11" customWidth="1"/>
    <col min="5" max="5" width="12.54296875" style="11" bestFit="1" customWidth="1"/>
    <col min="6" max="6" width="88.26953125" style="11" customWidth="1"/>
    <col min="7" max="7" width="97.7265625" style="11" customWidth="1"/>
    <col min="8" max="8" width="38.54296875" style="11" customWidth="1"/>
    <col min="9" max="16384" width="8.7265625" style="11"/>
  </cols>
  <sheetData>
    <row r="1" spans="1:6" x14ac:dyDescent="0.35">
      <c r="A1" s="195" t="s">
        <v>1983</v>
      </c>
      <c r="B1" s="196" t="s">
        <v>1984</v>
      </c>
      <c r="C1" s="196" t="s">
        <v>26</v>
      </c>
      <c r="D1" s="196"/>
      <c r="E1" s="197" t="s">
        <v>28</v>
      </c>
      <c r="F1" s="198" t="s">
        <v>1812</v>
      </c>
    </row>
    <row r="2" spans="1:6" ht="15.5" x14ac:dyDescent="0.35">
      <c r="A2" s="199"/>
      <c r="B2" s="200"/>
      <c r="C2" s="137" t="s">
        <v>35</v>
      </c>
      <c r="D2" s="201" t="s">
        <v>1985</v>
      </c>
      <c r="E2" s="202">
        <v>350</v>
      </c>
      <c r="F2" s="203"/>
    </row>
    <row r="3" spans="1:6" ht="15.5" x14ac:dyDescent="0.35">
      <c r="A3" s="199"/>
      <c r="B3" s="204"/>
      <c r="C3" s="38" t="s">
        <v>1791</v>
      </c>
      <c r="D3" s="205" t="s">
        <v>1985</v>
      </c>
      <c r="E3" s="206">
        <v>350</v>
      </c>
      <c r="F3" s="207"/>
    </row>
    <row r="4" spans="1:6" ht="15.5" x14ac:dyDescent="0.35">
      <c r="A4" s="199"/>
      <c r="B4" s="208"/>
      <c r="C4" s="38" t="s">
        <v>37</v>
      </c>
      <c r="D4" s="205" t="s">
        <v>1985</v>
      </c>
      <c r="E4" s="206">
        <v>250</v>
      </c>
      <c r="F4" s="207"/>
    </row>
    <row r="5" spans="1:6" ht="15.5" x14ac:dyDescent="0.35">
      <c r="A5" s="199"/>
      <c r="B5" s="208"/>
      <c r="C5" s="37" t="s">
        <v>1986</v>
      </c>
      <c r="D5" s="205" t="s">
        <v>1985</v>
      </c>
      <c r="E5" s="206">
        <v>365</v>
      </c>
      <c r="F5" s="207"/>
    </row>
    <row r="6" spans="1:6" ht="14.9" customHeight="1" x14ac:dyDescent="0.35">
      <c r="A6" s="199"/>
      <c r="B6" s="208"/>
      <c r="C6" s="37" t="s">
        <v>38</v>
      </c>
      <c r="D6" s="205" t="s">
        <v>1985</v>
      </c>
      <c r="E6" s="206">
        <v>365</v>
      </c>
      <c r="F6" s="209"/>
    </row>
    <row r="7" spans="1:6" ht="14.9" customHeight="1" x14ac:dyDescent="0.35">
      <c r="A7" s="199"/>
      <c r="B7" s="208"/>
      <c r="C7" s="37" t="s">
        <v>39</v>
      </c>
      <c r="D7" s="205" t="s">
        <v>1985</v>
      </c>
      <c r="E7" s="206">
        <v>365</v>
      </c>
      <c r="F7" s="209"/>
    </row>
    <row r="8" spans="1:6" ht="15.5" x14ac:dyDescent="0.35">
      <c r="A8" s="199"/>
      <c r="B8" s="208"/>
      <c r="C8" s="37" t="s">
        <v>40</v>
      </c>
      <c r="D8" s="205" t="s">
        <v>1985</v>
      </c>
      <c r="E8" s="206">
        <v>365</v>
      </c>
      <c r="F8" s="209"/>
    </row>
    <row r="9" spans="1:6" ht="15.5" x14ac:dyDescent="0.35">
      <c r="A9" s="199"/>
      <c r="B9" s="204"/>
      <c r="C9" s="38" t="s">
        <v>41</v>
      </c>
      <c r="D9" s="205" t="s">
        <v>1985</v>
      </c>
      <c r="E9" s="206">
        <v>365</v>
      </c>
      <c r="F9" s="209"/>
    </row>
    <row r="10" spans="1:6" ht="15.5" x14ac:dyDescent="0.35">
      <c r="A10" s="199"/>
      <c r="B10" s="204"/>
      <c r="C10" s="38" t="s">
        <v>1985</v>
      </c>
      <c r="D10" s="205" t="s">
        <v>1985</v>
      </c>
      <c r="E10" s="206" t="s">
        <v>1987</v>
      </c>
      <c r="F10" s="209"/>
    </row>
    <row r="11" spans="1:6" ht="15.5" x14ac:dyDescent="0.35">
      <c r="A11" s="199"/>
      <c r="B11" s="208"/>
      <c r="C11" s="38" t="s">
        <v>1985</v>
      </c>
      <c r="D11" s="205" t="s">
        <v>1985</v>
      </c>
      <c r="E11" s="206" t="s">
        <v>1987</v>
      </c>
      <c r="F11" s="209"/>
    </row>
  </sheetData>
  <sheetProtection sheet="1" objects="1" scenarios="1" formatCells="0" formatColumns="0" formatRows="0" sort="0" autoFilter="0"/>
  <autoFilter ref="A1:F11" xr:uid="{CB875D4A-24DA-4189-BAC3-07495A5ACCEB}"/>
  <mergeCells count="3">
    <mergeCell ref="F3:F5"/>
    <mergeCell ref="F6:F9"/>
    <mergeCell ref="F10:F11"/>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EAD96-2CBB-448D-B232-E4D2AD720239}">
  <sheetPr codeName="Sheet14">
    <tabColor rgb="FF9933FF"/>
  </sheetPr>
  <dimension ref="A1:D22"/>
  <sheetViews>
    <sheetView workbookViewId="0"/>
  </sheetViews>
  <sheetFormatPr defaultRowHeight="14.5" x14ac:dyDescent="0.35"/>
  <cols>
    <col min="1" max="1" width="11.81640625" style="11" bestFit="1" customWidth="1"/>
    <col min="2" max="2" width="45" style="11" bestFit="1" customWidth="1"/>
    <col min="3" max="3" width="30.54296875" style="11" customWidth="1"/>
    <col min="4" max="16384" width="8.7265625" style="11"/>
  </cols>
  <sheetData>
    <row r="1" spans="1:3" ht="15" thickBot="1" x14ac:dyDescent="0.4">
      <c r="A1" s="210" t="s">
        <v>1988</v>
      </c>
      <c r="B1" s="211" t="s">
        <v>1989</v>
      </c>
      <c r="C1" s="212" t="s">
        <v>26</v>
      </c>
    </row>
    <row r="2" spans="1:3" ht="15.5" thickTop="1" thickBot="1" x14ac:dyDescent="0.4">
      <c r="A2" s="213">
        <v>325199</v>
      </c>
      <c r="B2" s="214" t="s">
        <v>873</v>
      </c>
      <c r="C2" s="215" t="s">
        <v>35</v>
      </c>
    </row>
    <row r="3" spans="1:3" ht="15" thickBot="1" x14ac:dyDescent="0.4">
      <c r="A3" s="213">
        <v>325180</v>
      </c>
      <c r="B3" s="214" t="s">
        <v>1797</v>
      </c>
      <c r="C3" s="215" t="s">
        <v>1990</v>
      </c>
    </row>
    <row r="4" spans="1:3" ht="15" thickBot="1" x14ac:dyDescent="0.4">
      <c r="A4" s="213">
        <v>325211</v>
      </c>
      <c r="B4" s="214" t="s">
        <v>1787</v>
      </c>
      <c r="C4" s="215" t="s">
        <v>1990</v>
      </c>
    </row>
    <row r="5" spans="1:3" ht="15" thickBot="1" x14ac:dyDescent="0.4">
      <c r="A5" s="213">
        <v>325110</v>
      </c>
      <c r="B5" s="214" t="s">
        <v>1895</v>
      </c>
      <c r="C5" s="215" t="s">
        <v>1990</v>
      </c>
    </row>
    <row r="6" spans="1:3" ht="15" thickBot="1" x14ac:dyDescent="0.4">
      <c r="A6" s="213">
        <v>332710</v>
      </c>
      <c r="B6" s="214" t="s">
        <v>1991</v>
      </c>
      <c r="C6" s="215" t="s">
        <v>1992</v>
      </c>
    </row>
    <row r="7" spans="1:3" ht="29.5" thickBot="1" x14ac:dyDescent="0.4">
      <c r="A7" s="213">
        <v>327310</v>
      </c>
      <c r="B7" s="214" t="s">
        <v>1853</v>
      </c>
      <c r="C7" s="215" t="s">
        <v>1993</v>
      </c>
    </row>
    <row r="8" spans="1:3" ht="29.5" thickBot="1" x14ac:dyDescent="0.4">
      <c r="A8" s="213">
        <v>562211</v>
      </c>
      <c r="B8" s="214" t="s">
        <v>1839</v>
      </c>
      <c r="C8" s="215" t="s">
        <v>1993</v>
      </c>
    </row>
    <row r="9" spans="1:3" ht="29.5" thickBot="1" x14ac:dyDescent="0.4">
      <c r="A9" s="213">
        <v>562213</v>
      </c>
      <c r="B9" s="214" t="s">
        <v>1858</v>
      </c>
      <c r="C9" s="215" t="s">
        <v>1993</v>
      </c>
    </row>
    <row r="10" spans="1:3" ht="15" thickBot="1" x14ac:dyDescent="0.4">
      <c r="A10" s="216">
        <v>2869</v>
      </c>
      <c r="B10" s="215" t="s">
        <v>1994</v>
      </c>
      <c r="C10" s="217" t="s">
        <v>35</v>
      </c>
    </row>
    <row r="11" spans="1:3" ht="15" thickBot="1" x14ac:dyDescent="0.4">
      <c r="A11" s="216">
        <v>2812</v>
      </c>
      <c r="B11" s="215" t="s">
        <v>1995</v>
      </c>
      <c r="C11" s="217" t="s">
        <v>1990</v>
      </c>
    </row>
    <row r="12" spans="1:3" ht="29.5" thickBot="1" x14ac:dyDescent="0.4">
      <c r="A12" s="216">
        <v>2819</v>
      </c>
      <c r="B12" s="215" t="s">
        <v>1996</v>
      </c>
      <c r="C12" s="217" t="s">
        <v>1990</v>
      </c>
    </row>
    <row r="13" spans="1:3" ht="29.5" thickBot="1" x14ac:dyDescent="0.4">
      <c r="A13" s="216">
        <v>2821</v>
      </c>
      <c r="B13" s="215" t="s">
        <v>1997</v>
      </c>
      <c r="C13" s="217" t="s">
        <v>1990</v>
      </c>
    </row>
    <row r="14" spans="1:3" ht="29.5" thickBot="1" x14ac:dyDescent="0.4">
      <c r="A14" s="216">
        <v>2843</v>
      </c>
      <c r="B14" s="215" t="s">
        <v>1998</v>
      </c>
      <c r="C14" s="217" t="s">
        <v>1990</v>
      </c>
    </row>
    <row r="15" spans="1:3" ht="29.5" thickBot="1" x14ac:dyDescent="0.4">
      <c r="A15" s="216">
        <v>3724</v>
      </c>
      <c r="B15" s="215" t="s">
        <v>1999</v>
      </c>
      <c r="C15" s="215" t="s">
        <v>1992</v>
      </c>
    </row>
    <row r="16" spans="1:3" ht="44" thickBot="1" x14ac:dyDescent="0.4">
      <c r="A16" s="216">
        <v>3764</v>
      </c>
      <c r="B16" s="215" t="s">
        <v>2000</v>
      </c>
      <c r="C16" s="215" t="s">
        <v>1992</v>
      </c>
    </row>
    <row r="17" spans="1:4" ht="15" thickBot="1" x14ac:dyDescent="0.4">
      <c r="A17" s="216">
        <v>7996</v>
      </c>
      <c r="B17" s="215" t="s">
        <v>2001</v>
      </c>
      <c r="C17" s="215" t="s">
        <v>1992</v>
      </c>
    </row>
    <row r="18" spans="1:4" ht="29.5" thickBot="1" x14ac:dyDescent="0.4">
      <c r="A18" s="216">
        <v>4952</v>
      </c>
      <c r="B18" s="215" t="s">
        <v>2002</v>
      </c>
      <c r="C18" s="217" t="s">
        <v>2003</v>
      </c>
    </row>
    <row r="19" spans="1:4" ht="29.5" thickBot="1" x14ac:dyDescent="0.4">
      <c r="A19" s="216">
        <v>4953</v>
      </c>
      <c r="B19" s="215" t="s">
        <v>2004</v>
      </c>
      <c r="C19" s="217" t="s">
        <v>2003</v>
      </c>
    </row>
    <row r="20" spans="1:4" ht="29.5" thickBot="1" x14ac:dyDescent="0.4">
      <c r="A20" s="216">
        <v>7216</v>
      </c>
      <c r="B20" s="215" t="s">
        <v>2005</v>
      </c>
      <c r="C20" s="217" t="s">
        <v>739</v>
      </c>
    </row>
    <row r="21" spans="1:4" ht="29.5" thickBot="1" x14ac:dyDescent="0.4">
      <c r="A21" s="216">
        <v>9999</v>
      </c>
      <c r="B21" s="215" t="s">
        <v>2006</v>
      </c>
      <c r="C21" s="217" t="s">
        <v>739</v>
      </c>
    </row>
    <row r="22" spans="1:4" ht="15" thickBot="1" x14ac:dyDescent="0.4">
      <c r="A22" s="11">
        <v>327992</v>
      </c>
      <c r="B22" s="11" t="s">
        <v>2007</v>
      </c>
      <c r="C22" s="215" t="s">
        <v>1990</v>
      </c>
      <c r="D22" s="11" t="s">
        <v>2008</v>
      </c>
    </row>
  </sheetData>
  <sheetProtection sheet="1" objects="1" scenarios="1" formatCells="0" formatColumns="0" formatRows="0" sort="0" autoFilter="0"/>
  <autoFilter ref="A1:D22" xr:uid="{989EAD96-2CBB-448D-B232-E4D2AD720239}"/>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A50BA-80C9-4E2C-8911-C10D36A6C062}">
  <sheetPr codeName="Sheet15">
    <tabColor rgb="FF9933FF"/>
  </sheetPr>
  <dimension ref="A1:K1153"/>
  <sheetViews>
    <sheetView workbookViewId="0">
      <selection sqref="A1:D1"/>
    </sheetView>
  </sheetViews>
  <sheetFormatPr defaultRowHeight="14.5" x14ac:dyDescent="0.35"/>
  <cols>
    <col min="1" max="1" width="8.7265625" style="11"/>
    <col min="2" max="2" width="35.54296875" style="11" customWidth="1"/>
    <col min="3" max="3" width="8.7265625" style="11"/>
    <col min="4" max="4" width="35.54296875" style="11" customWidth="1"/>
    <col min="5" max="16384" width="8.7265625" style="11"/>
  </cols>
  <sheetData>
    <row r="1" spans="1:4" ht="18" x14ac:dyDescent="0.4">
      <c r="A1" s="218" t="s">
        <v>2009</v>
      </c>
      <c r="B1" s="219"/>
      <c r="C1" s="219"/>
      <c r="D1" s="219"/>
    </row>
    <row r="2" spans="1:4" ht="40.5" customHeight="1" x14ac:dyDescent="0.35">
      <c r="A2" s="220" t="s">
        <v>2010</v>
      </c>
      <c r="B2" s="221"/>
      <c r="C2" s="221"/>
      <c r="D2" s="221"/>
    </row>
    <row r="3" spans="1:4" ht="42.75" customHeight="1" x14ac:dyDescent="0.35">
      <c r="A3" s="222" t="s">
        <v>2011</v>
      </c>
      <c r="B3" s="223" t="s">
        <v>2012</v>
      </c>
      <c r="C3" s="222" t="s">
        <v>2013</v>
      </c>
      <c r="D3" s="222" t="s">
        <v>2014</v>
      </c>
    </row>
    <row r="4" spans="1:4" x14ac:dyDescent="0.35">
      <c r="A4" s="224">
        <v>111110</v>
      </c>
      <c r="B4" s="224" t="s">
        <v>2015</v>
      </c>
      <c r="C4" s="224">
        <v>111110</v>
      </c>
      <c r="D4" s="224" t="s">
        <v>2015</v>
      </c>
    </row>
    <row r="5" spans="1:4" x14ac:dyDescent="0.35">
      <c r="A5" s="224">
        <v>111120</v>
      </c>
      <c r="B5" s="224" t="s">
        <v>2016</v>
      </c>
      <c r="C5" s="224">
        <v>111120</v>
      </c>
      <c r="D5" s="224" t="s">
        <v>2016</v>
      </c>
    </row>
    <row r="6" spans="1:4" x14ac:dyDescent="0.35">
      <c r="A6" s="224">
        <v>111130</v>
      </c>
      <c r="B6" s="224" t="s">
        <v>2017</v>
      </c>
      <c r="C6" s="224">
        <v>111130</v>
      </c>
      <c r="D6" s="224" t="s">
        <v>2017</v>
      </c>
    </row>
    <row r="7" spans="1:4" x14ac:dyDescent="0.35">
      <c r="A7" s="224">
        <v>111140</v>
      </c>
      <c r="B7" s="224" t="s">
        <v>2018</v>
      </c>
      <c r="C7" s="224">
        <v>111140</v>
      </c>
      <c r="D7" s="224" t="s">
        <v>2018</v>
      </c>
    </row>
    <row r="8" spans="1:4" x14ac:dyDescent="0.35">
      <c r="A8" s="224">
        <v>111150</v>
      </c>
      <c r="B8" s="224" t="s">
        <v>2019</v>
      </c>
      <c r="C8" s="224">
        <v>111150</v>
      </c>
      <c r="D8" s="224" t="s">
        <v>2019</v>
      </c>
    </row>
    <row r="9" spans="1:4" x14ac:dyDescent="0.35">
      <c r="A9" s="224">
        <v>111160</v>
      </c>
      <c r="B9" s="224" t="s">
        <v>2020</v>
      </c>
      <c r="C9" s="224">
        <v>111160</v>
      </c>
      <c r="D9" s="224" t="s">
        <v>2020</v>
      </c>
    </row>
    <row r="10" spans="1:4" x14ac:dyDescent="0.35">
      <c r="A10" s="224">
        <v>111191</v>
      </c>
      <c r="B10" s="224" t="s">
        <v>2021</v>
      </c>
      <c r="C10" s="224">
        <v>111191</v>
      </c>
      <c r="D10" s="224" t="s">
        <v>2021</v>
      </c>
    </row>
    <row r="11" spans="1:4" x14ac:dyDescent="0.35">
      <c r="A11" s="224">
        <v>111199</v>
      </c>
      <c r="B11" s="224" t="s">
        <v>2022</v>
      </c>
      <c r="C11" s="224">
        <v>111199</v>
      </c>
      <c r="D11" s="224" t="s">
        <v>2022</v>
      </c>
    </row>
    <row r="12" spans="1:4" x14ac:dyDescent="0.35">
      <c r="A12" s="224">
        <v>111211</v>
      </c>
      <c r="B12" s="224" t="s">
        <v>2023</v>
      </c>
      <c r="C12" s="224">
        <v>111211</v>
      </c>
      <c r="D12" s="224" t="s">
        <v>2023</v>
      </c>
    </row>
    <row r="13" spans="1:4" ht="25" x14ac:dyDescent="0.35">
      <c r="A13" s="224">
        <v>111219</v>
      </c>
      <c r="B13" s="224" t="s">
        <v>2024</v>
      </c>
      <c r="C13" s="224">
        <v>111219</v>
      </c>
      <c r="D13" s="224" t="s">
        <v>2024</v>
      </c>
    </row>
    <row r="14" spans="1:4" x14ac:dyDescent="0.35">
      <c r="A14" s="224">
        <v>111310</v>
      </c>
      <c r="B14" s="224" t="s">
        <v>2025</v>
      </c>
      <c r="C14" s="224">
        <v>111310</v>
      </c>
      <c r="D14" s="224" t="s">
        <v>2025</v>
      </c>
    </row>
    <row r="15" spans="1:4" x14ac:dyDescent="0.35">
      <c r="A15" s="224">
        <v>111320</v>
      </c>
      <c r="B15" s="224" t="s">
        <v>2026</v>
      </c>
      <c r="C15" s="224">
        <v>111320</v>
      </c>
      <c r="D15" s="224" t="s">
        <v>2026</v>
      </c>
    </row>
    <row r="16" spans="1:4" x14ac:dyDescent="0.35">
      <c r="A16" s="224">
        <v>111331</v>
      </c>
      <c r="B16" s="224" t="s">
        <v>2027</v>
      </c>
      <c r="C16" s="224">
        <v>111331</v>
      </c>
      <c r="D16" s="224" t="s">
        <v>2027</v>
      </c>
    </row>
    <row r="17" spans="1:6" x14ac:dyDescent="0.35">
      <c r="A17" s="224">
        <v>111332</v>
      </c>
      <c r="B17" s="224" t="s">
        <v>2028</v>
      </c>
      <c r="C17" s="224">
        <v>111332</v>
      </c>
      <c r="D17" s="224" t="s">
        <v>2028</v>
      </c>
      <c r="E17" s="225"/>
    </row>
    <row r="18" spans="1:6" x14ac:dyDescent="0.35">
      <c r="A18" s="224">
        <v>111333</v>
      </c>
      <c r="B18" s="224" t="s">
        <v>2029</v>
      </c>
      <c r="C18" s="224">
        <v>111333</v>
      </c>
      <c r="D18" s="224" t="s">
        <v>2029</v>
      </c>
      <c r="E18" s="225"/>
    </row>
    <row r="19" spans="1:6" x14ac:dyDescent="0.35">
      <c r="A19" s="224">
        <v>111334</v>
      </c>
      <c r="B19" s="224" t="s">
        <v>2030</v>
      </c>
      <c r="C19" s="224">
        <v>111334</v>
      </c>
      <c r="D19" s="224" t="s">
        <v>2030</v>
      </c>
      <c r="E19" s="225"/>
    </row>
    <row r="20" spans="1:6" x14ac:dyDescent="0.35">
      <c r="A20" s="224">
        <v>111335</v>
      </c>
      <c r="B20" s="224" t="s">
        <v>2031</v>
      </c>
      <c r="C20" s="224">
        <v>111335</v>
      </c>
      <c r="D20" s="224" t="s">
        <v>2031</v>
      </c>
      <c r="E20" s="225"/>
    </row>
    <row r="21" spans="1:6" x14ac:dyDescent="0.35">
      <c r="A21" s="224">
        <v>111336</v>
      </c>
      <c r="B21" s="224" t="s">
        <v>2032</v>
      </c>
      <c r="C21" s="224">
        <v>111336</v>
      </c>
      <c r="D21" s="224" t="s">
        <v>2032</v>
      </c>
      <c r="E21" s="225"/>
    </row>
    <row r="22" spans="1:6" x14ac:dyDescent="0.35">
      <c r="A22" s="224">
        <v>111339</v>
      </c>
      <c r="B22" s="224" t="s">
        <v>2033</v>
      </c>
      <c r="C22" s="224">
        <v>111339</v>
      </c>
      <c r="D22" s="224" t="s">
        <v>2033</v>
      </c>
      <c r="E22" s="225"/>
    </row>
    <row r="23" spans="1:6" x14ac:dyDescent="0.35">
      <c r="A23" s="224">
        <v>111411</v>
      </c>
      <c r="B23" s="224" t="s">
        <v>2034</v>
      </c>
      <c r="C23" s="224">
        <v>111411</v>
      </c>
      <c r="D23" s="224" t="s">
        <v>2034</v>
      </c>
      <c r="E23" s="225"/>
    </row>
    <row r="24" spans="1:6" x14ac:dyDescent="0.35">
      <c r="A24" s="224">
        <v>111419</v>
      </c>
      <c r="B24" s="224" t="s">
        <v>2035</v>
      </c>
      <c r="C24" s="224">
        <v>111419</v>
      </c>
      <c r="D24" s="224" t="s">
        <v>2035</v>
      </c>
      <c r="E24" s="225"/>
    </row>
    <row r="25" spans="1:6" x14ac:dyDescent="0.35">
      <c r="A25" s="224">
        <v>111421</v>
      </c>
      <c r="B25" s="224" t="s">
        <v>2036</v>
      </c>
      <c r="C25" s="224">
        <v>111421</v>
      </c>
      <c r="D25" s="224" t="s">
        <v>2036</v>
      </c>
      <c r="E25" s="225"/>
    </row>
    <row r="26" spans="1:6" x14ac:dyDescent="0.35">
      <c r="A26" s="224">
        <v>111422</v>
      </c>
      <c r="B26" s="224" t="s">
        <v>2037</v>
      </c>
      <c r="C26" s="224">
        <v>111422</v>
      </c>
      <c r="D26" s="224" t="s">
        <v>2037</v>
      </c>
      <c r="E26" s="225"/>
    </row>
    <row r="27" spans="1:6" x14ac:dyDescent="0.35">
      <c r="A27" s="224">
        <v>111910</v>
      </c>
      <c r="B27" s="224" t="s">
        <v>2038</v>
      </c>
      <c r="C27" s="224">
        <v>111910</v>
      </c>
      <c r="D27" s="224" t="s">
        <v>2038</v>
      </c>
      <c r="E27" s="225"/>
      <c r="F27" s="11" t="s">
        <v>1904</v>
      </c>
    </row>
    <row r="28" spans="1:6" x14ac:dyDescent="0.35">
      <c r="A28" s="224">
        <v>111920</v>
      </c>
      <c r="B28" s="224" t="s">
        <v>2039</v>
      </c>
      <c r="C28" s="224">
        <v>111920</v>
      </c>
      <c r="D28" s="224" t="s">
        <v>2039</v>
      </c>
      <c r="E28" s="225"/>
    </row>
    <row r="29" spans="1:6" x14ac:dyDescent="0.35">
      <c r="A29" s="224">
        <v>111930</v>
      </c>
      <c r="B29" s="224" t="s">
        <v>2040</v>
      </c>
      <c r="C29" s="224">
        <v>111930</v>
      </c>
      <c r="D29" s="224" t="s">
        <v>2040</v>
      </c>
      <c r="E29" s="225"/>
    </row>
    <row r="30" spans="1:6" x14ac:dyDescent="0.35">
      <c r="A30" s="224">
        <v>111940</v>
      </c>
      <c r="B30" s="224" t="s">
        <v>2041</v>
      </c>
      <c r="C30" s="224">
        <v>111940</v>
      </c>
      <c r="D30" s="224" t="s">
        <v>2041</v>
      </c>
      <c r="E30" s="225"/>
    </row>
    <row r="31" spans="1:6" x14ac:dyDescent="0.35">
      <c r="A31" s="224">
        <v>111991</v>
      </c>
      <c r="B31" s="224" t="s">
        <v>2042</v>
      </c>
      <c r="C31" s="224">
        <v>111991</v>
      </c>
      <c r="D31" s="224" t="s">
        <v>2042</v>
      </c>
      <c r="E31" s="225"/>
    </row>
    <row r="32" spans="1:6" x14ac:dyDescent="0.35">
      <c r="A32" s="224">
        <v>111992</v>
      </c>
      <c r="B32" s="224" t="s">
        <v>2043</v>
      </c>
      <c r="C32" s="224">
        <v>111992</v>
      </c>
      <c r="D32" s="224" t="s">
        <v>2043</v>
      </c>
      <c r="E32" s="225"/>
    </row>
    <row r="33" spans="1:4" x14ac:dyDescent="0.35">
      <c r="A33" s="224">
        <v>111998</v>
      </c>
      <c r="B33" s="224" t="s">
        <v>2044</v>
      </c>
      <c r="C33" s="224">
        <v>111998</v>
      </c>
      <c r="D33" s="224" t="s">
        <v>2044</v>
      </c>
    </row>
    <row r="34" spans="1:4" x14ac:dyDescent="0.35">
      <c r="A34" s="224">
        <v>112111</v>
      </c>
      <c r="B34" s="224" t="s">
        <v>2045</v>
      </c>
      <c r="C34" s="224">
        <v>112111</v>
      </c>
      <c r="D34" s="224" t="s">
        <v>2045</v>
      </c>
    </row>
    <row r="35" spans="1:4" x14ac:dyDescent="0.35">
      <c r="A35" s="224">
        <v>112112</v>
      </c>
      <c r="B35" s="224" t="s">
        <v>2046</v>
      </c>
      <c r="C35" s="224">
        <v>112112</v>
      </c>
      <c r="D35" s="224" t="s">
        <v>2046</v>
      </c>
    </row>
    <row r="36" spans="1:4" x14ac:dyDescent="0.35">
      <c r="A36" s="224">
        <v>112120</v>
      </c>
      <c r="B36" s="224" t="s">
        <v>2047</v>
      </c>
      <c r="C36" s="224">
        <v>112120</v>
      </c>
      <c r="D36" s="224" t="s">
        <v>2047</v>
      </c>
    </row>
    <row r="37" spans="1:4" ht="25" x14ac:dyDescent="0.35">
      <c r="A37" s="224">
        <v>112130</v>
      </c>
      <c r="B37" s="224" t="s">
        <v>2048</v>
      </c>
      <c r="C37" s="224">
        <v>112130</v>
      </c>
      <c r="D37" s="224" t="s">
        <v>2048</v>
      </c>
    </row>
    <row r="38" spans="1:4" x14ac:dyDescent="0.35">
      <c r="A38" s="224">
        <v>112210</v>
      </c>
      <c r="B38" s="224" t="s">
        <v>2049</v>
      </c>
      <c r="C38" s="224">
        <v>112210</v>
      </c>
      <c r="D38" s="224" t="s">
        <v>2049</v>
      </c>
    </row>
    <row r="39" spans="1:4" x14ac:dyDescent="0.35">
      <c r="A39" s="224">
        <v>112310</v>
      </c>
      <c r="B39" s="224" t="s">
        <v>2050</v>
      </c>
      <c r="C39" s="224">
        <v>112310</v>
      </c>
      <c r="D39" s="224" t="s">
        <v>2050</v>
      </c>
    </row>
    <row r="40" spans="1:4" ht="25" x14ac:dyDescent="0.35">
      <c r="A40" s="224">
        <v>112320</v>
      </c>
      <c r="B40" s="224" t="s">
        <v>2051</v>
      </c>
      <c r="C40" s="224">
        <v>112320</v>
      </c>
      <c r="D40" s="224" t="s">
        <v>2051</v>
      </c>
    </row>
    <row r="41" spans="1:4" x14ac:dyDescent="0.35">
      <c r="A41" s="224">
        <v>112330</v>
      </c>
      <c r="B41" s="224" t="s">
        <v>2052</v>
      </c>
      <c r="C41" s="224">
        <v>112330</v>
      </c>
      <c r="D41" s="224" t="s">
        <v>2052</v>
      </c>
    </row>
    <row r="42" spans="1:4" x14ac:dyDescent="0.35">
      <c r="A42" s="224">
        <v>112340</v>
      </c>
      <c r="B42" s="224" t="s">
        <v>2053</v>
      </c>
      <c r="C42" s="224">
        <v>112340</v>
      </c>
      <c r="D42" s="224" t="s">
        <v>2053</v>
      </c>
    </row>
    <row r="43" spans="1:4" x14ac:dyDescent="0.35">
      <c r="A43" s="224">
        <v>112390</v>
      </c>
      <c r="B43" s="224" t="s">
        <v>2054</v>
      </c>
      <c r="C43" s="224">
        <v>112390</v>
      </c>
      <c r="D43" s="224" t="s">
        <v>2054</v>
      </c>
    </row>
    <row r="44" spans="1:4" x14ac:dyDescent="0.35">
      <c r="A44" s="224">
        <v>112410</v>
      </c>
      <c r="B44" s="224" t="s">
        <v>2055</v>
      </c>
      <c r="C44" s="224">
        <v>112410</v>
      </c>
      <c r="D44" s="224" t="s">
        <v>2055</v>
      </c>
    </row>
    <row r="45" spans="1:4" x14ac:dyDescent="0.35">
      <c r="A45" s="224">
        <v>112420</v>
      </c>
      <c r="B45" s="224" t="s">
        <v>2056</v>
      </c>
      <c r="C45" s="224">
        <v>112420</v>
      </c>
      <c r="D45" s="224" t="s">
        <v>2056</v>
      </c>
    </row>
    <row r="46" spans="1:4" x14ac:dyDescent="0.35">
      <c r="A46" s="224">
        <v>112511</v>
      </c>
      <c r="B46" s="224" t="s">
        <v>2057</v>
      </c>
      <c r="C46" s="224">
        <v>112511</v>
      </c>
      <c r="D46" s="224" t="s">
        <v>2057</v>
      </c>
    </row>
    <row r="47" spans="1:4" x14ac:dyDescent="0.35">
      <c r="A47" s="224">
        <v>112512</v>
      </c>
      <c r="B47" s="224" t="s">
        <v>2058</v>
      </c>
      <c r="C47" s="224">
        <v>112512</v>
      </c>
      <c r="D47" s="224" t="s">
        <v>2058</v>
      </c>
    </row>
    <row r="48" spans="1:4" x14ac:dyDescent="0.35">
      <c r="A48" s="224">
        <v>112519</v>
      </c>
      <c r="B48" s="224" t="s">
        <v>2059</v>
      </c>
      <c r="C48" s="224">
        <v>112519</v>
      </c>
      <c r="D48" s="224" t="s">
        <v>2059</v>
      </c>
    </row>
    <row r="49" spans="1:6" x14ac:dyDescent="0.35">
      <c r="A49" s="224">
        <v>112910</v>
      </c>
      <c r="B49" s="224" t="s">
        <v>2060</v>
      </c>
      <c r="C49" s="224">
        <v>112910</v>
      </c>
      <c r="D49" s="224" t="s">
        <v>2060</v>
      </c>
      <c r="E49" s="225"/>
    </row>
    <row r="50" spans="1:6" x14ac:dyDescent="0.35">
      <c r="A50" s="224">
        <v>112920</v>
      </c>
      <c r="B50" s="224" t="s">
        <v>2061</v>
      </c>
      <c r="C50" s="224">
        <v>112920</v>
      </c>
      <c r="D50" s="224" t="s">
        <v>2061</v>
      </c>
      <c r="E50" s="225"/>
    </row>
    <row r="51" spans="1:6" x14ac:dyDescent="0.35">
      <c r="A51" s="224">
        <v>112930</v>
      </c>
      <c r="B51" s="224" t="s">
        <v>2062</v>
      </c>
      <c r="C51" s="224">
        <v>112930</v>
      </c>
      <c r="D51" s="224" t="s">
        <v>2062</v>
      </c>
      <c r="E51" s="225"/>
    </row>
    <row r="52" spans="1:6" x14ac:dyDescent="0.35">
      <c r="A52" s="224">
        <v>112990</v>
      </c>
      <c r="B52" s="224" t="s">
        <v>2063</v>
      </c>
      <c r="C52" s="224">
        <v>112990</v>
      </c>
      <c r="D52" s="224" t="s">
        <v>2063</v>
      </c>
      <c r="E52" s="225"/>
    </row>
    <row r="53" spans="1:6" x14ac:dyDescent="0.35">
      <c r="A53" s="224">
        <v>113110</v>
      </c>
      <c r="B53" s="224" t="s">
        <v>2064</v>
      </c>
      <c r="C53" s="224">
        <v>113110</v>
      </c>
      <c r="D53" s="224" t="s">
        <v>2064</v>
      </c>
      <c r="E53" s="225"/>
    </row>
    <row r="54" spans="1:6" ht="25" x14ac:dyDescent="0.35">
      <c r="A54" s="224">
        <v>113210</v>
      </c>
      <c r="B54" s="224" t="s">
        <v>2065</v>
      </c>
      <c r="C54" s="224">
        <v>113210</v>
      </c>
      <c r="D54" s="224" t="s">
        <v>2065</v>
      </c>
      <c r="E54" s="225"/>
    </row>
    <row r="55" spans="1:6" x14ac:dyDescent="0.35">
      <c r="A55" s="224">
        <v>113310</v>
      </c>
      <c r="B55" s="224" t="s">
        <v>2066</v>
      </c>
      <c r="C55" s="224">
        <v>113310</v>
      </c>
      <c r="D55" s="224" t="s">
        <v>2066</v>
      </c>
      <c r="E55" s="225"/>
    </row>
    <row r="56" spans="1:6" x14ac:dyDescent="0.35">
      <c r="A56" s="224">
        <v>114111</v>
      </c>
      <c r="B56" s="224" t="s">
        <v>2067</v>
      </c>
      <c r="C56" s="224">
        <v>114111</v>
      </c>
      <c r="D56" s="224" t="s">
        <v>2067</v>
      </c>
      <c r="E56" s="225"/>
    </row>
    <row r="57" spans="1:6" x14ac:dyDescent="0.35">
      <c r="A57" s="224">
        <v>114112</v>
      </c>
      <c r="B57" s="224" t="s">
        <v>2068</v>
      </c>
      <c r="C57" s="224">
        <v>114112</v>
      </c>
      <c r="D57" s="224" t="s">
        <v>2068</v>
      </c>
      <c r="E57" s="225"/>
    </row>
    <row r="58" spans="1:6" x14ac:dyDescent="0.35">
      <c r="A58" s="224">
        <v>114119</v>
      </c>
      <c r="B58" s="224" t="s">
        <v>2069</v>
      </c>
      <c r="C58" s="224">
        <v>114119</v>
      </c>
      <c r="D58" s="224" t="s">
        <v>2069</v>
      </c>
      <c r="E58" s="225"/>
    </row>
    <row r="59" spans="1:6" x14ac:dyDescent="0.35">
      <c r="A59" s="224">
        <v>114210</v>
      </c>
      <c r="B59" s="224" t="s">
        <v>2070</v>
      </c>
      <c r="C59" s="224">
        <v>114210</v>
      </c>
      <c r="D59" s="224" t="s">
        <v>2070</v>
      </c>
      <c r="E59" s="225"/>
    </row>
    <row r="60" spans="1:6" x14ac:dyDescent="0.35">
      <c r="A60" s="224">
        <v>115111</v>
      </c>
      <c r="B60" s="224" t="s">
        <v>2071</v>
      </c>
      <c r="C60" s="224">
        <v>115111</v>
      </c>
      <c r="D60" s="224" t="s">
        <v>2071</v>
      </c>
      <c r="E60" s="225"/>
    </row>
    <row r="61" spans="1:6" x14ac:dyDescent="0.35">
      <c r="A61" s="224">
        <v>115112</v>
      </c>
      <c r="B61" s="224" t="s">
        <v>2072</v>
      </c>
      <c r="C61" s="224">
        <v>115112</v>
      </c>
      <c r="D61" s="224" t="s">
        <v>2072</v>
      </c>
      <c r="E61" s="225"/>
    </row>
    <row r="62" spans="1:6" x14ac:dyDescent="0.35">
      <c r="A62" s="224">
        <v>115113</v>
      </c>
      <c r="B62" s="224" t="s">
        <v>2073</v>
      </c>
      <c r="C62" s="224">
        <v>115113</v>
      </c>
      <c r="D62" s="224" t="s">
        <v>2073</v>
      </c>
      <c r="E62" s="225"/>
    </row>
    <row r="63" spans="1:6" ht="25" x14ac:dyDescent="0.35">
      <c r="A63" s="224">
        <v>115114</v>
      </c>
      <c r="B63" s="224" t="s">
        <v>2074</v>
      </c>
      <c r="C63" s="224">
        <v>115114</v>
      </c>
      <c r="D63" s="224" t="s">
        <v>2074</v>
      </c>
      <c r="E63" s="225"/>
      <c r="F63" s="226" t="s">
        <v>1904</v>
      </c>
    </row>
    <row r="64" spans="1:6" ht="25" x14ac:dyDescent="0.35">
      <c r="A64" s="224">
        <v>115115</v>
      </c>
      <c r="B64" s="224" t="s">
        <v>2075</v>
      </c>
      <c r="C64" s="224">
        <v>115115</v>
      </c>
      <c r="D64" s="224" t="s">
        <v>2075</v>
      </c>
      <c r="E64" s="225"/>
    </row>
    <row r="65" spans="1:7" x14ac:dyDescent="0.35">
      <c r="A65" s="224">
        <v>115116</v>
      </c>
      <c r="B65" s="224" t="s">
        <v>2076</v>
      </c>
      <c r="C65" s="224">
        <v>115116</v>
      </c>
      <c r="D65" s="224" t="s">
        <v>2076</v>
      </c>
      <c r="E65" s="225"/>
    </row>
    <row r="66" spans="1:7" x14ac:dyDescent="0.35">
      <c r="A66" s="224">
        <v>115210</v>
      </c>
      <c r="B66" s="224" t="s">
        <v>2077</v>
      </c>
      <c r="C66" s="224">
        <v>115210</v>
      </c>
      <c r="D66" s="224" t="s">
        <v>2077</v>
      </c>
      <c r="E66" s="225"/>
    </row>
    <row r="67" spans="1:7" x14ac:dyDescent="0.35">
      <c r="A67" s="224">
        <v>115310</v>
      </c>
      <c r="B67" s="224" t="s">
        <v>2078</v>
      </c>
      <c r="C67" s="224">
        <v>115310</v>
      </c>
      <c r="D67" s="224" t="s">
        <v>2078</v>
      </c>
      <c r="E67" s="225"/>
    </row>
    <row r="68" spans="1:7" x14ac:dyDescent="0.35">
      <c r="A68" s="224">
        <v>211120</v>
      </c>
      <c r="B68" s="224" t="s">
        <v>2079</v>
      </c>
      <c r="C68" s="224">
        <v>211120</v>
      </c>
      <c r="D68" s="224" t="s">
        <v>2079</v>
      </c>
      <c r="E68" s="225"/>
    </row>
    <row r="69" spans="1:7" x14ac:dyDescent="0.35">
      <c r="A69" s="224">
        <v>211130</v>
      </c>
      <c r="B69" s="224" t="s">
        <v>2080</v>
      </c>
      <c r="C69" s="224">
        <v>211130</v>
      </c>
      <c r="D69" s="224" t="s">
        <v>2080</v>
      </c>
      <c r="E69" s="225"/>
      <c r="F69" s="226" t="s">
        <v>1904</v>
      </c>
      <c r="G69" s="226" t="s">
        <v>1904</v>
      </c>
    </row>
    <row r="70" spans="1:7" ht="25" x14ac:dyDescent="0.35">
      <c r="A70" s="224">
        <v>212111</v>
      </c>
      <c r="B70" s="224" t="s">
        <v>2081</v>
      </c>
      <c r="C70" s="227">
        <v>212114</v>
      </c>
      <c r="D70" s="224" t="s">
        <v>2082</v>
      </c>
      <c r="E70" s="228"/>
    </row>
    <row r="71" spans="1:7" ht="26" x14ac:dyDescent="0.35">
      <c r="A71" s="229">
        <v>212113</v>
      </c>
      <c r="B71" s="224" t="s">
        <v>2083</v>
      </c>
      <c r="C71" s="227">
        <v>212114</v>
      </c>
      <c r="D71" s="224" t="s">
        <v>2082</v>
      </c>
      <c r="E71" s="228"/>
    </row>
    <row r="72" spans="1:7" x14ac:dyDescent="0.35">
      <c r="A72" s="224">
        <v>212112</v>
      </c>
      <c r="B72" s="224" t="s">
        <v>2084</v>
      </c>
      <c r="C72" s="227">
        <v>212115</v>
      </c>
      <c r="D72" s="224" t="s">
        <v>2085</v>
      </c>
      <c r="E72" s="228"/>
    </row>
    <row r="73" spans="1:7" ht="26" x14ac:dyDescent="0.35">
      <c r="A73" s="229">
        <v>212113</v>
      </c>
      <c r="B73" s="224" t="s">
        <v>2086</v>
      </c>
      <c r="C73" s="227">
        <v>212115</v>
      </c>
      <c r="D73" s="224" t="s">
        <v>2085</v>
      </c>
      <c r="E73" s="228"/>
    </row>
    <row r="74" spans="1:7" x14ac:dyDescent="0.35">
      <c r="A74" s="224">
        <v>212210</v>
      </c>
      <c r="B74" s="224" t="s">
        <v>2087</v>
      </c>
      <c r="C74" s="224">
        <v>212210</v>
      </c>
      <c r="D74" s="224" t="s">
        <v>2087</v>
      </c>
      <c r="E74" s="225"/>
    </row>
    <row r="75" spans="1:7" x14ac:dyDescent="0.35">
      <c r="A75" s="224">
        <v>212221</v>
      </c>
      <c r="B75" s="224" t="s">
        <v>2088</v>
      </c>
      <c r="C75" s="227">
        <v>212220</v>
      </c>
      <c r="D75" s="224" t="s">
        <v>2089</v>
      </c>
      <c r="E75" s="228"/>
    </row>
    <row r="76" spans="1:7" x14ac:dyDescent="0.35">
      <c r="A76" s="224">
        <v>212222</v>
      </c>
      <c r="B76" s="224" t="s">
        <v>2090</v>
      </c>
      <c r="C76" s="227">
        <v>212220</v>
      </c>
      <c r="D76" s="224" t="s">
        <v>2089</v>
      </c>
      <c r="E76" s="228"/>
    </row>
    <row r="77" spans="1:7" x14ac:dyDescent="0.35">
      <c r="A77" s="224">
        <v>212230</v>
      </c>
      <c r="B77" s="224" t="s">
        <v>2091</v>
      </c>
      <c r="C77" s="224">
        <v>212230</v>
      </c>
      <c r="D77" s="224" t="s">
        <v>2091</v>
      </c>
      <c r="E77" s="225"/>
    </row>
    <row r="78" spans="1:7" x14ac:dyDescent="0.35">
      <c r="A78" s="224">
        <v>212291</v>
      </c>
      <c r="B78" s="224" t="s">
        <v>2092</v>
      </c>
      <c r="C78" s="227">
        <v>212290</v>
      </c>
      <c r="D78" s="224" t="s">
        <v>2093</v>
      </c>
      <c r="E78" s="228"/>
    </row>
    <row r="79" spans="1:7" x14ac:dyDescent="0.35">
      <c r="A79" s="224">
        <v>212299</v>
      </c>
      <c r="B79" s="224" t="s">
        <v>2094</v>
      </c>
      <c r="C79" s="227">
        <v>212290</v>
      </c>
      <c r="D79" s="224" t="s">
        <v>2093</v>
      </c>
      <c r="E79" s="228"/>
    </row>
    <row r="80" spans="1:7" x14ac:dyDescent="0.35">
      <c r="A80" s="224">
        <v>212311</v>
      </c>
      <c r="B80" s="224" t="s">
        <v>2095</v>
      </c>
      <c r="C80" s="224">
        <v>212311</v>
      </c>
      <c r="D80" s="224" t="s">
        <v>2095</v>
      </c>
      <c r="E80" s="225"/>
    </row>
    <row r="81" spans="1:4" ht="25" x14ac:dyDescent="0.35">
      <c r="A81" s="224">
        <v>212312</v>
      </c>
      <c r="B81" s="224" t="s">
        <v>2096</v>
      </c>
      <c r="C81" s="224">
        <v>212312</v>
      </c>
      <c r="D81" s="224" t="s">
        <v>2096</v>
      </c>
    </row>
    <row r="82" spans="1:4" ht="25" x14ac:dyDescent="0.35">
      <c r="A82" s="224">
        <v>212313</v>
      </c>
      <c r="B82" s="224" t="s">
        <v>2097</v>
      </c>
      <c r="C82" s="224">
        <v>212313</v>
      </c>
      <c r="D82" s="224" t="s">
        <v>2097</v>
      </c>
    </row>
    <row r="83" spans="1:4" ht="25" x14ac:dyDescent="0.35">
      <c r="A83" s="224">
        <v>212319</v>
      </c>
      <c r="B83" s="224" t="s">
        <v>2098</v>
      </c>
      <c r="C83" s="224">
        <v>212319</v>
      </c>
      <c r="D83" s="224" t="s">
        <v>2098</v>
      </c>
    </row>
    <row r="84" spans="1:4" x14ac:dyDescent="0.35">
      <c r="A84" s="224">
        <v>212321</v>
      </c>
      <c r="B84" s="224" t="s">
        <v>2099</v>
      </c>
      <c r="C84" s="224">
        <v>212321</v>
      </c>
      <c r="D84" s="224" t="s">
        <v>2099</v>
      </c>
    </row>
    <row r="85" spans="1:4" x14ac:dyDescent="0.35">
      <c r="A85" s="224">
        <v>212322</v>
      </c>
      <c r="B85" s="224" t="s">
        <v>2100</v>
      </c>
      <c r="C85" s="224">
        <v>212322</v>
      </c>
      <c r="D85" s="224" t="s">
        <v>2100</v>
      </c>
    </row>
    <row r="86" spans="1:4" ht="25" x14ac:dyDescent="0.35">
      <c r="A86" s="224">
        <v>212324</v>
      </c>
      <c r="B86" s="224" t="s">
        <v>2101</v>
      </c>
      <c r="C86" s="227">
        <v>212323</v>
      </c>
      <c r="D86" s="224" t="s">
        <v>2102</v>
      </c>
    </row>
    <row r="87" spans="1:4" ht="25" x14ac:dyDescent="0.35">
      <c r="A87" s="224">
        <v>212325</v>
      </c>
      <c r="B87" s="224" t="s">
        <v>2103</v>
      </c>
      <c r="C87" s="227">
        <v>212323</v>
      </c>
      <c r="D87" s="224" t="s">
        <v>2102</v>
      </c>
    </row>
    <row r="88" spans="1:4" ht="25" x14ac:dyDescent="0.35">
      <c r="A88" s="224">
        <v>212391</v>
      </c>
      <c r="B88" s="224" t="s">
        <v>2104</v>
      </c>
      <c r="C88" s="227">
        <v>212390</v>
      </c>
      <c r="D88" s="224" t="s">
        <v>2105</v>
      </c>
    </row>
    <row r="89" spans="1:4" ht="25" x14ac:dyDescent="0.35">
      <c r="A89" s="224">
        <v>212392</v>
      </c>
      <c r="B89" s="224" t="s">
        <v>2106</v>
      </c>
      <c r="C89" s="227">
        <v>212390</v>
      </c>
      <c r="D89" s="224" t="s">
        <v>2105</v>
      </c>
    </row>
    <row r="90" spans="1:4" ht="25" x14ac:dyDescent="0.35">
      <c r="A90" s="224">
        <v>212393</v>
      </c>
      <c r="B90" s="224" t="s">
        <v>2107</v>
      </c>
      <c r="C90" s="227">
        <v>212390</v>
      </c>
      <c r="D90" s="224" t="s">
        <v>2105</v>
      </c>
    </row>
    <row r="91" spans="1:4" ht="25" x14ac:dyDescent="0.35">
      <c r="A91" s="224">
        <v>212399</v>
      </c>
      <c r="B91" s="224" t="s">
        <v>2108</v>
      </c>
      <c r="C91" s="227">
        <v>212390</v>
      </c>
      <c r="D91" s="224" t="s">
        <v>2105</v>
      </c>
    </row>
    <row r="92" spans="1:4" x14ac:dyDescent="0.35">
      <c r="A92" s="224">
        <v>213111</v>
      </c>
      <c r="B92" s="224" t="s">
        <v>2109</v>
      </c>
      <c r="C92" s="224">
        <v>213111</v>
      </c>
      <c r="D92" s="224" t="s">
        <v>2109</v>
      </c>
    </row>
    <row r="93" spans="1:4" ht="25" x14ac:dyDescent="0.35">
      <c r="A93" s="224">
        <v>213112</v>
      </c>
      <c r="B93" s="224" t="s">
        <v>2110</v>
      </c>
      <c r="C93" s="224">
        <v>213112</v>
      </c>
      <c r="D93" s="224" t="s">
        <v>2110</v>
      </c>
    </row>
    <row r="94" spans="1:4" x14ac:dyDescent="0.35">
      <c r="A94" s="224">
        <v>213113</v>
      </c>
      <c r="B94" s="224" t="s">
        <v>2111</v>
      </c>
      <c r="C94" s="224">
        <v>213113</v>
      </c>
      <c r="D94" s="224" t="s">
        <v>2111</v>
      </c>
    </row>
    <row r="95" spans="1:4" x14ac:dyDescent="0.35">
      <c r="A95" s="224">
        <v>213114</v>
      </c>
      <c r="B95" s="224" t="s">
        <v>2112</v>
      </c>
      <c r="C95" s="224">
        <v>213114</v>
      </c>
      <c r="D95" s="224" t="s">
        <v>2112</v>
      </c>
    </row>
    <row r="96" spans="1:4" ht="25" x14ac:dyDescent="0.35">
      <c r="A96" s="224">
        <v>213115</v>
      </c>
      <c r="B96" s="224" t="s">
        <v>2113</v>
      </c>
      <c r="C96" s="224">
        <v>213115</v>
      </c>
      <c r="D96" s="224" t="s">
        <v>2113</v>
      </c>
    </row>
    <row r="97" spans="1:7" x14ac:dyDescent="0.35">
      <c r="A97" s="224">
        <v>221111</v>
      </c>
      <c r="B97" s="224" t="s">
        <v>2114</v>
      </c>
      <c r="C97" s="224">
        <v>221111</v>
      </c>
      <c r="D97" s="224" t="s">
        <v>2114</v>
      </c>
      <c r="E97" s="225"/>
    </row>
    <row r="98" spans="1:7" x14ac:dyDescent="0.35">
      <c r="A98" s="224">
        <v>221112</v>
      </c>
      <c r="B98" s="224" t="s">
        <v>1796</v>
      </c>
      <c r="C98" s="224">
        <v>221112</v>
      </c>
      <c r="D98" s="224" t="s">
        <v>1796</v>
      </c>
      <c r="E98" s="225"/>
    </row>
    <row r="99" spans="1:7" x14ac:dyDescent="0.35">
      <c r="A99" s="224">
        <v>221113</v>
      </c>
      <c r="B99" s="224" t="s">
        <v>2115</v>
      </c>
      <c r="C99" s="224">
        <v>221113</v>
      </c>
      <c r="D99" s="224" t="s">
        <v>2115</v>
      </c>
      <c r="E99" s="225"/>
    </row>
    <row r="100" spans="1:7" x14ac:dyDescent="0.35">
      <c r="A100" s="224">
        <v>221114</v>
      </c>
      <c r="B100" s="224" t="s">
        <v>2116</v>
      </c>
      <c r="C100" s="224">
        <v>221114</v>
      </c>
      <c r="D100" s="224" t="s">
        <v>2116</v>
      </c>
      <c r="E100" s="225"/>
    </row>
    <row r="101" spans="1:7" x14ac:dyDescent="0.35">
      <c r="A101" s="224">
        <v>221115</v>
      </c>
      <c r="B101" s="224" t="s">
        <v>2117</v>
      </c>
      <c r="C101" s="224">
        <v>221115</v>
      </c>
      <c r="D101" s="224" t="s">
        <v>2117</v>
      </c>
      <c r="E101" s="225"/>
    </row>
    <row r="102" spans="1:7" x14ac:dyDescent="0.35">
      <c r="A102" s="224">
        <v>221116</v>
      </c>
      <c r="B102" s="224" t="s">
        <v>2118</v>
      </c>
      <c r="C102" s="224">
        <v>221116</v>
      </c>
      <c r="D102" s="224" t="s">
        <v>2118</v>
      </c>
      <c r="E102" s="225"/>
    </row>
    <row r="103" spans="1:7" x14ac:dyDescent="0.35">
      <c r="A103" s="224">
        <v>221117</v>
      </c>
      <c r="B103" s="224" t="s">
        <v>2119</v>
      </c>
      <c r="C103" s="224">
        <v>221117</v>
      </c>
      <c r="D103" s="224" t="s">
        <v>2119</v>
      </c>
      <c r="E103" s="225"/>
    </row>
    <row r="104" spans="1:7" x14ac:dyDescent="0.35">
      <c r="A104" s="224">
        <v>221118</v>
      </c>
      <c r="B104" s="224" t="s">
        <v>2120</v>
      </c>
      <c r="C104" s="224">
        <v>221118</v>
      </c>
      <c r="D104" s="224" t="s">
        <v>2120</v>
      </c>
      <c r="E104" s="225"/>
    </row>
    <row r="105" spans="1:7" ht="25" x14ac:dyDescent="0.35">
      <c r="A105" s="224">
        <v>221121</v>
      </c>
      <c r="B105" s="224" t="s">
        <v>2121</v>
      </c>
      <c r="C105" s="224">
        <v>221121</v>
      </c>
      <c r="D105" s="224" t="s">
        <v>2121</v>
      </c>
      <c r="E105" s="225"/>
    </row>
    <row r="106" spans="1:7" x14ac:dyDescent="0.35">
      <c r="A106" s="224">
        <v>221122</v>
      </c>
      <c r="B106" s="224" t="s">
        <v>2122</v>
      </c>
      <c r="C106" s="224">
        <v>221122</v>
      </c>
      <c r="D106" s="224" t="s">
        <v>2122</v>
      </c>
      <c r="E106" s="225"/>
      <c r="G106" s="226" t="s">
        <v>1904</v>
      </c>
    </row>
    <row r="107" spans="1:7" x14ac:dyDescent="0.35">
      <c r="A107" s="224">
        <v>221210</v>
      </c>
      <c r="B107" s="224" t="s">
        <v>2123</v>
      </c>
      <c r="C107" s="224">
        <v>221210</v>
      </c>
      <c r="D107" s="224" t="s">
        <v>2123</v>
      </c>
      <c r="E107" s="225"/>
    </row>
    <row r="108" spans="1:7" x14ac:dyDescent="0.35">
      <c r="A108" s="224">
        <v>221310</v>
      </c>
      <c r="B108" s="224" t="s">
        <v>2124</v>
      </c>
      <c r="C108" s="224">
        <v>221310</v>
      </c>
      <c r="D108" s="224" t="s">
        <v>2124</v>
      </c>
      <c r="E108" s="225"/>
    </row>
    <row r="109" spans="1:7" x14ac:dyDescent="0.35">
      <c r="A109" s="224">
        <v>221320</v>
      </c>
      <c r="B109" s="224" t="s">
        <v>2125</v>
      </c>
      <c r="C109" s="224">
        <v>221320</v>
      </c>
      <c r="D109" s="224" t="s">
        <v>2125</v>
      </c>
      <c r="E109" s="225"/>
    </row>
    <row r="110" spans="1:7" x14ac:dyDescent="0.35">
      <c r="A110" s="224">
        <v>221330</v>
      </c>
      <c r="B110" s="224" t="s">
        <v>2126</v>
      </c>
      <c r="C110" s="224">
        <v>221330</v>
      </c>
      <c r="D110" s="224" t="s">
        <v>2126</v>
      </c>
      <c r="E110" s="225"/>
    </row>
    <row r="111" spans="1:7" ht="25" x14ac:dyDescent="0.35">
      <c r="A111" s="224">
        <v>236115</v>
      </c>
      <c r="B111" s="224" t="s">
        <v>2127</v>
      </c>
      <c r="C111" s="224">
        <v>236115</v>
      </c>
      <c r="D111" s="224" t="s">
        <v>2127</v>
      </c>
      <c r="E111" s="225"/>
    </row>
    <row r="112" spans="1:7" ht="25" x14ac:dyDescent="0.35">
      <c r="A112" s="224">
        <v>236116</v>
      </c>
      <c r="B112" s="224" t="s">
        <v>2128</v>
      </c>
      <c r="C112" s="224">
        <v>236116</v>
      </c>
      <c r="D112" s="224" t="s">
        <v>2128</v>
      </c>
      <c r="E112" s="225"/>
    </row>
    <row r="113" spans="1:4" x14ac:dyDescent="0.35">
      <c r="A113" s="224">
        <v>236117</v>
      </c>
      <c r="B113" s="224" t="s">
        <v>2129</v>
      </c>
      <c r="C113" s="224">
        <v>236117</v>
      </c>
      <c r="D113" s="224" t="s">
        <v>2129</v>
      </c>
    </row>
    <row r="114" spans="1:4" x14ac:dyDescent="0.35">
      <c r="A114" s="224">
        <v>236118</v>
      </c>
      <c r="B114" s="224" t="s">
        <v>2130</v>
      </c>
      <c r="C114" s="224">
        <v>236118</v>
      </c>
      <c r="D114" s="224" t="s">
        <v>2130</v>
      </c>
    </row>
    <row r="115" spans="1:4" x14ac:dyDescent="0.35">
      <c r="A115" s="224">
        <v>236210</v>
      </c>
      <c r="B115" s="224" t="s">
        <v>2131</v>
      </c>
      <c r="C115" s="224">
        <v>236210</v>
      </c>
      <c r="D115" s="224" t="s">
        <v>2131</v>
      </c>
    </row>
    <row r="116" spans="1:4" ht="25" x14ac:dyDescent="0.35">
      <c r="A116" s="224">
        <v>236220</v>
      </c>
      <c r="B116" s="224" t="s">
        <v>2132</v>
      </c>
      <c r="C116" s="224">
        <v>236220</v>
      </c>
      <c r="D116" s="224" t="s">
        <v>2132</v>
      </c>
    </row>
    <row r="117" spans="1:4" ht="25" x14ac:dyDescent="0.35">
      <c r="A117" s="224">
        <v>237110</v>
      </c>
      <c r="B117" s="224" t="s">
        <v>2133</v>
      </c>
      <c r="C117" s="224">
        <v>237110</v>
      </c>
      <c r="D117" s="224" t="s">
        <v>2133</v>
      </c>
    </row>
    <row r="118" spans="1:4" ht="25" x14ac:dyDescent="0.35">
      <c r="A118" s="224">
        <v>237120</v>
      </c>
      <c r="B118" s="224" t="s">
        <v>2134</v>
      </c>
      <c r="C118" s="224">
        <v>237120</v>
      </c>
      <c r="D118" s="224" t="s">
        <v>2134</v>
      </c>
    </row>
    <row r="119" spans="1:4" ht="25" x14ac:dyDescent="0.35">
      <c r="A119" s="224">
        <v>237130</v>
      </c>
      <c r="B119" s="224" t="s">
        <v>2135</v>
      </c>
      <c r="C119" s="224">
        <v>237130</v>
      </c>
      <c r="D119" s="224" t="s">
        <v>2135</v>
      </c>
    </row>
    <row r="120" spans="1:4" x14ac:dyDescent="0.35">
      <c r="A120" s="224">
        <v>237210</v>
      </c>
      <c r="B120" s="224" t="s">
        <v>2136</v>
      </c>
      <c r="C120" s="224">
        <v>237210</v>
      </c>
      <c r="D120" s="224" t="s">
        <v>2136</v>
      </c>
    </row>
    <row r="121" spans="1:4" x14ac:dyDescent="0.35">
      <c r="A121" s="224">
        <v>237310</v>
      </c>
      <c r="B121" s="224" t="s">
        <v>2137</v>
      </c>
      <c r="C121" s="224">
        <v>237310</v>
      </c>
      <c r="D121" s="224" t="s">
        <v>2137</v>
      </c>
    </row>
    <row r="122" spans="1:4" ht="25" x14ac:dyDescent="0.35">
      <c r="A122" s="224">
        <v>237990</v>
      </c>
      <c r="B122" s="224" t="s">
        <v>2138</v>
      </c>
      <c r="C122" s="224">
        <v>237990</v>
      </c>
      <c r="D122" s="224" t="s">
        <v>2138</v>
      </c>
    </row>
    <row r="123" spans="1:4" ht="25" x14ac:dyDescent="0.35">
      <c r="A123" s="224">
        <v>238110</v>
      </c>
      <c r="B123" s="224" t="s">
        <v>2139</v>
      </c>
      <c r="C123" s="224">
        <v>238110</v>
      </c>
      <c r="D123" s="224" t="s">
        <v>2139</v>
      </c>
    </row>
    <row r="124" spans="1:4" ht="25" x14ac:dyDescent="0.35">
      <c r="A124" s="224">
        <v>238120</v>
      </c>
      <c r="B124" s="224" t="s">
        <v>2140</v>
      </c>
      <c r="C124" s="224">
        <v>238120</v>
      </c>
      <c r="D124" s="224" t="s">
        <v>2140</v>
      </c>
    </row>
    <row r="125" spans="1:4" x14ac:dyDescent="0.35">
      <c r="A125" s="224">
        <v>238130</v>
      </c>
      <c r="B125" s="224" t="s">
        <v>2141</v>
      </c>
      <c r="C125" s="224">
        <v>238130</v>
      </c>
      <c r="D125" s="224" t="s">
        <v>2141</v>
      </c>
    </row>
    <row r="126" spans="1:4" x14ac:dyDescent="0.35">
      <c r="A126" s="224">
        <v>238140</v>
      </c>
      <c r="B126" s="224" t="s">
        <v>2142</v>
      </c>
      <c r="C126" s="224">
        <v>238140</v>
      </c>
      <c r="D126" s="224" t="s">
        <v>2142</v>
      </c>
    </row>
    <row r="127" spans="1:4" x14ac:dyDescent="0.35">
      <c r="A127" s="224">
        <v>238150</v>
      </c>
      <c r="B127" s="224" t="s">
        <v>2143</v>
      </c>
      <c r="C127" s="224">
        <v>238150</v>
      </c>
      <c r="D127" s="224" t="s">
        <v>2143</v>
      </c>
    </row>
    <row r="128" spans="1:4" x14ac:dyDescent="0.35">
      <c r="A128" s="224">
        <v>238160</v>
      </c>
      <c r="B128" s="224" t="s">
        <v>2144</v>
      </c>
      <c r="C128" s="224">
        <v>238160</v>
      </c>
      <c r="D128" s="224" t="s">
        <v>2144</v>
      </c>
    </row>
    <row r="129" spans="1:4" x14ac:dyDescent="0.35">
      <c r="A129" s="224">
        <v>238170</v>
      </c>
      <c r="B129" s="224" t="s">
        <v>2145</v>
      </c>
      <c r="C129" s="224">
        <v>238170</v>
      </c>
      <c r="D129" s="224" t="s">
        <v>2145</v>
      </c>
    </row>
    <row r="130" spans="1:4" ht="25" x14ac:dyDescent="0.35">
      <c r="A130" s="224">
        <v>238190</v>
      </c>
      <c r="B130" s="224" t="s">
        <v>2146</v>
      </c>
      <c r="C130" s="224">
        <v>238190</v>
      </c>
      <c r="D130" s="224" t="s">
        <v>2146</v>
      </c>
    </row>
    <row r="131" spans="1:4" ht="25" x14ac:dyDescent="0.35">
      <c r="A131" s="224">
        <v>238210</v>
      </c>
      <c r="B131" s="224" t="s">
        <v>2147</v>
      </c>
      <c r="C131" s="224">
        <v>238210</v>
      </c>
      <c r="D131" s="224" t="s">
        <v>2147</v>
      </c>
    </row>
    <row r="132" spans="1:4" ht="25" x14ac:dyDescent="0.35">
      <c r="A132" s="224">
        <v>238220</v>
      </c>
      <c r="B132" s="224" t="s">
        <v>2148</v>
      </c>
      <c r="C132" s="224">
        <v>238220</v>
      </c>
      <c r="D132" s="224" t="s">
        <v>2148</v>
      </c>
    </row>
    <row r="133" spans="1:4" x14ac:dyDescent="0.35">
      <c r="A133" s="224">
        <v>238290</v>
      </c>
      <c r="B133" s="224" t="s">
        <v>2149</v>
      </c>
      <c r="C133" s="224">
        <v>238290</v>
      </c>
      <c r="D133" s="224" t="s">
        <v>2149</v>
      </c>
    </row>
    <row r="134" spans="1:4" x14ac:dyDescent="0.35">
      <c r="A134" s="224">
        <v>238310</v>
      </c>
      <c r="B134" s="224" t="s">
        <v>2150</v>
      </c>
      <c r="C134" s="224">
        <v>238310</v>
      </c>
      <c r="D134" s="224" t="s">
        <v>2150</v>
      </c>
    </row>
    <row r="135" spans="1:4" x14ac:dyDescent="0.35">
      <c r="A135" s="224">
        <v>238320</v>
      </c>
      <c r="B135" s="224" t="s">
        <v>2151</v>
      </c>
      <c r="C135" s="224">
        <v>238320</v>
      </c>
      <c r="D135" s="224" t="s">
        <v>2151</v>
      </c>
    </row>
    <row r="136" spans="1:4" x14ac:dyDescent="0.35">
      <c r="A136" s="224">
        <v>238330</v>
      </c>
      <c r="B136" s="224" t="s">
        <v>2152</v>
      </c>
      <c r="C136" s="224">
        <v>238330</v>
      </c>
      <c r="D136" s="224" t="s">
        <v>2152</v>
      </c>
    </row>
    <row r="137" spans="1:4" x14ac:dyDescent="0.35">
      <c r="A137" s="224">
        <v>238340</v>
      </c>
      <c r="B137" s="224" t="s">
        <v>2153</v>
      </c>
      <c r="C137" s="224">
        <v>238340</v>
      </c>
      <c r="D137" s="224" t="s">
        <v>2153</v>
      </c>
    </row>
    <row r="138" spans="1:4" x14ac:dyDescent="0.35">
      <c r="A138" s="224">
        <v>238350</v>
      </c>
      <c r="B138" s="224" t="s">
        <v>2154</v>
      </c>
      <c r="C138" s="224">
        <v>238350</v>
      </c>
      <c r="D138" s="224" t="s">
        <v>2154</v>
      </c>
    </row>
    <row r="139" spans="1:4" x14ac:dyDescent="0.35">
      <c r="A139" s="224">
        <v>238390</v>
      </c>
      <c r="B139" s="224" t="s">
        <v>2155</v>
      </c>
      <c r="C139" s="224">
        <v>238390</v>
      </c>
      <c r="D139" s="224" t="s">
        <v>2155</v>
      </c>
    </row>
    <row r="140" spans="1:4" x14ac:dyDescent="0.35">
      <c r="A140" s="224">
        <v>238910</v>
      </c>
      <c r="B140" s="224" t="s">
        <v>2156</v>
      </c>
      <c r="C140" s="224">
        <v>238910</v>
      </c>
      <c r="D140" s="224" t="s">
        <v>2156</v>
      </c>
    </row>
    <row r="141" spans="1:4" x14ac:dyDescent="0.35">
      <c r="A141" s="224">
        <v>238990</v>
      </c>
      <c r="B141" s="224" t="s">
        <v>2157</v>
      </c>
      <c r="C141" s="224">
        <v>238990</v>
      </c>
      <c r="D141" s="224" t="s">
        <v>2157</v>
      </c>
    </row>
    <row r="142" spans="1:4" x14ac:dyDescent="0.35">
      <c r="A142" s="224">
        <v>311111</v>
      </c>
      <c r="B142" s="224" t="s">
        <v>2158</v>
      </c>
      <c r="C142" s="224">
        <v>311111</v>
      </c>
      <c r="D142" s="224" t="s">
        <v>2158</v>
      </c>
    </row>
    <row r="143" spans="1:4" x14ac:dyDescent="0.35">
      <c r="A143" s="224">
        <v>311119</v>
      </c>
      <c r="B143" s="224" t="s">
        <v>2159</v>
      </c>
      <c r="C143" s="224">
        <v>311119</v>
      </c>
      <c r="D143" s="224" t="s">
        <v>2159</v>
      </c>
    </row>
    <row r="144" spans="1:4" x14ac:dyDescent="0.35">
      <c r="A144" s="224">
        <v>311211</v>
      </c>
      <c r="B144" s="224" t="s">
        <v>2160</v>
      </c>
      <c r="C144" s="224">
        <v>311211</v>
      </c>
      <c r="D144" s="224" t="s">
        <v>2160</v>
      </c>
    </row>
    <row r="145" spans="1:8" x14ac:dyDescent="0.35">
      <c r="A145" s="224">
        <v>311212</v>
      </c>
      <c r="B145" s="224" t="s">
        <v>2161</v>
      </c>
      <c r="C145" s="224">
        <v>311212</v>
      </c>
      <c r="D145" s="224" t="s">
        <v>2161</v>
      </c>
      <c r="E145" s="225"/>
    </row>
    <row r="146" spans="1:8" x14ac:dyDescent="0.35">
      <c r="A146" s="224">
        <v>311213</v>
      </c>
      <c r="B146" s="224" t="s">
        <v>2162</v>
      </c>
      <c r="C146" s="224">
        <v>311213</v>
      </c>
      <c r="D146" s="224" t="s">
        <v>2162</v>
      </c>
      <c r="E146" s="225"/>
    </row>
    <row r="147" spans="1:8" x14ac:dyDescent="0.35">
      <c r="A147" s="224">
        <v>311221</v>
      </c>
      <c r="B147" s="224" t="s">
        <v>2163</v>
      </c>
      <c r="C147" s="224">
        <v>311221</v>
      </c>
      <c r="D147" s="224" t="s">
        <v>2164</v>
      </c>
      <c r="E147" s="225"/>
    </row>
    <row r="148" spans="1:8" x14ac:dyDescent="0.35">
      <c r="A148" s="224">
        <v>311224</v>
      </c>
      <c r="B148" s="224" t="s">
        <v>2165</v>
      </c>
      <c r="C148" s="224">
        <v>311224</v>
      </c>
      <c r="D148" s="224" t="s">
        <v>2165</v>
      </c>
      <c r="E148" s="225"/>
    </row>
    <row r="149" spans="1:8" x14ac:dyDescent="0.35">
      <c r="A149" s="224">
        <v>311225</v>
      </c>
      <c r="B149" s="224" t="s">
        <v>2166</v>
      </c>
      <c r="C149" s="224">
        <v>311225</v>
      </c>
      <c r="D149" s="224" t="s">
        <v>2166</v>
      </c>
      <c r="E149" s="225"/>
    </row>
    <row r="150" spans="1:8" x14ac:dyDescent="0.35">
      <c r="A150" s="224">
        <v>311230</v>
      </c>
      <c r="B150" s="224" t="s">
        <v>2167</v>
      </c>
      <c r="C150" s="224">
        <v>311230</v>
      </c>
      <c r="D150" s="224" t="s">
        <v>2167</v>
      </c>
      <c r="E150" s="225"/>
    </row>
    <row r="151" spans="1:8" x14ac:dyDescent="0.35">
      <c r="A151" s="224">
        <v>311313</v>
      </c>
      <c r="B151" s="224" t="s">
        <v>2168</v>
      </c>
      <c r="C151" s="224">
        <v>311313</v>
      </c>
      <c r="D151" s="224" t="s">
        <v>2168</v>
      </c>
      <c r="E151" s="225"/>
    </row>
    <row r="152" spans="1:8" x14ac:dyDescent="0.35">
      <c r="A152" s="230">
        <v>311314</v>
      </c>
      <c r="B152" s="230" t="s">
        <v>2169</v>
      </c>
      <c r="C152" s="230">
        <v>311314</v>
      </c>
      <c r="D152" s="230" t="s">
        <v>2169</v>
      </c>
      <c r="E152" s="231"/>
    </row>
    <row r="153" spans="1:8" x14ac:dyDescent="0.35">
      <c r="A153" s="224">
        <v>311340</v>
      </c>
      <c r="B153" s="224" t="s">
        <v>2170</v>
      </c>
      <c r="C153" s="224">
        <v>311340</v>
      </c>
      <c r="D153" s="224" t="s">
        <v>2170</v>
      </c>
      <c r="E153" s="225"/>
    </row>
    <row r="154" spans="1:8" ht="25" x14ac:dyDescent="0.35">
      <c r="A154" s="232">
        <v>311351</v>
      </c>
      <c r="B154" s="224" t="s">
        <v>2171</v>
      </c>
      <c r="C154" s="232">
        <v>311351</v>
      </c>
      <c r="D154" s="224" t="s">
        <v>2171</v>
      </c>
      <c r="E154" s="233"/>
    </row>
    <row r="155" spans="1:8" ht="25" x14ac:dyDescent="0.35">
      <c r="A155" s="232">
        <v>311352</v>
      </c>
      <c r="B155" s="224" t="s">
        <v>2172</v>
      </c>
      <c r="C155" s="232">
        <v>311352</v>
      </c>
      <c r="D155" s="224" t="s">
        <v>2172</v>
      </c>
      <c r="E155" s="233"/>
      <c r="H155" s="226" t="s">
        <v>1904</v>
      </c>
    </row>
    <row r="156" spans="1:8" ht="25" x14ac:dyDescent="0.35">
      <c r="A156" s="224">
        <v>311411</v>
      </c>
      <c r="B156" s="224" t="s">
        <v>2173</v>
      </c>
      <c r="C156" s="224">
        <v>311411</v>
      </c>
      <c r="D156" s="224" t="s">
        <v>2173</v>
      </c>
      <c r="E156" s="225"/>
    </row>
    <row r="157" spans="1:8" x14ac:dyDescent="0.35">
      <c r="A157" s="224">
        <v>311412</v>
      </c>
      <c r="B157" s="224" t="s">
        <v>2174</v>
      </c>
      <c r="C157" s="224">
        <v>311412</v>
      </c>
      <c r="D157" s="224" t="s">
        <v>2174</v>
      </c>
      <c r="E157" s="225"/>
    </row>
    <row r="158" spans="1:8" x14ac:dyDescent="0.35">
      <c r="A158" s="224">
        <v>311421</v>
      </c>
      <c r="B158" s="224" t="s">
        <v>2175</v>
      </c>
      <c r="C158" s="224">
        <v>311421</v>
      </c>
      <c r="D158" s="224" t="s">
        <v>2175</v>
      </c>
      <c r="E158" s="225"/>
    </row>
    <row r="159" spans="1:8" x14ac:dyDescent="0.35">
      <c r="A159" s="224">
        <v>311422</v>
      </c>
      <c r="B159" s="224" t="s">
        <v>2176</v>
      </c>
      <c r="C159" s="224">
        <v>311422</v>
      </c>
      <c r="D159" s="224" t="s">
        <v>2176</v>
      </c>
      <c r="E159" s="225"/>
    </row>
    <row r="160" spans="1:8" x14ac:dyDescent="0.35">
      <c r="A160" s="224">
        <v>311423</v>
      </c>
      <c r="B160" s="224" t="s">
        <v>2177</v>
      </c>
      <c r="C160" s="224">
        <v>311423</v>
      </c>
      <c r="D160" s="224" t="s">
        <v>2177</v>
      </c>
      <c r="E160" s="225"/>
    </row>
    <row r="161" spans="1:4" x14ac:dyDescent="0.35">
      <c r="A161" s="224">
        <v>311511</v>
      </c>
      <c r="B161" s="224" t="s">
        <v>2178</v>
      </c>
      <c r="C161" s="224">
        <v>311511</v>
      </c>
      <c r="D161" s="224" t="s">
        <v>2178</v>
      </c>
    </row>
    <row r="162" spans="1:4" x14ac:dyDescent="0.35">
      <c r="A162" s="224">
        <v>311512</v>
      </c>
      <c r="B162" s="224" t="s">
        <v>2179</v>
      </c>
      <c r="C162" s="224">
        <v>311512</v>
      </c>
      <c r="D162" s="224" t="s">
        <v>2179</v>
      </c>
    </row>
    <row r="163" spans="1:4" x14ac:dyDescent="0.35">
      <c r="A163" s="224">
        <v>311513</v>
      </c>
      <c r="B163" s="224" t="s">
        <v>2180</v>
      </c>
      <c r="C163" s="224">
        <v>311513</v>
      </c>
      <c r="D163" s="224" t="s">
        <v>2180</v>
      </c>
    </row>
    <row r="164" spans="1:4" ht="25" x14ac:dyDescent="0.35">
      <c r="A164" s="224">
        <v>311514</v>
      </c>
      <c r="B164" s="224" t="s">
        <v>2181</v>
      </c>
      <c r="C164" s="224">
        <v>311514</v>
      </c>
      <c r="D164" s="224" t="s">
        <v>2181</v>
      </c>
    </row>
    <row r="165" spans="1:4" ht="25" x14ac:dyDescent="0.35">
      <c r="A165" s="224">
        <v>311520</v>
      </c>
      <c r="B165" s="224" t="s">
        <v>2182</v>
      </c>
      <c r="C165" s="224">
        <v>311520</v>
      </c>
      <c r="D165" s="224" t="s">
        <v>2182</v>
      </c>
    </row>
    <row r="166" spans="1:4" x14ac:dyDescent="0.35">
      <c r="A166" s="224">
        <v>311611</v>
      </c>
      <c r="B166" s="224" t="s">
        <v>2183</v>
      </c>
      <c r="C166" s="224">
        <v>311611</v>
      </c>
      <c r="D166" s="224" t="s">
        <v>2183</v>
      </c>
    </row>
    <row r="167" spans="1:4" x14ac:dyDescent="0.35">
      <c r="A167" s="224">
        <v>311612</v>
      </c>
      <c r="B167" s="224" t="s">
        <v>2184</v>
      </c>
      <c r="C167" s="224">
        <v>311612</v>
      </c>
      <c r="D167" s="224" t="s">
        <v>2184</v>
      </c>
    </row>
    <row r="168" spans="1:4" x14ac:dyDescent="0.35">
      <c r="A168" s="224">
        <v>311613</v>
      </c>
      <c r="B168" s="224" t="s">
        <v>2185</v>
      </c>
      <c r="C168" s="224">
        <v>311613</v>
      </c>
      <c r="D168" s="224" t="s">
        <v>2185</v>
      </c>
    </row>
    <row r="169" spans="1:4" x14ac:dyDescent="0.35">
      <c r="A169" s="224">
        <v>311615</v>
      </c>
      <c r="B169" s="224" t="s">
        <v>2186</v>
      </c>
      <c r="C169" s="224">
        <v>311615</v>
      </c>
      <c r="D169" s="224" t="s">
        <v>2186</v>
      </c>
    </row>
    <row r="170" spans="1:4" ht="25" x14ac:dyDescent="0.35">
      <c r="A170" s="234">
        <v>311710</v>
      </c>
      <c r="B170" s="234" t="s">
        <v>2187</v>
      </c>
      <c r="C170" s="234">
        <v>311710</v>
      </c>
      <c r="D170" s="234" t="s">
        <v>2187</v>
      </c>
    </row>
    <row r="171" spans="1:4" x14ac:dyDescent="0.35">
      <c r="A171" s="224">
        <v>311811</v>
      </c>
      <c r="B171" s="224" t="s">
        <v>2188</v>
      </c>
      <c r="C171" s="224">
        <v>311811</v>
      </c>
      <c r="D171" s="224" t="s">
        <v>2188</v>
      </c>
    </row>
    <row r="172" spans="1:4" x14ac:dyDescent="0.35">
      <c r="A172" s="224">
        <v>311812</v>
      </c>
      <c r="B172" s="224" t="s">
        <v>2189</v>
      </c>
      <c r="C172" s="224">
        <v>311812</v>
      </c>
      <c r="D172" s="224" t="s">
        <v>2189</v>
      </c>
    </row>
    <row r="173" spans="1:4" ht="25" x14ac:dyDescent="0.35">
      <c r="A173" s="224">
        <v>311813</v>
      </c>
      <c r="B173" s="224" t="s">
        <v>2190</v>
      </c>
      <c r="C173" s="224">
        <v>311813</v>
      </c>
      <c r="D173" s="224" t="s">
        <v>2190</v>
      </c>
    </row>
    <row r="174" spans="1:4" x14ac:dyDescent="0.35">
      <c r="A174" s="224">
        <v>311821</v>
      </c>
      <c r="B174" s="224" t="s">
        <v>2191</v>
      </c>
      <c r="C174" s="224">
        <v>311821</v>
      </c>
      <c r="D174" s="224" t="s">
        <v>2191</v>
      </c>
    </row>
    <row r="175" spans="1:4" ht="25" x14ac:dyDescent="0.35">
      <c r="A175" s="235">
        <v>311824</v>
      </c>
      <c r="B175" s="235" t="s">
        <v>2192</v>
      </c>
      <c r="C175" s="235">
        <v>311824</v>
      </c>
      <c r="D175" s="235" t="s">
        <v>2192</v>
      </c>
    </row>
    <row r="176" spans="1:4" x14ac:dyDescent="0.35">
      <c r="A176" s="224">
        <v>311830</v>
      </c>
      <c r="B176" s="224" t="s">
        <v>2193</v>
      </c>
      <c r="C176" s="224">
        <v>311830</v>
      </c>
      <c r="D176" s="224" t="s">
        <v>2193</v>
      </c>
    </row>
    <row r="177" spans="1:7" ht="25" x14ac:dyDescent="0.35">
      <c r="A177" s="224">
        <v>311911</v>
      </c>
      <c r="B177" s="224" t="s">
        <v>2194</v>
      </c>
      <c r="C177" s="224">
        <v>311911</v>
      </c>
      <c r="D177" s="224" t="s">
        <v>2194</v>
      </c>
      <c r="E177" s="225"/>
    </row>
    <row r="178" spans="1:7" x14ac:dyDescent="0.35">
      <c r="A178" s="224">
        <v>311919</v>
      </c>
      <c r="B178" s="224" t="s">
        <v>2195</v>
      </c>
      <c r="C178" s="224">
        <v>311919</v>
      </c>
      <c r="D178" s="224" t="s">
        <v>2195</v>
      </c>
      <c r="E178" s="225"/>
    </row>
    <row r="179" spans="1:7" x14ac:dyDescent="0.35">
      <c r="A179" s="224">
        <v>311920</v>
      </c>
      <c r="B179" s="224" t="s">
        <v>2196</v>
      </c>
      <c r="C179" s="224">
        <v>311920</v>
      </c>
      <c r="D179" s="224" t="s">
        <v>2196</v>
      </c>
      <c r="E179" s="225"/>
    </row>
    <row r="180" spans="1:7" ht="25" x14ac:dyDescent="0.35">
      <c r="A180" s="224">
        <v>311930</v>
      </c>
      <c r="B180" s="224" t="s">
        <v>2197</v>
      </c>
      <c r="C180" s="224">
        <v>311930</v>
      </c>
      <c r="D180" s="224" t="s">
        <v>2197</v>
      </c>
      <c r="E180" s="225"/>
    </row>
    <row r="181" spans="1:7" ht="25" x14ac:dyDescent="0.35">
      <c r="A181" s="224">
        <v>311941</v>
      </c>
      <c r="B181" s="224" t="s">
        <v>2198</v>
      </c>
      <c r="C181" s="224">
        <v>311941</v>
      </c>
      <c r="D181" s="224" t="s">
        <v>2198</v>
      </c>
      <c r="E181" s="225"/>
    </row>
    <row r="182" spans="1:7" x14ac:dyDescent="0.35">
      <c r="A182" s="224">
        <v>311942</v>
      </c>
      <c r="B182" s="224" t="s">
        <v>2199</v>
      </c>
      <c r="C182" s="224">
        <v>311942</v>
      </c>
      <c r="D182" s="224" t="s">
        <v>2199</v>
      </c>
      <c r="E182" s="225"/>
    </row>
    <row r="183" spans="1:7" x14ac:dyDescent="0.35">
      <c r="A183" s="224">
        <v>311991</v>
      </c>
      <c r="B183" s="224" t="s">
        <v>2200</v>
      </c>
      <c r="C183" s="224">
        <v>311991</v>
      </c>
      <c r="D183" s="224" t="s">
        <v>2200</v>
      </c>
      <c r="E183" s="225"/>
    </row>
    <row r="184" spans="1:7" ht="25" x14ac:dyDescent="0.35">
      <c r="A184" s="224">
        <v>311999</v>
      </c>
      <c r="B184" s="224" t="s">
        <v>2201</v>
      </c>
      <c r="C184" s="224">
        <v>311999</v>
      </c>
      <c r="D184" s="224" t="s">
        <v>2201</v>
      </c>
      <c r="E184" s="225"/>
    </row>
    <row r="185" spans="1:7" x14ac:dyDescent="0.35">
      <c r="A185" s="224">
        <v>312111</v>
      </c>
      <c r="B185" s="224" t="s">
        <v>2202</v>
      </c>
      <c r="C185" s="224">
        <v>312111</v>
      </c>
      <c r="D185" s="224" t="s">
        <v>2202</v>
      </c>
      <c r="E185" s="225"/>
      <c r="G185" s="226" t="s">
        <v>1904</v>
      </c>
    </row>
    <row r="186" spans="1:7" x14ac:dyDescent="0.35">
      <c r="A186" s="224">
        <v>312112</v>
      </c>
      <c r="B186" s="224" t="s">
        <v>2203</v>
      </c>
      <c r="C186" s="224">
        <v>312112</v>
      </c>
      <c r="D186" s="224" t="s">
        <v>2203</v>
      </c>
      <c r="E186" s="225"/>
    </row>
    <row r="187" spans="1:7" x14ac:dyDescent="0.35">
      <c r="A187" s="224">
        <v>312113</v>
      </c>
      <c r="B187" s="224" t="s">
        <v>2204</v>
      </c>
      <c r="C187" s="224">
        <v>312113</v>
      </c>
      <c r="D187" s="224" t="s">
        <v>2204</v>
      </c>
      <c r="E187" s="225"/>
    </row>
    <row r="188" spans="1:7" x14ac:dyDescent="0.35">
      <c r="A188" s="224">
        <v>312120</v>
      </c>
      <c r="B188" s="224" t="s">
        <v>2205</v>
      </c>
      <c r="C188" s="224">
        <v>312120</v>
      </c>
      <c r="D188" s="224" t="s">
        <v>2205</v>
      </c>
      <c r="E188" s="225"/>
    </row>
    <row r="189" spans="1:7" x14ac:dyDescent="0.35">
      <c r="A189" s="224">
        <v>312130</v>
      </c>
      <c r="B189" s="224" t="s">
        <v>2206</v>
      </c>
      <c r="C189" s="224">
        <v>312130</v>
      </c>
      <c r="D189" s="224" t="s">
        <v>2206</v>
      </c>
      <c r="E189" s="225"/>
    </row>
    <row r="190" spans="1:7" x14ac:dyDescent="0.35">
      <c r="A190" s="224">
        <v>312140</v>
      </c>
      <c r="B190" s="224" t="s">
        <v>2207</v>
      </c>
      <c r="C190" s="224">
        <v>312140</v>
      </c>
      <c r="D190" s="224" t="s">
        <v>2207</v>
      </c>
      <c r="E190" s="225"/>
    </row>
    <row r="191" spans="1:7" x14ac:dyDescent="0.35">
      <c r="A191" s="236">
        <v>312230</v>
      </c>
      <c r="B191" s="236" t="s">
        <v>2208</v>
      </c>
      <c r="C191" s="236">
        <v>312230</v>
      </c>
      <c r="D191" s="236" t="s">
        <v>2208</v>
      </c>
      <c r="E191" s="237"/>
    </row>
    <row r="192" spans="1:7" x14ac:dyDescent="0.35">
      <c r="A192" s="238">
        <v>313110</v>
      </c>
      <c r="B192" s="238" t="s">
        <v>2209</v>
      </c>
      <c r="C192" s="238">
        <v>313110</v>
      </c>
      <c r="D192" s="238" t="s">
        <v>2209</v>
      </c>
      <c r="E192" s="239"/>
    </row>
    <row r="193" spans="1:4" x14ac:dyDescent="0.35">
      <c r="A193" s="224">
        <v>313210</v>
      </c>
      <c r="B193" s="224" t="s">
        <v>2210</v>
      </c>
      <c r="C193" s="224">
        <v>313210</v>
      </c>
      <c r="D193" s="224" t="s">
        <v>2210</v>
      </c>
    </row>
    <row r="194" spans="1:4" ht="25" x14ac:dyDescent="0.35">
      <c r="A194" s="240">
        <v>313220</v>
      </c>
      <c r="B194" s="240" t="s">
        <v>2211</v>
      </c>
      <c r="C194" s="240">
        <v>313220</v>
      </c>
      <c r="D194" s="240" t="s">
        <v>2211</v>
      </c>
    </row>
    <row r="195" spans="1:4" x14ac:dyDescent="0.35">
      <c r="A195" s="224">
        <v>313230</v>
      </c>
      <c r="B195" s="224" t="s">
        <v>2212</v>
      </c>
      <c r="C195" s="224">
        <v>313230</v>
      </c>
      <c r="D195" s="224" t="s">
        <v>2212</v>
      </c>
    </row>
    <row r="196" spans="1:4" x14ac:dyDescent="0.35">
      <c r="A196" s="241">
        <v>313240</v>
      </c>
      <c r="B196" s="241" t="s">
        <v>2213</v>
      </c>
      <c r="C196" s="241">
        <v>313240</v>
      </c>
      <c r="D196" s="241" t="s">
        <v>2213</v>
      </c>
    </row>
    <row r="197" spans="1:4" x14ac:dyDescent="0.35">
      <c r="A197" s="241">
        <v>313310</v>
      </c>
      <c r="B197" s="241" t="s">
        <v>2214</v>
      </c>
      <c r="C197" s="241">
        <v>313310</v>
      </c>
      <c r="D197" s="241" t="s">
        <v>2214</v>
      </c>
    </row>
    <row r="198" spans="1:4" x14ac:dyDescent="0.35">
      <c r="A198" s="224">
        <v>313320</v>
      </c>
      <c r="B198" s="224" t="s">
        <v>2215</v>
      </c>
      <c r="C198" s="224">
        <v>313320</v>
      </c>
      <c r="D198" s="224" t="s">
        <v>2215</v>
      </c>
    </row>
    <row r="199" spans="1:4" x14ac:dyDescent="0.35">
      <c r="A199" s="224">
        <v>314110</v>
      </c>
      <c r="B199" s="224" t="s">
        <v>2216</v>
      </c>
      <c r="C199" s="224">
        <v>314110</v>
      </c>
      <c r="D199" s="224" t="s">
        <v>2216</v>
      </c>
    </row>
    <row r="200" spans="1:4" x14ac:dyDescent="0.35">
      <c r="A200" s="242">
        <v>314120</v>
      </c>
      <c r="B200" s="242" t="s">
        <v>2217</v>
      </c>
      <c r="C200" s="242">
        <v>314120</v>
      </c>
      <c r="D200" s="242" t="s">
        <v>2217</v>
      </c>
    </row>
    <row r="201" spans="1:4" x14ac:dyDescent="0.35">
      <c r="A201" s="242">
        <v>314910</v>
      </c>
      <c r="B201" s="242" t="s">
        <v>2218</v>
      </c>
      <c r="C201" s="242">
        <v>314910</v>
      </c>
      <c r="D201" s="242" t="s">
        <v>2218</v>
      </c>
    </row>
    <row r="202" spans="1:4" ht="25" x14ac:dyDescent="0.35">
      <c r="A202" s="242">
        <v>314994</v>
      </c>
      <c r="B202" s="242" t="s">
        <v>2219</v>
      </c>
      <c r="C202" s="242">
        <v>314994</v>
      </c>
      <c r="D202" s="242" t="s">
        <v>2219</v>
      </c>
    </row>
    <row r="203" spans="1:4" ht="25" x14ac:dyDescent="0.35">
      <c r="A203" s="224">
        <v>314999</v>
      </c>
      <c r="B203" s="224" t="s">
        <v>2220</v>
      </c>
      <c r="C203" s="224">
        <v>314999</v>
      </c>
      <c r="D203" s="224" t="s">
        <v>2220</v>
      </c>
    </row>
    <row r="204" spans="1:4" x14ac:dyDescent="0.35">
      <c r="A204" s="243">
        <v>315110</v>
      </c>
      <c r="B204" s="243" t="s">
        <v>2221</v>
      </c>
      <c r="C204" s="244">
        <v>315120</v>
      </c>
      <c r="D204" s="243" t="s">
        <v>2222</v>
      </c>
    </row>
    <row r="205" spans="1:4" x14ac:dyDescent="0.35">
      <c r="A205" s="243">
        <v>315190</v>
      </c>
      <c r="B205" s="243" t="s">
        <v>2223</v>
      </c>
      <c r="C205" s="244">
        <v>315120</v>
      </c>
      <c r="D205" s="243" t="s">
        <v>2222</v>
      </c>
    </row>
    <row r="206" spans="1:4" x14ac:dyDescent="0.35">
      <c r="A206" s="243">
        <v>315210</v>
      </c>
      <c r="B206" s="243" t="s">
        <v>2224</v>
      </c>
      <c r="C206" s="243">
        <v>315210</v>
      </c>
      <c r="D206" s="243" t="s">
        <v>2224</v>
      </c>
    </row>
    <row r="207" spans="1:4" ht="25" x14ac:dyDescent="0.35">
      <c r="A207" s="243">
        <v>315220</v>
      </c>
      <c r="B207" s="243" t="s">
        <v>2225</v>
      </c>
      <c r="C207" s="244">
        <v>315250</v>
      </c>
      <c r="D207" s="243" t="s">
        <v>2226</v>
      </c>
    </row>
    <row r="208" spans="1:4" ht="25" x14ac:dyDescent="0.35">
      <c r="A208" s="243">
        <v>315240</v>
      </c>
      <c r="B208" s="243" t="s">
        <v>2227</v>
      </c>
      <c r="C208" s="244">
        <v>315250</v>
      </c>
      <c r="D208" s="243" t="s">
        <v>2226</v>
      </c>
    </row>
    <row r="209" spans="1:9" ht="25" x14ac:dyDescent="0.35">
      <c r="A209" s="245">
        <v>315280</v>
      </c>
      <c r="B209" s="245" t="s">
        <v>2228</v>
      </c>
      <c r="C209" s="246">
        <v>315250</v>
      </c>
      <c r="D209" s="245" t="s">
        <v>2226</v>
      </c>
      <c r="E209" s="247"/>
    </row>
    <row r="210" spans="1:9" ht="25" x14ac:dyDescent="0.35">
      <c r="A210" s="245">
        <v>315990</v>
      </c>
      <c r="B210" s="245" t="s">
        <v>2229</v>
      </c>
      <c r="C210" s="245">
        <v>315990</v>
      </c>
      <c r="D210" s="245" t="s">
        <v>2229</v>
      </c>
      <c r="E210" s="248"/>
    </row>
    <row r="211" spans="1:9" x14ac:dyDescent="0.35">
      <c r="A211" s="224">
        <v>316110</v>
      </c>
      <c r="B211" s="224" t="s">
        <v>2230</v>
      </c>
      <c r="C211" s="224">
        <v>316110</v>
      </c>
      <c r="D211" s="224" t="s">
        <v>2230</v>
      </c>
      <c r="E211" s="225"/>
    </row>
    <row r="212" spans="1:9" x14ac:dyDescent="0.35">
      <c r="A212" s="249">
        <v>316210</v>
      </c>
      <c r="B212" s="249" t="s">
        <v>2231</v>
      </c>
      <c r="C212" s="249">
        <v>316210</v>
      </c>
      <c r="D212" s="249" t="s">
        <v>2231</v>
      </c>
      <c r="E212" s="250"/>
    </row>
    <row r="213" spans="1:9" ht="25" x14ac:dyDescent="0.35">
      <c r="A213" s="224">
        <v>316992</v>
      </c>
      <c r="B213" s="224" t="s">
        <v>2232</v>
      </c>
      <c r="C213" s="227">
        <v>316990</v>
      </c>
      <c r="D213" s="224" t="s">
        <v>2233</v>
      </c>
      <c r="E213" s="228"/>
    </row>
    <row r="214" spans="1:9" ht="25" x14ac:dyDescent="0.35">
      <c r="A214" s="249">
        <v>316998</v>
      </c>
      <c r="B214" s="249" t="s">
        <v>2234</v>
      </c>
      <c r="C214" s="251">
        <v>316990</v>
      </c>
      <c r="D214" s="249" t="s">
        <v>2233</v>
      </c>
      <c r="E214" s="252"/>
      <c r="I214" s="226" t="s">
        <v>1904</v>
      </c>
    </row>
    <row r="215" spans="1:9" x14ac:dyDescent="0.35">
      <c r="A215" s="224">
        <v>321113</v>
      </c>
      <c r="B215" s="224" t="s">
        <v>2235</v>
      </c>
      <c r="C215" s="224">
        <v>321113</v>
      </c>
      <c r="D215" s="224" t="s">
        <v>2235</v>
      </c>
      <c r="E215" s="225"/>
    </row>
    <row r="216" spans="1:9" x14ac:dyDescent="0.35">
      <c r="A216" s="224">
        <v>321114</v>
      </c>
      <c r="B216" s="224" t="s">
        <v>2236</v>
      </c>
      <c r="C216" s="224">
        <v>321114</v>
      </c>
      <c r="D216" s="224" t="s">
        <v>2236</v>
      </c>
      <c r="E216" s="225"/>
    </row>
    <row r="217" spans="1:9" ht="25" x14ac:dyDescent="0.35">
      <c r="A217" s="224">
        <v>321211</v>
      </c>
      <c r="B217" s="224" t="s">
        <v>2237</v>
      </c>
      <c r="C217" s="224">
        <v>321211</v>
      </c>
      <c r="D217" s="224" t="s">
        <v>2237</v>
      </c>
      <c r="E217" s="225"/>
    </row>
    <row r="218" spans="1:9" ht="25" x14ac:dyDescent="0.35">
      <c r="A218" s="224">
        <v>321212</v>
      </c>
      <c r="B218" s="224" t="s">
        <v>2238</v>
      </c>
      <c r="C218" s="224">
        <v>321212</v>
      </c>
      <c r="D218" s="224" t="s">
        <v>2238</v>
      </c>
      <c r="E218" s="225"/>
    </row>
    <row r="219" spans="1:9" ht="25" x14ac:dyDescent="0.35">
      <c r="A219" s="224">
        <v>321213</v>
      </c>
      <c r="B219" s="224" t="s">
        <v>2239</v>
      </c>
      <c r="C219" s="227">
        <v>321215</v>
      </c>
      <c r="D219" s="224" t="s">
        <v>2240</v>
      </c>
      <c r="E219" s="228"/>
    </row>
    <row r="220" spans="1:9" x14ac:dyDescent="0.35">
      <c r="A220" s="224">
        <v>321214</v>
      </c>
      <c r="B220" s="224" t="s">
        <v>2241</v>
      </c>
      <c r="C220" s="227">
        <v>321215</v>
      </c>
      <c r="D220" s="224" t="s">
        <v>2240</v>
      </c>
      <c r="E220" s="228"/>
    </row>
    <row r="221" spans="1:9" ht="25" x14ac:dyDescent="0.35">
      <c r="A221" s="224">
        <v>321219</v>
      </c>
      <c r="B221" s="224" t="s">
        <v>2242</v>
      </c>
      <c r="C221" s="224">
        <v>321219</v>
      </c>
      <c r="D221" s="224" t="s">
        <v>2242</v>
      </c>
      <c r="E221" s="225"/>
    </row>
    <row r="222" spans="1:9" x14ac:dyDescent="0.35">
      <c r="A222" s="224">
        <v>321911</v>
      </c>
      <c r="B222" s="224" t="s">
        <v>2243</v>
      </c>
      <c r="C222" s="224">
        <v>321911</v>
      </c>
      <c r="D222" s="224" t="s">
        <v>2243</v>
      </c>
      <c r="E222" s="225"/>
    </row>
    <row r="223" spans="1:9" x14ac:dyDescent="0.35">
      <c r="A223" s="224">
        <v>321912</v>
      </c>
      <c r="B223" s="224" t="s">
        <v>2244</v>
      </c>
      <c r="C223" s="224">
        <v>321912</v>
      </c>
      <c r="D223" s="224" t="s">
        <v>2244</v>
      </c>
      <c r="E223" s="225"/>
    </row>
    <row r="224" spans="1:9" x14ac:dyDescent="0.35">
      <c r="A224" s="224">
        <v>321918</v>
      </c>
      <c r="B224" s="224" t="s">
        <v>2245</v>
      </c>
      <c r="C224" s="224">
        <v>321918</v>
      </c>
      <c r="D224" s="224" t="s">
        <v>2245</v>
      </c>
      <c r="E224" s="225"/>
    </row>
    <row r="225" spans="1:8" x14ac:dyDescent="0.35">
      <c r="A225" s="224">
        <v>321920</v>
      </c>
      <c r="B225" s="224" t="s">
        <v>2246</v>
      </c>
      <c r="C225" s="224">
        <v>321920</v>
      </c>
      <c r="D225" s="224" t="s">
        <v>2246</v>
      </c>
      <c r="E225" s="225"/>
    </row>
    <row r="226" spans="1:8" ht="25" x14ac:dyDescent="0.35">
      <c r="A226" s="224">
        <v>321991</v>
      </c>
      <c r="B226" s="224" t="s">
        <v>2247</v>
      </c>
      <c r="C226" s="224">
        <v>321991</v>
      </c>
      <c r="D226" s="224" t="s">
        <v>2247</v>
      </c>
      <c r="E226" s="225"/>
    </row>
    <row r="227" spans="1:8" ht="25" x14ac:dyDescent="0.35">
      <c r="A227" s="224">
        <v>321992</v>
      </c>
      <c r="B227" s="224" t="s">
        <v>2248</v>
      </c>
      <c r="C227" s="224">
        <v>321992</v>
      </c>
      <c r="D227" s="224" t="s">
        <v>2248</v>
      </c>
      <c r="E227" s="225"/>
      <c r="H227" s="226" t="s">
        <v>1904</v>
      </c>
    </row>
    <row r="228" spans="1:8" ht="25" x14ac:dyDescent="0.35">
      <c r="A228" s="224">
        <v>321999</v>
      </c>
      <c r="B228" s="224" t="s">
        <v>2249</v>
      </c>
      <c r="C228" s="224">
        <v>321999</v>
      </c>
      <c r="D228" s="224" t="s">
        <v>2249</v>
      </c>
      <c r="E228" s="225"/>
    </row>
    <row r="229" spans="1:8" x14ac:dyDescent="0.35">
      <c r="A229" s="224">
        <v>322110</v>
      </c>
      <c r="B229" s="224" t="s">
        <v>2250</v>
      </c>
      <c r="C229" s="224">
        <v>322110</v>
      </c>
      <c r="D229" s="224" t="s">
        <v>2250</v>
      </c>
      <c r="E229" s="225"/>
    </row>
    <row r="230" spans="1:8" x14ac:dyDescent="0.35">
      <c r="A230" s="224">
        <v>322121</v>
      </c>
      <c r="B230" s="224" t="s">
        <v>2251</v>
      </c>
      <c r="C230" s="227">
        <v>322120</v>
      </c>
      <c r="D230" s="224" t="s">
        <v>2252</v>
      </c>
      <c r="E230" s="228"/>
    </row>
    <row r="231" spans="1:8" x14ac:dyDescent="0.35">
      <c r="A231" s="224">
        <v>322122</v>
      </c>
      <c r="B231" s="224" t="s">
        <v>2253</v>
      </c>
      <c r="C231" s="227">
        <v>322120</v>
      </c>
      <c r="D231" s="224" t="s">
        <v>2252</v>
      </c>
      <c r="E231" s="228"/>
    </row>
    <row r="232" spans="1:8" x14ac:dyDescent="0.35">
      <c r="A232" s="224">
        <v>322130</v>
      </c>
      <c r="B232" s="224" t="s">
        <v>2254</v>
      </c>
      <c r="C232" s="224">
        <v>322130</v>
      </c>
      <c r="D232" s="224" t="s">
        <v>2254</v>
      </c>
      <c r="E232" s="225"/>
    </row>
    <row r="233" spans="1:8" ht="25" x14ac:dyDescent="0.35">
      <c r="A233" s="224">
        <v>322211</v>
      </c>
      <c r="B233" s="224" t="s">
        <v>2255</v>
      </c>
      <c r="C233" s="224">
        <v>322211</v>
      </c>
      <c r="D233" s="224" t="s">
        <v>2255</v>
      </c>
      <c r="E233" s="225"/>
    </row>
    <row r="234" spans="1:8" x14ac:dyDescent="0.35">
      <c r="A234" s="224">
        <v>322212</v>
      </c>
      <c r="B234" s="224" t="s">
        <v>2256</v>
      </c>
      <c r="C234" s="224">
        <v>322212</v>
      </c>
      <c r="D234" s="224" t="s">
        <v>2256</v>
      </c>
      <c r="E234" s="225"/>
    </row>
    <row r="235" spans="1:8" ht="25" x14ac:dyDescent="0.35">
      <c r="A235" s="253">
        <v>322219</v>
      </c>
      <c r="B235" s="253" t="s">
        <v>2257</v>
      </c>
      <c r="C235" s="253">
        <v>322219</v>
      </c>
      <c r="D235" s="253" t="s">
        <v>2257</v>
      </c>
      <c r="E235" s="254"/>
    </row>
    <row r="236" spans="1:8" ht="25" x14ac:dyDescent="0.35">
      <c r="A236" s="253">
        <v>322220</v>
      </c>
      <c r="B236" s="253" t="s">
        <v>2258</v>
      </c>
      <c r="C236" s="253">
        <v>322220</v>
      </c>
      <c r="D236" s="253" t="s">
        <v>2258</v>
      </c>
      <c r="E236" s="254"/>
    </row>
    <row r="237" spans="1:8" x14ac:dyDescent="0.35">
      <c r="A237" s="253">
        <v>322230</v>
      </c>
      <c r="B237" s="253" t="s">
        <v>2259</v>
      </c>
      <c r="C237" s="253">
        <v>322230</v>
      </c>
      <c r="D237" s="253" t="s">
        <v>2259</v>
      </c>
      <c r="E237" s="254"/>
    </row>
    <row r="238" spans="1:8" x14ac:dyDescent="0.35">
      <c r="A238" s="224">
        <v>322291</v>
      </c>
      <c r="B238" s="224" t="s">
        <v>2260</v>
      </c>
      <c r="C238" s="224">
        <v>322291</v>
      </c>
      <c r="D238" s="224" t="s">
        <v>2260</v>
      </c>
      <c r="E238" s="225"/>
    </row>
    <row r="239" spans="1:8" ht="25" x14ac:dyDescent="0.35">
      <c r="A239" s="224">
        <v>322299</v>
      </c>
      <c r="B239" s="224" t="s">
        <v>2261</v>
      </c>
      <c r="C239" s="224">
        <v>322299</v>
      </c>
      <c r="D239" s="224" t="s">
        <v>2261</v>
      </c>
      <c r="E239" s="225"/>
      <c r="F239" s="226" t="s">
        <v>1904</v>
      </c>
    </row>
    <row r="240" spans="1:8" ht="25" x14ac:dyDescent="0.35">
      <c r="A240" s="255">
        <v>323111</v>
      </c>
      <c r="B240" s="255" t="s">
        <v>2262</v>
      </c>
      <c r="C240" s="255">
        <v>323111</v>
      </c>
      <c r="D240" s="255" t="s">
        <v>2262</v>
      </c>
      <c r="E240" s="256"/>
    </row>
    <row r="241" spans="1:4" x14ac:dyDescent="0.35">
      <c r="A241" s="224">
        <v>323113</v>
      </c>
      <c r="B241" s="224" t="s">
        <v>2263</v>
      </c>
      <c r="C241" s="224">
        <v>323113</v>
      </c>
      <c r="D241" s="224" t="s">
        <v>2263</v>
      </c>
    </row>
    <row r="242" spans="1:4" x14ac:dyDescent="0.35">
      <c r="A242" s="224">
        <v>323117</v>
      </c>
      <c r="B242" s="224" t="s">
        <v>2264</v>
      </c>
      <c r="C242" s="224">
        <v>323117</v>
      </c>
      <c r="D242" s="224" t="s">
        <v>2264</v>
      </c>
    </row>
    <row r="243" spans="1:4" x14ac:dyDescent="0.35">
      <c r="A243" s="257">
        <v>323120</v>
      </c>
      <c r="B243" s="257" t="s">
        <v>2265</v>
      </c>
      <c r="C243" s="257">
        <v>323120</v>
      </c>
      <c r="D243" s="257" t="s">
        <v>2265</v>
      </c>
    </row>
    <row r="244" spans="1:4" x14ac:dyDescent="0.35">
      <c r="A244" s="224">
        <v>324110</v>
      </c>
      <c r="B244" s="224" t="s">
        <v>761</v>
      </c>
      <c r="C244" s="224">
        <v>324110</v>
      </c>
      <c r="D244" s="224" t="s">
        <v>761</v>
      </c>
    </row>
    <row r="245" spans="1:4" ht="25" x14ac:dyDescent="0.35">
      <c r="A245" s="224">
        <v>324121</v>
      </c>
      <c r="B245" s="224" t="s">
        <v>2266</v>
      </c>
      <c r="C245" s="224">
        <v>324121</v>
      </c>
      <c r="D245" s="224" t="s">
        <v>2266</v>
      </c>
    </row>
    <row r="246" spans="1:4" ht="25" x14ac:dyDescent="0.35">
      <c r="A246" s="224">
        <v>324122</v>
      </c>
      <c r="B246" s="224" t="s">
        <v>2267</v>
      </c>
      <c r="C246" s="224">
        <v>324122</v>
      </c>
      <c r="D246" s="224" t="s">
        <v>2267</v>
      </c>
    </row>
    <row r="247" spans="1:4" ht="25" x14ac:dyDescent="0.35">
      <c r="A247" s="224">
        <v>324191</v>
      </c>
      <c r="B247" s="224" t="s">
        <v>2268</v>
      </c>
      <c r="C247" s="224">
        <v>324191</v>
      </c>
      <c r="D247" s="224" t="s">
        <v>2268</v>
      </c>
    </row>
    <row r="248" spans="1:4" ht="25" x14ac:dyDescent="0.35">
      <c r="A248" s="224">
        <v>324199</v>
      </c>
      <c r="B248" s="224" t="s">
        <v>2269</v>
      </c>
      <c r="C248" s="224">
        <v>324199</v>
      </c>
      <c r="D248" s="224" t="s">
        <v>2269</v>
      </c>
    </row>
    <row r="249" spans="1:4" x14ac:dyDescent="0.35">
      <c r="A249" s="224">
        <v>325110</v>
      </c>
      <c r="B249" s="224" t="s">
        <v>1895</v>
      </c>
      <c r="C249" s="224">
        <v>325110</v>
      </c>
      <c r="D249" s="224" t="s">
        <v>1895</v>
      </c>
    </row>
    <row r="250" spans="1:4" x14ac:dyDescent="0.35">
      <c r="A250" s="224">
        <v>325120</v>
      </c>
      <c r="B250" s="224" t="s">
        <v>2270</v>
      </c>
      <c r="C250" s="224">
        <v>325120</v>
      </c>
      <c r="D250" s="224" t="s">
        <v>2270</v>
      </c>
    </row>
    <row r="251" spans="1:4" ht="17.25" customHeight="1" x14ac:dyDescent="0.35">
      <c r="A251" s="258">
        <v>325130</v>
      </c>
      <c r="B251" s="258" t="s">
        <v>2271</v>
      </c>
      <c r="C251" s="258">
        <v>325130</v>
      </c>
      <c r="D251" s="258" t="s">
        <v>2271</v>
      </c>
    </row>
    <row r="252" spans="1:4" ht="25" x14ac:dyDescent="0.35">
      <c r="A252" s="258">
        <v>325180</v>
      </c>
      <c r="B252" s="258" t="s">
        <v>1797</v>
      </c>
      <c r="C252" s="258">
        <v>325180</v>
      </c>
      <c r="D252" s="258" t="s">
        <v>1797</v>
      </c>
    </row>
    <row r="253" spans="1:4" x14ac:dyDescent="0.35">
      <c r="A253" s="224">
        <v>325193</v>
      </c>
      <c r="B253" s="224" t="s">
        <v>2272</v>
      </c>
      <c r="C253" s="224">
        <v>325193</v>
      </c>
      <c r="D253" s="224" t="s">
        <v>2272</v>
      </c>
    </row>
    <row r="254" spans="1:4" ht="25" x14ac:dyDescent="0.35">
      <c r="A254" s="258">
        <v>325194</v>
      </c>
      <c r="B254" s="258" t="s">
        <v>2273</v>
      </c>
      <c r="C254" s="258">
        <v>325194</v>
      </c>
      <c r="D254" s="258" t="s">
        <v>2273</v>
      </c>
    </row>
    <row r="255" spans="1:4" ht="25" x14ac:dyDescent="0.35">
      <c r="A255" s="224">
        <v>325199</v>
      </c>
      <c r="B255" s="224" t="s">
        <v>873</v>
      </c>
      <c r="C255" s="224">
        <v>325199</v>
      </c>
      <c r="D255" s="224" t="s">
        <v>873</v>
      </c>
    </row>
    <row r="256" spans="1:4" ht="15" customHeight="1" x14ac:dyDescent="0.35">
      <c r="A256" s="224">
        <v>325211</v>
      </c>
      <c r="B256" s="224" t="s">
        <v>1787</v>
      </c>
      <c r="C256" s="224">
        <v>325211</v>
      </c>
      <c r="D256" s="224" t="s">
        <v>1787</v>
      </c>
    </row>
    <row r="257" spans="1:4" x14ac:dyDescent="0.35">
      <c r="A257" s="224">
        <v>325212</v>
      </c>
      <c r="B257" s="224" t="s">
        <v>2274</v>
      </c>
      <c r="C257" s="224">
        <v>325212</v>
      </c>
      <c r="D257" s="224" t="s">
        <v>2274</v>
      </c>
    </row>
    <row r="258" spans="1:4" ht="25" x14ac:dyDescent="0.35">
      <c r="A258" s="259">
        <v>325220</v>
      </c>
      <c r="B258" s="259" t="s">
        <v>2275</v>
      </c>
      <c r="C258" s="259">
        <v>325220</v>
      </c>
      <c r="D258" s="259" t="s">
        <v>2275</v>
      </c>
    </row>
    <row r="259" spans="1:4" ht="12.75" customHeight="1" x14ac:dyDescent="0.35">
      <c r="A259" s="224">
        <v>325311</v>
      </c>
      <c r="B259" s="224" t="s">
        <v>2276</v>
      </c>
      <c r="C259" s="224">
        <v>325311</v>
      </c>
      <c r="D259" s="224" t="s">
        <v>2276</v>
      </c>
    </row>
    <row r="260" spans="1:4" x14ac:dyDescent="0.35">
      <c r="A260" s="224">
        <v>325312</v>
      </c>
      <c r="B260" s="224" t="s">
        <v>2277</v>
      </c>
      <c r="C260" s="224">
        <v>325312</v>
      </c>
      <c r="D260" s="224" t="s">
        <v>2277</v>
      </c>
    </row>
    <row r="261" spans="1:4" ht="25.5" x14ac:dyDescent="0.35">
      <c r="A261" s="229">
        <v>325314</v>
      </c>
      <c r="B261" s="224" t="s">
        <v>2278</v>
      </c>
      <c r="C261" s="224">
        <v>325314</v>
      </c>
      <c r="D261" s="224" t="s">
        <v>2279</v>
      </c>
    </row>
    <row r="262" spans="1:4" ht="25.5" x14ac:dyDescent="0.35">
      <c r="A262" s="229">
        <v>325314</v>
      </c>
      <c r="B262" s="224" t="s">
        <v>2280</v>
      </c>
      <c r="C262" s="224">
        <v>325315</v>
      </c>
      <c r="D262" s="224" t="s">
        <v>2281</v>
      </c>
    </row>
    <row r="263" spans="1:4" ht="25" x14ac:dyDescent="0.35">
      <c r="A263" s="224">
        <v>325320</v>
      </c>
      <c r="B263" s="224" t="s">
        <v>2282</v>
      </c>
      <c r="C263" s="224">
        <v>325320</v>
      </c>
      <c r="D263" s="224" t="s">
        <v>2282</v>
      </c>
    </row>
    <row r="264" spans="1:4" x14ac:dyDescent="0.35">
      <c r="A264" s="224">
        <v>325411</v>
      </c>
      <c r="B264" s="224" t="s">
        <v>2283</v>
      </c>
      <c r="C264" s="224">
        <v>325411</v>
      </c>
      <c r="D264" s="224" t="s">
        <v>2283</v>
      </c>
    </row>
    <row r="265" spans="1:4" x14ac:dyDescent="0.35">
      <c r="A265" s="224">
        <v>325412</v>
      </c>
      <c r="B265" s="224" t="s">
        <v>2284</v>
      </c>
      <c r="C265" s="224">
        <v>325412</v>
      </c>
      <c r="D265" s="224" t="s">
        <v>2284</v>
      </c>
    </row>
    <row r="266" spans="1:4" ht="25" x14ac:dyDescent="0.35">
      <c r="A266" s="224">
        <v>325413</v>
      </c>
      <c r="B266" s="224" t="s">
        <v>2285</v>
      </c>
      <c r="C266" s="224">
        <v>325413</v>
      </c>
      <c r="D266" s="224" t="s">
        <v>2285</v>
      </c>
    </row>
    <row r="267" spans="1:4" ht="25" x14ac:dyDescent="0.35">
      <c r="A267" s="224">
        <v>325414</v>
      </c>
      <c r="B267" s="224" t="s">
        <v>2286</v>
      </c>
      <c r="C267" s="224">
        <v>325414</v>
      </c>
      <c r="D267" s="224" t="s">
        <v>2286</v>
      </c>
    </row>
    <row r="268" spans="1:4" x14ac:dyDescent="0.35">
      <c r="A268" s="224">
        <v>325510</v>
      </c>
      <c r="B268" s="224" t="s">
        <v>1519</v>
      </c>
      <c r="C268" s="224">
        <v>325510</v>
      </c>
      <c r="D268" s="224" t="s">
        <v>1519</v>
      </c>
    </row>
    <row r="269" spans="1:4" x14ac:dyDescent="0.35">
      <c r="A269" s="224">
        <v>325520</v>
      </c>
      <c r="B269" s="224" t="s">
        <v>2287</v>
      </c>
      <c r="C269" s="224">
        <v>325520</v>
      </c>
      <c r="D269" s="224" t="s">
        <v>2287</v>
      </c>
    </row>
    <row r="270" spans="1:4" x14ac:dyDescent="0.35">
      <c r="A270" s="224">
        <v>325611</v>
      </c>
      <c r="B270" s="224" t="s">
        <v>1835</v>
      </c>
      <c r="C270" s="224">
        <v>325611</v>
      </c>
      <c r="D270" s="224" t="s">
        <v>1835</v>
      </c>
    </row>
    <row r="271" spans="1:4" ht="25" x14ac:dyDescent="0.35">
      <c r="A271" s="224">
        <v>325612</v>
      </c>
      <c r="B271" s="224" t="s">
        <v>2288</v>
      </c>
      <c r="C271" s="224">
        <v>325612</v>
      </c>
      <c r="D271" s="224" t="s">
        <v>2288</v>
      </c>
    </row>
    <row r="272" spans="1:4" x14ac:dyDescent="0.35">
      <c r="A272" s="224">
        <v>325613</v>
      </c>
      <c r="B272" s="224" t="s">
        <v>2289</v>
      </c>
      <c r="C272" s="224">
        <v>325613</v>
      </c>
      <c r="D272" s="224" t="s">
        <v>2289</v>
      </c>
    </row>
    <row r="273" spans="1:8" x14ac:dyDescent="0.35">
      <c r="A273" s="224">
        <v>325620</v>
      </c>
      <c r="B273" s="224" t="s">
        <v>2290</v>
      </c>
      <c r="C273" s="224">
        <v>325620</v>
      </c>
      <c r="D273" s="224" t="s">
        <v>2290</v>
      </c>
      <c r="E273" s="225"/>
      <c r="H273" s="226" t="s">
        <v>1904</v>
      </c>
    </row>
    <row r="274" spans="1:8" x14ac:dyDescent="0.35">
      <c r="A274" s="224">
        <v>325910</v>
      </c>
      <c r="B274" s="224" t="s">
        <v>2291</v>
      </c>
      <c r="C274" s="224">
        <v>325910</v>
      </c>
      <c r="D274" s="224" t="s">
        <v>2291</v>
      </c>
      <c r="E274" s="225"/>
    </row>
    <row r="275" spans="1:8" x14ac:dyDescent="0.35">
      <c r="A275" s="224">
        <v>325920</v>
      </c>
      <c r="B275" s="224" t="s">
        <v>1680</v>
      </c>
      <c r="C275" s="224">
        <v>325920</v>
      </c>
      <c r="D275" s="224" t="s">
        <v>1680</v>
      </c>
      <c r="E275" s="225"/>
    </row>
    <row r="276" spans="1:8" ht="25" x14ac:dyDescent="0.35">
      <c r="A276" s="224">
        <v>325991</v>
      </c>
      <c r="B276" s="224" t="s">
        <v>2292</v>
      </c>
      <c r="C276" s="224">
        <v>325991</v>
      </c>
      <c r="D276" s="224" t="s">
        <v>2292</v>
      </c>
      <c r="E276" s="225"/>
    </row>
    <row r="277" spans="1:8" ht="25" x14ac:dyDescent="0.35">
      <c r="A277" s="224">
        <v>325992</v>
      </c>
      <c r="B277" s="224" t="s">
        <v>2293</v>
      </c>
      <c r="C277" s="224">
        <v>325992</v>
      </c>
      <c r="D277" s="224" t="s">
        <v>2294</v>
      </c>
      <c r="E277" s="225"/>
      <c r="G277" s="226" t="s">
        <v>1904</v>
      </c>
    </row>
    <row r="278" spans="1:8" ht="25" x14ac:dyDescent="0.35">
      <c r="A278" s="224">
        <v>325998</v>
      </c>
      <c r="B278" s="224" t="s">
        <v>1794</v>
      </c>
      <c r="C278" s="224">
        <v>325998</v>
      </c>
      <c r="D278" s="224" t="s">
        <v>1794</v>
      </c>
      <c r="E278" s="225"/>
    </row>
    <row r="279" spans="1:8" x14ac:dyDescent="0.35">
      <c r="A279" s="224">
        <v>326111</v>
      </c>
      <c r="B279" s="224" t="s">
        <v>2295</v>
      </c>
      <c r="C279" s="224">
        <v>326111</v>
      </c>
      <c r="D279" s="224" t="s">
        <v>2295</v>
      </c>
      <c r="E279" s="225"/>
    </row>
    <row r="280" spans="1:8" ht="25" x14ac:dyDescent="0.35">
      <c r="A280" s="224">
        <v>326112</v>
      </c>
      <c r="B280" s="224" t="s">
        <v>2296</v>
      </c>
      <c r="C280" s="224">
        <v>326112</v>
      </c>
      <c r="D280" s="224" t="s">
        <v>2296</v>
      </c>
      <c r="E280" s="225"/>
    </row>
    <row r="281" spans="1:8" ht="25" x14ac:dyDescent="0.35">
      <c r="A281" s="224">
        <v>326113</v>
      </c>
      <c r="B281" s="224" t="s">
        <v>2297</v>
      </c>
      <c r="C281" s="224">
        <v>326113</v>
      </c>
      <c r="D281" s="224" t="s">
        <v>2297</v>
      </c>
      <c r="E281" s="225"/>
    </row>
    <row r="282" spans="1:8" ht="25" x14ac:dyDescent="0.35">
      <c r="A282" s="224">
        <v>326121</v>
      </c>
      <c r="B282" s="224" t="s">
        <v>2298</v>
      </c>
      <c r="C282" s="224">
        <v>326121</v>
      </c>
      <c r="D282" s="224" t="s">
        <v>2298</v>
      </c>
      <c r="E282" s="225"/>
    </row>
    <row r="283" spans="1:8" ht="25" x14ac:dyDescent="0.35">
      <c r="A283" s="224">
        <v>326122</v>
      </c>
      <c r="B283" s="224" t="s">
        <v>2299</v>
      </c>
      <c r="C283" s="224">
        <v>326122</v>
      </c>
      <c r="D283" s="224" t="s">
        <v>2299</v>
      </c>
      <c r="E283" s="225"/>
    </row>
    <row r="284" spans="1:8" ht="25" x14ac:dyDescent="0.35">
      <c r="A284" s="224">
        <v>326130</v>
      </c>
      <c r="B284" s="224" t="s">
        <v>2300</v>
      </c>
      <c r="C284" s="224">
        <v>326130</v>
      </c>
      <c r="D284" s="224" t="s">
        <v>2300</v>
      </c>
      <c r="E284" s="225"/>
    </row>
    <row r="285" spans="1:8" x14ac:dyDescent="0.35">
      <c r="A285" s="224">
        <v>326140</v>
      </c>
      <c r="B285" s="224" t="s">
        <v>2301</v>
      </c>
      <c r="C285" s="224">
        <v>326140</v>
      </c>
      <c r="D285" s="224" t="s">
        <v>2301</v>
      </c>
      <c r="E285" s="225"/>
    </row>
    <row r="286" spans="1:8" ht="25" x14ac:dyDescent="0.35">
      <c r="A286" s="224">
        <v>326150</v>
      </c>
      <c r="B286" s="224" t="s">
        <v>1826</v>
      </c>
      <c r="C286" s="224">
        <v>326150</v>
      </c>
      <c r="D286" s="224" t="s">
        <v>1826</v>
      </c>
      <c r="E286" s="225"/>
    </row>
    <row r="287" spans="1:8" x14ac:dyDescent="0.35">
      <c r="A287" s="224">
        <v>326160</v>
      </c>
      <c r="B287" s="224" t="s">
        <v>2302</v>
      </c>
      <c r="C287" s="224">
        <v>326160</v>
      </c>
      <c r="D287" s="224" t="s">
        <v>2302</v>
      </c>
      <c r="E287" s="225"/>
    </row>
    <row r="288" spans="1:8" x14ac:dyDescent="0.35">
      <c r="A288" s="224">
        <v>326191</v>
      </c>
      <c r="B288" s="224" t="s">
        <v>2303</v>
      </c>
      <c r="C288" s="224">
        <v>326191</v>
      </c>
      <c r="D288" s="224" t="s">
        <v>2303</v>
      </c>
      <c r="E288" s="225"/>
    </row>
    <row r="289" spans="1:7" x14ac:dyDescent="0.35">
      <c r="A289" s="260">
        <v>326199</v>
      </c>
      <c r="B289" s="260" t="s">
        <v>2304</v>
      </c>
      <c r="C289" s="260">
        <v>326199</v>
      </c>
      <c r="D289" s="260" t="s">
        <v>2304</v>
      </c>
      <c r="E289" s="261"/>
    </row>
    <row r="290" spans="1:7" x14ac:dyDescent="0.35">
      <c r="A290" s="224">
        <v>326211</v>
      </c>
      <c r="B290" s="224" t="s">
        <v>2305</v>
      </c>
      <c r="C290" s="224">
        <v>326211</v>
      </c>
      <c r="D290" s="224" t="s">
        <v>2305</v>
      </c>
      <c r="E290" s="225"/>
    </row>
    <row r="291" spans="1:7" x14ac:dyDescent="0.35">
      <c r="A291" s="224">
        <v>326212</v>
      </c>
      <c r="B291" s="224" t="s">
        <v>2306</v>
      </c>
      <c r="C291" s="224">
        <v>326212</v>
      </c>
      <c r="D291" s="224" t="s">
        <v>2306</v>
      </c>
      <c r="E291" s="225"/>
    </row>
    <row r="292" spans="1:7" ht="25" x14ac:dyDescent="0.35">
      <c r="A292" s="224">
        <v>326220</v>
      </c>
      <c r="B292" s="224" t="s">
        <v>2307</v>
      </c>
      <c r="C292" s="224">
        <v>326220</v>
      </c>
      <c r="D292" s="224" t="s">
        <v>2307</v>
      </c>
      <c r="E292" s="225"/>
    </row>
    <row r="293" spans="1:7" ht="25" x14ac:dyDescent="0.35">
      <c r="A293" s="224">
        <v>326291</v>
      </c>
      <c r="B293" s="224" t="s">
        <v>2308</v>
      </c>
      <c r="C293" s="224">
        <v>326291</v>
      </c>
      <c r="D293" s="224" t="s">
        <v>2308</v>
      </c>
      <c r="E293" s="225"/>
    </row>
    <row r="294" spans="1:7" x14ac:dyDescent="0.35">
      <c r="A294" s="224">
        <v>326299</v>
      </c>
      <c r="B294" s="224" t="s">
        <v>2309</v>
      </c>
      <c r="C294" s="224">
        <v>326299</v>
      </c>
      <c r="D294" s="224" t="s">
        <v>2309</v>
      </c>
      <c r="E294" s="225"/>
    </row>
    <row r="295" spans="1:7" ht="25" x14ac:dyDescent="0.35">
      <c r="A295" s="262">
        <v>327110</v>
      </c>
      <c r="B295" s="262" t="s">
        <v>2310</v>
      </c>
      <c r="C295" s="262">
        <v>327110</v>
      </c>
      <c r="D295" s="262" t="s">
        <v>2310</v>
      </c>
      <c r="E295" s="263"/>
    </row>
    <row r="296" spans="1:7" ht="25" x14ac:dyDescent="0.35">
      <c r="A296" s="262">
        <v>327120</v>
      </c>
      <c r="B296" s="262" t="s">
        <v>2311</v>
      </c>
      <c r="C296" s="262">
        <v>327120</v>
      </c>
      <c r="D296" s="262" t="s">
        <v>2311</v>
      </c>
      <c r="E296" s="263"/>
    </row>
    <row r="297" spans="1:7" x14ac:dyDescent="0.35">
      <c r="A297" s="224">
        <v>327211</v>
      </c>
      <c r="B297" s="224" t="s">
        <v>2312</v>
      </c>
      <c r="C297" s="224">
        <v>327211</v>
      </c>
      <c r="D297" s="224" t="s">
        <v>2312</v>
      </c>
      <c r="E297" s="225"/>
    </row>
    <row r="298" spans="1:7" ht="25" x14ac:dyDescent="0.35">
      <c r="A298" s="224">
        <v>327212</v>
      </c>
      <c r="B298" s="224" t="s">
        <v>2313</v>
      </c>
      <c r="C298" s="224">
        <v>327212</v>
      </c>
      <c r="D298" s="224" t="s">
        <v>2313</v>
      </c>
      <c r="E298" s="225"/>
    </row>
    <row r="299" spans="1:7" x14ac:dyDescent="0.35">
      <c r="A299" s="224">
        <v>327213</v>
      </c>
      <c r="B299" s="224" t="s">
        <v>2314</v>
      </c>
      <c r="C299" s="224">
        <v>327213</v>
      </c>
      <c r="D299" s="224" t="s">
        <v>2314</v>
      </c>
      <c r="E299" s="225"/>
    </row>
    <row r="300" spans="1:7" ht="25" x14ac:dyDescent="0.35">
      <c r="A300" s="224">
        <v>327215</v>
      </c>
      <c r="B300" s="224" t="s">
        <v>2315</v>
      </c>
      <c r="C300" s="224">
        <v>327215</v>
      </c>
      <c r="D300" s="224" t="s">
        <v>2315</v>
      </c>
      <c r="E300" s="225"/>
    </row>
    <row r="301" spans="1:7" x14ac:dyDescent="0.35">
      <c r="A301" s="224">
        <v>327310</v>
      </c>
      <c r="B301" s="224" t="s">
        <v>1853</v>
      </c>
      <c r="C301" s="224">
        <v>327310</v>
      </c>
      <c r="D301" s="224" t="s">
        <v>1853</v>
      </c>
      <c r="E301" s="225"/>
    </row>
    <row r="302" spans="1:7" x14ac:dyDescent="0.35">
      <c r="A302" s="224">
        <v>327320</v>
      </c>
      <c r="B302" s="224" t="s">
        <v>2316</v>
      </c>
      <c r="C302" s="224">
        <v>327320</v>
      </c>
      <c r="D302" s="224" t="s">
        <v>2316</v>
      </c>
      <c r="E302" s="225"/>
      <c r="G302" s="226" t="s">
        <v>1904</v>
      </c>
    </row>
    <row r="303" spans="1:7" x14ac:dyDescent="0.35">
      <c r="A303" s="224">
        <v>327331</v>
      </c>
      <c r="B303" s="224" t="s">
        <v>2317</v>
      </c>
      <c r="C303" s="224">
        <v>327331</v>
      </c>
      <c r="D303" s="224" t="s">
        <v>2317</v>
      </c>
      <c r="E303" s="225"/>
    </row>
    <row r="304" spans="1:7" x14ac:dyDescent="0.35">
      <c r="A304" s="224">
        <v>327332</v>
      </c>
      <c r="B304" s="224" t="s">
        <v>2318</v>
      </c>
      <c r="C304" s="224">
        <v>327332</v>
      </c>
      <c r="D304" s="224" t="s">
        <v>2318</v>
      </c>
      <c r="E304" s="225"/>
    </row>
    <row r="305" spans="1:4" x14ac:dyDescent="0.35">
      <c r="A305" s="224">
        <v>327390</v>
      </c>
      <c r="B305" s="224" t="s">
        <v>2319</v>
      </c>
      <c r="C305" s="224">
        <v>327390</v>
      </c>
      <c r="D305" s="224" t="s">
        <v>2319</v>
      </c>
    </row>
    <row r="306" spans="1:4" x14ac:dyDescent="0.35">
      <c r="A306" s="224">
        <v>327410</v>
      </c>
      <c r="B306" s="224" t="s">
        <v>2320</v>
      </c>
      <c r="C306" s="224">
        <v>327410</v>
      </c>
      <c r="D306" s="224" t="s">
        <v>2320</v>
      </c>
    </row>
    <row r="307" spans="1:4" x14ac:dyDescent="0.35">
      <c r="A307" s="224">
        <v>327420</v>
      </c>
      <c r="B307" s="224" t="s">
        <v>2321</v>
      </c>
      <c r="C307" s="224">
        <v>327420</v>
      </c>
      <c r="D307" s="224" t="s">
        <v>2321</v>
      </c>
    </row>
    <row r="308" spans="1:4" x14ac:dyDescent="0.35">
      <c r="A308" s="224">
        <v>327910</v>
      </c>
      <c r="B308" s="224" t="s">
        <v>2322</v>
      </c>
      <c r="C308" s="224">
        <v>327910</v>
      </c>
      <c r="D308" s="224" t="s">
        <v>2322</v>
      </c>
    </row>
    <row r="309" spans="1:4" ht="25" x14ac:dyDescent="0.35">
      <c r="A309" s="224">
        <v>327991</v>
      </c>
      <c r="B309" s="224" t="s">
        <v>2323</v>
      </c>
      <c r="C309" s="224">
        <v>327991</v>
      </c>
      <c r="D309" s="224" t="s">
        <v>2323</v>
      </c>
    </row>
    <row r="310" spans="1:4" ht="25" x14ac:dyDescent="0.35">
      <c r="A310" s="224">
        <v>327992</v>
      </c>
      <c r="B310" s="224" t="s">
        <v>2007</v>
      </c>
      <c r="C310" s="224">
        <v>327992</v>
      </c>
      <c r="D310" s="224" t="s">
        <v>2007</v>
      </c>
    </row>
    <row r="311" spans="1:4" x14ac:dyDescent="0.35">
      <c r="A311" s="224">
        <v>327993</v>
      </c>
      <c r="B311" s="224" t="s">
        <v>2324</v>
      </c>
      <c r="C311" s="224">
        <v>327993</v>
      </c>
      <c r="D311" s="224" t="s">
        <v>2324</v>
      </c>
    </row>
    <row r="312" spans="1:4" ht="25" x14ac:dyDescent="0.35">
      <c r="A312" s="224">
        <v>327999</v>
      </c>
      <c r="B312" s="224" t="s">
        <v>2325</v>
      </c>
      <c r="C312" s="224">
        <v>327999</v>
      </c>
      <c r="D312" s="224" t="s">
        <v>2325</v>
      </c>
    </row>
    <row r="313" spans="1:4" ht="25" x14ac:dyDescent="0.35">
      <c r="A313" s="264">
        <v>331110</v>
      </c>
      <c r="B313" s="264" t="s">
        <v>2326</v>
      </c>
      <c r="C313" s="264">
        <v>331110</v>
      </c>
      <c r="D313" s="264" t="s">
        <v>2326</v>
      </c>
    </row>
    <row r="314" spans="1:4" ht="25" x14ac:dyDescent="0.35">
      <c r="A314" s="224">
        <v>331210</v>
      </c>
      <c r="B314" s="224" t="s">
        <v>2327</v>
      </c>
      <c r="C314" s="224">
        <v>331210</v>
      </c>
      <c r="D314" s="224" t="s">
        <v>2327</v>
      </c>
    </row>
    <row r="315" spans="1:4" x14ac:dyDescent="0.35">
      <c r="A315" s="224">
        <v>331221</v>
      </c>
      <c r="B315" s="224" t="s">
        <v>2328</v>
      </c>
      <c r="C315" s="224">
        <v>331221</v>
      </c>
      <c r="D315" s="224" t="s">
        <v>2328</v>
      </c>
    </row>
    <row r="316" spans="1:4" x14ac:dyDescent="0.35">
      <c r="A316" s="224">
        <v>331222</v>
      </c>
      <c r="B316" s="224" t="s">
        <v>2329</v>
      </c>
      <c r="C316" s="224">
        <v>331222</v>
      </c>
      <c r="D316" s="224" t="s">
        <v>2329</v>
      </c>
    </row>
    <row r="317" spans="1:4" ht="25" x14ac:dyDescent="0.35">
      <c r="A317" s="265">
        <v>331313</v>
      </c>
      <c r="B317" s="265" t="s">
        <v>2330</v>
      </c>
      <c r="C317" s="265">
        <v>331313</v>
      </c>
      <c r="D317" s="265" t="s">
        <v>2330</v>
      </c>
    </row>
    <row r="318" spans="1:4" ht="25" x14ac:dyDescent="0.35">
      <c r="A318" s="224">
        <v>331314</v>
      </c>
      <c r="B318" s="224" t="s">
        <v>2331</v>
      </c>
      <c r="C318" s="224">
        <v>331314</v>
      </c>
      <c r="D318" s="224" t="s">
        <v>2331</v>
      </c>
    </row>
    <row r="319" spans="1:4" ht="25" x14ac:dyDescent="0.35">
      <c r="A319" s="224">
        <v>331315</v>
      </c>
      <c r="B319" s="224" t="s">
        <v>2332</v>
      </c>
      <c r="C319" s="224">
        <v>331315</v>
      </c>
      <c r="D319" s="224" t="s">
        <v>2332</v>
      </c>
    </row>
    <row r="320" spans="1:4" ht="25" x14ac:dyDescent="0.35">
      <c r="A320" s="266">
        <v>331318</v>
      </c>
      <c r="B320" s="266" t="s">
        <v>2333</v>
      </c>
      <c r="C320" s="266">
        <v>331318</v>
      </c>
      <c r="D320" s="266" t="s">
        <v>2333</v>
      </c>
    </row>
    <row r="321" spans="1:7" ht="25" x14ac:dyDescent="0.35">
      <c r="A321" s="266">
        <v>331410</v>
      </c>
      <c r="B321" s="266" t="s">
        <v>2334</v>
      </c>
      <c r="C321" s="266">
        <v>331410</v>
      </c>
      <c r="D321" s="266" t="s">
        <v>2334</v>
      </c>
      <c r="E321" s="267"/>
    </row>
    <row r="322" spans="1:7" ht="25" x14ac:dyDescent="0.35">
      <c r="A322" s="266">
        <v>331420</v>
      </c>
      <c r="B322" s="266" t="s">
        <v>2335</v>
      </c>
      <c r="C322" s="266">
        <v>331420</v>
      </c>
      <c r="D322" s="266" t="s">
        <v>2335</v>
      </c>
      <c r="E322" s="267"/>
      <c r="G322" s="226" t="s">
        <v>1904</v>
      </c>
    </row>
    <row r="323" spans="1:7" ht="25" x14ac:dyDescent="0.35">
      <c r="A323" s="224">
        <v>331491</v>
      </c>
      <c r="B323" s="224" t="s">
        <v>2336</v>
      </c>
      <c r="C323" s="224">
        <v>331491</v>
      </c>
      <c r="D323" s="224" t="s">
        <v>2336</v>
      </c>
      <c r="E323" s="225"/>
    </row>
    <row r="324" spans="1:7" ht="37.5" x14ac:dyDescent="0.35">
      <c r="A324" s="224">
        <v>331492</v>
      </c>
      <c r="B324" s="224" t="s">
        <v>2337</v>
      </c>
      <c r="C324" s="224">
        <v>331492</v>
      </c>
      <c r="D324" s="224" t="s">
        <v>2337</v>
      </c>
      <c r="E324" s="225"/>
    </row>
    <row r="325" spans="1:7" x14ac:dyDescent="0.35">
      <c r="A325" s="224">
        <v>331511</v>
      </c>
      <c r="B325" s="224" t="s">
        <v>2338</v>
      </c>
      <c r="C325" s="224">
        <v>331511</v>
      </c>
      <c r="D325" s="224" t="s">
        <v>2338</v>
      </c>
      <c r="E325" s="225"/>
    </row>
    <row r="326" spans="1:7" x14ac:dyDescent="0.35">
      <c r="A326" s="224">
        <v>331512</v>
      </c>
      <c r="B326" s="224" t="s">
        <v>2339</v>
      </c>
      <c r="C326" s="224">
        <v>331512</v>
      </c>
      <c r="D326" s="224" t="s">
        <v>2339</v>
      </c>
      <c r="E326" s="225"/>
    </row>
    <row r="327" spans="1:7" x14ac:dyDescent="0.35">
      <c r="A327" s="224">
        <v>331513</v>
      </c>
      <c r="B327" s="224" t="s">
        <v>2340</v>
      </c>
      <c r="C327" s="224">
        <v>331513</v>
      </c>
      <c r="D327" s="224" t="s">
        <v>2340</v>
      </c>
      <c r="E327" s="225"/>
    </row>
    <row r="328" spans="1:7" x14ac:dyDescent="0.35">
      <c r="A328" s="268">
        <v>331523</v>
      </c>
      <c r="B328" s="268" t="s">
        <v>2341</v>
      </c>
      <c r="C328" s="268">
        <v>331523</v>
      </c>
      <c r="D328" s="268" t="s">
        <v>2341</v>
      </c>
      <c r="E328" s="269"/>
    </row>
    <row r="329" spans="1:7" x14ac:dyDescent="0.35">
      <c r="A329" s="224">
        <v>331524</v>
      </c>
      <c r="B329" s="224" t="s">
        <v>2342</v>
      </c>
      <c r="C329" s="224">
        <v>331524</v>
      </c>
      <c r="D329" s="224" t="s">
        <v>2342</v>
      </c>
      <c r="E329" s="225"/>
    </row>
    <row r="330" spans="1:7" ht="25" x14ac:dyDescent="0.35">
      <c r="A330" s="270">
        <v>331529</v>
      </c>
      <c r="B330" s="270" t="s">
        <v>2343</v>
      </c>
      <c r="C330" s="270">
        <v>331529</v>
      </c>
      <c r="D330" s="270" t="s">
        <v>2343</v>
      </c>
      <c r="E330" s="271"/>
    </row>
    <row r="331" spans="1:7" x14ac:dyDescent="0.35">
      <c r="A331" s="224">
        <v>332111</v>
      </c>
      <c r="B331" s="224" t="s">
        <v>2344</v>
      </c>
      <c r="C331" s="224">
        <v>332111</v>
      </c>
      <c r="D331" s="224" t="s">
        <v>2344</v>
      </c>
      <c r="E331" s="225"/>
    </row>
    <row r="332" spans="1:7" x14ac:dyDescent="0.35">
      <c r="A332" s="224">
        <v>332112</v>
      </c>
      <c r="B332" s="224" t="s">
        <v>2345</v>
      </c>
      <c r="C332" s="224">
        <v>332112</v>
      </c>
      <c r="D332" s="224" t="s">
        <v>2345</v>
      </c>
      <c r="E332" s="225"/>
    </row>
    <row r="333" spans="1:7" x14ac:dyDescent="0.35">
      <c r="A333" s="224">
        <v>332114</v>
      </c>
      <c r="B333" s="224" t="s">
        <v>2346</v>
      </c>
      <c r="C333" s="224">
        <v>332114</v>
      </c>
      <c r="D333" s="224" t="s">
        <v>2346</v>
      </c>
      <c r="E333" s="225"/>
    </row>
    <row r="334" spans="1:7" x14ac:dyDescent="0.35">
      <c r="A334" s="224">
        <v>332117</v>
      </c>
      <c r="B334" s="224" t="s">
        <v>2347</v>
      </c>
      <c r="C334" s="224">
        <v>332117</v>
      </c>
      <c r="D334" s="224" t="s">
        <v>2347</v>
      </c>
      <c r="E334" s="225"/>
    </row>
    <row r="335" spans="1:7" ht="25" x14ac:dyDescent="0.35">
      <c r="A335" s="272">
        <v>332119</v>
      </c>
      <c r="B335" s="272" t="s">
        <v>2348</v>
      </c>
      <c r="C335" s="272">
        <v>332119</v>
      </c>
      <c r="D335" s="272" t="s">
        <v>2348</v>
      </c>
      <c r="E335" s="273"/>
    </row>
    <row r="336" spans="1:7" ht="37.5" x14ac:dyDescent="0.35">
      <c r="A336" s="274">
        <v>332215</v>
      </c>
      <c r="B336" s="274" t="s">
        <v>2349</v>
      </c>
      <c r="C336" s="274">
        <v>332215</v>
      </c>
      <c r="D336" s="274" t="s">
        <v>2349</v>
      </c>
      <c r="E336" s="275"/>
    </row>
    <row r="337" spans="1:8" x14ac:dyDescent="0.35">
      <c r="A337" s="274">
        <v>332216</v>
      </c>
      <c r="B337" s="274" t="s">
        <v>2350</v>
      </c>
      <c r="C337" s="274">
        <v>332216</v>
      </c>
      <c r="D337" s="274" t="s">
        <v>2350</v>
      </c>
      <c r="E337" s="275"/>
    </row>
    <row r="338" spans="1:8" ht="25" x14ac:dyDescent="0.35">
      <c r="A338" s="224">
        <v>332311</v>
      </c>
      <c r="B338" s="224" t="s">
        <v>2351</v>
      </c>
      <c r="C338" s="224">
        <v>332311</v>
      </c>
      <c r="D338" s="224" t="s">
        <v>2351</v>
      </c>
      <c r="E338" s="225"/>
    </row>
    <row r="339" spans="1:8" x14ac:dyDescent="0.35">
      <c r="A339" s="224">
        <v>332312</v>
      </c>
      <c r="B339" s="224" t="s">
        <v>2352</v>
      </c>
      <c r="C339" s="224">
        <v>332312</v>
      </c>
      <c r="D339" s="224" t="s">
        <v>2352</v>
      </c>
      <c r="E339" s="225"/>
    </row>
    <row r="340" spans="1:8" x14ac:dyDescent="0.35">
      <c r="A340" s="224">
        <v>332313</v>
      </c>
      <c r="B340" s="224" t="s">
        <v>2353</v>
      </c>
      <c r="C340" s="224">
        <v>332313</v>
      </c>
      <c r="D340" s="224" t="s">
        <v>2353</v>
      </c>
      <c r="E340" s="225"/>
    </row>
    <row r="341" spans="1:8" x14ac:dyDescent="0.35">
      <c r="A341" s="224">
        <v>332321</v>
      </c>
      <c r="B341" s="224" t="s">
        <v>2354</v>
      </c>
      <c r="C341" s="224">
        <v>332321</v>
      </c>
      <c r="D341" s="224" t="s">
        <v>2354</v>
      </c>
      <c r="E341" s="225"/>
    </row>
    <row r="342" spans="1:8" x14ac:dyDescent="0.35">
      <c r="A342" s="224">
        <v>332322</v>
      </c>
      <c r="B342" s="224" t="s">
        <v>2355</v>
      </c>
      <c r="C342" s="224">
        <v>332322</v>
      </c>
      <c r="D342" s="224" t="s">
        <v>2355</v>
      </c>
      <c r="E342" s="225"/>
      <c r="H342" s="226" t="s">
        <v>1904</v>
      </c>
    </row>
    <row r="343" spans="1:8" ht="25" x14ac:dyDescent="0.35">
      <c r="A343" s="224">
        <v>332323</v>
      </c>
      <c r="B343" s="224" t="s">
        <v>2356</v>
      </c>
      <c r="C343" s="224">
        <v>332323</v>
      </c>
      <c r="D343" s="224" t="s">
        <v>2356</v>
      </c>
      <c r="E343" s="225"/>
    </row>
    <row r="344" spans="1:8" ht="25" x14ac:dyDescent="0.35">
      <c r="A344" s="224">
        <v>332410</v>
      </c>
      <c r="B344" s="224" t="s">
        <v>2357</v>
      </c>
      <c r="C344" s="224">
        <v>332410</v>
      </c>
      <c r="D344" s="224" t="s">
        <v>2357</v>
      </c>
      <c r="E344" s="225"/>
    </row>
    <row r="345" spans="1:8" x14ac:dyDescent="0.35">
      <c r="A345" s="224">
        <v>332420</v>
      </c>
      <c r="B345" s="224" t="s">
        <v>2358</v>
      </c>
      <c r="C345" s="224">
        <v>332420</v>
      </c>
      <c r="D345" s="224" t="s">
        <v>2358</v>
      </c>
      <c r="E345" s="225"/>
    </row>
    <row r="346" spans="1:8" x14ac:dyDescent="0.35">
      <c r="A346" s="224">
        <v>332431</v>
      </c>
      <c r="B346" s="224" t="s">
        <v>2359</v>
      </c>
      <c r="C346" s="224">
        <v>332431</v>
      </c>
      <c r="D346" s="224" t="s">
        <v>2359</v>
      </c>
      <c r="E346" s="225"/>
    </row>
    <row r="347" spans="1:8" x14ac:dyDescent="0.35">
      <c r="A347" s="224">
        <v>332439</v>
      </c>
      <c r="B347" s="224" t="s">
        <v>2360</v>
      </c>
      <c r="C347" s="224">
        <v>332439</v>
      </c>
      <c r="D347" s="224" t="s">
        <v>2360</v>
      </c>
      <c r="E347" s="225"/>
    </row>
    <row r="348" spans="1:8" x14ac:dyDescent="0.35">
      <c r="A348" s="224">
        <v>332510</v>
      </c>
      <c r="B348" s="224" t="s">
        <v>2361</v>
      </c>
      <c r="C348" s="224">
        <v>332510</v>
      </c>
      <c r="D348" s="224" t="s">
        <v>2361</v>
      </c>
      <c r="E348" s="225"/>
    </row>
    <row r="349" spans="1:8" x14ac:dyDescent="0.35">
      <c r="A349" s="276">
        <v>332613</v>
      </c>
      <c r="B349" s="276" t="s">
        <v>2362</v>
      </c>
      <c r="C349" s="276">
        <v>332613</v>
      </c>
      <c r="D349" s="276" t="s">
        <v>2362</v>
      </c>
      <c r="E349" s="277"/>
    </row>
    <row r="350" spans="1:8" ht="25" x14ac:dyDescent="0.35">
      <c r="A350" s="224">
        <v>332618</v>
      </c>
      <c r="B350" s="224" t="s">
        <v>2363</v>
      </c>
      <c r="C350" s="224">
        <v>332618</v>
      </c>
      <c r="D350" s="224" t="s">
        <v>2363</v>
      </c>
      <c r="E350" s="225"/>
    </row>
    <row r="351" spans="1:8" x14ac:dyDescent="0.35">
      <c r="A351" s="224">
        <v>332710</v>
      </c>
      <c r="B351" s="224" t="s">
        <v>1991</v>
      </c>
      <c r="C351" s="224">
        <v>332710</v>
      </c>
      <c r="D351" s="224" t="s">
        <v>1991</v>
      </c>
      <c r="E351" s="225"/>
    </row>
    <row r="352" spans="1:8" x14ac:dyDescent="0.35">
      <c r="A352" s="224">
        <v>332721</v>
      </c>
      <c r="B352" s="224" t="s">
        <v>2364</v>
      </c>
      <c r="C352" s="224">
        <v>332721</v>
      </c>
      <c r="D352" s="224" t="s">
        <v>2364</v>
      </c>
      <c r="E352" s="225"/>
    </row>
    <row r="353" spans="1:6" ht="25" x14ac:dyDescent="0.35">
      <c r="A353" s="224">
        <v>332722</v>
      </c>
      <c r="B353" s="224" t="s">
        <v>2365</v>
      </c>
      <c r="C353" s="224">
        <v>332722</v>
      </c>
      <c r="D353" s="224" t="s">
        <v>2365</v>
      </c>
      <c r="E353" s="225"/>
    </row>
    <row r="354" spans="1:6" x14ac:dyDescent="0.35">
      <c r="A354" s="224">
        <v>332811</v>
      </c>
      <c r="B354" s="224" t="s">
        <v>2366</v>
      </c>
      <c r="C354" s="224">
        <v>332811</v>
      </c>
      <c r="D354" s="224" t="s">
        <v>2366</v>
      </c>
      <c r="E354" s="225"/>
    </row>
    <row r="355" spans="1:6" ht="37.5" x14ac:dyDescent="0.35">
      <c r="A355" s="224">
        <v>332812</v>
      </c>
      <c r="B355" s="224" t="s">
        <v>2367</v>
      </c>
      <c r="C355" s="224">
        <v>332812</v>
      </c>
      <c r="D355" s="224" t="s">
        <v>2367</v>
      </c>
      <c r="E355" s="225"/>
    </row>
    <row r="356" spans="1:6" ht="25" x14ac:dyDescent="0.35">
      <c r="A356" s="224">
        <v>332813</v>
      </c>
      <c r="B356" s="224" t="s">
        <v>2368</v>
      </c>
      <c r="C356" s="224">
        <v>332813</v>
      </c>
      <c r="D356" s="224" t="s">
        <v>2368</v>
      </c>
      <c r="E356" s="225"/>
    </row>
    <row r="357" spans="1:6" x14ac:dyDescent="0.35">
      <c r="A357" s="224">
        <v>332911</v>
      </c>
      <c r="B357" s="224" t="s">
        <v>2369</v>
      </c>
      <c r="C357" s="224">
        <v>332911</v>
      </c>
      <c r="D357" s="224" t="s">
        <v>2369</v>
      </c>
      <c r="E357" s="225"/>
    </row>
    <row r="358" spans="1:6" ht="25" x14ac:dyDescent="0.35">
      <c r="A358" s="224">
        <v>332912</v>
      </c>
      <c r="B358" s="224" t="s">
        <v>2370</v>
      </c>
      <c r="C358" s="224">
        <v>332912</v>
      </c>
      <c r="D358" s="224" t="s">
        <v>2370</v>
      </c>
      <c r="E358" s="225"/>
    </row>
    <row r="359" spans="1:6" ht="25" x14ac:dyDescent="0.35">
      <c r="A359" s="224">
        <v>332913</v>
      </c>
      <c r="B359" s="224" t="s">
        <v>2371</v>
      </c>
      <c r="C359" s="224">
        <v>332913</v>
      </c>
      <c r="D359" s="224" t="s">
        <v>2371</v>
      </c>
      <c r="E359" s="225"/>
    </row>
    <row r="360" spans="1:6" ht="25" x14ac:dyDescent="0.35">
      <c r="A360" s="224">
        <v>332919</v>
      </c>
      <c r="B360" s="224" t="s">
        <v>2372</v>
      </c>
      <c r="C360" s="224">
        <v>332919</v>
      </c>
      <c r="D360" s="224" t="s">
        <v>2372</v>
      </c>
      <c r="E360" s="225"/>
    </row>
    <row r="361" spans="1:6" x14ac:dyDescent="0.35">
      <c r="A361" s="224">
        <v>332991</v>
      </c>
      <c r="B361" s="224" t="s">
        <v>2373</v>
      </c>
      <c r="C361" s="224">
        <v>332991</v>
      </c>
      <c r="D361" s="224" t="s">
        <v>2373</v>
      </c>
      <c r="E361" s="225"/>
    </row>
    <row r="362" spans="1:6" x14ac:dyDescent="0.35">
      <c r="A362" s="224">
        <v>332992</v>
      </c>
      <c r="B362" s="224" t="s">
        <v>2374</v>
      </c>
      <c r="C362" s="224">
        <v>332992</v>
      </c>
      <c r="D362" s="224" t="s">
        <v>2374</v>
      </c>
      <c r="E362" s="225"/>
    </row>
    <row r="363" spans="1:6" ht="25" x14ac:dyDescent="0.35">
      <c r="A363" s="224">
        <v>332993</v>
      </c>
      <c r="B363" s="224" t="s">
        <v>2375</v>
      </c>
      <c r="C363" s="224">
        <v>332993</v>
      </c>
      <c r="D363" s="224" t="s">
        <v>2375</v>
      </c>
      <c r="E363" s="225"/>
    </row>
    <row r="364" spans="1:6" ht="25" x14ac:dyDescent="0.35">
      <c r="A364" s="278">
        <v>332994</v>
      </c>
      <c r="B364" s="278" t="s">
        <v>2376</v>
      </c>
      <c r="C364" s="278">
        <v>332994</v>
      </c>
      <c r="D364" s="278" t="s">
        <v>2376</v>
      </c>
      <c r="E364" s="279"/>
    </row>
    <row r="365" spans="1:6" ht="25" x14ac:dyDescent="0.35">
      <c r="A365" s="224">
        <v>332996</v>
      </c>
      <c r="B365" s="224" t="s">
        <v>2377</v>
      </c>
      <c r="C365" s="224">
        <v>332996</v>
      </c>
      <c r="D365" s="224" t="s">
        <v>2377</v>
      </c>
      <c r="E365" s="225"/>
    </row>
    <row r="366" spans="1:6" ht="25" x14ac:dyDescent="0.35">
      <c r="A366" s="280">
        <v>332999</v>
      </c>
      <c r="B366" s="280" t="s">
        <v>2378</v>
      </c>
      <c r="C366" s="280">
        <v>332999</v>
      </c>
      <c r="D366" s="280" t="s">
        <v>2378</v>
      </c>
      <c r="E366" s="281"/>
      <c r="F366" s="226" t="s">
        <v>1904</v>
      </c>
    </row>
    <row r="367" spans="1:6" ht="25" x14ac:dyDescent="0.35">
      <c r="A367" s="224">
        <v>333111</v>
      </c>
      <c r="B367" s="224" t="s">
        <v>2379</v>
      </c>
      <c r="C367" s="224">
        <v>333111</v>
      </c>
      <c r="D367" s="224" t="s">
        <v>2379</v>
      </c>
      <c r="E367" s="225"/>
    </row>
    <row r="368" spans="1:6" ht="37.5" x14ac:dyDescent="0.35">
      <c r="A368" s="224">
        <v>333112</v>
      </c>
      <c r="B368" s="224" t="s">
        <v>2380</v>
      </c>
      <c r="C368" s="224">
        <v>333112</v>
      </c>
      <c r="D368" s="224" t="s">
        <v>2380</v>
      </c>
      <c r="E368" s="225"/>
    </row>
    <row r="369" spans="1:4" x14ac:dyDescent="0.35">
      <c r="A369" s="224">
        <v>333120</v>
      </c>
      <c r="B369" s="224" t="s">
        <v>2381</v>
      </c>
      <c r="C369" s="224">
        <v>333120</v>
      </c>
      <c r="D369" s="224" t="s">
        <v>2381</v>
      </c>
    </row>
    <row r="370" spans="1:4" ht="25" x14ac:dyDescent="0.35">
      <c r="A370" s="224">
        <v>333131</v>
      </c>
      <c r="B370" s="224" t="s">
        <v>2382</v>
      </c>
      <c r="C370" s="224">
        <v>333131</v>
      </c>
      <c r="D370" s="224" t="s">
        <v>2382</v>
      </c>
    </row>
    <row r="371" spans="1:4" ht="25" x14ac:dyDescent="0.35">
      <c r="A371" s="224">
        <v>333132</v>
      </c>
      <c r="B371" s="224" t="s">
        <v>2383</v>
      </c>
      <c r="C371" s="224">
        <v>333132</v>
      </c>
      <c r="D371" s="224" t="s">
        <v>2383</v>
      </c>
    </row>
    <row r="372" spans="1:4" x14ac:dyDescent="0.35">
      <c r="A372" s="282">
        <v>333241</v>
      </c>
      <c r="B372" s="282" t="s">
        <v>2384</v>
      </c>
      <c r="C372" s="282">
        <v>333241</v>
      </c>
      <c r="D372" s="282" t="s">
        <v>2384</v>
      </c>
    </row>
    <row r="373" spans="1:4" x14ac:dyDescent="0.35">
      <c r="A373" s="282">
        <v>333242</v>
      </c>
      <c r="B373" s="282" t="s">
        <v>2385</v>
      </c>
      <c r="C373" s="282">
        <v>333242</v>
      </c>
      <c r="D373" s="282" t="s">
        <v>2385</v>
      </c>
    </row>
    <row r="374" spans="1:4" ht="25" x14ac:dyDescent="0.35">
      <c r="A374" s="282">
        <v>333243</v>
      </c>
      <c r="B374" s="282" t="s">
        <v>2386</v>
      </c>
      <c r="C374" s="282">
        <v>333243</v>
      </c>
      <c r="D374" s="282" t="s">
        <v>2386</v>
      </c>
    </row>
    <row r="375" spans="1:4" ht="25" x14ac:dyDescent="0.35">
      <c r="A375" s="282">
        <v>333244</v>
      </c>
      <c r="B375" s="282" t="s">
        <v>2387</v>
      </c>
      <c r="C375" s="283">
        <v>333248</v>
      </c>
      <c r="D375" s="282" t="s">
        <v>2388</v>
      </c>
    </row>
    <row r="376" spans="1:4" ht="25" x14ac:dyDescent="0.35">
      <c r="A376" s="282">
        <v>333249</v>
      </c>
      <c r="B376" s="282" t="s">
        <v>2389</v>
      </c>
      <c r="C376" s="283">
        <v>333248</v>
      </c>
      <c r="D376" s="282" t="s">
        <v>2388</v>
      </c>
    </row>
    <row r="377" spans="1:4" ht="27" customHeight="1" x14ac:dyDescent="0.35">
      <c r="A377" s="224">
        <v>333314</v>
      </c>
      <c r="B377" s="224" t="s">
        <v>2390</v>
      </c>
      <c r="C377" s="227">
        <v>333310</v>
      </c>
      <c r="D377" s="224" t="s">
        <v>2391</v>
      </c>
    </row>
    <row r="378" spans="1:4" ht="25" x14ac:dyDescent="0.35">
      <c r="A378" s="284">
        <v>333316</v>
      </c>
      <c r="B378" s="284" t="s">
        <v>2392</v>
      </c>
      <c r="C378" s="285">
        <v>333310</v>
      </c>
      <c r="D378" s="284" t="s">
        <v>2391</v>
      </c>
    </row>
    <row r="379" spans="1:4" ht="25" x14ac:dyDescent="0.35">
      <c r="A379" s="282">
        <v>333318</v>
      </c>
      <c r="B379" s="282" t="s">
        <v>2393</v>
      </c>
      <c r="C379" s="283">
        <v>333310</v>
      </c>
      <c r="D379" s="282" t="s">
        <v>2391</v>
      </c>
    </row>
    <row r="380" spans="1:4" ht="37.5" x14ac:dyDescent="0.35">
      <c r="A380" s="286">
        <v>333413</v>
      </c>
      <c r="B380" s="286" t="s">
        <v>2394</v>
      </c>
      <c r="C380" s="286">
        <v>333413</v>
      </c>
      <c r="D380" s="286" t="s">
        <v>2394</v>
      </c>
    </row>
    <row r="381" spans="1:4" ht="25" x14ac:dyDescent="0.35">
      <c r="A381" s="224">
        <v>333414</v>
      </c>
      <c r="B381" s="224" t="s">
        <v>2395</v>
      </c>
      <c r="C381" s="224">
        <v>333414</v>
      </c>
      <c r="D381" s="224" t="s">
        <v>2395</v>
      </c>
    </row>
    <row r="382" spans="1:4" ht="37.5" x14ac:dyDescent="0.35">
      <c r="A382" s="224">
        <v>333415</v>
      </c>
      <c r="B382" s="224" t="s">
        <v>2396</v>
      </c>
      <c r="C382" s="224">
        <v>333415</v>
      </c>
      <c r="D382" s="224" t="s">
        <v>2396</v>
      </c>
    </row>
    <row r="383" spans="1:4" x14ac:dyDescent="0.35">
      <c r="A383" s="224">
        <v>333511</v>
      </c>
      <c r="B383" s="224" t="s">
        <v>2397</v>
      </c>
      <c r="C383" s="224">
        <v>333511</v>
      </c>
      <c r="D383" s="224" t="s">
        <v>2397</v>
      </c>
    </row>
    <row r="384" spans="1:4" ht="25" x14ac:dyDescent="0.35">
      <c r="A384" s="224">
        <v>333514</v>
      </c>
      <c r="B384" s="224" t="s">
        <v>2398</v>
      </c>
      <c r="C384" s="224">
        <v>333514</v>
      </c>
      <c r="D384" s="224" t="s">
        <v>2398</v>
      </c>
    </row>
    <row r="385" spans="1:7" ht="25" x14ac:dyDescent="0.35">
      <c r="A385" s="224">
        <v>333515</v>
      </c>
      <c r="B385" s="224" t="s">
        <v>2399</v>
      </c>
      <c r="C385" s="224">
        <v>333515</v>
      </c>
      <c r="D385" s="224" t="s">
        <v>2399</v>
      </c>
      <c r="E385" s="225"/>
    </row>
    <row r="386" spans="1:7" x14ac:dyDescent="0.35">
      <c r="A386" s="287">
        <v>333517</v>
      </c>
      <c r="B386" s="287" t="s">
        <v>2400</v>
      </c>
      <c r="C386" s="287">
        <v>333517</v>
      </c>
      <c r="D386" s="287" t="s">
        <v>2400</v>
      </c>
      <c r="E386" s="288"/>
    </row>
    <row r="387" spans="1:7" ht="25" x14ac:dyDescent="0.35">
      <c r="A387" s="289">
        <v>333519</v>
      </c>
      <c r="B387" s="289" t="s">
        <v>2401</v>
      </c>
      <c r="C387" s="289">
        <v>333519</v>
      </c>
      <c r="D387" s="289" t="s">
        <v>2401</v>
      </c>
      <c r="E387" s="290"/>
    </row>
    <row r="388" spans="1:7" ht="25" x14ac:dyDescent="0.35">
      <c r="A388" s="224">
        <v>333611</v>
      </c>
      <c r="B388" s="224" t="s">
        <v>2402</v>
      </c>
      <c r="C388" s="224">
        <v>333611</v>
      </c>
      <c r="D388" s="224" t="s">
        <v>2402</v>
      </c>
      <c r="E388" s="225"/>
    </row>
    <row r="389" spans="1:7" ht="25" x14ac:dyDescent="0.35">
      <c r="A389" s="224">
        <v>333612</v>
      </c>
      <c r="B389" s="224" t="s">
        <v>2403</v>
      </c>
      <c r="C389" s="224">
        <v>333612</v>
      </c>
      <c r="D389" s="224" t="s">
        <v>2403</v>
      </c>
      <c r="E389" s="225"/>
    </row>
    <row r="390" spans="1:7" ht="25" x14ac:dyDescent="0.35">
      <c r="A390" s="224">
        <v>333613</v>
      </c>
      <c r="B390" s="224" t="s">
        <v>2404</v>
      </c>
      <c r="C390" s="224">
        <v>333613</v>
      </c>
      <c r="D390" s="224" t="s">
        <v>2404</v>
      </c>
      <c r="E390" s="225"/>
    </row>
    <row r="391" spans="1:7" x14ac:dyDescent="0.35">
      <c r="A391" s="224">
        <v>333618</v>
      </c>
      <c r="B391" s="224" t="s">
        <v>2405</v>
      </c>
      <c r="C391" s="224">
        <v>333618</v>
      </c>
      <c r="D391" s="224" t="s">
        <v>2405</v>
      </c>
      <c r="E391" s="225"/>
    </row>
    <row r="392" spans="1:7" x14ac:dyDescent="0.35">
      <c r="A392" s="224">
        <v>333912</v>
      </c>
      <c r="B392" s="224" t="s">
        <v>2406</v>
      </c>
      <c r="C392" s="224">
        <v>333912</v>
      </c>
      <c r="D392" s="224" t="s">
        <v>2406</v>
      </c>
      <c r="E392" s="225"/>
    </row>
    <row r="393" spans="1:7" ht="25" x14ac:dyDescent="0.35">
      <c r="A393" s="224">
        <v>333914</v>
      </c>
      <c r="B393" s="224" t="s">
        <v>2407</v>
      </c>
      <c r="C393" s="224">
        <v>333914</v>
      </c>
      <c r="D393" s="224" t="s">
        <v>2407</v>
      </c>
      <c r="E393" s="225"/>
    </row>
    <row r="394" spans="1:7" ht="25" x14ac:dyDescent="0.35">
      <c r="A394" s="224">
        <v>333921</v>
      </c>
      <c r="B394" s="224" t="s">
        <v>2408</v>
      </c>
      <c r="C394" s="224">
        <v>333921</v>
      </c>
      <c r="D394" s="224" t="s">
        <v>2408</v>
      </c>
      <c r="E394" s="225"/>
      <c r="G394" s="226" t="s">
        <v>1904</v>
      </c>
    </row>
    <row r="395" spans="1:7" ht="25" x14ac:dyDescent="0.35">
      <c r="A395" s="224">
        <v>333922</v>
      </c>
      <c r="B395" s="224" t="s">
        <v>2409</v>
      </c>
      <c r="C395" s="224">
        <v>333922</v>
      </c>
      <c r="D395" s="224" t="s">
        <v>2409</v>
      </c>
      <c r="E395" s="225"/>
      <c r="G395" s="11" t="s">
        <v>1904</v>
      </c>
    </row>
    <row r="396" spans="1:7" ht="25" x14ac:dyDescent="0.35">
      <c r="A396" s="224">
        <v>333923</v>
      </c>
      <c r="B396" s="224" t="s">
        <v>2410</v>
      </c>
      <c r="C396" s="224">
        <v>333923</v>
      </c>
      <c r="D396" s="224" t="s">
        <v>2410</v>
      </c>
      <c r="E396" s="225"/>
    </row>
    <row r="397" spans="1:7" ht="25" x14ac:dyDescent="0.35">
      <c r="A397" s="224">
        <v>333924</v>
      </c>
      <c r="B397" s="224" t="s">
        <v>2411</v>
      </c>
      <c r="C397" s="224">
        <v>333924</v>
      </c>
      <c r="D397" s="224" t="s">
        <v>2411</v>
      </c>
      <c r="E397" s="225"/>
    </row>
    <row r="398" spans="1:7" x14ac:dyDescent="0.35">
      <c r="A398" s="224">
        <v>333991</v>
      </c>
      <c r="B398" s="224" t="s">
        <v>2412</v>
      </c>
      <c r="C398" s="224">
        <v>333991</v>
      </c>
      <c r="D398" s="224" t="s">
        <v>2412</v>
      </c>
      <c r="E398" s="225"/>
    </row>
    <row r="399" spans="1:7" ht="25" x14ac:dyDescent="0.35">
      <c r="A399" s="224">
        <v>333992</v>
      </c>
      <c r="B399" s="224" t="s">
        <v>2413</v>
      </c>
      <c r="C399" s="224">
        <v>333992</v>
      </c>
      <c r="D399" s="224" t="s">
        <v>2413</v>
      </c>
      <c r="E399" s="225"/>
    </row>
    <row r="400" spans="1:7" x14ac:dyDescent="0.35">
      <c r="A400" s="224">
        <v>333993</v>
      </c>
      <c r="B400" s="224" t="s">
        <v>2414</v>
      </c>
      <c r="C400" s="224">
        <v>333993</v>
      </c>
      <c r="D400" s="224" t="s">
        <v>2414</v>
      </c>
      <c r="E400" s="225"/>
    </row>
    <row r="401" spans="1:8" ht="25" x14ac:dyDescent="0.35">
      <c r="A401" s="224">
        <v>333994</v>
      </c>
      <c r="B401" s="224" t="s">
        <v>2415</v>
      </c>
      <c r="C401" s="224">
        <v>333994</v>
      </c>
      <c r="D401" s="224" t="s">
        <v>2415</v>
      </c>
      <c r="E401" s="225"/>
    </row>
    <row r="402" spans="1:8" ht="25" x14ac:dyDescent="0.35">
      <c r="A402" s="224">
        <v>333995</v>
      </c>
      <c r="B402" s="224" t="s">
        <v>2416</v>
      </c>
      <c r="C402" s="224">
        <v>333995</v>
      </c>
      <c r="D402" s="224" t="s">
        <v>2416</v>
      </c>
      <c r="E402" s="225"/>
    </row>
    <row r="403" spans="1:8" ht="25" x14ac:dyDescent="0.35">
      <c r="A403" s="224">
        <v>333996</v>
      </c>
      <c r="B403" s="224" t="s">
        <v>2417</v>
      </c>
      <c r="C403" s="224">
        <v>333996</v>
      </c>
      <c r="D403" s="224" t="s">
        <v>2417</v>
      </c>
      <c r="E403" s="225"/>
    </row>
    <row r="404" spans="1:8" ht="25" x14ac:dyDescent="0.35">
      <c r="A404" s="224">
        <v>333997</v>
      </c>
      <c r="B404" s="224" t="s">
        <v>2418</v>
      </c>
      <c r="C404" s="227">
        <v>333998</v>
      </c>
      <c r="D404" s="224" t="s">
        <v>2419</v>
      </c>
      <c r="E404" s="228"/>
    </row>
    <row r="405" spans="1:8" ht="25" x14ac:dyDescent="0.35">
      <c r="A405" s="224">
        <v>333999</v>
      </c>
      <c r="B405" s="224" t="s">
        <v>2419</v>
      </c>
      <c r="C405" s="227">
        <v>333998</v>
      </c>
      <c r="D405" s="224" t="s">
        <v>2419</v>
      </c>
      <c r="E405" s="228"/>
      <c r="H405" s="226" t="s">
        <v>1904</v>
      </c>
    </row>
    <row r="406" spans="1:8" x14ac:dyDescent="0.35">
      <c r="A406" s="224">
        <v>334111</v>
      </c>
      <c r="B406" s="224" t="s">
        <v>2420</v>
      </c>
      <c r="C406" s="224">
        <v>334111</v>
      </c>
      <c r="D406" s="224" t="s">
        <v>2420</v>
      </c>
      <c r="E406" s="225"/>
    </row>
    <row r="407" spans="1:8" x14ac:dyDescent="0.35">
      <c r="A407" s="224">
        <v>334112</v>
      </c>
      <c r="B407" s="224" t="s">
        <v>2421</v>
      </c>
      <c r="C407" s="224">
        <v>334112</v>
      </c>
      <c r="D407" s="224" t="s">
        <v>2421</v>
      </c>
      <c r="E407" s="225"/>
    </row>
    <row r="408" spans="1:8" ht="25" x14ac:dyDescent="0.35">
      <c r="A408" s="291">
        <v>334118</v>
      </c>
      <c r="B408" s="291" t="s">
        <v>2422</v>
      </c>
      <c r="C408" s="291">
        <v>334118</v>
      </c>
      <c r="D408" s="291" t="s">
        <v>2422</v>
      </c>
      <c r="E408" s="292"/>
    </row>
    <row r="409" spans="1:8" x14ac:dyDescent="0.35">
      <c r="A409" s="224">
        <v>334210</v>
      </c>
      <c r="B409" s="224" t="s">
        <v>2423</v>
      </c>
      <c r="C409" s="224">
        <v>334210</v>
      </c>
      <c r="D409" s="224" t="s">
        <v>2423</v>
      </c>
      <c r="E409" s="225"/>
    </row>
    <row r="410" spans="1:8" ht="37.5" x14ac:dyDescent="0.35">
      <c r="A410" s="224">
        <v>334220</v>
      </c>
      <c r="B410" s="224" t="s">
        <v>2424</v>
      </c>
      <c r="C410" s="224">
        <v>334220</v>
      </c>
      <c r="D410" s="224" t="s">
        <v>2424</v>
      </c>
      <c r="E410" s="225"/>
    </row>
    <row r="411" spans="1:8" ht="25" x14ac:dyDescent="0.35">
      <c r="A411" s="224">
        <v>334290</v>
      </c>
      <c r="B411" s="224" t="s">
        <v>2425</v>
      </c>
      <c r="C411" s="224">
        <v>334290</v>
      </c>
      <c r="D411" s="224" t="s">
        <v>2425</v>
      </c>
      <c r="E411" s="225"/>
    </row>
    <row r="412" spans="1:8" x14ac:dyDescent="0.35">
      <c r="A412" s="224">
        <v>334310</v>
      </c>
      <c r="B412" s="224" t="s">
        <v>2426</v>
      </c>
      <c r="C412" s="224">
        <v>334310</v>
      </c>
      <c r="D412" s="224" t="s">
        <v>2426</v>
      </c>
      <c r="E412" s="225"/>
    </row>
    <row r="413" spans="1:8" x14ac:dyDescent="0.35">
      <c r="A413" s="224">
        <v>334412</v>
      </c>
      <c r="B413" s="224" t="s">
        <v>2427</v>
      </c>
      <c r="C413" s="224">
        <v>334412</v>
      </c>
      <c r="D413" s="224" t="s">
        <v>2427</v>
      </c>
      <c r="E413" s="225"/>
    </row>
    <row r="414" spans="1:8" ht="25" x14ac:dyDescent="0.35">
      <c r="A414" s="224">
        <v>334413</v>
      </c>
      <c r="B414" s="224" t="s">
        <v>2428</v>
      </c>
      <c r="C414" s="224">
        <v>334413</v>
      </c>
      <c r="D414" s="224" t="s">
        <v>2428</v>
      </c>
      <c r="E414" s="225"/>
    </row>
    <row r="415" spans="1:8" ht="25" x14ac:dyDescent="0.35">
      <c r="A415" s="293">
        <v>334416</v>
      </c>
      <c r="B415" s="293" t="s">
        <v>2429</v>
      </c>
      <c r="C415" s="293">
        <v>334416</v>
      </c>
      <c r="D415" s="293" t="s">
        <v>2429</v>
      </c>
      <c r="E415" s="294"/>
    </row>
    <row r="416" spans="1:8" x14ac:dyDescent="0.35">
      <c r="A416" s="224">
        <v>334417</v>
      </c>
      <c r="B416" s="224" t="s">
        <v>2430</v>
      </c>
      <c r="C416" s="224">
        <v>334417</v>
      </c>
      <c r="D416" s="224" t="s">
        <v>2430</v>
      </c>
      <c r="E416" s="225"/>
    </row>
    <row r="417" spans="1:6" ht="25" x14ac:dyDescent="0.35">
      <c r="A417" s="224">
        <v>334418</v>
      </c>
      <c r="B417" s="224" t="s">
        <v>2431</v>
      </c>
      <c r="C417" s="224">
        <v>334418</v>
      </c>
      <c r="D417" s="224" t="s">
        <v>2431</v>
      </c>
      <c r="E417" s="225"/>
    </row>
    <row r="418" spans="1:6" ht="25" x14ac:dyDescent="0.35">
      <c r="A418" s="295">
        <v>334419</v>
      </c>
      <c r="B418" s="295" t="s">
        <v>2432</v>
      </c>
      <c r="C418" s="295">
        <v>334419</v>
      </c>
      <c r="D418" s="295" t="s">
        <v>2432</v>
      </c>
      <c r="E418" s="296"/>
    </row>
    <row r="419" spans="1:6" ht="25" x14ac:dyDescent="0.35">
      <c r="A419" s="224">
        <v>334510</v>
      </c>
      <c r="B419" s="224" t="s">
        <v>2433</v>
      </c>
      <c r="C419" s="224">
        <v>334510</v>
      </c>
      <c r="D419" s="224" t="s">
        <v>2433</v>
      </c>
      <c r="E419" s="225"/>
    </row>
    <row r="420" spans="1:6" ht="37.5" x14ac:dyDescent="0.35">
      <c r="A420" s="224">
        <v>334511</v>
      </c>
      <c r="B420" s="224" t="s">
        <v>2434</v>
      </c>
      <c r="C420" s="224">
        <v>334511</v>
      </c>
      <c r="D420" s="224" t="s">
        <v>2434</v>
      </c>
      <c r="E420" s="225"/>
    </row>
    <row r="421" spans="1:6" ht="37.5" x14ac:dyDescent="0.35">
      <c r="A421" s="224">
        <v>334512</v>
      </c>
      <c r="B421" s="224" t="s">
        <v>2435</v>
      </c>
      <c r="C421" s="224">
        <v>334512</v>
      </c>
      <c r="D421" s="224" t="s">
        <v>2435</v>
      </c>
      <c r="E421" s="225"/>
    </row>
    <row r="422" spans="1:6" ht="50" x14ac:dyDescent="0.35">
      <c r="A422" s="224">
        <v>334513</v>
      </c>
      <c r="B422" s="224" t="s">
        <v>2436</v>
      </c>
      <c r="C422" s="224">
        <v>334513</v>
      </c>
      <c r="D422" s="224" t="s">
        <v>2436</v>
      </c>
      <c r="E422" s="225"/>
      <c r="F422" s="226" t="s">
        <v>1904</v>
      </c>
    </row>
    <row r="423" spans="1:6" ht="25" x14ac:dyDescent="0.35">
      <c r="A423" s="224">
        <v>334514</v>
      </c>
      <c r="B423" s="224" t="s">
        <v>2437</v>
      </c>
      <c r="C423" s="224">
        <v>334514</v>
      </c>
      <c r="D423" s="224" t="s">
        <v>2437</v>
      </c>
      <c r="E423" s="225"/>
    </row>
    <row r="424" spans="1:6" ht="37.5" x14ac:dyDescent="0.35">
      <c r="A424" s="224">
        <v>334515</v>
      </c>
      <c r="B424" s="224" t="s">
        <v>2438</v>
      </c>
      <c r="C424" s="224">
        <v>334515</v>
      </c>
      <c r="D424" s="224" t="s">
        <v>2438</v>
      </c>
      <c r="E424" s="225"/>
    </row>
    <row r="425" spans="1:6" ht="25" x14ac:dyDescent="0.35">
      <c r="A425" s="224">
        <v>334516</v>
      </c>
      <c r="B425" s="224" t="s">
        <v>2439</v>
      </c>
      <c r="C425" s="224">
        <v>334516</v>
      </c>
      <c r="D425" s="224" t="s">
        <v>2439</v>
      </c>
      <c r="E425" s="225"/>
    </row>
    <row r="426" spans="1:6" x14ac:dyDescent="0.35">
      <c r="A426" s="224">
        <v>334517</v>
      </c>
      <c r="B426" s="224" t="s">
        <v>2440</v>
      </c>
      <c r="C426" s="224">
        <v>334517</v>
      </c>
      <c r="D426" s="224" t="s">
        <v>2440</v>
      </c>
      <c r="E426" s="225"/>
    </row>
    <row r="427" spans="1:6" ht="25" x14ac:dyDescent="0.35">
      <c r="A427" s="297">
        <v>334519</v>
      </c>
      <c r="B427" s="297" t="s">
        <v>2441</v>
      </c>
      <c r="C427" s="297">
        <v>334519</v>
      </c>
      <c r="D427" s="297" t="s">
        <v>2441</v>
      </c>
      <c r="E427" s="298"/>
    </row>
    <row r="428" spans="1:6" ht="25" x14ac:dyDescent="0.35">
      <c r="A428" s="224">
        <v>334613</v>
      </c>
      <c r="B428" s="224" t="s">
        <v>2442</v>
      </c>
      <c r="C428" s="227">
        <v>334610</v>
      </c>
      <c r="D428" s="224" t="s">
        <v>2443</v>
      </c>
      <c r="E428" s="228"/>
    </row>
    <row r="429" spans="1:6" ht="37.5" x14ac:dyDescent="0.35">
      <c r="A429" s="297">
        <v>334614</v>
      </c>
      <c r="B429" s="297" t="s">
        <v>2444</v>
      </c>
      <c r="C429" s="299">
        <v>334610</v>
      </c>
      <c r="D429" s="297" t="s">
        <v>2443</v>
      </c>
      <c r="E429" s="300"/>
    </row>
    <row r="430" spans="1:6" ht="25" x14ac:dyDescent="0.35">
      <c r="A430" s="224">
        <v>335121</v>
      </c>
      <c r="B430" s="224" t="s">
        <v>2445</v>
      </c>
      <c r="C430" s="224">
        <v>335131</v>
      </c>
      <c r="D430" s="224" t="s">
        <v>2445</v>
      </c>
      <c r="E430" s="225"/>
    </row>
    <row r="431" spans="1:6" ht="25" x14ac:dyDescent="0.35">
      <c r="A431" s="224">
        <v>335122</v>
      </c>
      <c r="B431" s="224" t="s">
        <v>2446</v>
      </c>
      <c r="C431" s="224">
        <v>335132</v>
      </c>
      <c r="D431" s="224" t="s">
        <v>2446</v>
      </c>
      <c r="E431" s="225"/>
    </row>
    <row r="432" spans="1:6" ht="25" x14ac:dyDescent="0.35">
      <c r="A432" s="224">
        <v>335110</v>
      </c>
      <c r="B432" s="224" t="s">
        <v>2447</v>
      </c>
      <c r="C432" s="227">
        <v>335139</v>
      </c>
      <c r="D432" s="224" t="s">
        <v>2448</v>
      </c>
      <c r="E432" s="228"/>
    </row>
    <row r="433" spans="1:10" ht="25" x14ac:dyDescent="0.35">
      <c r="A433" s="224">
        <v>335129</v>
      </c>
      <c r="B433" s="224" t="s">
        <v>2449</v>
      </c>
      <c r="C433" s="227">
        <v>335139</v>
      </c>
      <c r="D433" s="224" t="s">
        <v>2448</v>
      </c>
      <c r="E433" s="228"/>
    </row>
    <row r="434" spans="1:10" x14ac:dyDescent="0.35">
      <c r="A434" s="301">
        <v>335210</v>
      </c>
      <c r="B434" s="301" t="s">
        <v>2450</v>
      </c>
      <c r="C434" s="301">
        <v>335210</v>
      </c>
      <c r="D434" s="301" t="s">
        <v>2450</v>
      </c>
      <c r="E434" s="302"/>
    </row>
    <row r="435" spans="1:10" x14ac:dyDescent="0.35">
      <c r="A435" s="224">
        <v>335220</v>
      </c>
      <c r="B435" s="224" t="s">
        <v>2451</v>
      </c>
      <c r="C435" s="224">
        <v>335220</v>
      </c>
      <c r="D435" s="224" t="s">
        <v>2451</v>
      </c>
      <c r="E435" s="225"/>
      <c r="F435" s="226" t="s">
        <v>1904</v>
      </c>
    </row>
    <row r="436" spans="1:10" ht="25" x14ac:dyDescent="0.35">
      <c r="A436" s="224">
        <v>335311</v>
      </c>
      <c r="B436" s="224" t="s">
        <v>2452</v>
      </c>
      <c r="C436" s="224">
        <v>335311</v>
      </c>
      <c r="D436" s="224" t="s">
        <v>2452</v>
      </c>
      <c r="E436" s="225"/>
      <c r="J436" s="11" t="s">
        <v>1904</v>
      </c>
    </row>
    <row r="437" spans="1:10" x14ac:dyDescent="0.35">
      <c r="A437" s="224">
        <v>335312</v>
      </c>
      <c r="B437" s="224" t="s">
        <v>2453</v>
      </c>
      <c r="C437" s="224">
        <v>335312</v>
      </c>
      <c r="D437" s="224" t="s">
        <v>2453</v>
      </c>
      <c r="E437" s="225"/>
    </row>
    <row r="438" spans="1:10" ht="25" x14ac:dyDescent="0.35">
      <c r="A438" s="224">
        <v>335313</v>
      </c>
      <c r="B438" s="224" t="s">
        <v>2454</v>
      </c>
      <c r="C438" s="224">
        <v>335313</v>
      </c>
      <c r="D438" s="224" t="s">
        <v>2454</v>
      </c>
      <c r="E438" s="225"/>
    </row>
    <row r="439" spans="1:10" x14ac:dyDescent="0.35">
      <c r="A439" s="224">
        <v>335314</v>
      </c>
      <c r="B439" s="224" t="s">
        <v>2455</v>
      </c>
      <c r="C439" s="224">
        <v>335314</v>
      </c>
      <c r="D439" s="224" t="s">
        <v>2455</v>
      </c>
      <c r="E439" s="225"/>
    </row>
    <row r="440" spans="1:10" x14ac:dyDescent="0.35">
      <c r="A440" s="224">
        <v>335911</v>
      </c>
      <c r="B440" s="224" t="s">
        <v>2456</v>
      </c>
      <c r="C440" s="227">
        <v>335910</v>
      </c>
      <c r="D440" s="224" t="s">
        <v>2457</v>
      </c>
      <c r="E440" s="228"/>
    </row>
    <row r="441" spans="1:10" x14ac:dyDescent="0.35">
      <c r="A441" s="224">
        <v>335912</v>
      </c>
      <c r="B441" s="224" t="s">
        <v>2458</v>
      </c>
      <c r="C441" s="227">
        <v>335910</v>
      </c>
      <c r="D441" s="224" t="s">
        <v>2457</v>
      </c>
      <c r="E441" s="228"/>
    </row>
    <row r="442" spans="1:10" x14ac:dyDescent="0.35">
      <c r="A442" s="224">
        <v>335921</v>
      </c>
      <c r="B442" s="224" t="s">
        <v>2459</v>
      </c>
      <c r="C442" s="224">
        <v>335921</v>
      </c>
      <c r="D442" s="224" t="s">
        <v>2459</v>
      </c>
      <c r="E442" s="225"/>
    </row>
    <row r="443" spans="1:10" ht="25" x14ac:dyDescent="0.35">
      <c r="A443" s="224">
        <v>335929</v>
      </c>
      <c r="B443" s="224" t="s">
        <v>2460</v>
      </c>
      <c r="C443" s="224">
        <v>335929</v>
      </c>
      <c r="D443" s="224" t="s">
        <v>2460</v>
      </c>
      <c r="E443" s="225"/>
    </row>
    <row r="444" spans="1:10" ht="25" x14ac:dyDescent="0.35">
      <c r="A444" s="224">
        <v>335931</v>
      </c>
      <c r="B444" s="224" t="s">
        <v>2461</v>
      </c>
      <c r="C444" s="224">
        <v>335931</v>
      </c>
      <c r="D444" s="224" t="s">
        <v>2461</v>
      </c>
      <c r="E444" s="225"/>
    </row>
    <row r="445" spans="1:10" ht="25" x14ac:dyDescent="0.35">
      <c r="A445" s="224">
        <v>335932</v>
      </c>
      <c r="B445" s="224" t="s">
        <v>2462</v>
      </c>
      <c r="C445" s="224">
        <v>335932</v>
      </c>
      <c r="D445" s="224" t="s">
        <v>2462</v>
      </c>
      <c r="E445" s="225"/>
    </row>
    <row r="446" spans="1:10" ht="25" x14ac:dyDescent="0.35">
      <c r="A446" s="224">
        <v>335991</v>
      </c>
      <c r="B446" s="224" t="s">
        <v>2463</v>
      </c>
      <c r="C446" s="224">
        <v>335991</v>
      </c>
      <c r="D446" s="224" t="s">
        <v>2463</v>
      </c>
      <c r="E446" s="225"/>
    </row>
    <row r="447" spans="1:10" ht="25" x14ac:dyDescent="0.35">
      <c r="A447" s="224">
        <v>335999</v>
      </c>
      <c r="B447" s="224" t="s">
        <v>2464</v>
      </c>
      <c r="C447" s="224">
        <v>335999</v>
      </c>
      <c r="D447" s="224" t="s">
        <v>2464</v>
      </c>
      <c r="E447" s="225"/>
    </row>
    <row r="448" spans="1:10" ht="25" x14ac:dyDescent="0.35">
      <c r="A448" s="224">
        <v>336111</v>
      </c>
      <c r="B448" s="224" t="s">
        <v>2465</v>
      </c>
      <c r="C448" s="227">
        <v>336110</v>
      </c>
      <c r="D448" s="224" t="s">
        <v>2466</v>
      </c>
      <c r="E448" s="228"/>
    </row>
    <row r="449" spans="1:7" ht="25" x14ac:dyDescent="0.35">
      <c r="A449" s="224">
        <v>336112</v>
      </c>
      <c r="B449" s="224" t="s">
        <v>2467</v>
      </c>
      <c r="C449" s="227">
        <v>336110</v>
      </c>
      <c r="D449" s="224" t="s">
        <v>2466</v>
      </c>
      <c r="E449" s="228"/>
    </row>
    <row r="450" spans="1:7" x14ac:dyDescent="0.35">
      <c r="A450" s="224">
        <v>336120</v>
      </c>
      <c r="B450" s="224" t="s">
        <v>2468</v>
      </c>
      <c r="C450" s="224">
        <v>336120</v>
      </c>
      <c r="D450" s="224" t="s">
        <v>2468</v>
      </c>
      <c r="E450" s="225"/>
    </row>
    <row r="451" spans="1:7" x14ac:dyDescent="0.35">
      <c r="A451" s="224">
        <v>336211</v>
      </c>
      <c r="B451" s="224" t="s">
        <v>2469</v>
      </c>
      <c r="C451" s="224">
        <v>336211</v>
      </c>
      <c r="D451" s="224" t="s">
        <v>2469</v>
      </c>
      <c r="E451" s="225"/>
    </row>
    <row r="452" spans="1:7" x14ac:dyDescent="0.35">
      <c r="A452" s="224">
        <v>336212</v>
      </c>
      <c r="B452" s="224" t="s">
        <v>2470</v>
      </c>
      <c r="C452" s="224">
        <v>336212</v>
      </c>
      <c r="D452" s="224" t="s">
        <v>2470</v>
      </c>
      <c r="E452" s="225"/>
      <c r="G452" s="226" t="s">
        <v>1904</v>
      </c>
    </row>
    <row r="453" spans="1:7" x14ac:dyDescent="0.35">
      <c r="A453" s="224">
        <v>336213</v>
      </c>
      <c r="B453" s="224" t="s">
        <v>2471</v>
      </c>
      <c r="C453" s="224">
        <v>336213</v>
      </c>
      <c r="D453" s="224" t="s">
        <v>2471</v>
      </c>
      <c r="E453" s="225"/>
    </row>
    <row r="454" spans="1:7" x14ac:dyDescent="0.35">
      <c r="A454" s="224">
        <v>336214</v>
      </c>
      <c r="B454" s="224" t="s">
        <v>2472</v>
      </c>
      <c r="C454" s="224">
        <v>336214</v>
      </c>
      <c r="D454" s="224" t="s">
        <v>2472</v>
      </c>
      <c r="E454" s="225"/>
    </row>
    <row r="455" spans="1:7" ht="25" x14ac:dyDescent="0.35">
      <c r="A455" s="303">
        <v>336310</v>
      </c>
      <c r="B455" s="303" t="s">
        <v>2473</v>
      </c>
      <c r="C455" s="303">
        <v>336310</v>
      </c>
      <c r="D455" s="303" t="s">
        <v>2473</v>
      </c>
      <c r="E455" s="304"/>
    </row>
    <row r="456" spans="1:7" ht="25" x14ac:dyDescent="0.35">
      <c r="A456" s="303">
        <v>336320</v>
      </c>
      <c r="B456" s="303" t="s">
        <v>2474</v>
      </c>
      <c r="C456" s="303">
        <v>336320</v>
      </c>
      <c r="D456" s="303" t="s">
        <v>2474</v>
      </c>
      <c r="E456" s="304"/>
    </row>
    <row r="457" spans="1:7" ht="37.5" x14ac:dyDescent="0.35">
      <c r="A457" s="224">
        <v>336330</v>
      </c>
      <c r="B457" s="224" t="s">
        <v>2475</v>
      </c>
      <c r="C457" s="224">
        <v>336330</v>
      </c>
      <c r="D457" s="224" t="s">
        <v>2475</v>
      </c>
      <c r="E457" s="225"/>
    </row>
    <row r="458" spans="1:7" ht="25" x14ac:dyDescent="0.35">
      <c r="A458" s="224">
        <v>336340</v>
      </c>
      <c r="B458" s="224" t="s">
        <v>2476</v>
      </c>
      <c r="C458" s="224">
        <v>336340</v>
      </c>
      <c r="D458" s="224" t="s">
        <v>2476</v>
      </c>
      <c r="E458" s="225"/>
    </row>
    <row r="459" spans="1:7" ht="25" x14ac:dyDescent="0.35">
      <c r="A459" s="224">
        <v>336350</v>
      </c>
      <c r="B459" s="224" t="s">
        <v>2477</v>
      </c>
      <c r="C459" s="224">
        <v>336350</v>
      </c>
      <c r="D459" s="224" t="s">
        <v>2477</v>
      </c>
      <c r="E459" s="225"/>
    </row>
    <row r="460" spans="1:7" ht="25" x14ac:dyDescent="0.35">
      <c r="A460" s="224">
        <v>336360</v>
      </c>
      <c r="B460" s="224" t="s">
        <v>2478</v>
      </c>
      <c r="C460" s="224">
        <v>336360</v>
      </c>
      <c r="D460" s="224" t="s">
        <v>2478</v>
      </c>
      <c r="E460" s="225"/>
    </row>
    <row r="461" spans="1:7" x14ac:dyDescent="0.35">
      <c r="A461" s="224">
        <v>336370</v>
      </c>
      <c r="B461" s="224" t="s">
        <v>2479</v>
      </c>
      <c r="C461" s="224">
        <v>336370</v>
      </c>
      <c r="D461" s="224" t="s">
        <v>2479</v>
      </c>
      <c r="E461" s="225"/>
    </row>
    <row r="462" spans="1:7" x14ac:dyDescent="0.35">
      <c r="A462" s="305">
        <v>336390</v>
      </c>
      <c r="B462" s="305" t="s">
        <v>2480</v>
      </c>
      <c r="C462" s="305">
        <v>336390</v>
      </c>
      <c r="D462" s="305" t="s">
        <v>2480</v>
      </c>
      <c r="E462" s="306"/>
    </row>
    <row r="463" spans="1:7" x14ac:dyDescent="0.35">
      <c r="A463" s="224">
        <v>336411</v>
      </c>
      <c r="B463" s="224" t="s">
        <v>2481</v>
      </c>
      <c r="C463" s="224">
        <v>336411</v>
      </c>
      <c r="D463" s="224" t="s">
        <v>2481</v>
      </c>
      <c r="E463" s="225"/>
    </row>
    <row r="464" spans="1:7" ht="25" x14ac:dyDescent="0.35">
      <c r="A464" s="224">
        <v>336412</v>
      </c>
      <c r="B464" s="224" t="s">
        <v>2482</v>
      </c>
      <c r="C464" s="224">
        <v>336412</v>
      </c>
      <c r="D464" s="224" t="s">
        <v>2482</v>
      </c>
      <c r="E464" s="225"/>
    </row>
    <row r="465" spans="1:7" ht="25" x14ac:dyDescent="0.35">
      <c r="A465" s="224">
        <v>336413</v>
      </c>
      <c r="B465" s="224" t="s">
        <v>2483</v>
      </c>
      <c r="C465" s="224">
        <v>336413</v>
      </c>
      <c r="D465" s="224" t="s">
        <v>2483</v>
      </c>
      <c r="E465" s="225"/>
    </row>
    <row r="466" spans="1:7" ht="25" x14ac:dyDescent="0.35">
      <c r="A466" s="224">
        <v>336414</v>
      </c>
      <c r="B466" s="224" t="s">
        <v>2484</v>
      </c>
      <c r="C466" s="224">
        <v>336414</v>
      </c>
      <c r="D466" s="224" t="s">
        <v>2484</v>
      </c>
      <c r="E466" s="225"/>
    </row>
    <row r="467" spans="1:7" ht="37.5" x14ac:dyDescent="0.35">
      <c r="A467" s="224">
        <v>336415</v>
      </c>
      <c r="B467" s="224" t="s">
        <v>2485</v>
      </c>
      <c r="C467" s="224">
        <v>336415</v>
      </c>
      <c r="D467" s="224" t="s">
        <v>2485</v>
      </c>
      <c r="E467" s="225"/>
    </row>
    <row r="468" spans="1:7" ht="37.5" x14ac:dyDescent="0.35">
      <c r="A468" s="224">
        <v>336419</v>
      </c>
      <c r="B468" s="224" t="s">
        <v>2486</v>
      </c>
      <c r="C468" s="224">
        <v>336419</v>
      </c>
      <c r="D468" s="224" t="s">
        <v>2486</v>
      </c>
      <c r="E468" s="225"/>
    </row>
    <row r="469" spans="1:7" x14ac:dyDescent="0.35">
      <c r="A469" s="224">
        <v>336510</v>
      </c>
      <c r="B469" s="224" t="s">
        <v>2487</v>
      </c>
      <c r="C469" s="224">
        <v>336510</v>
      </c>
      <c r="D469" s="224" t="s">
        <v>2487</v>
      </c>
      <c r="E469" s="225"/>
    </row>
    <row r="470" spans="1:7" x14ac:dyDescent="0.35">
      <c r="A470" s="224">
        <v>336611</v>
      </c>
      <c r="B470" s="224" t="s">
        <v>2488</v>
      </c>
      <c r="C470" s="224">
        <v>336611</v>
      </c>
      <c r="D470" s="224" t="s">
        <v>2488</v>
      </c>
      <c r="E470" s="225"/>
      <c r="G470" s="11" t="s">
        <v>1904</v>
      </c>
    </row>
    <row r="471" spans="1:7" x14ac:dyDescent="0.35">
      <c r="A471" s="224">
        <v>336612</v>
      </c>
      <c r="B471" s="224" t="s">
        <v>2489</v>
      </c>
      <c r="C471" s="224">
        <v>336612</v>
      </c>
      <c r="D471" s="224" t="s">
        <v>2489</v>
      </c>
      <c r="E471" s="225"/>
    </row>
    <row r="472" spans="1:7" ht="25" x14ac:dyDescent="0.35">
      <c r="A472" s="224">
        <v>336991</v>
      </c>
      <c r="B472" s="224" t="s">
        <v>2490</v>
      </c>
      <c r="C472" s="224">
        <v>336991</v>
      </c>
      <c r="D472" s="224" t="s">
        <v>2490</v>
      </c>
      <c r="E472" s="225"/>
    </row>
    <row r="473" spans="1:7" ht="25" x14ac:dyDescent="0.35">
      <c r="A473" s="224">
        <v>336992</v>
      </c>
      <c r="B473" s="224" t="s">
        <v>2491</v>
      </c>
      <c r="C473" s="224">
        <v>336992</v>
      </c>
      <c r="D473" s="224" t="s">
        <v>2491</v>
      </c>
      <c r="E473" s="225"/>
    </row>
    <row r="474" spans="1:7" ht="25" x14ac:dyDescent="0.35">
      <c r="A474" s="224">
        <v>336999</v>
      </c>
      <c r="B474" s="224" t="s">
        <v>2492</v>
      </c>
      <c r="C474" s="224">
        <v>336999</v>
      </c>
      <c r="D474" s="224" t="s">
        <v>2492</v>
      </c>
      <c r="E474" s="225"/>
    </row>
    <row r="475" spans="1:7" ht="25" x14ac:dyDescent="0.35">
      <c r="A475" s="224">
        <v>337110</v>
      </c>
      <c r="B475" s="224" t="s">
        <v>2493</v>
      </c>
      <c r="C475" s="224">
        <v>337110</v>
      </c>
      <c r="D475" s="224" t="s">
        <v>2493</v>
      </c>
      <c r="E475" s="225"/>
    </row>
    <row r="476" spans="1:7" ht="25" x14ac:dyDescent="0.35">
      <c r="A476" s="224">
        <v>337121</v>
      </c>
      <c r="B476" s="224" t="s">
        <v>2494</v>
      </c>
      <c r="C476" s="224">
        <v>337121</v>
      </c>
      <c r="D476" s="224" t="s">
        <v>2494</v>
      </c>
      <c r="E476" s="225"/>
    </row>
    <row r="477" spans="1:7" ht="25" x14ac:dyDescent="0.35">
      <c r="A477" s="224">
        <v>337122</v>
      </c>
      <c r="B477" s="224" t="s">
        <v>2495</v>
      </c>
      <c r="C477" s="224">
        <v>337122</v>
      </c>
      <c r="D477" s="224" t="s">
        <v>2495</v>
      </c>
      <c r="E477" s="225"/>
    </row>
    <row r="478" spans="1:7" ht="25" x14ac:dyDescent="0.35">
      <c r="A478" s="224">
        <v>337124</v>
      </c>
      <c r="B478" s="224" t="s">
        <v>2496</v>
      </c>
      <c r="C478" s="227">
        <v>337126</v>
      </c>
      <c r="D478" s="224" t="s">
        <v>2497</v>
      </c>
      <c r="E478" s="228"/>
    </row>
    <row r="479" spans="1:7" ht="25" x14ac:dyDescent="0.35">
      <c r="A479" s="224">
        <v>337125</v>
      </c>
      <c r="B479" s="224" t="s">
        <v>2498</v>
      </c>
      <c r="C479" s="227">
        <v>337126</v>
      </c>
      <c r="D479" s="224" t="s">
        <v>2497</v>
      </c>
      <c r="E479" s="228"/>
    </row>
    <row r="480" spans="1:7" x14ac:dyDescent="0.35">
      <c r="A480" s="224">
        <v>337127</v>
      </c>
      <c r="B480" s="224" t="s">
        <v>2499</v>
      </c>
      <c r="C480" s="224">
        <v>337127</v>
      </c>
      <c r="D480" s="224" t="s">
        <v>2499</v>
      </c>
      <c r="E480" s="225"/>
    </row>
    <row r="481" spans="1:7" x14ac:dyDescent="0.35">
      <c r="A481" s="224">
        <v>337211</v>
      </c>
      <c r="B481" s="224" t="s">
        <v>2500</v>
      </c>
      <c r="C481" s="224">
        <v>337211</v>
      </c>
      <c r="D481" s="224" t="s">
        <v>2500</v>
      </c>
      <c r="E481" s="225"/>
    </row>
    <row r="482" spans="1:7" ht="25" x14ac:dyDescent="0.35">
      <c r="A482" s="224">
        <v>337212</v>
      </c>
      <c r="B482" s="224" t="s">
        <v>2501</v>
      </c>
      <c r="C482" s="224">
        <v>337212</v>
      </c>
      <c r="D482" s="224" t="s">
        <v>2501</v>
      </c>
      <c r="E482" s="225"/>
    </row>
    <row r="483" spans="1:7" ht="25" x14ac:dyDescent="0.35">
      <c r="A483" s="224">
        <v>337214</v>
      </c>
      <c r="B483" s="224" t="s">
        <v>2502</v>
      </c>
      <c r="C483" s="224">
        <v>337214</v>
      </c>
      <c r="D483" s="224" t="s">
        <v>2502</v>
      </c>
      <c r="E483" s="225"/>
    </row>
    <row r="484" spans="1:7" ht="25" x14ac:dyDescent="0.35">
      <c r="A484" s="224">
        <v>337215</v>
      </c>
      <c r="B484" s="224" t="s">
        <v>2503</v>
      </c>
      <c r="C484" s="224">
        <v>337215</v>
      </c>
      <c r="D484" s="224" t="s">
        <v>2503</v>
      </c>
      <c r="E484" s="225"/>
    </row>
    <row r="485" spans="1:7" x14ac:dyDescent="0.35">
      <c r="A485" s="224">
        <v>337910</v>
      </c>
      <c r="B485" s="224" t="s">
        <v>2504</v>
      </c>
      <c r="C485" s="224">
        <v>337910</v>
      </c>
      <c r="D485" s="224" t="s">
        <v>2504</v>
      </c>
      <c r="E485" s="225"/>
    </row>
    <row r="486" spans="1:7" x14ac:dyDescent="0.35">
      <c r="A486" s="224">
        <v>337920</v>
      </c>
      <c r="B486" s="224" t="s">
        <v>2505</v>
      </c>
      <c r="C486" s="224">
        <v>337920</v>
      </c>
      <c r="D486" s="224" t="s">
        <v>2505</v>
      </c>
      <c r="E486" s="225"/>
    </row>
    <row r="487" spans="1:7" ht="25" x14ac:dyDescent="0.35">
      <c r="A487" s="224">
        <v>339112</v>
      </c>
      <c r="B487" s="224" t="s">
        <v>1831</v>
      </c>
      <c r="C487" s="224">
        <v>339112</v>
      </c>
      <c r="D487" s="224" t="s">
        <v>1831</v>
      </c>
      <c r="E487" s="225"/>
    </row>
    <row r="488" spans="1:7" ht="25" x14ac:dyDescent="0.35">
      <c r="A488" s="224">
        <v>339113</v>
      </c>
      <c r="B488" s="224" t="s">
        <v>2506</v>
      </c>
      <c r="C488" s="224">
        <v>339113</v>
      </c>
      <c r="D488" s="224" t="s">
        <v>2506</v>
      </c>
      <c r="E488" s="225"/>
    </row>
    <row r="489" spans="1:7" ht="25" x14ac:dyDescent="0.35">
      <c r="A489" s="224">
        <v>339114</v>
      </c>
      <c r="B489" s="224" t="s">
        <v>2507</v>
      </c>
      <c r="C489" s="224">
        <v>339114</v>
      </c>
      <c r="D489" s="224" t="s">
        <v>2507</v>
      </c>
      <c r="E489" s="225"/>
      <c r="G489" s="11" t="s">
        <v>1904</v>
      </c>
    </row>
    <row r="490" spans="1:7" x14ac:dyDescent="0.35">
      <c r="A490" s="224">
        <v>339115</v>
      </c>
      <c r="B490" s="224" t="s">
        <v>2508</v>
      </c>
      <c r="C490" s="224">
        <v>339115</v>
      </c>
      <c r="D490" s="224" t="s">
        <v>2508</v>
      </c>
      <c r="E490" s="225"/>
    </row>
    <row r="491" spans="1:7" x14ac:dyDescent="0.35">
      <c r="A491" s="224">
        <v>339116</v>
      </c>
      <c r="B491" s="224" t="s">
        <v>2509</v>
      </c>
      <c r="C491" s="224">
        <v>339116</v>
      </c>
      <c r="D491" s="224" t="s">
        <v>2509</v>
      </c>
      <c r="E491" s="225"/>
    </row>
    <row r="492" spans="1:7" x14ac:dyDescent="0.35">
      <c r="A492" s="307">
        <v>339910</v>
      </c>
      <c r="B492" s="307" t="s">
        <v>2510</v>
      </c>
      <c r="C492" s="307">
        <v>339910</v>
      </c>
      <c r="D492" s="307" t="s">
        <v>2510</v>
      </c>
      <c r="E492" s="308"/>
    </row>
    <row r="493" spans="1:7" x14ac:dyDescent="0.35">
      <c r="A493" s="224">
        <v>339920</v>
      </c>
      <c r="B493" s="224" t="s">
        <v>2511</v>
      </c>
      <c r="C493" s="224">
        <v>339920</v>
      </c>
      <c r="D493" s="224" t="s">
        <v>2511</v>
      </c>
      <c r="E493" s="225"/>
    </row>
    <row r="494" spans="1:7" x14ac:dyDescent="0.35">
      <c r="A494" s="309">
        <v>339930</v>
      </c>
      <c r="B494" s="309" t="s">
        <v>2512</v>
      </c>
      <c r="C494" s="309">
        <v>339930</v>
      </c>
      <c r="D494" s="309" t="s">
        <v>2512</v>
      </c>
      <c r="E494" s="310"/>
    </row>
    <row r="495" spans="1:7" ht="25" x14ac:dyDescent="0.35">
      <c r="A495" s="309">
        <v>339940</v>
      </c>
      <c r="B495" s="309" t="s">
        <v>2513</v>
      </c>
      <c r="C495" s="309">
        <v>339940</v>
      </c>
      <c r="D495" s="309" t="s">
        <v>2513</v>
      </c>
      <c r="E495" s="310"/>
    </row>
    <row r="496" spans="1:7" x14ac:dyDescent="0.35">
      <c r="A496" s="224">
        <v>339950</v>
      </c>
      <c r="B496" s="224" t="s">
        <v>2514</v>
      </c>
      <c r="C496" s="224">
        <v>339950</v>
      </c>
      <c r="D496" s="224" t="s">
        <v>2514</v>
      </c>
      <c r="E496" s="225"/>
    </row>
    <row r="497" spans="1:7" ht="25" x14ac:dyDescent="0.35">
      <c r="A497" s="224">
        <v>339991</v>
      </c>
      <c r="B497" s="224" t="s">
        <v>2515</v>
      </c>
      <c r="C497" s="224">
        <v>339991</v>
      </c>
      <c r="D497" s="224" t="s">
        <v>2515</v>
      </c>
      <c r="E497" s="225"/>
    </row>
    <row r="498" spans="1:7" x14ac:dyDescent="0.35">
      <c r="A498" s="224">
        <v>339992</v>
      </c>
      <c r="B498" s="224" t="s">
        <v>2516</v>
      </c>
      <c r="C498" s="224">
        <v>339992</v>
      </c>
      <c r="D498" s="224" t="s">
        <v>2516</v>
      </c>
      <c r="E498" s="225"/>
    </row>
    <row r="499" spans="1:7" ht="25" x14ac:dyDescent="0.35">
      <c r="A499" s="224">
        <v>339993</v>
      </c>
      <c r="B499" s="224" t="s">
        <v>2517</v>
      </c>
      <c r="C499" s="224">
        <v>339993</v>
      </c>
      <c r="D499" s="224" t="s">
        <v>2517</v>
      </c>
      <c r="E499" s="225"/>
    </row>
    <row r="500" spans="1:7" x14ac:dyDescent="0.35">
      <c r="A500" s="224">
        <v>339994</v>
      </c>
      <c r="B500" s="224" t="s">
        <v>2518</v>
      </c>
      <c r="C500" s="224">
        <v>339994</v>
      </c>
      <c r="D500" s="224" t="s">
        <v>2518</v>
      </c>
      <c r="E500" s="225"/>
    </row>
    <row r="501" spans="1:7" x14ac:dyDescent="0.35">
      <c r="A501" s="224">
        <v>339995</v>
      </c>
      <c r="B501" s="224" t="s">
        <v>2519</v>
      </c>
      <c r="C501" s="224">
        <v>339995</v>
      </c>
      <c r="D501" s="224" t="s">
        <v>2519</v>
      </c>
      <c r="E501" s="225"/>
    </row>
    <row r="502" spans="1:7" x14ac:dyDescent="0.35">
      <c r="A502" s="224">
        <v>339999</v>
      </c>
      <c r="B502" s="224" t="s">
        <v>2520</v>
      </c>
      <c r="C502" s="224">
        <v>339999</v>
      </c>
      <c r="D502" s="224" t="s">
        <v>2520</v>
      </c>
      <c r="E502" s="225"/>
    </row>
    <row r="503" spans="1:7" ht="25" x14ac:dyDescent="0.35">
      <c r="A503" s="224">
        <v>423110</v>
      </c>
      <c r="B503" s="224" t="s">
        <v>2521</v>
      </c>
      <c r="C503" s="224">
        <v>423110</v>
      </c>
      <c r="D503" s="224" t="s">
        <v>2521</v>
      </c>
      <c r="E503" s="225"/>
    </row>
    <row r="504" spans="1:7" ht="25" x14ac:dyDescent="0.35">
      <c r="A504" s="224">
        <v>423120</v>
      </c>
      <c r="B504" s="224" t="s">
        <v>2522</v>
      </c>
      <c r="C504" s="224">
        <v>423120</v>
      </c>
      <c r="D504" s="224" t="s">
        <v>2522</v>
      </c>
      <c r="E504" s="225"/>
    </row>
    <row r="505" spans="1:7" x14ac:dyDescent="0.35">
      <c r="A505" s="224">
        <v>423130</v>
      </c>
      <c r="B505" s="224" t="s">
        <v>2523</v>
      </c>
      <c r="C505" s="224">
        <v>423130</v>
      </c>
      <c r="D505" s="224" t="s">
        <v>2523</v>
      </c>
      <c r="E505" s="225"/>
    </row>
    <row r="506" spans="1:7" ht="25" x14ac:dyDescent="0.35">
      <c r="A506" s="224">
        <v>423140</v>
      </c>
      <c r="B506" s="224" t="s">
        <v>2524</v>
      </c>
      <c r="C506" s="224">
        <v>423140</v>
      </c>
      <c r="D506" s="224" t="s">
        <v>2524</v>
      </c>
      <c r="E506" s="225"/>
    </row>
    <row r="507" spans="1:7" x14ac:dyDescent="0.35">
      <c r="A507" s="224">
        <v>423210</v>
      </c>
      <c r="B507" s="224" t="s">
        <v>2525</v>
      </c>
      <c r="C507" s="224">
        <v>423210</v>
      </c>
      <c r="D507" s="224" t="s">
        <v>2525</v>
      </c>
      <c r="E507" s="225"/>
    </row>
    <row r="508" spans="1:7" x14ac:dyDescent="0.35">
      <c r="A508" s="224">
        <v>423220</v>
      </c>
      <c r="B508" s="224" t="s">
        <v>2526</v>
      </c>
      <c r="C508" s="224">
        <v>423220</v>
      </c>
      <c r="D508" s="224" t="s">
        <v>2526</v>
      </c>
      <c r="E508" s="225"/>
      <c r="G508" s="11" t="s">
        <v>1904</v>
      </c>
    </row>
    <row r="509" spans="1:7" ht="25" x14ac:dyDescent="0.35">
      <c r="A509" s="224">
        <v>423310</v>
      </c>
      <c r="B509" s="224" t="s">
        <v>2527</v>
      </c>
      <c r="C509" s="224">
        <v>423310</v>
      </c>
      <c r="D509" s="224" t="s">
        <v>2527</v>
      </c>
      <c r="E509" s="225"/>
    </row>
    <row r="510" spans="1:7" ht="25" x14ac:dyDescent="0.35">
      <c r="A510" s="224">
        <v>423320</v>
      </c>
      <c r="B510" s="224" t="s">
        <v>2528</v>
      </c>
      <c r="C510" s="224">
        <v>423320</v>
      </c>
      <c r="D510" s="224" t="s">
        <v>2528</v>
      </c>
      <c r="E510" s="225"/>
    </row>
    <row r="511" spans="1:7" ht="25" x14ac:dyDescent="0.35">
      <c r="A511" s="224">
        <v>423330</v>
      </c>
      <c r="B511" s="224" t="s">
        <v>2529</v>
      </c>
      <c r="C511" s="224">
        <v>423330</v>
      </c>
      <c r="D511" s="224" t="s">
        <v>2529</v>
      </c>
      <c r="E511" s="225"/>
    </row>
    <row r="512" spans="1:7" ht="25" x14ac:dyDescent="0.35">
      <c r="A512" s="224">
        <v>423390</v>
      </c>
      <c r="B512" s="224" t="s">
        <v>2530</v>
      </c>
      <c r="C512" s="224">
        <v>423390</v>
      </c>
      <c r="D512" s="224" t="s">
        <v>2530</v>
      </c>
      <c r="E512" s="225"/>
    </row>
    <row r="513" spans="1:8" ht="25" x14ac:dyDescent="0.35">
      <c r="A513" s="224">
        <v>423410</v>
      </c>
      <c r="B513" s="224" t="s">
        <v>2531</v>
      </c>
      <c r="C513" s="224">
        <v>423410</v>
      </c>
      <c r="D513" s="224" t="s">
        <v>2531</v>
      </c>
      <c r="E513" s="225"/>
    </row>
    <row r="514" spans="1:8" x14ac:dyDescent="0.35">
      <c r="A514" s="224">
        <v>423420</v>
      </c>
      <c r="B514" s="224" t="s">
        <v>2532</v>
      </c>
      <c r="C514" s="224">
        <v>423420</v>
      </c>
      <c r="D514" s="224" t="s">
        <v>2532</v>
      </c>
      <c r="E514" s="225"/>
    </row>
    <row r="515" spans="1:8" ht="37.5" x14ac:dyDescent="0.35">
      <c r="A515" s="224">
        <v>423430</v>
      </c>
      <c r="B515" s="224" t="s">
        <v>2533</v>
      </c>
      <c r="C515" s="224">
        <v>423430</v>
      </c>
      <c r="D515" s="224" t="s">
        <v>2533</v>
      </c>
      <c r="E515" s="225"/>
    </row>
    <row r="516" spans="1:8" ht="25" x14ac:dyDescent="0.35">
      <c r="A516" s="224">
        <v>423440</v>
      </c>
      <c r="B516" s="224" t="s">
        <v>2534</v>
      </c>
      <c r="C516" s="224">
        <v>423440</v>
      </c>
      <c r="D516" s="224" t="s">
        <v>2534</v>
      </c>
      <c r="E516" s="225"/>
    </row>
    <row r="517" spans="1:8" ht="25" x14ac:dyDescent="0.35">
      <c r="A517" s="224">
        <v>423450</v>
      </c>
      <c r="B517" s="224" t="s">
        <v>2535</v>
      </c>
      <c r="C517" s="224">
        <v>423450</v>
      </c>
      <c r="D517" s="224" t="s">
        <v>2535</v>
      </c>
      <c r="E517" s="225"/>
    </row>
    <row r="518" spans="1:8" x14ac:dyDescent="0.35">
      <c r="A518" s="224">
        <v>423460</v>
      </c>
      <c r="B518" s="224" t="s">
        <v>2536</v>
      </c>
      <c r="C518" s="224">
        <v>423460</v>
      </c>
      <c r="D518" s="224" t="s">
        <v>2536</v>
      </c>
      <c r="E518" s="225"/>
    </row>
    <row r="519" spans="1:8" ht="25" x14ac:dyDescent="0.35">
      <c r="A519" s="224">
        <v>423490</v>
      </c>
      <c r="B519" s="224" t="s">
        <v>2537</v>
      </c>
      <c r="C519" s="224">
        <v>423490</v>
      </c>
      <c r="D519" s="224" t="s">
        <v>2537</v>
      </c>
      <c r="E519" s="225"/>
    </row>
    <row r="520" spans="1:8" ht="25" x14ac:dyDescent="0.35">
      <c r="A520" s="224">
        <v>423510</v>
      </c>
      <c r="B520" s="224" t="s">
        <v>2538</v>
      </c>
      <c r="C520" s="224">
        <v>423510</v>
      </c>
      <c r="D520" s="224" t="s">
        <v>2538</v>
      </c>
      <c r="E520" s="225"/>
    </row>
    <row r="521" spans="1:8" ht="25" x14ac:dyDescent="0.35">
      <c r="A521" s="224">
        <v>423520</v>
      </c>
      <c r="B521" s="224" t="s">
        <v>2539</v>
      </c>
      <c r="C521" s="224">
        <v>423520</v>
      </c>
      <c r="D521" s="224" t="s">
        <v>2539</v>
      </c>
      <c r="E521" s="225"/>
    </row>
    <row r="522" spans="1:8" ht="37.5" x14ac:dyDescent="0.35">
      <c r="A522" s="224">
        <v>423610</v>
      </c>
      <c r="B522" s="224" t="s">
        <v>2540</v>
      </c>
      <c r="C522" s="224">
        <v>423610</v>
      </c>
      <c r="D522" s="224" t="s">
        <v>2540</v>
      </c>
      <c r="E522" s="225"/>
    </row>
    <row r="523" spans="1:8" ht="37.5" x14ac:dyDescent="0.35">
      <c r="A523" s="224">
        <v>423620</v>
      </c>
      <c r="B523" s="311" t="s">
        <v>2541</v>
      </c>
      <c r="C523" s="224">
        <v>423620</v>
      </c>
      <c r="D523" s="311" t="s">
        <v>2541</v>
      </c>
      <c r="E523" s="225"/>
      <c r="H523" s="11" t="s">
        <v>1904</v>
      </c>
    </row>
    <row r="524" spans="1:8" ht="25" x14ac:dyDescent="0.35">
      <c r="A524" s="224">
        <v>423690</v>
      </c>
      <c r="B524" s="224" t="s">
        <v>2542</v>
      </c>
      <c r="C524" s="224">
        <v>423690</v>
      </c>
      <c r="D524" s="224" t="s">
        <v>2542</v>
      </c>
      <c r="E524" s="225"/>
    </row>
    <row r="525" spans="1:8" x14ac:dyDescent="0.35">
      <c r="A525" s="224">
        <v>423710</v>
      </c>
      <c r="B525" s="224" t="s">
        <v>2543</v>
      </c>
      <c r="C525" s="224">
        <v>423710</v>
      </c>
      <c r="D525" s="224" t="s">
        <v>2543</v>
      </c>
      <c r="E525" s="225"/>
    </row>
    <row r="526" spans="1:8" ht="37.5" x14ac:dyDescent="0.35">
      <c r="A526" s="312">
        <v>423720</v>
      </c>
      <c r="B526" s="312" t="s">
        <v>2544</v>
      </c>
      <c r="C526" s="312">
        <v>423720</v>
      </c>
      <c r="D526" s="312" t="s">
        <v>2544</v>
      </c>
      <c r="E526" s="313"/>
    </row>
    <row r="527" spans="1:8" ht="37.5" x14ac:dyDescent="0.35">
      <c r="A527" s="224">
        <v>423730</v>
      </c>
      <c r="B527" s="224" t="s">
        <v>2545</v>
      </c>
      <c r="C527" s="224">
        <v>423730</v>
      </c>
      <c r="D527" s="224" t="s">
        <v>2545</v>
      </c>
      <c r="E527" s="225"/>
    </row>
    <row r="528" spans="1:8" ht="25" x14ac:dyDescent="0.35">
      <c r="A528" s="224">
        <v>423740</v>
      </c>
      <c r="B528" s="224" t="s">
        <v>2546</v>
      </c>
      <c r="C528" s="224">
        <v>423740</v>
      </c>
      <c r="D528" s="224" t="s">
        <v>2546</v>
      </c>
      <c r="E528" s="225"/>
    </row>
    <row r="529" spans="1:7" ht="37.5" x14ac:dyDescent="0.35">
      <c r="A529" s="224">
        <v>423810</v>
      </c>
      <c r="B529" s="224" t="s">
        <v>2547</v>
      </c>
      <c r="C529" s="224">
        <v>423810</v>
      </c>
      <c r="D529" s="224" t="s">
        <v>2547</v>
      </c>
      <c r="E529" s="225"/>
    </row>
    <row r="530" spans="1:7" ht="25" x14ac:dyDescent="0.35">
      <c r="A530" s="224">
        <v>423820</v>
      </c>
      <c r="B530" s="224" t="s">
        <v>2548</v>
      </c>
      <c r="C530" s="224">
        <v>423820</v>
      </c>
      <c r="D530" s="224" t="s">
        <v>2548</v>
      </c>
      <c r="E530" s="225"/>
    </row>
    <row r="531" spans="1:7" ht="25" x14ac:dyDescent="0.35">
      <c r="A531" s="224">
        <v>423830</v>
      </c>
      <c r="B531" s="224" t="s">
        <v>2549</v>
      </c>
      <c r="C531" s="224">
        <v>423830</v>
      </c>
      <c r="D531" s="224" t="s">
        <v>2549</v>
      </c>
      <c r="E531" s="225"/>
    </row>
    <row r="532" spans="1:7" x14ac:dyDescent="0.35">
      <c r="A532" s="224">
        <v>423840</v>
      </c>
      <c r="B532" s="224" t="s">
        <v>2550</v>
      </c>
      <c r="C532" s="224">
        <v>423840</v>
      </c>
      <c r="D532" s="224" t="s">
        <v>2550</v>
      </c>
      <c r="E532" s="225"/>
    </row>
    <row r="533" spans="1:7" ht="25" x14ac:dyDescent="0.35">
      <c r="A533" s="224">
        <v>423850</v>
      </c>
      <c r="B533" s="224" t="s">
        <v>2551</v>
      </c>
      <c r="C533" s="224">
        <v>423850</v>
      </c>
      <c r="D533" s="224" t="s">
        <v>2551</v>
      </c>
      <c r="E533" s="225"/>
    </row>
    <row r="534" spans="1:7" ht="37.5" x14ac:dyDescent="0.35">
      <c r="A534" s="224">
        <v>423860</v>
      </c>
      <c r="B534" s="224" t="s">
        <v>2552</v>
      </c>
      <c r="C534" s="224">
        <v>423860</v>
      </c>
      <c r="D534" s="224" t="s">
        <v>2552</v>
      </c>
      <c r="E534" s="225"/>
    </row>
    <row r="535" spans="1:7" ht="25" x14ac:dyDescent="0.35">
      <c r="A535" s="224">
        <v>423910</v>
      </c>
      <c r="B535" s="224" t="s">
        <v>2553</v>
      </c>
      <c r="C535" s="224">
        <v>423910</v>
      </c>
      <c r="D535" s="224" t="s">
        <v>2553</v>
      </c>
      <c r="E535" s="225"/>
    </row>
    <row r="536" spans="1:7" ht="25" x14ac:dyDescent="0.35">
      <c r="A536" s="224">
        <v>423920</v>
      </c>
      <c r="B536" s="224" t="s">
        <v>2554</v>
      </c>
      <c r="C536" s="224">
        <v>423920</v>
      </c>
      <c r="D536" s="224" t="s">
        <v>2554</v>
      </c>
      <c r="E536" s="225"/>
    </row>
    <row r="537" spans="1:7" x14ac:dyDescent="0.35">
      <c r="A537" s="224">
        <v>423930</v>
      </c>
      <c r="B537" s="224" t="s">
        <v>2555</v>
      </c>
      <c r="C537" s="224">
        <v>423930</v>
      </c>
      <c r="D537" s="224" t="s">
        <v>2555</v>
      </c>
      <c r="E537" s="225"/>
    </row>
    <row r="538" spans="1:7" ht="25" x14ac:dyDescent="0.35">
      <c r="A538" s="224">
        <v>423940</v>
      </c>
      <c r="B538" s="224" t="s">
        <v>2556</v>
      </c>
      <c r="C538" s="224">
        <v>423940</v>
      </c>
      <c r="D538" s="224" t="s">
        <v>2556</v>
      </c>
      <c r="E538" s="225"/>
    </row>
    <row r="539" spans="1:7" ht="25" x14ac:dyDescent="0.35">
      <c r="A539" s="224">
        <v>423990</v>
      </c>
      <c r="B539" s="224" t="s">
        <v>2557</v>
      </c>
      <c r="C539" s="224">
        <v>423990</v>
      </c>
      <c r="D539" s="224" t="s">
        <v>2557</v>
      </c>
      <c r="E539" s="225"/>
      <c r="G539" s="11" t="s">
        <v>1904</v>
      </c>
    </row>
    <row r="540" spans="1:7" ht="25" x14ac:dyDescent="0.35">
      <c r="A540" s="224">
        <v>424110</v>
      </c>
      <c r="B540" s="224" t="s">
        <v>2558</v>
      </c>
      <c r="C540" s="224">
        <v>424110</v>
      </c>
      <c r="D540" s="224" t="s">
        <v>2558</v>
      </c>
      <c r="E540" s="225"/>
    </row>
    <row r="541" spans="1:7" ht="25" x14ac:dyDescent="0.35">
      <c r="A541" s="224">
        <v>424120</v>
      </c>
      <c r="B541" s="224" t="s">
        <v>2559</v>
      </c>
      <c r="C541" s="224">
        <v>424120</v>
      </c>
      <c r="D541" s="224" t="s">
        <v>2559</v>
      </c>
      <c r="E541" s="225"/>
    </row>
    <row r="542" spans="1:7" ht="25" x14ac:dyDescent="0.35">
      <c r="A542" s="224">
        <v>424130</v>
      </c>
      <c r="B542" s="224" t="s">
        <v>2560</v>
      </c>
      <c r="C542" s="224">
        <v>424130</v>
      </c>
      <c r="D542" s="224" t="s">
        <v>2560</v>
      </c>
      <c r="E542" s="225"/>
    </row>
    <row r="543" spans="1:7" ht="25" x14ac:dyDescent="0.35">
      <c r="A543" s="224">
        <v>424210</v>
      </c>
      <c r="B543" s="224" t="s">
        <v>2561</v>
      </c>
      <c r="C543" s="224">
        <v>424210</v>
      </c>
      <c r="D543" s="224" t="s">
        <v>2561</v>
      </c>
      <c r="E543" s="225"/>
    </row>
    <row r="544" spans="1:7" ht="25" x14ac:dyDescent="0.35">
      <c r="A544" s="224">
        <v>424310</v>
      </c>
      <c r="B544" s="224" t="s">
        <v>2562</v>
      </c>
      <c r="C544" s="224">
        <v>424310</v>
      </c>
      <c r="D544" s="224" t="s">
        <v>2562</v>
      </c>
      <c r="E544" s="225"/>
    </row>
    <row r="545" spans="1:7" x14ac:dyDescent="0.35">
      <c r="A545" s="224">
        <v>424340</v>
      </c>
      <c r="B545" s="224" t="s">
        <v>2563</v>
      </c>
      <c r="C545" s="224">
        <v>424340</v>
      </c>
      <c r="D545" s="224" t="s">
        <v>2563</v>
      </c>
      <c r="E545" s="225"/>
    </row>
    <row r="546" spans="1:7" ht="25" x14ac:dyDescent="0.35">
      <c r="A546" s="224">
        <v>424320</v>
      </c>
      <c r="B546" s="224" t="s">
        <v>2564</v>
      </c>
      <c r="C546" s="227">
        <v>424350</v>
      </c>
      <c r="D546" s="224" t="s">
        <v>2565</v>
      </c>
      <c r="E546" s="228"/>
    </row>
    <row r="547" spans="1:7" ht="25" x14ac:dyDescent="0.35">
      <c r="A547" s="224">
        <v>424330</v>
      </c>
      <c r="B547" s="224" t="s">
        <v>2566</v>
      </c>
      <c r="C547" s="227">
        <v>424350</v>
      </c>
      <c r="D547" s="224" t="s">
        <v>2565</v>
      </c>
      <c r="E547" s="228"/>
    </row>
    <row r="548" spans="1:7" ht="25" x14ac:dyDescent="0.35">
      <c r="A548" s="224">
        <v>424410</v>
      </c>
      <c r="B548" s="224" t="s">
        <v>2567</v>
      </c>
      <c r="C548" s="224">
        <v>424410</v>
      </c>
      <c r="D548" s="224" t="s">
        <v>2567</v>
      </c>
      <c r="E548" s="225"/>
    </row>
    <row r="549" spans="1:7" ht="25" x14ac:dyDescent="0.35">
      <c r="A549" s="224">
        <v>424420</v>
      </c>
      <c r="B549" s="224" t="s">
        <v>2568</v>
      </c>
      <c r="C549" s="224">
        <v>424420</v>
      </c>
      <c r="D549" s="224" t="s">
        <v>2568</v>
      </c>
      <c r="E549" s="225"/>
    </row>
    <row r="550" spans="1:7" ht="25" x14ac:dyDescent="0.35">
      <c r="A550" s="224">
        <v>424430</v>
      </c>
      <c r="B550" s="224" t="s">
        <v>2569</v>
      </c>
      <c r="C550" s="224">
        <v>424430</v>
      </c>
      <c r="D550" s="224" t="s">
        <v>2569</v>
      </c>
      <c r="E550" s="225"/>
    </row>
    <row r="551" spans="1:7" ht="25" x14ac:dyDescent="0.35">
      <c r="A551" s="224">
        <v>424440</v>
      </c>
      <c r="B551" s="224" t="s">
        <v>2570</v>
      </c>
      <c r="C551" s="224">
        <v>424440</v>
      </c>
      <c r="D551" s="224" t="s">
        <v>2570</v>
      </c>
      <c r="E551" s="225"/>
    </row>
    <row r="552" spans="1:7" x14ac:dyDescent="0.35">
      <c r="A552" s="224">
        <v>424450</v>
      </c>
      <c r="B552" s="224" t="s">
        <v>2571</v>
      </c>
      <c r="C552" s="224">
        <v>424450</v>
      </c>
      <c r="D552" s="224" t="s">
        <v>2571</v>
      </c>
      <c r="E552" s="225"/>
    </row>
    <row r="553" spans="1:7" x14ac:dyDescent="0.35">
      <c r="A553" s="224">
        <v>424460</v>
      </c>
      <c r="B553" s="224" t="s">
        <v>2572</v>
      </c>
      <c r="C553" s="224">
        <v>424460</v>
      </c>
      <c r="D553" s="224" t="s">
        <v>2572</v>
      </c>
      <c r="E553" s="225"/>
    </row>
    <row r="554" spans="1:7" ht="25" x14ac:dyDescent="0.35">
      <c r="A554" s="224">
        <v>424470</v>
      </c>
      <c r="B554" s="224" t="s">
        <v>2573</v>
      </c>
      <c r="C554" s="224">
        <v>424470</v>
      </c>
      <c r="D554" s="224" t="s">
        <v>2573</v>
      </c>
      <c r="E554" s="225"/>
    </row>
    <row r="555" spans="1:7" ht="25" x14ac:dyDescent="0.35">
      <c r="A555" s="224">
        <v>424480</v>
      </c>
      <c r="B555" s="224" t="s">
        <v>2574</v>
      </c>
      <c r="C555" s="224">
        <v>424480</v>
      </c>
      <c r="D555" s="224" t="s">
        <v>2574</v>
      </c>
      <c r="E555" s="225"/>
    </row>
    <row r="556" spans="1:7" ht="25" x14ac:dyDescent="0.35">
      <c r="A556" s="224">
        <v>424490</v>
      </c>
      <c r="B556" s="224" t="s">
        <v>2575</v>
      </c>
      <c r="C556" s="224">
        <v>424490</v>
      </c>
      <c r="D556" s="224" t="s">
        <v>2575</v>
      </c>
      <c r="E556" s="225"/>
    </row>
    <row r="557" spans="1:7" ht="25" x14ac:dyDescent="0.35">
      <c r="A557" s="224">
        <v>424510</v>
      </c>
      <c r="B557" s="224" t="s">
        <v>2576</v>
      </c>
      <c r="C557" s="224">
        <v>424510</v>
      </c>
      <c r="D557" s="224" t="s">
        <v>2576</v>
      </c>
      <c r="E557" s="225"/>
    </row>
    <row r="558" spans="1:7" x14ac:dyDescent="0.35">
      <c r="A558" s="224">
        <v>424520</v>
      </c>
      <c r="B558" s="224" t="s">
        <v>2577</v>
      </c>
      <c r="C558" s="224">
        <v>424520</v>
      </c>
      <c r="D558" s="224" t="s">
        <v>2577</v>
      </c>
      <c r="E558" s="225"/>
      <c r="G558" s="11" t="s">
        <v>1904</v>
      </c>
    </row>
    <row r="559" spans="1:7" ht="25" x14ac:dyDescent="0.35">
      <c r="A559" s="224">
        <v>424590</v>
      </c>
      <c r="B559" s="224" t="s">
        <v>2578</v>
      </c>
      <c r="C559" s="224">
        <v>424590</v>
      </c>
      <c r="D559" s="224" t="s">
        <v>2578</v>
      </c>
      <c r="E559" s="225"/>
    </row>
    <row r="560" spans="1:7" ht="25" x14ac:dyDescent="0.35">
      <c r="A560" s="224">
        <v>424610</v>
      </c>
      <c r="B560" s="224" t="s">
        <v>2579</v>
      </c>
      <c r="C560" s="224">
        <v>424610</v>
      </c>
      <c r="D560" s="224" t="s">
        <v>2579</v>
      </c>
      <c r="E560" s="225"/>
    </row>
    <row r="561" spans="1:8" ht="25" x14ac:dyDescent="0.35">
      <c r="A561" s="224">
        <v>424690</v>
      </c>
      <c r="B561" s="224" t="s">
        <v>1865</v>
      </c>
      <c r="C561" s="224">
        <v>424690</v>
      </c>
      <c r="D561" s="224" t="s">
        <v>1865</v>
      </c>
      <c r="E561" s="225"/>
    </row>
    <row r="562" spans="1:8" x14ac:dyDescent="0.35">
      <c r="A562" s="224">
        <v>424710</v>
      </c>
      <c r="B562" s="224" t="s">
        <v>2580</v>
      </c>
      <c r="C562" s="224">
        <v>424710</v>
      </c>
      <c r="D562" s="224" t="s">
        <v>2580</v>
      </c>
      <c r="E562" s="225"/>
    </row>
    <row r="563" spans="1:8" ht="37.5" x14ac:dyDescent="0.35">
      <c r="A563" s="224">
        <v>424720</v>
      </c>
      <c r="B563" s="224" t="s">
        <v>2581</v>
      </c>
      <c r="C563" s="224">
        <v>424720</v>
      </c>
      <c r="D563" s="224" t="s">
        <v>2581</v>
      </c>
      <c r="E563" s="225"/>
    </row>
    <row r="564" spans="1:8" x14ac:dyDescent="0.35">
      <c r="A564" s="224">
        <v>424810</v>
      </c>
      <c r="B564" s="224" t="s">
        <v>2582</v>
      </c>
      <c r="C564" s="224">
        <v>424810</v>
      </c>
      <c r="D564" s="224" t="s">
        <v>2582</v>
      </c>
      <c r="E564" s="225"/>
    </row>
    <row r="565" spans="1:8" ht="25" x14ac:dyDescent="0.35">
      <c r="A565" s="224">
        <v>424820</v>
      </c>
      <c r="B565" s="224" t="s">
        <v>2583</v>
      </c>
      <c r="C565" s="224">
        <v>424820</v>
      </c>
      <c r="D565" s="224" t="s">
        <v>2583</v>
      </c>
      <c r="E565" s="225"/>
    </row>
    <row r="566" spans="1:8" x14ac:dyDescent="0.35">
      <c r="A566" s="224">
        <v>424910</v>
      </c>
      <c r="B566" s="224" t="s">
        <v>2584</v>
      </c>
      <c r="C566" s="224">
        <v>424910</v>
      </c>
      <c r="D566" s="224" t="s">
        <v>2584</v>
      </c>
      <c r="E566" s="225"/>
    </row>
    <row r="567" spans="1:8" ht="25" x14ac:dyDescent="0.35">
      <c r="A567" s="224">
        <v>424920</v>
      </c>
      <c r="B567" s="224" t="s">
        <v>2585</v>
      </c>
      <c r="C567" s="224">
        <v>424920</v>
      </c>
      <c r="D567" s="224" t="s">
        <v>2585</v>
      </c>
      <c r="E567" s="225"/>
    </row>
    <row r="568" spans="1:8" ht="25" x14ac:dyDescent="0.35">
      <c r="A568" s="224">
        <v>424930</v>
      </c>
      <c r="B568" s="224" t="s">
        <v>2586</v>
      </c>
      <c r="C568" s="224">
        <v>424930</v>
      </c>
      <c r="D568" s="224" t="s">
        <v>2586</v>
      </c>
      <c r="E568" s="225"/>
    </row>
    <row r="569" spans="1:8" ht="25" x14ac:dyDescent="0.35">
      <c r="A569" s="224">
        <v>424940</v>
      </c>
      <c r="B569" s="224" t="s">
        <v>2587</v>
      </c>
      <c r="C569" s="224">
        <v>424940</v>
      </c>
      <c r="D569" s="224" t="s">
        <v>2588</v>
      </c>
      <c r="E569" s="225"/>
    </row>
    <row r="570" spans="1:8" ht="25" x14ac:dyDescent="0.35">
      <c r="A570" s="224">
        <v>424950</v>
      </c>
      <c r="B570" s="224" t="s">
        <v>2589</v>
      </c>
      <c r="C570" s="224">
        <v>424950</v>
      </c>
      <c r="D570" s="224" t="s">
        <v>2589</v>
      </c>
      <c r="E570" s="225"/>
    </row>
    <row r="571" spans="1:8" ht="25" x14ac:dyDescent="0.35">
      <c r="A571" s="224">
        <v>424990</v>
      </c>
      <c r="B571" s="224" t="s">
        <v>2590</v>
      </c>
      <c r="C571" s="224">
        <v>424990</v>
      </c>
      <c r="D571" s="224" t="s">
        <v>2590</v>
      </c>
      <c r="E571" s="225"/>
    </row>
    <row r="572" spans="1:8" x14ac:dyDescent="0.35">
      <c r="A572" s="224">
        <v>425110</v>
      </c>
      <c r="B572" s="224" t="s">
        <v>2591</v>
      </c>
      <c r="C572" s="227">
        <v>425120</v>
      </c>
      <c r="D572" s="224" t="s">
        <v>2592</v>
      </c>
      <c r="E572" s="228"/>
    </row>
    <row r="573" spans="1:8" x14ac:dyDescent="0.35">
      <c r="A573" s="224">
        <v>425120</v>
      </c>
      <c r="B573" s="224" t="s">
        <v>2592</v>
      </c>
      <c r="C573" s="227">
        <v>425120</v>
      </c>
      <c r="D573" s="224" t="s">
        <v>2592</v>
      </c>
      <c r="E573" s="228"/>
    </row>
    <row r="574" spans="1:8" x14ac:dyDescent="0.35">
      <c r="A574" s="224">
        <v>441110</v>
      </c>
      <c r="B574" s="224" t="s">
        <v>2593</v>
      </c>
      <c r="C574" s="224">
        <v>441110</v>
      </c>
      <c r="D574" s="224" t="s">
        <v>2593</v>
      </c>
      <c r="E574" s="225"/>
    </row>
    <row r="575" spans="1:8" x14ac:dyDescent="0.35">
      <c r="A575" s="224">
        <v>441120</v>
      </c>
      <c r="B575" s="224" t="s">
        <v>2594</v>
      </c>
      <c r="C575" s="224">
        <v>441120</v>
      </c>
      <c r="D575" s="224" t="s">
        <v>2594</v>
      </c>
      <c r="E575" s="225"/>
    </row>
    <row r="576" spans="1:8" x14ac:dyDescent="0.35">
      <c r="A576" s="224">
        <v>441210</v>
      </c>
      <c r="B576" s="224" t="s">
        <v>2595</v>
      </c>
      <c r="C576" s="224">
        <v>441210</v>
      </c>
      <c r="D576" s="224" t="s">
        <v>2595</v>
      </c>
      <c r="E576" s="225"/>
      <c r="H576" s="11" t="s">
        <v>1904</v>
      </c>
    </row>
    <row r="577" spans="1:4" x14ac:dyDescent="0.35">
      <c r="A577" s="224">
        <v>441222</v>
      </c>
      <c r="B577" s="224" t="s">
        <v>2596</v>
      </c>
      <c r="C577" s="224">
        <v>441222</v>
      </c>
      <c r="D577" s="224" t="s">
        <v>2596</v>
      </c>
    </row>
    <row r="578" spans="1:4" ht="25" x14ac:dyDescent="0.35">
      <c r="A578" s="314">
        <v>441228</v>
      </c>
      <c r="B578" s="314" t="s">
        <v>2597</v>
      </c>
      <c r="C578" s="315">
        <v>441227</v>
      </c>
      <c r="D578" s="314" t="s">
        <v>2597</v>
      </c>
    </row>
    <row r="579" spans="1:4" ht="25" x14ac:dyDescent="0.35">
      <c r="A579" s="229">
        <v>454110</v>
      </c>
      <c r="B579" s="224" t="s">
        <v>2598</v>
      </c>
      <c r="C579" s="315">
        <v>441227</v>
      </c>
      <c r="D579" s="314" t="s">
        <v>2597</v>
      </c>
    </row>
    <row r="580" spans="1:4" ht="25" x14ac:dyDescent="0.35">
      <c r="A580" s="224">
        <v>441310</v>
      </c>
      <c r="B580" s="224" t="s">
        <v>2599</v>
      </c>
      <c r="C580" s="227">
        <v>441330</v>
      </c>
      <c r="D580" s="224" t="s">
        <v>2600</v>
      </c>
    </row>
    <row r="581" spans="1:4" ht="25" x14ac:dyDescent="0.35">
      <c r="A581" s="229">
        <v>454110</v>
      </c>
      <c r="B581" s="224" t="s">
        <v>2598</v>
      </c>
      <c r="C581" s="227">
        <v>441330</v>
      </c>
      <c r="D581" s="224" t="s">
        <v>2600</v>
      </c>
    </row>
    <row r="582" spans="1:4" ht="25" x14ac:dyDescent="0.35">
      <c r="A582" s="229">
        <v>454390</v>
      </c>
      <c r="B582" s="224" t="s">
        <v>2601</v>
      </c>
      <c r="C582" s="227">
        <v>441330</v>
      </c>
      <c r="D582" s="224" t="s">
        <v>2600</v>
      </c>
    </row>
    <row r="583" spans="1:4" x14ac:dyDescent="0.35">
      <c r="A583" s="224">
        <v>441320</v>
      </c>
      <c r="B583" s="224" t="s">
        <v>2602</v>
      </c>
      <c r="C583" s="227">
        <v>441340</v>
      </c>
      <c r="D583" s="224" t="s">
        <v>2602</v>
      </c>
    </row>
    <row r="584" spans="1:4" ht="25" x14ac:dyDescent="0.35">
      <c r="A584" s="229">
        <v>454110</v>
      </c>
      <c r="B584" s="224" t="s">
        <v>2598</v>
      </c>
      <c r="C584" s="227">
        <v>441340</v>
      </c>
      <c r="D584" s="224" t="s">
        <v>2602</v>
      </c>
    </row>
    <row r="585" spans="1:4" x14ac:dyDescent="0.35">
      <c r="A585" s="229">
        <v>454390</v>
      </c>
      <c r="B585" s="224" t="s">
        <v>2601</v>
      </c>
      <c r="C585" s="227">
        <v>441340</v>
      </c>
      <c r="D585" s="224" t="s">
        <v>2602</v>
      </c>
    </row>
    <row r="586" spans="1:4" x14ac:dyDescent="0.35">
      <c r="A586" s="224">
        <v>444110</v>
      </c>
      <c r="B586" s="224" t="s">
        <v>2603</v>
      </c>
      <c r="C586" s="224">
        <v>444110</v>
      </c>
      <c r="D586" s="224" t="s">
        <v>2603</v>
      </c>
    </row>
    <row r="587" spans="1:4" x14ac:dyDescent="0.35">
      <c r="A587" s="224">
        <v>444120</v>
      </c>
      <c r="B587" s="224" t="s">
        <v>2604</v>
      </c>
      <c r="C587" s="224">
        <v>444120</v>
      </c>
      <c r="D587" s="224" t="s">
        <v>2605</v>
      </c>
    </row>
    <row r="588" spans="1:4" x14ac:dyDescent="0.35">
      <c r="A588" s="224">
        <v>444130</v>
      </c>
      <c r="B588" s="224" t="s">
        <v>2606</v>
      </c>
      <c r="C588" s="227">
        <v>444140</v>
      </c>
      <c r="D588" s="224" t="s">
        <v>2607</v>
      </c>
    </row>
    <row r="589" spans="1:4" ht="25" x14ac:dyDescent="0.35">
      <c r="A589" s="229">
        <v>454110</v>
      </c>
      <c r="B589" s="224" t="s">
        <v>2598</v>
      </c>
      <c r="C589" s="227">
        <v>444140</v>
      </c>
      <c r="D589" s="224" t="s">
        <v>2607</v>
      </c>
    </row>
    <row r="590" spans="1:4" x14ac:dyDescent="0.35">
      <c r="A590" s="229">
        <v>454390</v>
      </c>
      <c r="B590" s="224" t="s">
        <v>2601</v>
      </c>
      <c r="C590" s="227">
        <v>444140</v>
      </c>
      <c r="D590" s="224" t="s">
        <v>2607</v>
      </c>
    </row>
    <row r="591" spans="1:4" x14ac:dyDescent="0.35">
      <c r="A591" s="224">
        <v>444190</v>
      </c>
      <c r="B591" s="224" t="s">
        <v>2608</v>
      </c>
      <c r="C591" s="227">
        <v>444180</v>
      </c>
      <c r="D591" s="224" t="s">
        <v>2608</v>
      </c>
    </row>
    <row r="592" spans="1:4" ht="25" x14ac:dyDescent="0.35">
      <c r="A592" s="229">
        <v>454110</v>
      </c>
      <c r="B592" s="224" t="s">
        <v>2598</v>
      </c>
      <c r="C592" s="227">
        <v>444180</v>
      </c>
      <c r="D592" s="224" t="s">
        <v>2608</v>
      </c>
    </row>
    <row r="593" spans="1:4" x14ac:dyDescent="0.35">
      <c r="A593" s="229">
        <v>454390</v>
      </c>
      <c r="B593" s="224" t="s">
        <v>2601</v>
      </c>
      <c r="C593" s="227">
        <v>444180</v>
      </c>
      <c r="D593" s="224" t="s">
        <v>2608</v>
      </c>
    </row>
    <row r="594" spans="1:4" x14ac:dyDescent="0.35">
      <c r="A594" s="224">
        <v>444210</v>
      </c>
      <c r="B594" s="224" t="s">
        <v>2609</v>
      </c>
      <c r="C594" s="227">
        <v>444230</v>
      </c>
      <c r="D594" s="224" t="s">
        <v>2610</v>
      </c>
    </row>
    <row r="595" spans="1:4" ht="25" x14ac:dyDescent="0.35">
      <c r="A595" s="229">
        <v>454110</v>
      </c>
      <c r="B595" s="224" t="s">
        <v>2598</v>
      </c>
      <c r="C595" s="227">
        <v>444230</v>
      </c>
      <c r="D595" s="224" t="s">
        <v>2610</v>
      </c>
    </row>
    <row r="596" spans="1:4" x14ac:dyDescent="0.35">
      <c r="A596" s="229">
        <v>454390</v>
      </c>
      <c r="B596" s="224" t="s">
        <v>2601</v>
      </c>
      <c r="C596" s="227">
        <v>444230</v>
      </c>
      <c r="D596" s="224" t="s">
        <v>2610</v>
      </c>
    </row>
    <row r="597" spans="1:4" ht="25" x14ac:dyDescent="0.35">
      <c r="A597" s="224">
        <v>444220</v>
      </c>
      <c r="B597" s="224" t="s">
        <v>2611</v>
      </c>
      <c r="C597" s="227">
        <v>444240</v>
      </c>
      <c r="D597" s="224" t="s">
        <v>2612</v>
      </c>
    </row>
    <row r="598" spans="1:4" ht="25" x14ac:dyDescent="0.35">
      <c r="A598" s="229">
        <v>454110</v>
      </c>
      <c r="B598" s="224" t="s">
        <v>2598</v>
      </c>
      <c r="C598" s="227">
        <v>444240</v>
      </c>
      <c r="D598" s="224" t="s">
        <v>2612</v>
      </c>
    </row>
    <row r="599" spans="1:4" ht="25" x14ac:dyDescent="0.35">
      <c r="A599" s="229">
        <v>454390</v>
      </c>
      <c r="B599" s="224" t="s">
        <v>2601</v>
      </c>
      <c r="C599" s="227">
        <v>444240</v>
      </c>
      <c r="D599" s="224" t="s">
        <v>2612</v>
      </c>
    </row>
    <row r="600" spans="1:4" ht="25" x14ac:dyDescent="0.35">
      <c r="A600" s="224">
        <v>445110</v>
      </c>
      <c r="B600" s="224" t="s">
        <v>2613</v>
      </c>
      <c r="C600" s="224">
        <v>445110</v>
      </c>
      <c r="D600" s="224" t="s">
        <v>2614</v>
      </c>
    </row>
    <row r="601" spans="1:4" x14ac:dyDescent="0.35">
      <c r="A601" s="224">
        <v>445120</v>
      </c>
      <c r="B601" s="224" t="s">
        <v>2615</v>
      </c>
      <c r="C601" s="227">
        <v>445131</v>
      </c>
      <c r="D601" s="224" t="s">
        <v>2616</v>
      </c>
    </row>
    <row r="602" spans="1:4" ht="25" x14ac:dyDescent="0.35">
      <c r="A602" s="229">
        <v>454110</v>
      </c>
      <c r="B602" s="224" t="s">
        <v>2598</v>
      </c>
      <c r="C602" s="227">
        <v>445131</v>
      </c>
      <c r="D602" s="224" t="s">
        <v>2616</v>
      </c>
    </row>
    <row r="603" spans="1:4" x14ac:dyDescent="0.35">
      <c r="A603" s="229">
        <v>454390</v>
      </c>
      <c r="B603" s="224" t="s">
        <v>2601</v>
      </c>
      <c r="C603" s="227">
        <v>445131</v>
      </c>
      <c r="D603" s="224" t="s">
        <v>2616</v>
      </c>
    </row>
    <row r="604" spans="1:4" x14ac:dyDescent="0.35">
      <c r="A604" s="224">
        <v>454210</v>
      </c>
      <c r="B604" s="224" t="s">
        <v>2617</v>
      </c>
      <c r="C604" s="224">
        <v>445132</v>
      </c>
      <c r="D604" s="224" t="s">
        <v>2617</v>
      </c>
    </row>
    <row r="605" spans="1:4" x14ac:dyDescent="0.35">
      <c r="A605" s="224">
        <v>445230</v>
      </c>
      <c r="B605" s="224" t="s">
        <v>2618</v>
      </c>
      <c r="C605" s="224">
        <v>445230</v>
      </c>
      <c r="D605" s="224" t="s">
        <v>2619</v>
      </c>
    </row>
    <row r="606" spans="1:4" x14ac:dyDescent="0.35">
      <c r="A606" s="224">
        <v>445210</v>
      </c>
      <c r="B606" s="224" t="s">
        <v>2620</v>
      </c>
      <c r="C606" s="227">
        <v>445240</v>
      </c>
      <c r="D606" s="224" t="s">
        <v>2621</v>
      </c>
    </row>
    <row r="607" spans="1:4" ht="25" x14ac:dyDescent="0.35">
      <c r="A607" s="229">
        <v>454110</v>
      </c>
      <c r="B607" s="224" t="s">
        <v>2598</v>
      </c>
      <c r="C607" s="227">
        <v>445240</v>
      </c>
      <c r="D607" s="224" t="s">
        <v>2621</v>
      </c>
    </row>
    <row r="608" spans="1:4" x14ac:dyDescent="0.35">
      <c r="A608" s="229">
        <v>454390</v>
      </c>
      <c r="B608" s="224" t="s">
        <v>2601</v>
      </c>
      <c r="C608" s="227">
        <v>445240</v>
      </c>
      <c r="D608" s="224" t="s">
        <v>2621</v>
      </c>
    </row>
    <row r="609" spans="1:4" x14ac:dyDescent="0.35">
      <c r="A609" s="224">
        <v>445220</v>
      </c>
      <c r="B609" s="224" t="s">
        <v>2622</v>
      </c>
      <c r="C609" s="227">
        <v>445250</v>
      </c>
      <c r="D609" s="224" t="s">
        <v>2623</v>
      </c>
    </row>
    <row r="610" spans="1:4" ht="25" x14ac:dyDescent="0.35">
      <c r="A610" s="229">
        <v>454110</v>
      </c>
      <c r="B610" s="224" t="s">
        <v>2598</v>
      </c>
      <c r="C610" s="227">
        <v>445250</v>
      </c>
      <c r="D610" s="224" t="s">
        <v>2623</v>
      </c>
    </row>
    <row r="611" spans="1:4" x14ac:dyDescent="0.35">
      <c r="A611" s="229">
        <v>454390</v>
      </c>
      <c r="B611" s="224" t="s">
        <v>2601</v>
      </c>
      <c r="C611" s="227">
        <v>445250</v>
      </c>
      <c r="D611" s="224" t="s">
        <v>2623</v>
      </c>
    </row>
    <row r="612" spans="1:4" x14ac:dyDescent="0.35">
      <c r="A612" s="224">
        <v>445291</v>
      </c>
      <c r="B612" s="224" t="s">
        <v>2624</v>
      </c>
      <c r="C612" s="224">
        <v>445291</v>
      </c>
      <c r="D612" s="224" t="s">
        <v>2625</v>
      </c>
    </row>
    <row r="613" spans="1:4" x14ac:dyDescent="0.35">
      <c r="A613" s="224">
        <v>445292</v>
      </c>
      <c r="B613" s="224" t="s">
        <v>2626</v>
      </c>
      <c r="C613" s="224">
        <v>445292</v>
      </c>
      <c r="D613" s="224" t="s">
        <v>2627</v>
      </c>
    </row>
    <row r="614" spans="1:4" x14ac:dyDescent="0.35">
      <c r="A614" s="224">
        <v>445299</v>
      </c>
      <c r="B614" s="224" t="s">
        <v>2628</v>
      </c>
      <c r="C614" s="227">
        <v>445298</v>
      </c>
      <c r="D614" s="224" t="s">
        <v>2629</v>
      </c>
    </row>
    <row r="615" spans="1:4" ht="25" x14ac:dyDescent="0.35">
      <c r="A615" s="229">
        <v>454110</v>
      </c>
      <c r="B615" s="224" t="s">
        <v>2598</v>
      </c>
      <c r="C615" s="227">
        <v>445298</v>
      </c>
      <c r="D615" s="224" t="s">
        <v>2629</v>
      </c>
    </row>
    <row r="616" spans="1:4" x14ac:dyDescent="0.35">
      <c r="A616" s="229">
        <v>454390</v>
      </c>
      <c r="B616" s="224" t="s">
        <v>2601</v>
      </c>
      <c r="C616" s="227">
        <v>445298</v>
      </c>
      <c r="D616" s="224" t="s">
        <v>2629</v>
      </c>
    </row>
    <row r="617" spans="1:4" x14ac:dyDescent="0.35">
      <c r="A617" s="224">
        <v>445310</v>
      </c>
      <c r="B617" s="224" t="s">
        <v>2630</v>
      </c>
      <c r="C617" s="227">
        <v>445320</v>
      </c>
      <c r="D617" s="224" t="s">
        <v>2631</v>
      </c>
    </row>
    <row r="618" spans="1:4" ht="25" x14ac:dyDescent="0.35">
      <c r="A618" s="229">
        <v>454110</v>
      </c>
      <c r="B618" s="224" t="s">
        <v>2598</v>
      </c>
      <c r="C618" s="227">
        <v>445320</v>
      </c>
      <c r="D618" s="224" t="s">
        <v>2631</v>
      </c>
    </row>
    <row r="619" spans="1:4" x14ac:dyDescent="0.35">
      <c r="A619" s="229">
        <v>454390</v>
      </c>
      <c r="B619" s="224" t="s">
        <v>2601</v>
      </c>
      <c r="C619" s="227">
        <v>445320</v>
      </c>
      <c r="D619" s="224" t="s">
        <v>2631</v>
      </c>
    </row>
    <row r="620" spans="1:4" x14ac:dyDescent="0.35">
      <c r="A620" s="224">
        <v>442110</v>
      </c>
      <c r="B620" s="224" t="s">
        <v>2632</v>
      </c>
      <c r="C620" s="227">
        <v>449110</v>
      </c>
      <c r="D620" s="224" t="s">
        <v>2633</v>
      </c>
    </row>
    <row r="621" spans="1:4" ht="25" x14ac:dyDescent="0.35">
      <c r="A621" s="229">
        <v>454110</v>
      </c>
      <c r="B621" s="224" t="s">
        <v>2598</v>
      </c>
      <c r="C621" s="227">
        <v>449110</v>
      </c>
      <c r="D621" s="224" t="s">
        <v>2633</v>
      </c>
    </row>
    <row r="622" spans="1:4" x14ac:dyDescent="0.35">
      <c r="A622" s="229">
        <v>454390</v>
      </c>
      <c r="B622" s="224" t="s">
        <v>2601</v>
      </c>
      <c r="C622" s="227">
        <v>449110</v>
      </c>
      <c r="D622" s="224" t="s">
        <v>2633</v>
      </c>
    </row>
    <row r="623" spans="1:4" x14ac:dyDescent="0.35">
      <c r="A623" s="224">
        <v>442210</v>
      </c>
      <c r="B623" s="224" t="s">
        <v>2634</v>
      </c>
      <c r="C623" s="227">
        <v>449121</v>
      </c>
      <c r="D623" s="224" t="s">
        <v>2635</v>
      </c>
    </row>
    <row r="624" spans="1:4" ht="25" x14ac:dyDescent="0.35">
      <c r="A624" s="229">
        <v>454110</v>
      </c>
      <c r="B624" s="224" t="s">
        <v>2598</v>
      </c>
      <c r="C624" s="227">
        <v>449121</v>
      </c>
      <c r="D624" s="224" t="s">
        <v>2635</v>
      </c>
    </row>
    <row r="625" spans="1:4" x14ac:dyDescent="0.35">
      <c r="A625" s="229">
        <v>454390</v>
      </c>
      <c r="B625" s="224" t="s">
        <v>2601</v>
      </c>
      <c r="C625" s="227">
        <v>449121</v>
      </c>
      <c r="D625" s="224" t="s">
        <v>2635</v>
      </c>
    </row>
    <row r="626" spans="1:4" x14ac:dyDescent="0.35">
      <c r="A626" s="224">
        <v>442291</v>
      </c>
      <c r="B626" s="224" t="s">
        <v>2636</v>
      </c>
      <c r="C626" s="227">
        <v>449122</v>
      </c>
      <c r="D626" s="224" t="s">
        <v>2637</v>
      </c>
    </row>
    <row r="627" spans="1:4" ht="25" x14ac:dyDescent="0.35">
      <c r="A627" s="229">
        <v>454110</v>
      </c>
      <c r="B627" s="224" t="s">
        <v>2598</v>
      </c>
      <c r="C627" s="227">
        <v>449122</v>
      </c>
      <c r="D627" s="224" t="s">
        <v>2637</v>
      </c>
    </row>
    <row r="628" spans="1:4" x14ac:dyDescent="0.35">
      <c r="A628" s="229">
        <v>454390</v>
      </c>
      <c r="B628" s="224" t="s">
        <v>2601</v>
      </c>
      <c r="C628" s="227">
        <v>449122</v>
      </c>
      <c r="D628" s="224" t="s">
        <v>2637</v>
      </c>
    </row>
    <row r="629" spans="1:4" x14ac:dyDescent="0.35">
      <c r="A629" s="224">
        <v>442299</v>
      </c>
      <c r="B629" s="224" t="s">
        <v>2638</v>
      </c>
      <c r="C629" s="227">
        <v>449129</v>
      </c>
      <c r="D629" s="224" t="s">
        <v>2639</v>
      </c>
    </row>
    <row r="630" spans="1:4" ht="25" x14ac:dyDescent="0.35">
      <c r="A630" s="229">
        <v>454110</v>
      </c>
      <c r="B630" s="224" t="s">
        <v>2598</v>
      </c>
      <c r="C630" s="227">
        <v>449129</v>
      </c>
      <c r="D630" s="224" t="s">
        <v>2639</v>
      </c>
    </row>
    <row r="631" spans="1:4" x14ac:dyDescent="0.35">
      <c r="A631" s="229">
        <v>454390</v>
      </c>
      <c r="B631" s="224" t="s">
        <v>2601</v>
      </c>
      <c r="C631" s="227">
        <v>449129</v>
      </c>
      <c r="D631" s="224" t="s">
        <v>2639</v>
      </c>
    </row>
    <row r="632" spans="1:4" x14ac:dyDescent="0.35">
      <c r="A632" s="314">
        <v>443141</v>
      </c>
      <c r="B632" s="314" t="s">
        <v>2640</v>
      </c>
      <c r="C632" s="315">
        <v>449210</v>
      </c>
      <c r="D632" s="314" t="s">
        <v>2641</v>
      </c>
    </row>
    <row r="633" spans="1:4" x14ac:dyDescent="0.35">
      <c r="A633" s="314">
        <v>443142</v>
      </c>
      <c r="B633" s="314" t="s">
        <v>2642</v>
      </c>
      <c r="C633" s="315">
        <v>449210</v>
      </c>
      <c r="D633" s="314" t="s">
        <v>2641</v>
      </c>
    </row>
    <row r="634" spans="1:4" ht="25" x14ac:dyDescent="0.35">
      <c r="A634" s="229">
        <v>454110</v>
      </c>
      <c r="B634" s="224" t="s">
        <v>2598</v>
      </c>
      <c r="C634" s="315">
        <v>449210</v>
      </c>
      <c r="D634" s="314" t="s">
        <v>2641</v>
      </c>
    </row>
    <row r="635" spans="1:4" x14ac:dyDescent="0.35">
      <c r="A635" s="229">
        <v>454390</v>
      </c>
      <c r="B635" s="224" t="s">
        <v>2601</v>
      </c>
      <c r="C635" s="315">
        <v>449210</v>
      </c>
      <c r="D635" s="314" t="s">
        <v>2641</v>
      </c>
    </row>
    <row r="636" spans="1:4" x14ac:dyDescent="0.35">
      <c r="A636" s="224">
        <v>452210</v>
      </c>
      <c r="B636" s="224" t="s">
        <v>2643</v>
      </c>
      <c r="C636" s="227">
        <v>455110</v>
      </c>
      <c r="D636" s="224" t="s">
        <v>2643</v>
      </c>
    </row>
    <row r="637" spans="1:4" ht="25" x14ac:dyDescent="0.35">
      <c r="A637" s="229">
        <v>454110</v>
      </c>
      <c r="B637" s="224" t="s">
        <v>2598</v>
      </c>
      <c r="C637" s="227">
        <v>455110</v>
      </c>
      <c r="D637" s="224" t="s">
        <v>2643</v>
      </c>
    </row>
    <row r="638" spans="1:4" x14ac:dyDescent="0.35">
      <c r="A638" s="224">
        <v>452311</v>
      </c>
      <c r="B638" s="224" t="s">
        <v>2644</v>
      </c>
      <c r="C638" s="227">
        <v>455211</v>
      </c>
      <c r="D638" s="224" t="s">
        <v>2644</v>
      </c>
    </row>
    <row r="639" spans="1:4" ht="25" x14ac:dyDescent="0.35">
      <c r="A639" s="229">
        <v>454110</v>
      </c>
      <c r="B639" s="224" t="s">
        <v>2598</v>
      </c>
      <c r="C639" s="227">
        <v>455211</v>
      </c>
      <c r="D639" s="224" t="s">
        <v>2644</v>
      </c>
    </row>
    <row r="640" spans="1:4" x14ac:dyDescent="0.35">
      <c r="A640" s="224">
        <v>452319</v>
      </c>
      <c r="B640" s="224" t="s">
        <v>2645</v>
      </c>
      <c r="C640" s="227">
        <v>455219</v>
      </c>
      <c r="D640" s="224" t="s">
        <v>2646</v>
      </c>
    </row>
    <row r="641" spans="1:8" ht="38.5" x14ac:dyDescent="0.35">
      <c r="A641" s="229">
        <v>453998</v>
      </c>
      <c r="B641" s="224" t="s">
        <v>2647</v>
      </c>
      <c r="C641" s="227">
        <v>455219</v>
      </c>
      <c r="D641" s="224" t="s">
        <v>2646</v>
      </c>
      <c r="E641" s="228"/>
    </row>
    <row r="642" spans="1:8" ht="25" x14ac:dyDescent="0.35">
      <c r="A642" s="229">
        <v>454110</v>
      </c>
      <c r="B642" s="224" t="s">
        <v>2598</v>
      </c>
      <c r="C642" s="227">
        <v>455219</v>
      </c>
      <c r="D642" s="224" t="s">
        <v>2646</v>
      </c>
      <c r="E642" s="228"/>
    </row>
    <row r="643" spans="1:8" x14ac:dyDescent="0.35">
      <c r="A643" s="229">
        <v>454390</v>
      </c>
      <c r="B643" s="224" t="s">
        <v>2601</v>
      </c>
      <c r="C643" s="227">
        <v>455219</v>
      </c>
      <c r="D643" s="224" t="s">
        <v>2646</v>
      </c>
      <c r="E643" s="228"/>
    </row>
    <row r="644" spans="1:8" x14ac:dyDescent="0.35">
      <c r="A644" s="224">
        <v>446110</v>
      </c>
      <c r="B644" s="224" t="s">
        <v>2648</v>
      </c>
      <c r="C644" s="227">
        <v>456110</v>
      </c>
      <c r="D644" s="224" t="s">
        <v>2649</v>
      </c>
      <c r="E644" s="228"/>
    </row>
    <row r="645" spans="1:8" ht="25" x14ac:dyDescent="0.35">
      <c r="A645" s="229">
        <v>454110</v>
      </c>
      <c r="B645" s="224" t="s">
        <v>2598</v>
      </c>
      <c r="C645" s="227">
        <v>456110</v>
      </c>
      <c r="D645" s="224" t="s">
        <v>2649</v>
      </c>
      <c r="E645" s="228"/>
    </row>
    <row r="646" spans="1:8" x14ac:dyDescent="0.35">
      <c r="A646" s="229">
        <v>454390</v>
      </c>
      <c r="B646" s="224" t="s">
        <v>2601</v>
      </c>
      <c r="C646" s="227">
        <v>456110</v>
      </c>
      <c r="D646" s="224" t="s">
        <v>2649</v>
      </c>
      <c r="E646" s="228"/>
    </row>
    <row r="647" spans="1:8" ht="25" x14ac:dyDescent="0.35">
      <c r="A647" s="224">
        <v>446120</v>
      </c>
      <c r="B647" s="224" t="s">
        <v>2650</v>
      </c>
      <c r="C647" s="227">
        <v>456120</v>
      </c>
      <c r="D647" s="224" t="s">
        <v>2651</v>
      </c>
      <c r="E647" s="228"/>
      <c r="H647" s="11" t="s">
        <v>1904</v>
      </c>
    </row>
    <row r="648" spans="1:8" ht="25" x14ac:dyDescent="0.35">
      <c r="A648" s="229">
        <v>454110</v>
      </c>
      <c r="B648" s="224" t="s">
        <v>2598</v>
      </c>
      <c r="C648" s="227">
        <v>456120</v>
      </c>
      <c r="D648" s="224" t="s">
        <v>2651</v>
      </c>
      <c r="E648" s="228"/>
    </row>
    <row r="649" spans="1:8" ht="25" x14ac:dyDescent="0.35">
      <c r="A649" s="229">
        <v>454390</v>
      </c>
      <c r="B649" s="224" t="s">
        <v>2601</v>
      </c>
      <c r="C649" s="227">
        <v>456120</v>
      </c>
      <c r="D649" s="224" t="s">
        <v>2651</v>
      </c>
      <c r="E649" s="228"/>
    </row>
    <row r="650" spans="1:8" x14ac:dyDescent="0.35">
      <c r="A650" s="224">
        <v>446130</v>
      </c>
      <c r="B650" s="224" t="s">
        <v>2652</v>
      </c>
      <c r="C650" s="227">
        <v>456130</v>
      </c>
      <c r="D650" s="224" t="s">
        <v>2653</v>
      </c>
      <c r="E650" s="228"/>
    </row>
    <row r="651" spans="1:8" ht="25" x14ac:dyDescent="0.35">
      <c r="A651" s="229">
        <v>454110</v>
      </c>
      <c r="B651" s="224" t="s">
        <v>2598</v>
      </c>
      <c r="C651" s="227">
        <v>456130</v>
      </c>
      <c r="D651" s="224" t="s">
        <v>2653</v>
      </c>
      <c r="E651" s="228"/>
    </row>
    <row r="652" spans="1:8" x14ac:dyDescent="0.35">
      <c r="A652" s="229">
        <v>454390</v>
      </c>
      <c r="B652" s="224" t="s">
        <v>2601</v>
      </c>
      <c r="C652" s="227">
        <v>456130</v>
      </c>
      <c r="D652" s="224" t="s">
        <v>2653</v>
      </c>
      <c r="E652" s="228"/>
    </row>
    <row r="653" spans="1:8" x14ac:dyDescent="0.35">
      <c r="A653" s="224">
        <v>446191</v>
      </c>
      <c r="B653" s="224" t="s">
        <v>2654</v>
      </c>
      <c r="C653" s="227">
        <v>456191</v>
      </c>
      <c r="D653" s="224" t="s">
        <v>2655</v>
      </c>
      <c r="E653" s="228"/>
    </row>
    <row r="654" spans="1:8" ht="25" x14ac:dyDescent="0.35">
      <c r="A654" s="229">
        <v>454110</v>
      </c>
      <c r="B654" s="224" t="s">
        <v>2598</v>
      </c>
      <c r="C654" s="227">
        <v>456191</v>
      </c>
      <c r="D654" s="224" t="s">
        <v>2655</v>
      </c>
      <c r="E654" s="228"/>
    </row>
    <row r="655" spans="1:8" x14ac:dyDescent="0.35">
      <c r="A655" s="229">
        <v>454390</v>
      </c>
      <c r="B655" s="224" t="s">
        <v>2601</v>
      </c>
      <c r="C655" s="227">
        <v>456191</v>
      </c>
      <c r="D655" s="224" t="s">
        <v>2655</v>
      </c>
      <c r="E655" s="228"/>
    </row>
    <row r="656" spans="1:8" ht="25" x14ac:dyDescent="0.35">
      <c r="A656" s="224">
        <v>446199</v>
      </c>
      <c r="B656" s="224" t="s">
        <v>2656</v>
      </c>
      <c r="C656" s="227">
        <v>456199</v>
      </c>
      <c r="D656" s="224" t="s">
        <v>2657</v>
      </c>
      <c r="E656" s="228"/>
    </row>
    <row r="657" spans="1:4" ht="25" x14ac:dyDescent="0.35">
      <c r="A657" s="229">
        <v>454110</v>
      </c>
      <c r="B657" s="224" t="s">
        <v>2598</v>
      </c>
      <c r="C657" s="227">
        <v>456199</v>
      </c>
      <c r="D657" s="224" t="s">
        <v>2657</v>
      </c>
    </row>
    <row r="658" spans="1:4" ht="25" x14ac:dyDescent="0.35">
      <c r="A658" s="229">
        <v>454390</v>
      </c>
      <c r="B658" s="224" t="s">
        <v>2601</v>
      </c>
      <c r="C658" s="227">
        <v>456199</v>
      </c>
      <c r="D658" s="224" t="s">
        <v>2657</v>
      </c>
    </row>
    <row r="659" spans="1:4" x14ac:dyDescent="0.35">
      <c r="A659" s="224">
        <v>447110</v>
      </c>
      <c r="B659" s="224" t="s">
        <v>2658</v>
      </c>
      <c r="C659" s="224">
        <v>457110</v>
      </c>
      <c r="D659" s="224" t="s">
        <v>2658</v>
      </c>
    </row>
    <row r="660" spans="1:4" x14ac:dyDescent="0.35">
      <c r="A660" s="224">
        <v>447190</v>
      </c>
      <c r="B660" s="224" t="s">
        <v>2659</v>
      </c>
      <c r="C660" s="224">
        <v>457120</v>
      </c>
      <c r="D660" s="224" t="s">
        <v>2659</v>
      </c>
    </row>
    <row r="661" spans="1:4" x14ac:dyDescent="0.35">
      <c r="A661" s="316">
        <v>454310</v>
      </c>
      <c r="B661" s="316" t="s">
        <v>2660</v>
      </c>
      <c r="C661" s="316">
        <v>457210</v>
      </c>
      <c r="D661" s="316" t="s">
        <v>2660</v>
      </c>
    </row>
    <row r="662" spans="1:4" ht="25" x14ac:dyDescent="0.35">
      <c r="A662" s="224">
        <v>448110</v>
      </c>
      <c r="B662" s="224" t="s">
        <v>2661</v>
      </c>
      <c r="C662" s="227">
        <v>458110</v>
      </c>
      <c r="D662" s="224" t="s">
        <v>2662</v>
      </c>
    </row>
    <row r="663" spans="1:4" ht="25" x14ac:dyDescent="0.35">
      <c r="A663" s="224">
        <v>448120</v>
      </c>
      <c r="B663" s="224" t="s">
        <v>2663</v>
      </c>
      <c r="C663" s="227">
        <v>458110</v>
      </c>
      <c r="D663" s="224" t="s">
        <v>2662</v>
      </c>
    </row>
    <row r="664" spans="1:4" ht="25" x14ac:dyDescent="0.35">
      <c r="A664" s="224">
        <v>448130</v>
      </c>
      <c r="B664" s="224" t="s">
        <v>2664</v>
      </c>
      <c r="C664" s="227">
        <v>458110</v>
      </c>
      <c r="D664" s="224" t="s">
        <v>2662</v>
      </c>
    </row>
    <row r="665" spans="1:4" ht="25" x14ac:dyDescent="0.35">
      <c r="A665" s="224">
        <v>448140</v>
      </c>
      <c r="B665" s="224" t="s">
        <v>2665</v>
      </c>
      <c r="C665" s="227">
        <v>458110</v>
      </c>
      <c r="D665" s="224" t="s">
        <v>2662</v>
      </c>
    </row>
    <row r="666" spans="1:4" ht="25" x14ac:dyDescent="0.35">
      <c r="A666" s="224">
        <v>448150</v>
      </c>
      <c r="B666" s="224" t="s">
        <v>2666</v>
      </c>
      <c r="C666" s="227">
        <v>458110</v>
      </c>
      <c r="D666" s="224" t="s">
        <v>2662</v>
      </c>
    </row>
    <row r="667" spans="1:4" ht="25" x14ac:dyDescent="0.35">
      <c r="A667" s="224">
        <v>448190</v>
      </c>
      <c r="B667" s="224" t="s">
        <v>2667</v>
      </c>
      <c r="C667" s="227">
        <v>458110</v>
      </c>
      <c r="D667" s="224" t="s">
        <v>2662</v>
      </c>
    </row>
    <row r="668" spans="1:4" ht="25" x14ac:dyDescent="0.35">
      <c r="A668" s="229">
        <v>454110</v>
      </c>
      <c r="B668" s="224" t="s">
        <v>2598</v>
      </c>
      <c r="C668" s="227">
        <v>458110</v>
      </c>
      <c r="D668" s="224" t="s">
        <v>2662</v>
      </c>
    </row>
    <row r="669" spans="1:4" ht="25" x14ac:dyDescent="0.35">
      <c r="A669" s="229">
        <v>454390</v>
      </c>
      <c r="B669" s="224" t="s">
        <v>2601</v>
      </c>
      <c r="C669" s="227">
        <v>458110</v>
      </c>
      <c r="D669" s="224" t="s">
        <v>2662</v>
      </c>
    </row>
    <row r="670" spans="1:4" x14ac:dyDescent="0.35">
      <c r="A670" s="224">
        <v>448210</v>
      </c>
      <c r="B670" s="224" t="s">
        <v>2668</v>
      </c>
      <c r="C670" s="227">
        <v>458210</v>
      </c>
      <c r="D670" s="224" t="s">
        <v>2669</v>
      </c>
    </row>
    <row r="671" spans="1:4" ht="25" x14ac:dyDescent="0.35">
      <c r="A671" s="229">
        <v>454110</v>
      </c>
      <c r="B671" s="224" t="s">
        <v>2598</v>
      </c>
      <c r="C671" s="227">
        <v>458210</v>
      </c>
      <c r="D671" s="224" t="s">
        <v>2669</v>
      </c>
    </row>
    <row r="672" spans="1:4" x14ac:dyDescent="0.35">
      <c r="A672" s="229">
        <v>454390</v>
      </c>
      <c r="B672" s="224" t="s">
        <v>2601</v>
      </c>
      <c r="C672" s="227">
        <v>458210</v>
      </c>
      <c r="D672" s="224" t="s">
        <v>2669</v>
      </c>
    </row>
    <row r="673" spans="1:4" x14ac:dyDescent="0.35">
      <c r="A673" s="224">
        <v>448310</v>
      </c>
      <c r="B673" s="224" t="s">
        <v>2670</v>
      </c>
      <c r="C673" s="227">
        <v>458310</v>
      </c>
      <c r="D673" s="224" t="s">
        <v>2671</v>
      </c>
    </row>
    <row r="674" spans="1:4" ht="25" x14ac:dyDescent="0.35">
      <c r="A674" s="229">
        <v>454110</v>
      </c>
      <c r="B674" s="224" t="s">
        <v>2598</v>
      </c>
      <c r="C674" s="227">
        <v>458310</v>
      </c>
      <c r="D674" s="224" t="s">
        <v>2671</v>
      </c>
    </row>
    <row r="675" spans="1:4" x14ac:dyDescent="0.35">
      <c r="A675" s="229">
        <v>454390</v>
      </c>
      <c r="B675" s="224" t="s">
        <v>2601</v>
      </c>
      <c r="C675" s="227">
        <v>458310</v>
      </c>
      <c r="D675" s="224" t="s">
        <v>2671</v>
      </c>
    </row>
    <row r="676" spans="1:4" x14ac:dyDescent="0.35">
      <c r="A676" s="224">
        <v>448320</v>
      </c>
      <c r="B676" s="224" t="s">
        <v>2672</v>
      </c>
      <c r="C676" s="227">
        <v>458320</v>
      </c>
      <c r="D676" s="224" t="s">
        <v>2673</v>
      </c>
    </row>
    <row r="677" spans="1:4" ht="25" x14ac:dyDescent="0.35">
      <c r="A677" s="229">
        <v>454110</v>
      </c>
      <c r="B677" s="224" t="s">
        <v>2598</v>
      </c>
      <c r="C677" s="227">
        <v>458320</v>
      </c>
      <c r="D677" s="224" t="s">
        <v>2673</v>
      </c>
    </row>
    <row r="678" spans="1:4" x14ac:dyDescent="0.35">
      <c r="A678" s="229">
        <v>454390</v>
      </c>
      <c r="B678" s="224" t="s">
        <v>2601</v>
      </c>
      <c r="C678" s="227">
        <v>458320</v>
      </c>
      <c r="D678" s="224" t="s">
        <v>2673</v>
      </c>
    </row>
    <row r="679" spans="1:4" x14ac:dyDescent="0.35">
      <c r="A679" s="224">
        <v>451110</v>
      </c>
      <c r="B679" s="224" t="s">
        <v>2674</v>
      </c>
      <c r="C679" s="227">
        <v>459110</v>
      </c>
      <c r="D679" s="224" t="s">
        <v>2675</v>
      </c>
    </row>
    <row r="680" spans="1:4" ht="25" x14ac:dyDescent="0.35">
      <c r="A680" s="229">
        <v>454110</v>
      </c>
      <c r="B680" s="224" t="s">
        <v>2598</v>
      </c>
      <c r="C680" s="227">
        <v>459110</v>
      </c>
      <c r="D680" s="224" t="s">
        <v>2675</v>
      </c>
    </row>
    <row r="681" spans="1:4" x14ac:dyDescent="0.35">
      <c r="A681" s="229">
        <v>454390</v>
      </c>
      <c r="B681" s="224" t="s">
        <v>2601</v>
      </c>
      <c r="C681" s="227">
        <v>459110</v>
      </c>
      <c r="D681" s="224" t="s">
        <v>2675</v>
      </c>
    </row>
    <row r="682" spans="1:4" x14ac:dyDescent="0.35">
      <c r="A682" s="224">
        <v>451120</v>
      </c>
      <c r="B682" s="224" t="s">
        <v>2676</v>
      </c>
      <c r="C682" s="227">
        <v>459120</v>
      </c>
      <c r="D682" s="224" t="s">
        <v>2677</v>
      </c>
    </row>
    <row r="683" spans="1:4" ht="25" x14ac:dyDescent="0.35">
      <c r="A683" s="229">
        <v>454110</v>
      </c>
      <c r="B683" s="224" t="s">
        <v>2598</v>
      </c>
      <c r="C683" s="227">
        <v>459120</v>
      </c>
      <c r="D683" s="224" t="s">
        <v>2677</v>
      </c>
    </row>
    <row r="684" spans="1:4" x14ac:dyDescent="0.35">
      <c r="A684" s="229">
        <v>454390</v>
      </c>
      <c r="B684" s="224" t="s">
        <v>2601</v>
      </c>
      <c r="C684" s="227">
        <v>459120</v>
      </c>
      <c r="D684" s="224" t="s">
        <v>2677</v>
      </c>
    </row>
    <row r="685" spans="1:4" ht="25" x14ac:dyDescent="0.35">
      <c r="A685" s="224">
        <v>451130</v>
      </c>
      <c r="B685" s="224" t="s">
        <v>2678</v>
      </c>
      <c r="C685" s="227">
        <v>459130</v>
      </c>
      <c r="D685" s="224" t="s">
        <v>2679</v>
      </c>
    </row>
    <row r="686" spans="1:4" ht="25" x14ac:dyDescent="0.35">
      <c r="A686" s="229">
        <v>454110</v>
      </c>
      <c r="B686" s="224" t="s">
        <v>2598</v>
      </c>
      <c r="C686" s="227">
        <v>459130</v>
      </c>
      <c r="D686" s="224" t="s">
        <v>2679</v>
      </c>
    </row>
    <row r="687" spans="1:4" ht="25" x14ac:dyDescent="0.35">
      <c r="A687" s="229">
        <v>454390</v>
      </c>
      <c r="B687" s="224" t="s">
        <v>2601</v>
      </c>
      <c r="C687" s="227">
        <v>459130</v>
      </c>
      <c r="D687" s="224" t="s">
        <v>2679</v>
      </c>
    </row>
    <row r="688" spans="1:4" x14ac:dyDescent="0.35">
      <c r="A688" s="224">
        <v>451140</v>
      </c>
      <c r="B688" s="224" t="s">
        <v>2680</v>
      </c>
      <c r="C688" s="227">
        <v>459140</v>
      </c>
      <c r="D688" s="224" t="s">
        <v>2681</v>
      </c>
    </row>
    <row r="689" spans="1:6" ht="25" x14ac:dyDescent="0.35">
      <c r="A689" s="229">
        <v>454110</v>
      </c>
      <c r="B689" s="224" t="s">
        <v>2598</v>
      </c>
      <c r="C689" s="227">
        <v>459140</v>
      </c>
      <c r="D689" s="224" t="s">
        <v>2681</v>
      </c>
      <c r="E689" s="228"/>
    </row>
    <row r="690" spans="1:6" x14ac:dyDescent="0.35">
      <c r="A690" s="229">
        <v>454390</v>
      </c>
      <c r="B690" s="224" t="s">
        <v>2601</v>
      </c>
      <c r="C690" s="227">
        <v>459140</v>
      </c>
      <c r="D690" s="224" t="s">
        <v>2681</v>
      </c>
      <c r="E690" s="228"/>
    </row>
    <row r="691" spans="1:6" x14ac:dyDescent="0.35">
      <c r="A691" s="224">
        <v>451211</v>
      </c>
      <c r="B691" s="224" t="s">
        <v>2682</v>
      </c>
      <c r="C691" s="227">
        <v>459210</v>
      </c>
      <c r="D691" s="224" t="s">
        <v>2683</v>
      </c>
      <c r="E691" s="228"/>
    </row>
    <row r="692" spans="1:6" x14ac:dyDescent="0.35">
      <c r="A692" s="224">
        <v>451212</v>
      </c>
      <c r="B692" s="224" t="s">
        <v>2684</v>
      </c>
      <c r="C692" s="227">
        <v>459210</v>
      </c>
      <c r="D692" s="224" t="s">
        <v>2683</v>
      </c>
      <c r="E692" s="228"/>
    </row>
    <row r="693" spans="1:6" ht="25" x14ac:dyDescent="0.35">
      <c r="A693" s="229">
        <v>454110</v>
      </c>
      <c r="B693" s="224" t="s">
        <v>2598</v>
      </c>
      <c r="C693" s="227">
        <v>459210</v>
      </c>
      <c r="D693" s="224" t="s">
        <v>2683</v>
      </c>
      <c r="E693" s="228"/>
    </row>
    <row r="694" spans="1:6" x14ac:dyDescent="0.35">
      <c r="A694" s="229">
        <v>454390</v>
      </c>
      <c r="B694" s="224" t="s">
        <v>2601</v>
      </c>
      <c r="C694" s="227">
        <v>459210</v>
      </c>
      <c r="D694" s="224" t="s">
        <v>2683</v>
      </c>
      <c r="E694" s="228"/>
    </row>
    <row r="695" spans="1:6" x14ac:dyDescent="0.35">
      <c r="A695" s="224">
        <v>453110</v>
      </c>
      <c r="B695" s="224" t="s">
        <v>2685</v>
      </c>
      <c r="C695" s="227">
        <v>459310</v>
      </c>
      <c r="D695" s="224" t="s">
        <v>2685</v>
      </c>
      <c r="E695" s="228"/>
    </row>
    <row r="696" spans="1:6" ht="25" x14ac:dyDescent="0.35">
      <c r="A696" s="229">
        <v>454110</v>
      </c>
      <c r="B696" s="224" t="s">
        <v>2598</v>
      </c>
      <c r="C696" s="227">
        <v>459310</v>
      </c>
      <c r="D696" s="224" t="s">
        <v>2685</v>
      </c>
      <c r="E696" s="228"/>
    </row>
    <row r="697" spans="1:6" x14ac:dyDescent="0.35">
      <c r="A697" s="229">
        <v>454390</v>
      </c>
      <c r="B697" s="224" t="s">
        <v>2601</v>
      </c>
      <c r="C697" s="227">
        <v>459310</v>
      </c>
      <c r="D697" s="224" t="s">
        <v>2685</v>
      </c>
      <c r="E697" s="228"/>
    </row>
    <row r="698" spans="1:6" x14ac:dyDescent="0.35">
      <c r="A698" s="224">
        <v>453210</v>
      </c>
      <c r="B698" s="224" t="s">
        <v>2686</v>
      </c>
      <c r="C698" s="227">
        <v>459410</v>
      </c>
      <c r="D698" s="224" t="s">
        <v>2687</v>
      </c>
      <c r="E698" s="228"/>
      <c r="F698" s="226" t="s">
        <v>2688</v>
      </c>
    </row>
    <row r="699" spans="1:6" ht="25" x14ac:dyDescent="0.35">
      <c r="A699" s="229">
        <v>454110</v>
      </c>
      <c r="B699" s="224" t="s">
        <v>2598</v>
      </c>
      <c r="C699" s="227">
        <v>459410</v>
      </c>
      <c r="D699" s="224" t="s">
        <v>2687</v>
      </c>
      <c r="E699" s="228"/>
      <c r="F699" s="226"/>
    </row>
    <row r="700" spans="1:6" x14ac:dyDescent="0.35">
      <c r="A700" s="229">
        <v>454390</v>
      </c>
      <c r="B700" s="224" t="s">
        <v>2601</v>
      </c>
      <c r="C700" s="227">
        <v>459410</v>
      </c>
      <c r="D700" s="224" t="s">
        <v>2687</v>
      </c>
      <c r="E700" s="228"/>
      <c r="F700" s="226"/>
    </row>
    <row r="701" spans="1:6" x14ac:dyDescent="0.35">
      <c r="A701" s="224">
        <v>453220</v>
      </c>
      <c r="B701" s="224" t="s">
        <v>2689</v>
      </c>
      <c r="C701" s="227">
        <v>459420</v>
      </c>
      <c r="D701" s="224" t="s">
        <v>2690</v>
      </c>
      <c r="E701" s="228"/>
    </row>
    <row r="702" spans="1:6" ht="25" x14ac:dyDescent="0.35">
      <c r="A702" s="229">
        <v>454110</v>
      </c>
      <c r="B702" s="224" t="s">
        <v>2598</v>
      </c>
      <c r="C702" s="227">
        <v>459420</v>
      </c>
      <c r="D702" s="224" t="s">
        <v>2690</v>
      </c>
      <c r="E702" s="228"/>
    </row>
    <row r="703" spans="1:6" x14ac:dyDescent="0.35">
      <c r="A703" s="229">
        <v>454390</v>
      </c>
      <c r="B703" s="224" t="s">
        <v>2601</v>
      </c>
      <c r="C703" s="227">
        <v>459420</v>
      </c>
      <c r="D703" s="224" t="s">
        <v>2690</v>
      </c>
      <c r="E703" s="228"/>
    </row>
    <row r="704" spans="1:6" x14ac:dyDescent="0.35">
      <c r="A704" s="224">
        <v>453310</v>
      </c>
      <c r="B704" s="224" t="s">
        <v>2691</v>
      </c>
      <c r="C704" s="227">
        <v>459510</v>
      </c>
      <c r="D704" s="224" t="s">
        <v>2692</v>
      </c>
      <c r="E704" s="228"/>
    </row>
    <row r="705" spans="1:6" ht="25" x14ac:dyDescent="0.35">
      <c r="A705" s="229">
        <v>454110</v>
      </c>
      <c r="B705" s="224" t="s">
        <v>2598</v>
      </c>
      <c r="C705" s="227">
        <v>459510</v>
      </c>
      <c r="D705" s="224" t="s">
        <v>2692</v>
      </c>
      <c r="E705" s="228"/>
    </row>
    <row r="706" spans="1:6" x14ac:dyDescent="0.35">
      <c r="A706" s="229">
        <v>454390</v>
      </c>
      <c r="B706" s="224" t="s">
        <v>2601</v>
      </c>
      <c r="C706" s="227">
        <v>459510</v>
      </c>
      <c r="D706" s="224" t="s">
        <v>2692</v>
      </c>
      <c r="E706" s="228"/>
    </row>
    <row r="707" spans="1:6" x14ac:dyDescent="0.35">
      <c r="A707" s="224">
        <v>453910</v>
      </c>
      <c r="B707" s="224" t="s">
        <v>2693</v>
      </c>
      <c r="C707" s="227">
        <v>459910</v>
      </c>
      <c r="D707" s="224" t="s">
        <v>2694</v>
      </c>
      <c r="E707" s="228"/>
      <c r="F707" s="226" t="s">
        <v>1904</v>
      </c>
    </row>
    <row r="708" spans="1:6" ht="25" x14ac:dyDescent="0.35">
      <c r="A708" s="229">
        <v>454110</v>
      </c>
      <c r="B708" s="224" t="s">
        <v>2598</v>
      </c>
      <c r="C708" s="227">
        <v>459910</v>
      </c>
      <c r="D708" s="224" t="s">
        <v>2694</v>
      </c>
      <c r="E708" s="228"/>
      <c r="F708" s="226"/>
    </row>
    <row r="709" spans="1:6" x14ac:dyDescent="0.35">
      <c r="A709" s="229">
        <v>454390</v>
      </c>
      <c r="B709" s="224" t="s">
        <v>2601</v>
      </c>
      <c r="C709" s="227">
        <v>459910</v>
      </c>
      <c r="D709" s="224" t="s">
        <v>2694</v>
      </c>
      <c r="E709" s="228"/>
      <c r="F709" s="226"/>
    </row>
    <row r="710" spans="1:6" x14ac:dyDescent="0.35">
      <c r="A710" s="224">
        <v>453920</v>
      </c>
      <c r="B710" s="224" t="s">
        <v>2695</v>
      </c>
      <c r="C710" s="227">
        <v>459920</v>
      </c>
      <c r="D710" s="224" t="s">
        <v>2695</v>
      </c>
      <c r="E710" s="228"/>
    </row>
    <row r="711" spans="1:6" ht="25" x14ac:dyDescent="0.35">
      <c r="A711" s="229">
        <v>454110</v>
      </c>
      <c r="B711" s="224" t="s">
        <v>2598</v>
      </c>
      <c r="C711" s="227">
        <v>459920</v>
      </c>
      <c r="D711" s="224" t="s">
        <v>2695</v>
      </c>
      <c r="E711" s="228"/>
    </row>
    <row r="712" spans="1:6" x14ac:dyDescent="0.35">
      <c r="A712" s="229">
        <v>454390</v>
      </c>
      <c r="B712" s="224" t="s">
        <v>2601</v>
      </c>
      <c r="C712" s="227">
        <v>459920</v>
      </c>
      <c r="D712" s="224" t="s">
        <v>2695</v>
      </c>
      <c r="E712" s="228"/>
    </row>
    <row r="713" spans="1:6" x14ac:dyDescent="0.35">
      <c r="A713" s="224">
        <v>453930</v>
      </c>
      <c r="B713" s="224" t="s">
        <v>2696</v>
      </c>
      <c r="C713" s="224">
        <v>459930</v>
      </c>
      <c r="D713" s="224" t="s">
        <v>2696</v>
      </c>
      <c r="E713" s="225"/>
    </row>
    <row r="714" spans="1:6" ht="25" x14ac:dyDescent="0.35">
      <c r="A714" s="224">
        <v>453991</v>
      </c>
      <c r="B714" s="224" t="s">
        <v>2697</v>
      </c>
      <c r="C714" s="227">
        <v>459991</v>
      </c>
      <c r="D714" s="224" t="s">
        <v>2698</v>
      </c>
      <c r="E714" s="228"/>
    </row>
    <row r="715" spans="1:6" ht="51.5" x14ac:dyDescent="0.35">
      <c r="A715" s="229">
        <v>453998</v>
      </c>
      <c r="B715" s="224" t="s">
        <v>2699</v>
      </c>
      <c r="C715" s="227">
        <v>459991</v>
      </c>
      <c r="D715" s="224" t="s">
        <v>2698</v>
      </c>
      <c r="E715" s="228"/>
    </row>
    <row r="716" spans="1:6" ht="25" x14ac:dyDescent="0.35">
      <c r="A716" s="229">
        <v>454110</v>
      </c>
      <c r="B716" s="224" t="s">
        <v>2598</v>
      </c>
      <c r="C716" s="227">
        <v>459991</v>
      </c>
      <c r="D716" s="224" t="s">
        <v>2698</v>
      </c>
      <c r="E716" s="228"/>
    </row>
    <row r="717" spans="1:6" ht="25" x14ac:dyDescent="0.35">
      <c r="A717" s="229">
        <v>454390</v>
      </c>
      <c r="B717" s="224" t="s">
        <v>2601</v>
      </c>
      <c r="C717" s="227">
        <v>459991</v>
      </c>
      <c r="D717" s="224" t="s">
        <v>2698</v>
      </c>
      <c r="E717" s="228"/>
    </row>
    <row r="718" spans="1:6" ht="64.5" x14ac:dyDescent="0.35">
      <c r="A718" s="229">
        <v>453998</v>
      </c>
      <c r="B718" s="224" t="s">
        <v>2700</v>
      </c>
      <c r="C718" s="227">
        <v>459999</v>
      </c>
      <c r="D718" s="224" t="s">
        <v>2701</v>
      </c>
      <c r="E718" s="228"/>
    </row>
    <row r="719" spans="1:6" ht="25" x14ac:dyDescent="0.35">
      <c r="A719" s="229">
        <v>454110</v>
      </c>
      <c r="B719" s="224" t="s">
        <v>2598</v>
      </c>
      <c r="C719" s="227">
        <v>459999</v>
      </c>
      <c r="D719" s="224" t="s">
        <v>2701</v>
      </c>
      <c r="E719" s="228"/>
    </row>
    <row r="720" spans="1:6" x14ac:dyDescent="0.35">
      <c r="A720" s="229">
        <v>454390</v>
      </c>
      <c r="B720" s="224" t="s">
        <v>2601</v>
      </c>
      <c r="C720" s="227">
        <v>459999</v>
      </c>
      <c r="D720" s="224" t="s">
        <v>2701</v>
      </c>
      <c r="E720" s="228"/>
    </row>
    <row r="721" spans="1:4" x14ac:dyDescent="0.35">
      <c r="A721" s="224">
        <v>481111</v>
      </c>
      <c r="B721" s="224" t="s">
        <v>2702</v>
      </c>
      <c r="C721" s="224">
        <v>481111</v>
      </c>
      <c r="D721" s="224" t="s">
        <v>2702</v>
      </c>
    </row>
    <row r="722" spans="1:4" x14ac:dyDescent="0.35">
      <c r="A722" s="224">
        <v>481112</v>
      </c>
      <c r="B722" s="224" t="s">
        <v>2703</v>
      </c>
      <c r="C722" s="224">
        <v>481112</v>
      </c>
      <c r="D722" s="224" t="s">
        <v>2703</v>
      </c>
    </row>
    <row r="723" spans="1:4" ht="25" x14ac:dyDescent="0.35">
      <c r="A723" s="224">
        <v>481211</v>
      </c>
      <c r="B723" s="224" t="s">
        <v>2704</v>
      </c>
      <c r="C723" s="224">
        <v>481211</v>
      </c>
      <c r="D723" s="224" t="s">
        <v>2704</v>
      </c>
    </row>
    <row r="724" spans="1:4" ht="25" x14ac:dyDescent="0.35">
      <c r="A724" s="224">
        <v>481212</v>
      </c>
      <c r="B724" s="224" t="s">
        <v>2705</v>
      </c>
      <c r="C724" s="224">
        <v>481212</v>
      </c>
      <c r="D724" s="224" t="s">
        <v>2705</v>
      </c>
    </row>
    <row r="725" spans="1:4" x14ac:dyDescent="0.35">
      <c r="A725" s="224">
        <v>481219</v>
      </c>
      <c r="B725" s="224" t="s">
        <v>2706</v>
      </c>
      <c r="C725" s="224">
        <v>481219</v>
      </c>
      <c r="D725" s="224" t="s">
        <v>2706</v>
      </c>
    </row>
    <row r="726" spans="1:4" x14ac:dyDescent="0.35">
      <c r="A726" s="224">
        <v>482111</v>
      </c>
      <c r="B726" s="224" t="s">
        <v>2707</v>
      </c>
      <c r="C726" s="224">
        <v>482111</v>
      </c>
      <c r="D726" s="224" t="s">
        <v>2707</v>
      </c>
    </row>
    <row r="727" spans="1:4" x14ac:dyDescent="0.35">
      <c r="A727" s="224">
        <v>482112</v>
      </c>
      <c r="B727" s="224" t="s">
        <v>2708</v>
      </c>
      <c r="C727" s="224">
        <v>482112</v>
      </c>
      <c r="D727" s="224" t="s">
        <v>2708</v>
      </c>
    </row>
    <row r="728" spans="1:4" x14ac:dyDescent="0.35">
      <c r="A728" s="224">
        <v>483111</v>
      </c>
      <c r="B728" s="224" t="s">
        <v>2709</v>
      </c>
      <c r="C728" s="224">
        <v>483111</v>
      </c>
      <c r="D728" s="224" t="s">
        <v>2709</v>
      </c>
    </row>
    <row r="729" spans="1:4" x14ac:dyDescent="0.35">
      <c r="A729" s="224">
        <v>483112</v>
      </c>
      <c r="B729" s="224" t="s">
        <v>2710</v>
      </c>
      <c r="C729" s="224">
        <v>483112</v>
      </c>
      <c r="D729" s="224" t="s">
        <v>2710</v>
      </c>
    </row>
    <row r="730" spans="1:4" ht="25" x14ac:dyDescent="0.35">
      <c r="A730" s="224">
        <v>483113</v>
      </c>
      <c r="B730" s="224" t="s">
        <v>2711</v>
      </c>
      <c r="C730" s="224">
        <v>483113</v>
      </c>
      <c r="D730" s="224" t="s">
        <v>2711</v>
      </c>
    </row>
    <row r="731" spans="1:4" ht="25" x14ac:dyDescent="0.35">
      <c r="A731" s="224">
        <v>483114</v>
      </c>
      <c r="B731" s="224" t="s">
        <v>2712</v>
      </c>
      <c r="C731" s="224">
        <v>483114</v>
      </c>
      <c r="D731" s="224" t="s">
        <v>2712</v>
      </c>
    </row>
    <row r="732" spans="1:4" x14ac:dyDescent="0.35">
      <c r="A732" s="224">
        <v>483211</v>
      </c>
      <c r="B732" s="224" t="s">
        <v>2713</v>
      </c>
      <c r="C732" s="224">
        <v>483211</v>
      </c>
      <c r="D732" s="224" t="s">
        <v>2713</v>
      </c>
    </row>
    <row r="733" spans="1:4" x14ac:dyDescent="0.35">
      <c r="A733" s="224">
        <v>483212</v>
      </c>
      <c r="B733" s="224" t="s">
        <v>2714</v>
      </c>
      <c r="C733" s="224">
        <v>483212</v>
      </c>
      <c r="D733" s="224" t="s">
        <v>2714</v>
      </c>
    </row>
    <row r="734" spans="1:4" x14ac:dyDescent="0.35">
      <c r="A734" s="224">
        <v>484110</v>
      </c>
      <c r="B734" s="224" t="s">
        <v>2715</v>
      </c>
      <c r="C734" s="224">
        <v>484110</v>
      </c>
      <c r="D734" s="224" t="s">
        <v>2715</v>
      </c>
    </row>
    <row r="735" spans="1:4" ht="25" x14ac:dyDescent="0.35">
      <c r="A735" s="224">
        <v>484121</v>
      </c>
      <c r="B735" s="224" t="s">
        <v>2716</v>
      </c>
      <c r="C735" s="224">
        <v>484121</v>
      </c>
      <c r="D735" s="224" t="s">
        <v>2716</v>
      </c>
    </row>
    <row r="736" spans="1:4" ht="25" x14ac:dyDescent="0.35">
      <c r="A736" s="224">
        <v>484122</v>
      </c>
      <c r="B736" s="224" t="s">
        <v>2717</v>
      </c>
      <c r="C736" s="224">
        <v>484122</v>
      </c>
      <c r="D736" s="224" t="s">
        <v>2717</v>
      </c>
    </row>
    <row r="737" spans="1:4" x14ac:dyDescent="0.35">
      <c r="A737" s="224">
        <v>484210</v>
      </c>
      <c r="B737" s="224" t="s">
        <v>2718</v>
      </c>
      <c r="C737" s="224">
        <v>484210</v>
      </c>
      <c r="D737" s="224" t="s">
        <v>2718</v>
      </c>
    </row>
    <row r="738" spans="1:4" ht="25" x14ac:dyDescent="0.35">
      <c r="A738" s="224">
        <v>484220</v>
      </c>
      <c r="B738" s="224" t="s">
        <v>2719</v>
      </c>
      <c r="C738" s="224">
        <v>484220</v>
      </c>
      <c r="D738" s="224" t="s">
        <v>2719</v>
      </c>
    </row>
    <row r="739" spans="1:4" ht="25" x14ac:dyDescent="0.35">
      <c r="A739" s="224">
        <v>484230</v>
      </c>
      <c r="B739" s="224" t="s">
        <v>2720</v>
      </c>
      <c r="C739" s="224">
        <v>484230</v>
      </c>
      <c r="D739" s="224" t="s">
        <v>2720</v>
      </c>
    </row>
    <row r="740" spans="1:4" x14ac:dyDescent="0.35">
      <c r="A740" s="224">
        <v>485111</v>
      </c>
      <c r="B740" s="224" t="s">
        <v>2721</v>
      </c>
      <c r="C740" s="224">
        <v>485111</v>
      </c>
      <c r="D740" s="224" t="s">
        <v>2721</v>
      </c>
    </row>
    <row r="741" spans="1:4" x14ac:dyDescent="0.35">
      <c r="A741" s="224">
        <v>485112</v>
      </c>
      <c r="B741" s="224" t="s">
        <v>2722</v>
      </c>
      <c r="C741" s="224">
        <v>485112</v>
      </c>
      <c r="D741" s="224" t="s">
        <v>2722</v>
      </c>
    </row>
    <row r="742" spans="1:4" ht="25" x14ac:dyDescent="0.35">
      <c r="A742" s="224">
        <v>485113</v>
      </c>
      <c r="B742" s="224" t="s">
        <v>2723</v>
      </c>
      <c r="C742" s="224">
        <v>485113</v>
      </c>
      <c r="D742" s="224" t="s">
        <v>2723</v>
      </c>
    </row>
    <row r="743" spans="1:4" x14ac:dyDescent="0.35">
      <c r="A743" s="224">
        <v>485119</v>
      </c>
      <c r="B743" s="224" t="s">
        <v>2724</v>
      </c>
      <c r="C743" s="224">
        <v>485119</v>
      </c>
      <c r="D743" s="224" t="s">
        <v>2724</v>
      </c>
    </row>
    <row r="744" spans="1:4" x14ac:dyDescent="0.35">
      <c r="A744" s="224">
        <v>485210</v>
      </c>
      <c r="B744" s="224" t="s">
        <v>2725</v>
      </c>
      <c r="C744" s="224">
        <v>485210</v>
      </c>
      <c r="D744" s="224" t="s">
        <v>2725</v>
      </c>
    </row>
    <row r="745" spans="1:4" x14ac:dyDescent="0.35">
      <c r="A745" s="224">
        <v>485310</v>
      </c>
      <c r="B745" s="224" t="s">
        <v>2726</v>
      </c>
      <c r="C745" s="224">
        <v>485310</v>
      </c>
      <c r="D745" s="224" t="s">
        <v>2727</v>
      </c>
    </row>
    <row r="746" spans="1:4" x14ac:dyDescent="0.35">
      <c r="A746" s="224">
        <v>485320</v>
      </c>
      <c r="B746" s="224" t="s">
        <v>2728</v>
      </c>
      <c r="C746" s="224">
        <v>485320</v>
      </c>
      <c r="D746" s="224" t="s">
        <v>2728</v>
      </c>
    </row>
    <row r="747" spans="1:4" x14ac:dyDescent="0.35">
      <c r="A747" s="224">
        <v>485410</v>
      </c>
      <c r="B747" s="224" t="s">
        <v>2729</v>
      </c>
      <c r="C747" s="224">
        <v>485410</v>
      </c>
      <c r="D747" s="224" t="s">
        <v>2729</v>
      </c>
    </row>
    <row r="748" spans="1:4" x14ac:dyDescent="0.35">
      <c r="A748" s="224">
        <v>485510</v>
      </c>
      <c r="B748" s="224" t="s">
        <v>2730</v>
      </c>
      <c r="C748" s="224">
        <v>485510</v>
      </c>
      <c r="D748" s="224" t="s">
        <v>2730</v>
      </c>
    </row>
    <row r="749" spans="1:4" x14ac:dyDescent="0.35">
      <c r="A749" s="224">
        <v>485991</v>
      </c>
      <c r="B749" s="224" t="s">
        <v>2731</v>
      </c>
      <c r="C749" s="224">
        <v>485991</v>
      </c>
      <c r="D749" s="224" t="s">
        <v>2731</v>
      </c>
    </row>
    <row r="750" spans="1:4" ht="25" x14ac:dyDescent="0.35">
      <c r="A750" s="224">
        <v>485999</v>
      </c>
      <c r="B750" s="224" t="s">
        <v>2732</v>
      </c>
      <c r="C750" s="224">
        <v>485999</v>
      </c>
      <c r="D750" s="224" t="s">
        <v>2732</v>
      </c>
    </row>
    <row r="751" spans="1:4" x14ac:dyDescent="0.35">
      <c r="A751" s="224">
        <v>486110</v>
      </c>
      <c r="B751" s="224" t="s">
        <v>2733</v>
      </c>
      <c r="C751" s="224">
        <v>486110</v>
      </c>
      <c r="D751" s="224" t="s">
        <v>2733</v>
      </c>
    </row>
    <row r="752" spans="1:4" x14ac:dyDescent="0.35">
      <c r="A752" s="224">
        <v>486210</v>
      </c>
      <c r="B752" s="224" t="s">
        <v>2734</v>
      </c>
      <c r="C752" s="224">
        <v>486210</v>
      </c>
      <c r="D752" s="224" t="s">
        <v>2734</v>
      </c>
    </row>
    <row r="753" spans="1:6" ht="25" x14ac:dyDescent="0.35">
      <c r="A753" s="224">
        <v>486910</v>
      </c>
      <c r="B753" s="224" t="s">
        <v>2735</v>
      </c>
      <c r="C753" s="224">
        <v>486910</v>
      </c>
      <c r="D753" s="224" t="s">
        <v>2735</v>
      </c>
      <c r="E753" s="225"/>
    </row>
    <row r="754" spans="1:6" x14ac:dyDescent="0.35">
      <c r="A754" s="224">
        <v>486990</v>
      </c>
      <c r="B754" s="224" t="s">
        <v>2736</v>
      </c>
      <c r="C754" s="224">
        <v>486990</v>
      </c>
      <c r="D754" s="224" t="s">
        <v>2736</v>
      </c>
      <c r="E754" s="225"/>
    </row>
    <row r="755" spans="1:6" ht="25" x14ac:dyDescent="0.35">
      <c r="A755" s="224">
        <v>487110</v>
      </c>
      <c r="B755" s="224" t="s">
        <v>2737</v>
      </c>
      <c r="C755" s="224">
        <v>487110</v>
      </c>
      <c r="D755" s="224" t="s">
        <v>2737</v>
      </c>
      <c r="E755" s="225"/>
    </row>
    <row r="756" spans="1:6" ht="25" x14ac:dyDescent="0.35">
      <c r="A756" s="224">
        <v>487210</v>
      </c>
      <c r="B756" s="224" t="s">
        <v>2738</v>
      </c>
      <c r="C756" s="224">
        <v>487210</v>
      </c>
      <c r="D756" s="224" t="s">
        <v>2738</v>
      </c>
      <c r="E756" s="225"/>
    </row>
    <row r="757" spans="1:6" ht="25" x14ac:dyDescent="0.35">
      <c r="A757" s="224">
        <v>487990</v>
      </c>
      <c r="B757" s="224" t="s">
        <v>2739</v>
      </c>
      <c r="C757" s="224">
        <v>487990</v>
      </c>
      <c r="D757" s="224" t="s">
        <v>2739</v>
      </c>
      <c r="E757" s="225"/>
      <c r="F757" s="11" t="s">
        <v>1904</v>
      </c>
    </row>
    <row r="758" spans="1:6" x14ac:dyDescent="0.35">
      <c r="A758" s="224">
        <v>488111</v>
      </c>
      <c r="B758" s="224" t="s">
        <v>2740</v>
      </c>
      <c r="C758" s="224">
        <v>488111</v>
      </c>
      <c r="D758" s="224" t="s">
        <v>2740</v>
      </c>
      <c r="E758" s="225"/>
    </row>
    <row r="759" spans="1:6" x14ac:dyDescent="0.35">
      <c r="A759" s="224">
        <v>488119</v>
      </c>
      <c r="B759" s="224" t="s">
        <v>2741</v>
      </c>
      <c r="C759" s="224">
        <v>488119</v>
      </c>
      <c r="D759" s="224" t="s">
        <v>2741</v>
      </c>
      <c r="E759" s="225"/>
    </row>
    <row r="760" spans="1:6" ht="25" x14ac:dyDescent="0.35">
      <c r="A760" s="224">
        <v>488190</v>
      </c>
      <c r="B760" s="224" t="s">
        <v>2742</v>
      </c>
      <c r="C760" s="224">
        <v>488190</v>
      </c>
      <c r="D760" s="224" t="s">
        <v>2742</v>
      </c>
      <c r="E760" s="225"/>
    </row>
    <row r="761" spans="1:6" x14ac:dyDescent="0.35">
      <c r="A761" s="224">
        <v>488210</v>
      </c>
      <c r="B761" s="224" t="s">
        <v>2743</v>
      </c>
      <c r="C761" s="224">
        <v>488210</v>
      </c>
      <c r="D761" s="224" t="s">
        <v>2743</v>
      </c>
      <c r="E761" s="225"/>
    </row>
    <row r="762" spans="1:6" x14ac:dyDescent="0.35">
      <c r="A762" s="224">
        <v>488310</v>
      </c>
      <c r="B762" s="224" t="s">
        <v>2744</v>
      </c>
      <c r="C762" s="224">
        <v>488310</v>
      </c>
      <c r="D762" s="224" t="s">
        <v>2744</v>
      </c>
      <c r="E762" s="225"/>
    </row>
    <row r="763" spans="1:6" x14ac:dyDescent="0.35">
      <c r="A763" s="224">
        <v>488320</v>
      </c>
      <c r="B763" s="224" t="s">
        <v>2745</v>
      </c>
      <c r="C763" s="224">
        <v>488320</v>
      </c>
      <c r="D763" s="224" t="s">
        <v>2745</v>
      </c>
      <c r="E763" s="225"/>
    </row>
    <row r="764" spans="1:6" x14ac:dyDescent="0.35">
      <c r="A764" s="224">
        <v>488330</v>
      </c>
      <c r="B764" s="224" t="s">
        <v>2746</v>
      </c>
      <c r="C764" s="224">
        <v>488330</v>
      </c>
      <c r="D764" s="224" t="s">
        <v>2746</v>
      </c>
      <c r="E764" s="225"/>
    </row>
    <row r="765" spans="1:6" ht="25" x14ac:dyDescent="0.35">
      <c r="A765" s="224">
        <v>488390</v>
      </c>
      <c r="B765" s="224" t="s">
        <v>2747</v>
      </c>
      <c r="C765" s="224">
        <v>488390</v>
      </c>
      <c r="D765" s="224" t="s">
        <v>2747</v>
      </c>
      <c r="E765" s="225"/>
    </row>
    <row r="766" spans="1:6" x14ac:dyDescent="0.35">
      <c r="A766" s="224">
        <v>488410</v>
      </c>
      <c r="B766" s="224" t="s">
        <v>2748</v>
      </c>
      <c r="C766" s="224">
        <v>488410</v>
      </c>
      <c r="D766" s="224" t="s">
        <v>2748</v>
      </c>
      <c r="E766" s="225"/>
    </row>
    <row r="767" spans="1:6" ht="25" x14ac:dyDescent="0.35">
      <c r="A767" s="224">
        <v>488490</v>
      </c>
      <c r="B767" s="224" t="s">
        <v>2749</v>
      </c>
      <c r="C767" s="224">
        <v>488490</v>
      </c>
      <c r="D767" s="224" t="s">
        <v>2749</v>
      </c>
      <c r="E767" s="225"/>
    </row>
    <row r="768" spans="1:6" x14ac:dyDescent="0.35">
      <c r="A768" s="224">
        <v>488510</v>
      </c>
      <c r="B768" s="224" t="s">
        <v>2750</v>
      </c>
      <c r="C768" s="224">
        <v>488510</v>
      </c>
      <c r="D768" s="224" t="s">
        <v>2750</v>
      </c>
      <c r="E768" s="225"/>
    </row>
    <row r="769" spans="1:4" x14ac:dyDescent="0.35">
      <c r="A769" s="224">
        <v>488991</v>
      </c>
      <c r="B769" s="224" t="s">
        <v>2751</v>
      </c>
      <c r="C769" s="224">
        <v>488991</v>
      </c>
      <c r="D769" s="224" t="s">
        <v>2751</v>
      </c>
    </row>
    <row r="770" spans="1:4" ht="25" x14ac:dyDescent="0.35">
      <c r="A770" s="224">
        <v>488999</v>
      </c>
      <c r="B770" s="224" t="s">
        <v>2752</v>
      </c>
      <c r="C770" s="224">
        <v>488999</v>
      </c>
      <c r="D770" s="224" t="s">
        <v>2752</v>
      </c>
    </row>
    <row r="771" spans="1:4" x14ac:dyDescent="0.35">
      <c r="A771" s="224">
        <v>491110</v>
      </c>
      <c r="B771" s="224" t="s">
        <v>2753</v>
      </c>
      <c r="C771" s="224">
        <v>491110</v>
      </c>
      <c r="D771" s="224" t="s">
        <v>2753</v>
      </c>
    </row>
    <row r="772" spans="1:4" x14ac:dyDescent="0.35">
      <c r="A772" s="224">
        <v>492110</v>
      </c>
      <c r="B772" s="224" t="s">
        <v>2754</v>
      </c>
      <c r="C772" s="224">
        <v>492110</v>
      </c>
      <c r="D772" s="224" t="s">
        <v>2754</v>
      </c>
    </row>
    <row r="773" spans="1:4" x14ac:dyDescent="0.35">
      <c r="A773" s="224">
        <v>492210</v>
      </c>
      <c r="B773" s="224" t="s">
        <v>2755</v>
      </c>
      <c r="C773" s="224">
        <v>492210</v>
      </c>
      <c r="D773" s="224" t="s">
        <v>2755</v>
      </c>
    </row>
    <row r="774" spans="1:4" x14ac:dyDescent="0.35">
      <c r="A774" s="224">
        <v>493110</v>
      </c>
      <c r="B774" s="224" t="s">
        <v>2756</v>
      </c>
      <c r="C774" s="224">
        <v>493110</v>
      </c>
      <c r="D774" s="224" t="s">
        <v>2756</v>
      </c>
    </row>
    <row r="775" spans="1:4" x14ac:dyDescent="0.35">
      <c r="A775" s="224">
        <v>493120</v>
      </c>
      <c r="B775" s="224" t="s">
        <v>2757</v>
      </c>
      <c r="C775" s="224">
        <v>493120</v>
      </c>
      <c r="D775" s="224" t="s">
        <v>2757</v>
      </c>
    </row>
    <row r="776" spans="1:4" x14ac:dyDescent="0.35">
      <c r="A776" s="224">
        <v>493130</v>
      </c>
      <c r="B776" s="224" t="s">
        <v>2758</v>
      </c>
      <c r="C776" s="224">
        <v>493130</v>
      </c>
      <c r="D776" s="224" t="s">
        <v>2758</v>
      </c>
    </row>
    <row r="777" spans="1:4" x14ac:dyDescent="0.35">
      <c r="A777" s="224">
        <v>493190</v>
      </c>
      <c r="B777" s="224" t="s">
        <v>2759</v>
      </c>
      <c r="C777" s="224">
        <v>493190</v>
      </c>
      <c r="D777" s="224" t="s">
        <v>2759</v>
      </c>
    </row>
    <row r="778" spans="1:4" x14ac:dyDescent="0.35">
      <c r="A778" s="224">
        <v>512110</v>
      </c>
      <c r="B778" s="224" t="s">
        <v>2760</v>
      </c>
      <c r="C778" s="224">
        <v>512110</v>
      </c>
      <c r="D778" s="224" t="s">
        <v>2760</v>
      </c>
    </row>
    <row r="779" spans="1:4" x14ac:dyDescent="0.35">
      <c r="A779" s="224">
        <v>512120</v>
      </c>
      <c r="B779" s="224" t="s">
        <v>2761</v>
      </c>
      <c r="C779" s="224">
        <v>512120</v>
      </c>
      <c r="D779" s="224" t="s">
        <v>2761</v>
      </c>
    </row>
    <row r="780" spans="1:4" x14ac:dyDescent="0.35">
      <c r="A780" s="224">
        <v>512131</v>
      </c>
      <c r="B780" s="224" t="s">
        <v>2762</v>
      </c>
      <c r="C780" s="224">
        <v>512131</v>
      </c>
      <c r="D780" s="224" t="s">
        <v>2762</v>
      </c>
    </row>
    <row r="781" spans="1:4" x14ac:dyDescent="0.35">
      <c r="A781" s="224">
        <v>512132</v>
      </c>
      <c r="B781" s="224" t="s">
        <v>2763</v>
      </c>
      <c r="C781" s="224">
        <v>512132</v>
      </c>
      <c r="D781" s="224" t="s">
        <v>2763</v>
      </c>
    </row>
    <row r="782" spans="1:4" ht="25" x14ac:dyDescent="0.35">
      <c r="A782" s="224">
        <v>512191</v>
      </c>
      <c r="B782" s="224" t="s">
        <v>2764</v>
      </c>
      <c r="C782" s="224">
        <v>512191</v>
      </c>
      <c r="D782" s="224" t="s">
        <v>2764</v>
      </c>
    </row>
    <row r="783" spans="1:4" x14ac:dyDescent="0.35">
      <c r="A783" s="224">
        <v>512199</v>
      </c>
      <c r="B783" s="224" t="s">
        <v>2765</v>
      </c>
      <c r="C783" s="224">
        <v>512199</v>
      </c>
      <c r="D783" s="224" t="s">
        <v>2765</v>
      </c>
    </row>
    <row r="784" spans="1:4" x14ac:dyDescent="0.35">
      <c r="A784" s="224">
        <v>512230</v>
      </c>
      <c r="B784" s="224" t="s">
        <v>2766</v>
      </c>
      <c r="C784" s="224">
        <v>512230</v>
      </c>
      <c r="D784" s="224" t="s">
        <v>2766</v>
      </c>
    </row>
    <row r="785" spans="1:9" x14ac:dyDescent="0.35">
      <c r="A785" s="224">
        <v>512240</v>
      </c>
      <c r="B785" s="224" t="s">
        <v>2767</v>
      </c>
      <c r="C785" s="224">
        <v>512240</v>
      </c>
      <c r="D785" s="224" t="s">
        <v>2767</v>
      </c>
      <c r="E785" s="225"/>
      <c r="I785" s="11" t="s">
        <v>1904</v>
      </c>
    </row>
    <row r="786" spans="1:9" x14ac:dyDescent="0.35">
      <c r="A786" s="224">
        <v>512250</v>
      </c>
      <c r="B786" s="224" t="s">
        <v>2768</v>
      </c>
      <c r="C786" s="224">
        <v>512250</v>
      </c>
      <c r="D786" s="224" t="s">
        <v>2768</v>
      </c>
      <c r="E786" s="225"/>
    </row>
    <row r="787" spans="1:9" x14ac:dyDescent="0.35">
      <c r="A787" s="224">
        <v>512290</v>
      </c>
      <c r="B787" s="224" t="s">
        <v>2769</v>
      </c>
      <c r="C787" s="224">
        <v>512290</v>
      </c>
      <c r="D787" s="224" t="s">
        <v>2769</v>
      </c>
      <c r="E787" s="225"/>
    </row>
    <row r="788" spans="1:9" x14ac:dyDescent="0.35">
      <c r="A788" s="224">
        <v>511110</v>
      </c>
      <c r="B788" s="224" t="s">
        <v>2770</v>
      </c>
      <c r="C788" s="227">
        <v>513110</v>
      </c>
      <c r="D788" s="224" t="s">
        <v>2770</v>
      </c>
      <c r="E788" s="228"/>
    </row>
    <row r="789" spans="1:9" ht="38.5" x14ac:dyDescent="0.35">
      <c r="A789" s="229">
        <v>519130</v>
      </c>
      <c r="B789" s="224" t="s">
        <v>2771</v>
      </c>
      <c r="C789" s="227">
        <v>513110</v>
      </c>
      <c r="D789" s="224" t="s">
        <v>2770</v>
      </c>
      <c r="E789" s="228"/>
    </row>
    <row r="790" spans="1:9" x14ac:dyDescent="0.35">
      <c r="A790" s="224">
        <v>511120</v>
      </c>
      <c r="B790" s="224" t="s">
        <v>2772</v>
      </c>
      <c r="C790" s="227">
        <v>513120</v>
      </c>
      <c r="D790" s="224" t="s">
        <v>2772</v>
      </c>
      <c r="E790" s="228"/>
    </row>
    <row r="791" spans="1:9" ht="38.5" x14ac:dyDescent="0.35">
      <c r="A791" s="229">
        <v>519130</v>
      </c>
      <c r="B791" s="224" t="s">
        <v>2773</v>
      </c>
      <c r="C791" s="227">
        <v>513120</v>
      </c>
      <c r="D791" s="224" t="s">
        <v>2772</v>
      </c>
      <c r="E791" s="228"/>
    </row>
    <row r="792" spans="1:9" x14ac:dyDescent="0.35">
      <c r="A792" s="224">
        <v>511130</v>
      </c>
      <c r="B792" s="224" t="s">
        <v>2774</v>
      </c>
      <c r="C792" s="227">
        <v>513130</v>
      </c>
      <c r="D792" s="224" t="s">
        <v>2774</v>
      </c>
      <c r="E792" s="228"/>
    </row>
    <row r="793" spans="1:9" ht="38.5" x14ac:dyDescent="0.35">
      <c r="A793" s="229">
        <v>519130</v>
      </c>
      <c r="B793" s="224" t="s">
        <v>2775</v>
      </c>
      <c r="C793" s="227">
        <v>513130</v>
      </c>
      <c r="D793" s="224" t="s">
        <v>2774</v>
      </c>
      <c r="E793" s="228"/>
    </row>
    <row r="794" spans="1:9" x14ac:dyDescent="0.35">
      <c r="A794" s="224">
        <v>511140</v>
      </c>
      <c r="B794" s="224" t="s">
        <v>2776</v>
      </c>
      <c r="C794" s="227">
        <v>513140</v>
      </c>
      <c r="D794" s="224" t="s">
        <v>2776</v>
      </c>
      <c r="E794" s="228"/>
    </row>
    <row r="795" spans="1:9" ht="38.5" x14ac:dyDescent="0.35">
      <c r="A795" s="229">
        <v>519130</v>
      </c>
      <c r="B795" s="224" t="s">
        <v>2777</v>
      </c>
      <c r="C795" s="227">
        <v>513140</v>
      </c>
      <c r="D795" s="224" t="s">
        <v>2776</v>
      </c>
      <c r="E795" s="228"/>
    </row>
    <row r="796" spans="1:9" x14ac:dyDescent="0.35">
      <c r="A796" s="224">
        <v>511191</v>
      </c>
      <c r="B796" s="224" t="s">
        <v>2778</v>
      </c>
      <c r="C796" s="227">
        <v>513191</v>
      </c>
      <c r="D796" s="224" t="s">
        <v>2778</v>
      </c>
      <c r="E796" s="228"/>
    </row>
    <row r="797" spans="1:9" ht="38.5" x14ac:dyDescent="0.35">
      <c r="A797" s="229">
        <v>519130</v>
      </c>
      <c r="B797" s="224" t="s">
        <v>2779</v>
      </c>
      <c r="C797" s="227">
        <v>513191</v>
      </c>
      <c r="D797" s="224" t="s">
        <v>2778</v>
      </c>
      <c r="E797" s="228"/>
    </row>
    <row r="798" spans="1:9" x14ac:dyDescent="0.35">
      <c r="A798" s="224">
        <v>511199</v>
      </c>
      <c r="B798" s="224" t="s">
        <v>2780</v>
      </c>
      <c r="C798" s="227">
        <v>513199</v>
      </c>
      <c r="D798" s="224" t="s">
        <v>2780</v>
      </c>
      <c r="E798" s="228"/>
    </row>
    <row r="799" spans="1:9" ht="38.5" x14ac:dyDescent="0.35">
      <c r="A799" s="229">
        <v>519130</v>
      </c>
      <c r="B799" s="224" t="s">
        <v>2781</v>
      </c>
      <c r="C799" s="227">
        <v>513199</v>
      </c>
      <c r="D799" s="224" t="s">
        <v>2780</v>
      </c>
      <c r="E799" s="228"/>
    </row>
    <row r="800" spans="1:9" x14ac:dyDescent="0.35">
      <c r="A800" s="224">
        <v>511210</v>
      </c>
      <c r="B800" s="224" t="s">
        <v>2782</v>
      </c>
      <c r="C800" s="224">
        <v>513210</v>
      </c>
      <c r="D800" s="224" t="s">
        <v>2782</v>
      </c>
      <c r="E800" s="225"/>
      <c r="H800" s="11" t="s">
        <v>1904</v>
      </c>
    </row>
    <row r="801" spans="1:7" x14ac:dyDescent="0.35">
      <c r="A801" s="224">
        <v>515112</v>
      </c>
      <c r="B801" s="224" t="s">
        <v>2783</v>
      </c>
      <c r="C801" s="224">
        <v>516110</v>
      </c>
      <c r="D801" s="224" t="s">
        <v>2784</v>
      </c>
      <c r="E801" s="225"/>
    </row>
    <row r="802" spans="1:7" ht="26" x14ac:dyDescent="0.35">
      <c r="A802" s="229">
        <v>515120</v>
      </c>
      <c r="B802" s="224" t="s">
        <v>2785</v>
      </c>
      <c r="C802" s="224">
        <v>516120</v>
      </c>
      <c r="D802" s="224" t="s">
        <v>2786</v>
      </c>
      <c r="E802" s="225"/>
    </row>
    <row r="803" spans="1:7" ht="37.5" x14ac:dyDescent="0.35">
      <c r="A803" s="224">
        <v>515111</v>
      </c>
      <c r="B803" s="224" t="s">
        <v>2787</v>
      </c>
      <c r="C803" s="227">
        <v>516210</v>
      </c>
      <c r="D803" s="224" t="s">
        <v>2788</v>
      </c>
      <c r="E803" s="228"/>
      <c r="G803" s="226" t="s">
        <v>1904</v>
      </c>
    </row>
    <row r="804" spans="1:7" ht="37.5" x14ac:dyDescent="0.35">
      <c r="A804" s="229">
        <v>515120</v>
      </c>
      <c r="B804" s="224" t="s">
        <v>2789</v>
      </c>
      <c r="C804" s="227">
        <v>516210</v>
      </c>
      <c r="D804" s="224" t="s">
        <v>2788</v>
      </c>
      <c r="E804" s="228"/>
    </row>
    <row r="805" spans="1:7" ht="37.5" x14ac:dyDescent="0.35">
      <c r="A805" s="224">
        <v>515210</v>
      </c>
      <c r="B805" s="224" t="s">
        <v>2790</v>
      </c>
      <c r="C805" s="227">
        <v>516210</v>
      </c>
      <c r="D805" s="224" t="s">
        <v>2788</v>
      </c>
      <c r="E805" s="228"/>
    </row>
    <row r="806" spans="1:7" ht="37.5" x14ac:dyDescent="0.35">
      <c r="A806" s="224">
        <v>519110</v>
      </c>
      <c r="B806" s="224" t="s">
        <v>2791</v>
      </c>
      <c r="C806" s="227">
        <v>516210</v>
      </c>
      <c r="D806" s="224" t="s">
        <v>2788</v>
      </c>
      <c r="E806" s="228"/>
    </row>
    <row r="807" spans="1:7" ht="38.5" x14ac:dyDescent="0.35">
      <c r="A807" s="229">
        <v>519130</v>
      </c>
      <c r="B807" s="224" t="s">
        <v>2792</v>
      </c>
      <c r="C807" s="227">
        <v>516210</v>
      </c>
      <c r="D807" s="224" t="s">
        <v>2788</v>
      </c>
      <c r="E807" s="228"/>
    </row>
    <row r="808" spans="1:7" x14ac:dyDescent="0.35">
      <c r="A808" s="224">
        <v>517311</v>
      </c>
      <c r="B808" s="224" t="s">
        <v>2793</v>
      </c>
      <c r="C808" s="224">
        <v>517111</v>
      </c>
      <c r="D808" s="224" t="s">
        <v>2793</v>
      </c>
      <c r="E808" s="225"/>
    </row>
    <row r="809" spans="1:7" ht="38.5" x14ac:dyDescent="0.35">
      <c r="A809" s="229">
        <v>517312</v>
      </c>
      <c r="B809" s="224" t="s">
        <v>2794</v>
      </c>
      <c r="C809" s="224">
        <v>517112</v>
      </c>
      <c r="D809" s="224" t="s">
        <v>2795</v>
      </c>
      <c r="E809" s="225"/>
    </row>
    <row r="810" spans="1:7" ht="39" x14ac:dyDescent="0.35">
      <c r="A810" s="229">
        <v>517911</v>
      </c>
      <c r="B810" s="224" t="s">
        <v>2796</v>
      </c>
      <c r="C810" s="224">
        <v>517121</v>
      </c>
      <c r="D810" s="224" t="s">
        <v>2797</v>
      </c>
      <c r="E810" s="225"/>
    </row>
    <row r="811" spans="1:7" ht="38.5" x14ac:dyDescent="0.35">
      <c r="A811" s="229">
        <v>517312</v>
      </c>
      <c r="B811" s="224" t="s">
        <v>2798</v>
      </c>
      <c r="C811" s="227">
        <v>517122</v>
      </c>
      <c r="D811" s="224" t="s">
        <v>2799</v>
      </c>
      <c r="E811" s="228"/>
    </row>
    <row r="812" spans="1:7" ht="26" x14ac:dyDescent="0.35">
      <c r="A812" s="229">
        <v>517911</v>
      </c>
      <c r="B812" s="224" t="s">
        <v>2800</v>
      </c>
      <c r="C812" s="227">
        <v>517122</v>
      </c>
      <c r="D812" s="224" t="s">
        <v>2799</v>
      </c>
      <c r="E812" s="228"/>
    </row>
    <row r="813" spans="1:7" x14ac:dyDescent="0.35">
      <c r="A813" s="224">
        <v>517410</v>
      </c>
      <c r="B813" s="224" t="s">
        <v>2801</v>
      </c>
      <c r="C813" s="224">
        <v>517410</v>
      </c>
      <c r="D813" s="224" t="s">
        <v>2801</v>
      </c>
      <c r="E813" s="225"/>
    </row>
    <row r="814" spans="1:7" x14ac:dyDescent="0.35">
      <c r="A814" s="224">
        <v>517919</v>
      </c>
      <c r="B814" s="224" t="s">
        <v>2802</v>
      </c>
      <c r="C814" s="224">
        <v>517810</v>
      </c>
      <c r="D814" s="224" t="s">
        <v>2802</v>
      </c>
      <c r="E814" s="225"/>
    </row>
    <row r="815" spans="1:7" ht="37.5" x14ac:dyDescent="0.35">
      <c r="A815" s="224">
        <v>518210</v>
      </c>
      <c r="B815" s="224" t="s">
        <v>2803</v>
      </c>
      <c r="C815" s="224">
        <v>518210</v>
      </c>
      <c r="D815" s="224" t="s">
        <v>2804</v>
      </c>
      <c r="E815" s="225"/>
    </row>
    <row r="816" spans="1:7" x14ac:dyDescent="0.35">
      <c r="A816" s="224">
        <v>519120</v>
      </c>
      <c r="B816" s="224" t="s">
        <v>2805</v>
      </c>
      <c r="C816" s="224">
        <v>519210</v>
      </c>
      <c r="D816" s="224" t="s">
        <v>2805</v>
      </c>
      <c r="E816" s="225"/>
    </row>
    <row r="817" spans="1:9" ht="25.5" x14ac:dyDescent="0.35">
      <c r="A817" s="229">
        <v>519130</v>
      </c>
      <c r="B817" s="224" t="s">
        <v>2806</v>
      </c>
      <c r="C817" s="227">
        <v>519290</v>
      </c>
      <c r="D817" s="224" t="s">
        <v>2807</v>
      </c>
      <c r="E817" s="228"/>
    </row>
    <row r="818" spans="1:9" ht="25" x14ac:dyDescent="0.35">
      <c r="A818" s="224">
        <v>519190</v>
      </c>
      <c r="B818" s="224" t="s">
        <v>2808</v>
      </c>
      <c r="C818" s="227">
        <v>519290</v>
      </c>
      <c r="D818" s="224" t="s">
        <v>2807</v>
      </c>
      <c r="E818" s="228"/>
    </row>
    <row r="819" spans="1:9" x14ac:dyDescent="0.35">
      <c r="A819" s="224">
        <v>521110</v>
      </c>
      <c r="B819" s="224" t="s">
        <v>2809</v>
      </c>
      <c r="C819" s="224">
        <v>521110</v>
      </c>
      <c r="D819" s="224" t="s">
        <v>2809</v>
      </c>
      <c r="E819" s="225"/>
    </row>
    <row r="820" spans="1:9" x14ac:dyDescent="0.35">
      <c r="A820" s="224">
        <v>522110</v>
      </c>
      <c r="B820" s="224" t="s">
        <v>2810</v>
      </c>
      <c r="C820" s="224">
        <v>522110</v>
      </c>
      <c r="D820" s="224" t="s">
        <v>2810</v>
      </c>
      <c r="E820" s="225"/>
    </row>
    <row r="821" spans="1:9" x14ac:dyDescent="0.35">
      <c r="A821" s="224">
        <v>522130</v>
      </c>
      <c r="B821" s="224" t="s">
        <v>2811</v>
      </c>
      <c r="C821" s="224">
        <v>522130</v>
      </c>
      <c r="D821" s="224" t="s">
        <v>2811</v>
      </c>
      <c r="E821" s="225"/>
    </row>
    <row r="822" spans="1:9" ht="25" x14ac:dyDescent="0.35">
      <c r="A822" s="224">
        <v>522120</v>
      </c>
      <c r="B822" s="224" t="s">
        <v>2812</v>
      </c>
      <c r="C822" s="227">
        <v>522180</v>
      </c>
      <c r="D822" s="224" t="s">
        <v>2813</v>
      </c>
      <c r="E822" s="228"/>
    </row>
    <row r="823" spans="1:9" ht="25" x14ac:dyDescent="0.35">
      <c r="A823" s="224">
        <v>522190</v>
      </c>
      <c r="B823" s="224" t="s">
        <v>2814</v>
      </c>
      <c r="C823" s="227">
        <v>522180</v>
      </c>
      <c r="D823" s="224" t="s">
        <v>2813</v>
      </c>
      <c r="E823" s="228"/>
    </row>
    <row r="824" spans="1:9" x14ac:dyDescent="0.35">
      <c r="A824" s="224">
        <v>522210</v>
      </c>
      <c r="B824" s="224" t="s">
        <v>2815</v>
      </c>
      <c r="C824" s="224">
        <v>522210</v>
      </c>
      <c r="D824" s="224" t="s">
        <v>2815</v>
      </c>
      <c r="E824" s="225"/>
    </row>
    <row r="825" spans="1:9" x14ac:dyDescent="0.35">
      <c r="A825" s="224">
        <v>522220</v>
      </c>
      <c r="B825" s="224" t="s">
        <v>2816</v>
      </c>
      <c r="C825" s="224">
        <v>522220</v>
      </c>
      <c r="D825" s="224" t="s">
        <v>2816</v>
      </c>
      <c r="E825" s="225"/>
    </row>
    <row r="826" spans="1:9" x14ac:dyDescent="0.35">
      <c r="A826" s="224">
        <v>522291</v>
      </c>
      <c r="B826" s="224" t="s">
        <v>2817</v>
      </c>
      <c r="C826" s="224">
        <v>522291</v>
      </c>
      <c r="D826" s="224" t="s">
        <v>2817</v>
      </c>
      <c r="E826" s="225"/>
    </row>
    <row r="827" spans="1:9" x14ac:dyDescent="0.35">
      <c r="A827" s="224">
        <v>522292</v>
      </c>
      <c r="B827" s="224" t="s">
        <v>2818</v>
      </c>
      <c r="C827" s="224">
        <v>522292</v>
      </c>
      <c r="D827" s="224" t="s">
        <v>2818</v>
      </c>
      <c r="E827" s="225"/>
    </row>
    <row r="828" spans="1:9" ht="25" x14ac:dyDescent="0.35">
      <c r="A828" s="224">
        <v>522293</v>
      </c>
      <c r="B828" s="224" t="s">
        <v>2819</v>
      </c>
      <c r="C828" s="227">
        <v>522299</v>
      </c>
      <c r="D828" s="224" t="s">
        <v>2820</v>
      </c>
      <c r="E828" s="228"/>
    </row>
    <row r="829" spans="1:9" ht="25" x14ac:dyDescent="0.35">
      <c r="A829" s="224">
        <v>522294</v>
      </c>
      <c r="B829" s="224" t="s">
        <v>2821</v>
      </c>
      <c r="C829" s="227">
        <v>522299</v>
      </c>
      <c r="D829" s="224" t="s">
        <v>2820</v>
      </c>
      <c r="E829" s="228"/>
    </row>
    <row r="830" spans="1:9" ht="25" x14ac:dyDescent="0.35">
      <c r="A830" s="224">
        <v>522298</v>
      </c>
      <c r="B830" s="224" t="s">
        <v>2822</v>
      </c>
      <c r="C830" s="227">
        <v>522299</v>
      </c>
      <c r="D830" s="224" t="s">
        <v>2820</v>
      </c>
      <c r="E830" s="228"/>
    </row>
    <row r="831" spans="1:9" x14ac:dyDescent="0.35">
      <c r="A831" s="224">
        <v>522310</v>
      </c>
      <c r="B831" s="224" t="s">
        <v>2823</v>
      </c>
      <c r="C831" s="224">
        <v>522310</v>
      </c>
      <c r="D831" s="224" t="s">
        <v>2823</v>
      </c>
      <c r="E831" s="225"/>
      <c r="I831" s="11" t="s">
        <v>1904</v>
      </c>
    </row>
    <row r="832" spans="1:9" ht="25" x14ac:dyDescent="0.35">
      <c r="A832" s="224">
        <v>522320</v>
      </c>
      <c r="B832" s="224" t="s">
        <v>2824</v>
      </c>
      <c r="C832" s="224">
        <v>522320</v>
      </c>
      <c r="D832" s="224" t="s">
        <v>2824</v>
      </c>
      <c r="E832" s="225"/>
    </row>
    <row r="833" spans="1:4" ht="25" x14ac:dyDescent="0.35">
      <c r="A833" s="317">
        <v>522390</v>
      </c>
      <c r="B833" s="224" t="s">
        <v>2825</v>
      </c>
      <c r="C833" s="317">
        <v>522390</v>
      </c>
      <c r="D833" s="224" t="s">
        <v>2825</v>
      </c>
    </row>
    <row r="834" spans="1:4" ht="25" x14ac:dyDescent="0.35">
      <c r="A834" s="224">
        <v>523110</v>
      </c>
      <c r="B834" s="224" t="s">
        <v>2826</v>
      </c>
      <c r="C834" s="227">
        <v>523150</v>
      </c>
      <c r="D834" s="224" t="s">
        <v>2827</v>
      </c>
    </row>
    <row r="835" spans="1:4" ht="25" x14ac:dyDescent="0.35">
      <c r="A835" s="224">
        <v>523120</v>
      </c>
      <c r="B835" s="224" t="s">
        <v>2828</v>
      </c>
      <c r="C835" s="227">
        <v>523150</v>
      </c>
      <c r="D835" s="224" t="s">
        <v>2827</v>
      </c>
    </row>
    <row r="836" spans="1:4" x14ac:dyDescent="0.35">
      <c r="A836" s="224">
        <v>523130</v>
      </c>
      <c r="B836" s="224" t="s">
        <v>2829</v>
      </c>
      <c r="C836" s="227">
        <v>523160</v>
      </c>
      <c r="D836" s="224" t="s">
        <v>2830</v>
      </c>
    </row>
    <row r="837" spans="1:4" x14ac:dyDescent="0.35">
      <c r="A837" s="224">
        <v>523140</v>
      </c>
      <c r="B837" s="224" t="s">
        <v>2831</v>
      </c>
      <c r="C837" s="227">
        <v>523160</v>
      </c>
      <c r="D837" s="224" t="s">
        <v>2830</v>
      </c>
    </row>
    <row r="838" spans="1:4" x14ac:dyDescent="0.35">
      <c r="A838" s="224">
        <v>523210</v>
      </c>
      <c r="B838" s="224" t="s">
        <v>2832</v>
      </c>
      <c r="C838" s="224">
        <v>523210</v>
      </c>
      <c r="D838" s="224" t="s">
        <v>2832</v>
      </c>
    </row>
    <row r="839" spans="1:4" x14ac:dyDescent="0.35">
      <c r="A839" s="224">
        <v>523910</v>
      </c>
      <c r="B839" s="224" t="s">
        <v>2833</v>
      </c>
      <c r="C839" s="224">
        <v>523910</v>
      </c>
      <c r="D839" s="224" t="s">
        <v>2833</v>
      </c>
    </row>
    <row r="840" spans="1:4" ht="25" x14ac:dyDescent="0.35">
      <c r="A840" s="224">
        <v>523920</v>
      </c>
      <c r="B840" s="224" t="s">
        <v>2834</v>
      </c>
      <c r="C840" s="227">
        <v>523940</v>
      </c>
      <c r="D840" s="224" t="s">
        <v>2835</v>
      </c>
    </row>
    <row r="841" spans="1:4" ht="25" x14ac:dyDescent="0.35">
      <c r="A841" s="224">
        <v>523930</v>
      </c>
      <c r="B841" s="224" t="s">
        <v>2836</v>
      </c>
      <c r="C841" s="227">
        <v>523940</v>
      </c>
      <c r="D841" s="224" t="s">
        <v>2835</v>
      </c>
    </row>
    <row r="842" spans="1:4" x14ac:dyDescent="0.35">
      <c r="A842" s="224">
        <v>523991</v>
      </c>
      <c r="B842" s="224" t="s">
        <v>2837</v>
      </c>
      <c r="C842" s="224">
        <v>523991</v>
      </c>
      <c r="D842" s="224" t="s">
        <v>2837</v>
      </c>
    </row>
    <row r="843" spans="1:4" ht="25" x14ac:dyDescent="0.35">
      <c r="A843" s="224">
        <v>523999</v>
      </c>
      <c r="B843" s="224" t="s">
        <v>2838</v>
      </c>
      <c r="C843" s="224">
        <v>523999</v>
      </c>
      <c r="D843" s="224" t="s">
        <v>2838</v>
      </c>
    </row>
    <row r="844" spans="1:4" x14ac:dyDescent="0.35">
      <c r="A844" s="224">
        <v>524113</v>
      </c>
      <c r="B844" s="224" t="s">
        <v>2839</v>
      </c>
      <c r="C844" s="224">
        <v>524113</v>
      </c>
      <c r="D844" s="224" t="s">
        <v>2839</v>
      </c>
    </row>
    <row r="845" spans="1:4" ht="25" x14ac:dyDescent="0.35">
      <c r="A845" s="224">
        <v>524114</v>
      </c>
      <c r="B845" s="224" t="s">
        <v>2840</v>
      </c>
      <c r="C845" s="224">
        <v>524114</v>
      </c>
      <c r="D845" s="224" t="s">
        <v>2840</v>
      </c>
    </row>
    <row r="846" spans="1:4" ht="25" x14ac:dyDescent="0.35">
      <c r="A846" s="224">
        <v>524126</v>
      </c>
      <c r="B846" s="224" t="s">
        <v>2841</v>
      </c>
      <c r="C846" s="224">
        <v>524126</v>
      </c>
      <c r="D846" s="224" t="s">
        <v>2841</v>
      </c>
    </row>
    <row r="847" spans="1:4" x14ac:dyDescent="0.35">
      <c r="A847" s="224">
        <v>524127</v>
      </c>
      <c r="B847" s="224" t="s">
        <v>2842</v>
      </c>
      <c r="C847" s="224">
        <v>524127</v>
      </c>
      <c r="D847" s="224" t="s">
        <v>2842</v>
      </c>
    </row>
    <row r="848" spans="1:4" ht="25" x14ac:dyDescent="0.35">
      <c r="A848" s="224">
        <v>524128</v>
      </c>
      <c r="B848" s="224" t="s">
        <v>2843</v>
      </c>
      <c r="C848" s="224">
        <v>524128</v>
      </c>
      <c r="D848" s="224" t="s">
        <v>2843</v>
      </c>
    </row>
    <row r="849" spans="1:8" x14ac:dyDescent="0.35">
      <c r="A849" s="224">
        <v>524130</v>
      </c>
      <c r="B849" s="224" t="s">
        <v>2844</v>
      </c>
      <c r="C849" s="224">
        <v>524130</v>
      </c>
      <c r="D849" s="224" t="s">
        <v>2844</v>
      </c>
      <c r="E849" s="225"/>
    </row>
    <row r="850" spans="1:8" x14ac:dyDescent="0.35">
      <c r="A850" s="224">
        <v>524210</v>
      </c>
      <c r="B850" s="224" t="s">
        <v>2845</v>
      </c>
      <c r="C850" s="224">
        <v>524210</v>
      </c>
      <c r="D850" s="224" t="s">
        <v>2845</v>
      </c>
      <c r="E850" s="225"/>
    </row>
    <row r="851" spans="1:8" x14ac:dyDescent="0.35">
      <c r="A851" s="224">
        <v>524291</v>
      </c>
      <c r="B851" s="224" t="s">
        <v>2846</v>
      </c>
      <c r="C851" s="224">
        <v>524291</v>
      </c>
      <c r="D851" s="224" t="s">
        <v>2846</v>
      </c>
      <c r="E851" s="225"/>
    </row>
    <row r="852" spans="1:8" ht="37.5" x14ac:dyDescent="0.35">
      <c r="A852" s="224">
        <v>524292</v>
      </c>
      <c r="B852" s="224" t="s">
        <v>2847</v>
      </c>
      <c r="C852" s="224">
        <v>524292</v>
      </c>
      <c r="D852" s="224" t="s">
        <v>2848</v>
      </c>
      <c r="E852" s="225"/>
      <c r="H852" s="11" t="s">
        <v>1904</v>
      </c>
    </row>
    <row r="853" spans="1:8" x14ac:dyDescent="0.35">
      <c r="A853" s="224">
        <v>524298</v>
      </c>
      <c r="B853" s="224" t="s">
        <v>2849</v>
      </c>
      <c r="C853" s="224">
        <v>524298</v>
      </c>
      <c r="D853" s="224" t="s">
        <v>2849</v>
      </c>
      <c r="E853" s="225"/>
    </row>
    <row r="854" spans="1:8" x14ac:dyDescent="0.35">
      <c r="A854" s="224">
        <v>525110</v>
      </c>
      <c r="B854" s="224" t="s">
        <v>2850</v>
      </c>
      <c r="C854" s="224">
        <v>525110</v>
      </c>
      <c r="D854" s="224" t="s">
        <v>2850</v>
      </c>
      <c r="E854" s="225"/>
    </row>
    <row r="855" spans="1:8" x14ac:dyDescent="0.35">
      <c r="A855" s="224">
        <v>525120</v>
      </c>
      <c r="B855" s="224" t="s">
        <v>2851</v>
      </c>
      <c r="C855" s="224">
        <v>525120</v>
      </c>
      <c r="D855" s="224" t="s">
        <v>2851</v>
      </c>
      <c r="E855" s="225"/>
    </row>
    <row r="856" spans="1:8" x14ac:dyDescent="0.35">
      <c r="A856" s="224">
        <v>525190</v>
      </c>
      <c r="B856" s="224" t="s">
        <v>2852</v>
      </c>
      <c r="C856" s="224">
        <v>525190</v>
      </c>
      <c r="D856" s="224" t="s">
        <v>2852</v>
      </c>
      <c r="E856" s="225"/>
    </row>
    <row r="857" spans="1:8" x14ac:dyDescent="0.35">
      <c r="A857" s="224">
        <v>525910</v>
      </c>
      <c r="B857" s="224" t="s">
        <v>2853</v>
      </c>
      <c r="C857" s="224">
        <v>525910</v>
      </c>
      <c r="D857" s="224" t="s">
        <v>2853</v>
      </c>
      <c r="E857" s="225"/>
    </row>
    <row r="858" spans="1:8" x14ac:dyDescent="0.35">
      <c r="A858" s="224">
        <v>525920</v>
      </c>
      <c r="B858" s="224" t="s">
        <v>2854</v>
      </c>
      <c r="C858" s="224">
        <v>525920</v>
      </c>
      <c r="D858" s="224" t="s">
        <v>2854</v>
      </c>
      <c r="E858" s="225"/>
    </row>
    <row r="859" spans="1:8" x14ac:dyDescent="0.35">
      <c r="A859" s="224">
        <v>525990</v>
      </c>
      <c r="B859" s="224" t="s">
        <v>2855</v>
      </c>
      <c r="C859" s="224">
        <v>525990</v>
      </c>
      <c r="D859" s="224" t="s">
        <v>2855</v>
      </c>
      <c r="E859" s="225"/>
    </row>
    <row r="860" spans="1:8" ht="25" x14ac:dyDescent="0.35">
      <c r="A860" s="224">
        <v>531110</v>
      </c>
      <c r="B860" s="224" t="s">
        <v>2856</v>
      </c>
      <c r="C860" s="224">
        <v>531110</v>
      </c>
      <c r="D860" s="224" t="s">
        <v>2856</v>
      </c>
      <c r="E860" s="225"/>
    </row>
    <row r="861" spans="1:8" ht="25" x14ac:dyDescent="0.35">
      <c r="A861" s="224">
        <v>531120</v>
      </c>
      <c r="B861" s="224" t="s">
        <v>2857</v>
      </c>
      <c r="C861" s="224">
        <v>531120</v>
      </c>
      <c r="D861" s="224" t="s">
        <v>2857</v>
      </c>
      <c r="E861" s="225"/>
    </row>
    <row r="862" spans="1:8" ht="25" x14ac:dyDescent="0.35">
      <c r="A862" s="224">
        <v>531130</v>
      </c>
      <c r="B862" s="224" t="s">
        <v>2858</v>
      </c>
      <c r="C862" s="224">
        <v>531130</v>
      </c>
      <c r="D862" s="224" t="s">
        <v>2858</v>
      </c>
      <c r="E862" s="225"/>
    </row>
    <row r="863" spans="1:8" x14ac:dyDescent="0.35">
      <c r="A863" s="224">
        <v>531190</v>
      </c>
      <c r="B863" s="224" t="s">
        <v>2859</v>
      </c>
      <c r="C863" s="224">
        <v>531190</v>
      </c>
      <c r="D863" s="224" t="s">
        <v>2859</v>
      </c>
      <c r="E863" s="225"/>
    </row>
    <row r="864" spans="1:8" x14ac:dyDescent="0.35">
      <c r="A864" s="224">
        <v>531210</v>
      </c>
      <c r="B864" s="224" t="s">
        <v>2860</v>
      </c>
      <c r="C864" s="224">
        <v>531210</v>
      </c>
      <c r="D864" s="224" t="s">
        <v>2860</v>
      </c>
      <c r="E864" s="225"/>
    </row>
    <row r="865" spans="1:8" x14ac:dyDescent="0.35">
      <c r="A865" s="224">
        <v>531311</v>
      </c>
      <c r="B865" s="224" t="s">
        <v>2861</v>
      </c>
      <c r="C865" s="224">
        <v>531311</v>
      </c>
      <c r="D865" s="224" t="s">
        <v>2861</v>
      </c>
      <c r="E865" s="225"/>
    </row>
    <row r="866" spans="1:8" x14ac:dyDescent="0.35">
      <c r="A866" s="224">
        <v>531312</v>
      </c>
      <c r="B866" s="224" t="s">
        <v>2862</v>
      </c>
      <c r="C866" s="224">
        <v>531312</v>
      </c>
      <c r="D866" s="224" t="s">
        <v>2862</v>
      </c>
      <c r="E866" s="225"/>
    </row>
    <row r="867" spans="1:8" x14ac:dyDescent="0.35">
      <c r="A867" s="224">
        <v>531320</v>
      </c>
      <c r="B867" s="224" t="s">
        <v>2863</v>
      </c>
      <c r="C867" s="224">
        <v>531320</v>
      </c>
      <c r="D867" s="224" t="s">
        <v>2863</v>
      </c>
      <c r="E867" s="225"/>
    </row>
    <row r="868" spans="1:8" x14ac:dyDescent="0.35">
      <c r="A868" s="224">
        <v>531390</v>
      </c>
      <c r="B868" s="224" t="s">
        <v>2864</v>
      </c>
      <c r="C868" s="224">
        <v>531390</v>
      </c>
      <c r="D868" s="224" t="s">
        <v>2864</v>
      </c>
      <c r="E868" s="225"/>
    </row>
    <row r="869" spans="1:8" x14ac:dyDescent="0.35">
      <c r="A869" s="224">
        <v>532111</v>
      </c>
      <c r="B869" s="224" t="s">
        <v>2865</v>
      </c>
      <c r="C869" s="224">
        <v>532111</v>
      </c>
      <c r="D869" s="224" t="s">
        <v>2865</v>
      </c>
      <c r="E869" s="225"/>
    </row>
    <row r="870" spans="1:8" x14ac:dyDescent="0.35">
      <c r="A870" s="224">
        <v>532112</v>
      </c>
      <c r="B870" s="224" t="s">
        <v>2866</v>
      </c>
      <c r="C870" s="224">
        <v>532112</v>
      </c>
      <c r="D870" s="224" t="s">
        <v>2866</v>
      </c>
      <c r="E870" s="225"/>
    </row>
    <row r="871" spans="1:8" ht="25" x14ac:dyDescent="0.35">
      <c r="A871" s="224">
        <v>532120</v>
      </c>
      <c r="B871" s="224" t="s">
        <v>2867</v>
      </c>
      <c r="C871" s="224">
        <v>532120</v>
      </c>
      <c r="D871" s="224" t="s">
        <v>2867</v>
      </c>
      <c r="E871" s="225"/>
    </row>
    <row r="872" spans="1:8" ht="25" x14ac:dyDescent="0.35">
      <c r="A872" s="224">
        <v>532210</v>
      </c>
      <c r="B872" s="224" t="s">
        <v>2868</v>
      </c>
      <c r="C872" s="224">
        <v>532210</v>
      </c>
      <c r="D872" s="224" t="s">
        <v>2868</v>
      </c>
      <c r="E872" s="225"/>
    </row>
    <row r="873" spans="1:8" x14ac:dyDescent="0.35">
      <c r="A873" s="224">
        <v>532281</v>
      </c>
      <c r="B873" s="224" t="s">
        <v>2869</v>
      </c>
      <c r="C873" s="224">
        <v>532281</v>
      </c>
      <c r="D873" s="224" t="s">
        <v>2869</v>
      </c>
      <c r="E873" s="225"/>
    </row>
    <row r="874" spans="1:8" x14ac:dyDescent="0.35">
      <c r="A874" s="224">
        <v>532282</v>
      </c>
      <c r="B874" s="224" t="s">
        <v>2870</v>
      </c>
      <c r="C874" s="224">
        <v>532282</v>
      </c>
      <c r="D874" s="224" t="s">
        <v>2870</v>
      </c>
      <c r="E874" s="225"/>
    </row>
    <row r="875" spans="1:8" x14ac:dyDescent="0.35">
      <c r="A875" s="224">
        <v>532283</v>
      </c>
      <c r="B875" s="224" t="s">
        <v>2871</v>
      </c>
      <c r="C875" s="224">
        <v>532283</v>
      </c>
      <c r="D875" s="224" t="s">
        <v>2871</v>
      </c>
      <c r="E875" s="225"/>
    </row>
    <row r="876" spans="1:8" x14ac:dyDescent="0.35">
      <c r="A876" s="224">
        <v>532284</v>
      </c>
      <c r="B876" s="224" t="s">
        <v>2872</v>
      </c>
      <c r="C876" s="224">
        <v>532284</v>
      </c>
      <c r="D876" s="224" t="s">
        <v>2872</v>
      </c>
      <c r="E876" s="225"/>
    </row>
    <row r="877" spans="1:8" x14ac:dyDescent="0.35">
      <c r="A877" s="224">
        <v>532289</v>
      </c>
      <c r="B877" s="224" t="s">
        <v>2873</v>
      </c>
      <c r="C877" s="224">
        <v>532289</v>
      </c>
      <c r="D877" s="224" t="s">
        <v>2873</v>
      </c>
      <c r="E877" s="225"/>
    </row>
    <row r="878" spans="1:8" x14ac:dyDescent="0.35">
      <c r="A878" s="224">
        <v>532310</v>
      </c>
      <c r="B878" s="224" t="s">
        <v>2874</v>
      </c>
      <c r="C878" s="224">
        <v>532310</v>
      </c>
      <c r="D878" s="224" t="s">
        <v>2874</v>
      </c>
      <c r="E878" s="225"/>
      <c r="H878" s="11" t="s">
        <v>1904</v>
      </c>
    </row>
    <row r="879" spans="1:8" ht="37.5" x14ac:dyDescent="0.35">
      <c r="A879" s="224">
        <v>532411</v>
      </c>
      <c r="B879" s="224" t="s">
        <v>2875</v>
      </c>
      <c r="C879" s="224">
        <v>532411</v>
      </c>
      <c r="D879" s="224" t="s">
        <v>2875</v>
      </c>
      <c r="E879" s="225"/>
      <c r="G879" s="11" t="s">
        <v>1904</v>
      </c>
    </row>
    <row r="880" spans="1:8" ht="37.5" x14ac:dyDescent="0.35">
      <c r="A880" s="224">
        <v>532412</v>
      </c>
      <c r="B880" s="224" t="s">
        <v>2876</v>
      </c>
      <c r="C880" s="224">
        <v>532412</v>
      </c>
      <c r="D880" s="224" t="s">
        <v>2876</v>
      </c>
      <c r="E880" s="225"/>
    </row>
    <row r="881" spans="1:4" ht="25" x14ac:dyDescent="0.35">
      <c r="A881" s="224">
        <v>532420</v>
      </c>
      <c r="B881" s="224" t="s">
        <v>2877</v>
      </c>
      <c r="C881" s="224">
        <v>532420</v>
      </c>
      <c r="D881" s="224" t="s">
        <v>2877</v>
      </c>
    </row>
    <row r="882" spans="1:4" ht="37.5" x14ac:dyDescent="0.35">
      <c r="A882" s="224">
        <v>532490</v>
      </c>
      <c r="B882" s="224" t="s">
        <v>2878</v>
      </c>
      <c r="C882" s="224">
        <v>532490</v>
      </c>
      <c r="D882" s="224" t="s">
        <v>2878</v>
      </c>
    </row>
    <row r="883" spans="1:4" ht="25" x14ac:dyDescent="0.35">
      <c r="A883" s="224">
        <v>533110</v>
      </c>
      <c r="B883" s="224" t="s">
        <v>2879</v>
      </c>
      <c r="C883" s="224">
        <v>533110</v>
      </c>
      <c r="D883" s="224" t="s">
        <v>2879</v>
      </c>
    </row>
    <row r="884" spans="1:4" x14ac:dyDescent="0.35">
      <c r="A884" s="224">
        <v>541110</v>
      </c>
      <c r="B884" s="224" t="s">
        <v>2880</v>
      </c>
      <c r="C884" s="224">
        <v>541110</v>
      </c>
      <c r="D884" s="224" t="s">
        <v>2880</v>
      </c>
    </row>
    <row r="885" spans="1:4" x14ac:dyDescent="0.35">
      <c r="A885" s="224">
        <v>541120</v>
      </c>
      <c r="B885" s="224" t="s">
        <v>2881</v>
      </c>
      <c r="C885" s="224">
        <v>541120</v>
      </c>
      <c r="D885" s="224" t="s">
        <v>2881</v>
      </c>
    </row>
    <row r="886" spans="1:4" x14ac:dyDescent="0.35">
      <c r="A886" s="224">
        <v>541191</v>
      </c>
      <c r="B886" s="224" t="s">
        <v>2882</v>
      </c>
      <c r="C886" s="224">
        <v>541191</v>
      </c>
      <c r="D886" s="224" t="s">
        <v>2882</v>
      </c>
    </row>
    <row r="887" spans="1:4" x14ac:dyDescent="0.35">
      <c r="A887" s="224">
        <v>541199</v>
      </c>
      <c r="B887" s="224" t="s">
        <v>2883</v>
      </c>
      <c r="C887" s="224">
        <v>541199</v>
      </c>
      <c r="D887" s="224" t="s">
        <v>2883</v>
      </c>
    </row>
    <row r="888" spans="1:4" x14ac:dyDescent="0.35">
      <c r="A888" s="224">
        <v>541211</v>
      </c>
      <c r="B888" s="224" t="s">
        <v>2884</v>
      </c>
      <c r="C888" s="224">
        <v>541211</v>
      </c>
      <c r="D888" s="224" t="s">
        <v>2884</v>
      </c>
    </row>
    <row r="889" spans="1:4" x14ac:dyDescent="0.35">
      <c r="A889" s="224">
        <v>541213</v>
      </c>
      <c r="B889" s="224" t="s">
        <v>2885</v>
      </c>
      <c r="C889" s="224">
        <v>541213</v>
      </c>
      <c r="D889" s="224" t="s">
        <v>2885</v>
      </c>
    </row>
    <row r="890" spans="1:4" x14ac:dyDescent="0.35">
      <c r="A890" s="224">
        <v>541214</v>
      </c>
      <c r="B890" s="224" t="s">
        <v>2886</v>
      </c>
      <c r="C890" s="224">
        <v>541214</v>
      </c>
      <c r="D890" s="224" t="s">
        <v>2886</v>
      </c>
    </row>
    <row r="891" spans="1:4" x14ac:dyDescent="0.35">
      <c r="A891" s="224">
        <v>541219</v>
      </c>
      <c r="B891" s="224" t="s">
        <v>2887</v>
      </c>
      <c r="C891" s="224">
        <v>541219</v>
      </c>
      <c r="D891" s="224" t="s">
        <v>2887</v>
      </c>
    </row>
    <row r="892" spans="1:4" x14ac:dyDescent="0.35">
      <c r="A892" s="224">
        <v>541310</v>
      </c>
      <c r="B892" s="224" t="s">
        <v>2888</v>
      </c>
      <c r="C892" s="224">
        <v>541310</v>
      </c>
      <c r="D892" s="224" t="s">
        <v>2888</v>
      </c>
    </row>
    <row r="893" spans="1:4" x14ac:dyDescent="0.35">
      <c r="A893" s="224">
        <v>541320</v>
      </c>
      <c r="B893" s="224" t="s">
        <v>2889</v>
      </c>
      <c r="C893" s="224">
        <v>541320</v>
      </c>
      <c r="D893" s="224" t="s">
        <v>2889</v>
      </c>
    </row>
    <row r="894" spans="1:4" x14ac:dyDescent="0.35">
      <c r="A894" s="224">
        <v>541330</v>
      </c>
      <c r="B894" s="224" t="s">
        <v>2890</v>
      </c>
      <c r="C894" s="224">
        <v>541330</v>
      </c>
      <c r="D894" s="224" t="s">
        <v>2890</v>
      </c>
    </row>
    <row r="895" spans="1:4" x14ac:dyDescent="0.35">
      <c r="A895" s="224">
        <v>541340</v>
      </c>
      <c r="B895" s="224" t="s">
        <v>2891</v>
      </c>
      <c r="C895" s="224">
        <v>541340</v>
      </c>
      <c r="D895" s="224" t="s">
        <v>2891</v>
      </c>
    </row>
    <row r="896" spans="1:4" x14ac:dyDescent="0.35">
      <c r="A896" s="224">
        <v>541350</v>
      </c>
      <c r="B896" s="224" t="s">
        <v>2892</v>
      </c>
      <c r="C896" s="224">
        <v>541350</v>
      </c>
      <c r="D896" s="224" t="s">
        <v>2892</v>
      </c>
    </row>
    <row r="897" spans="1:11" ht="25" x14ac:dyDescent="0.35">
      <c r="A897" s="224">
        <v>541360</v>
      </c>
      <c r="B897" s="224" t="s">
        <v>2893</v>
      </c>
      <c r="C897" s="224">
        <v>541360</v>
      </c>
      <c r="D897" s="224" t="s">
        <v>2893</v>
      </c>
      <c r="E897" s="225"/>
    </row>
    <row r="898" spans="1:11" ht="25" x14ac:dyDescent="0.35">
      <c r="A898" s="224">
        <v>541370</v>
      </c>
      <c r="B898" s="224" t="s">
        <v>2894</v>
      </c>
      <c r="C898" s="224">
        <v>541370</v>
      </c>
      <c r="D898" s="224" t="s">
        <v>2894</v>
      </c>
      <c r="E898" s="225"/>
      <c r="K898" s="11" t="s">
        <v>1904</v>
      </c>
    </row>
    <row r="899" spans="1:11" x14ac:dyDescent="0.35">
      <c r="A899" s="224">
        <v>541380</v>
      </c>
      <c r="B899" s="224" t="s">
        <v>2895</v>
      </c>
      <c r="C899" s="224">
        <v>541380</v>
      </c>
      <c r="D899" s="224" t="s">
        <v>2896</v>
      </c>
      <c r="E899" s="225"/>
    </row>
    <row r="900" spans="1:11" x14ac:dyDescent="0.35">
      <c r="A900" s="224">
        <v>541410</v>
      </c>
      <c r="B900" s="224" t="s">
        <v>2897</v>
      </c>
      <c r="C900" s="224">
        <v>541410</v>
      </c>
      <c r="D900" s="224" t="s">
        <v>2897</v>
      </c>
      <c r="E900" s="225"/>
    </row>
    <row r="901" spans="1:11" x14ac:dyDescent="0.35">
      <c r="A901" s="224">
        <v>541420</v>
      </c>
      <c r="B901" s="224" t="s">
        <v>2898</v>
      </c>
      <c r="C901" s="224">
        <v>541420</v>
      </c>
      <c r="D901" s="224" t="s">
        <v>2898</v>
      </c>
      <c r="E901" s="225"/>
    </row>
    <row r="902" spans="1:11" x14ac:dyDescent="0.35">
      <c r="A902" s="224">
        <v>541430</v>
      </c>
      <c r="B902" s="224" t="s">
        <v>2899</v>
      </c>
      <c r="C902" s="224">
        <v>541430</v>
      </c>
      <c r="D902" s="224" t="s">
        <v>2899</v>
      </c>
      <c r="E902" s="225"/>
    </row>
    <row r="903" spans="1:11" x14ac:dyDescent="0.35">
      <c r="A903" s="224">
        <v>541490</v>
      </c>
      <c r="B903" s="224" t="s">
        <v>2900</v>
      </c>
      <c r="C903" s="224">
        <v>541490</v>
      </c>
      <c r="D903" s="224" t="s">
        <v>2900</v>
      </c>
      <c r="E903" s="225"/>
    </row>
    <row r="904" spans="1:11" x14ac:dyDescent="0.35">
      <c r="A904" s="224">
        <v>541511</v>
      </c>
      <c r="B904" s="224" t="s">
        <v>2901</v>
      </c>
      <c r="C904" s="224">
        <v>541511</v>
      </c>
      <c r="D904" s="224" t="s">
        <v>2901</v>
      </c>
      <c r="E904" s="225"/>
    </row>
    <row r="905" spans="1:11" x14ac:dyDescent="0.35">
      <c r="A905" s="224">
        <v>541512</v>
      </c>
      <c r="B905" s="224" t="s">
        <v>2902</v>
      </c>
      <c r="C905" s="224">
        <v>541512</v>
      </c>
      <c r="D905" s="224" t="s">
        <v>2902</v>
      </c>
      <c r="E905" s="225"/>
    </row>
    <row r="906" spans="1:11" x14ac:dyDescent="0.35">
      <c r="A906" s="224">
        <v>541513</v>
      </c>
      <c r="B906" s="224" t="s">
        <v>2903</v>
      </c>
      <c r="C906" s="224">
        <v>541513</v>
      </c>
      <c r="D906" s="224" t="s">
        <v>2903</v>
      </c>
      <c r="E906" s="225"/>
    </row>
    <row r="907" spans="1:11" x14ac:dyDescent="0.35">
      <c r="A907" s="224">
        <v>541519</v>
      </c>
      <c r="B907" s="224" t="s">
        <v>2904</v>
      </c>
      <c r="C907" s="224">
        <v>541519</v>
      </c>
      <c r="D907" s="224" t="s">
        <v>2904</v>
      </c>
      <c r="E907" s="225"/>
    </row>
    <row r="908" spans="1:11" ht="25" x14ac:dyDescent="0.35">
      <c r="A908" s="224">
        <v>541611</v>
      </c>
      <c r="B908" s="224" t="s">
        <v>2905</v>
      </c>
      <c r="C908" s="224">
        <v>541611</v>
      </c>
      <c r="D908" s="224" t="s">
        <v>2905</v>
      </c>
      <c r="E908" s="225"/>
    </row>
    <row r="909" spans="1:11" x14ac:dyDescent="0.35">
      <c r="A909" s="224">
        <v>541612</v>
      </c>
      <c r="B909" s="224" t="s">
        <v>2906</v>
      </c>
      <c r="C909" s="224">
        <v>541612</v>
      </c>
      <c r="D909" s="224" t="s">
        <v>2906</v>
      </c>
      <c r="E909" s="225"/>
    </row>
    <row r="910" spans="1:11" x14ac:dyDescent="0.35">
      <c r="A910" s="224">
        <v>541613</v>
      </c>
      <c r="B910" s="224" t="s">
        <v>2907</v>
      </c>
      <c r="C910" s="224">
        <v>541613</v>
      </c>
      <c r="D910" s="224" t="s">
        <v>2907</v>
      </c>
      <c r="E910" s="225"/>
    </row>
    <row r="911" spans="1:11" ht="25" x14ac:dyDescent="0.35">
      <c r="A911" s="224">
        <v>541614</v>
      </c>
      <c r="B911" s="224" t="s">
        <v>2908</v>
      </c>
      <c r="C911" s="224">
        <v>541614</v>
      </c>
      <c r="D911" s="224" t="s">
        <v>2908</v>
      </c>
      <c r="E911" s="225"/>
    </row>
    <row r="912" spans="1:11" x14ac:dyDescent="0.35">
      <c r="A912" s="224">
        <v>541618</v>
      </c>
      <c r="B912" s="224" t="s">
        <v>2909</v>
      </c>
      <c r="C912" s="224">
        <v>541618</v>
      </c>
      <c r="D912" s="224" t="s">
        <v>2909</v>
      </c>
      <c r="E912" s="225"/>
    </row>
    <row r="913" spans="1:7" x14ac:dyDescent="0.35">
      <c r="A913" s="224">
        <v>541620</v>
      </c>
      <c r="B913" s="224" t="s">
        <v>2910</v>
      </c>
      <c r="C913" s="224">
        <v>541620</v>
      </c>
      <c r="D913" s="224" t="s">
        <v>2910</v>
      </c>
      <c r="E913" s="225"/>
    </row>
    <row r="914" spans="1:7" ht="25" x14ac:dyDescent="0.35">
      <c r="A914" s="224">
        <v>541690</v>
      </c>
      <c r="B914" s="224" t="s">
        <v>2911</v>
      </c>
      <c r="C914" s="224">
        <v>541690</v>
      </c>
      <c r="D914" s="224" t="s">
        <v>2911</v>
      </c>
      <c r="E914" s="225"/>
    </row>
    <row r="915" spans="1:7" ht="25" x14ac:dyDescent="0.35">
      <c r="A915" s="224">
        <v>541713</v>
      </c>
      <c r="B915" s="224" t="s">
        <v>2912</v>
      </c>
      <c r="C915" s="224">
        <v>541713</v>
      </c>
      <c r="D915" s="224" t="s">
        <v>2912</v>
      </c>
      <c r="E915" s="225"/>
    </row>
    <row r="916" spans="1:7" ht="25" x14ac:dyDescent="0.35">
      <c r="A916" s="224">
        <v>541714</v>
      </c>
      <c r="B916" s="224" t="s">
        <v>2913</v>
      </c>
      <c r="C916" s="224">
        <v>541714</v>
      </c>
      <c r="D916" s="224" t="s">
        <v>2913</v>
      </c>
      <c r="E916" s="225"/>
      <c r="F916" s="226"/>
    </row>
    <row r="917" spans="1:7" ht="50" x14ac:dyDescent="0.35">
      <c r="A917" s="224">
        <v>541715</v>
      </c>
      <c r="B917" s="224" t="s">
        <v>2914</v>
      </c>
      <c r="C917" s="224">
        <v>541715</v>
      </c>
      <c r="D917" s="224" t="s">
        <v>2914</v>
      </c>
      <c r="E917" s="225"/>
      <c r="F917" s="226"/>
      <c r="G917" s="226" t="s">
        <v>1904</v>
      </c>
    </row>
    <row r="918" spans="1:7" ht="25" x14ac:dyDescent="0.35">
      <c r="A918" s="224">
        <v>541720</v>
      </c>
      <c r="B918" s="224" t="s">
        <v>2915</v>
      </c>
      <c r="C918" s="224">
        <v>541720</v>
      </c>
      <c r="D918" s="224" t="s">
        <v>2915</v>
      </c>
      <c r="E918" s="225"/>
      <c r="F918" s="226" t="s">
        <v>1904</v>
      </c>
    </row>
    <row r="919" spans="1:7" x14ac:dyDescent="0.35">
      <c r="A919" s="224">
        <v>541810</v>
      </c>
      <c r="B919" s="224" t="s">
        <v>2916</v>
      </c>
      <c r="C919" s="224">
        <v>541810</v>
      </c>
      <c r="D919" s="224" t="s">
        <v>2916</v>
      </c>
      <c r="E919" s="225"/>
    </row>
    <row r="920" spans="1:7" x14ac:dyDescent="0.35">
      <c r="A920" s="224">
        <v>541820</v>
      </c>
      <c r="B920" s="224" t="s">
        <v>2917</v>
      </c>
      <c r="C920" s="224">
        <v>541820</v>
      </c>
      <c r="D920" s="224" t="s">
        <v>2917</v>
      </c>
      <c r="E920" s="225"/>
    </row>
    <row r="921" spans="1:7" x14ac:dyDescent="0.35">
      <c r="A921" s="224">
        <v>541830</v>
      </c>
      <c r="B921" s="224" t="s">
        <v>2918</v>
      </c>
      <c r="C921" s="224">
        <v>541830</v>
      </c>
      <c r="D921" s="224" t="s">
        <v>2918</v>
      </c>
      <c r="E921" s="225"/>
    </row>
    <row r="922" spans="1:7" x14ac:dyDescent="0.35">
      <c r="A922" s="224">
        <v>541840</v>
      </c>
      <c r="B922" s="224" t="s">
        <v>2919</v>
      </c>
      <c r="C922" s="224">
        <v>541840</v>
      </c>
      <c r="D922" s="224" t="s">
        <v>2919</v>
      </c>
      <c r="E922" s="225"/>
    </row>
    <row r="923" spans="1:7" x14ac:dyDescent="0.35">
      <c r="A923" s="224">
        <v>541850</v>
      </c>
      <c r="B923" s="224" t="s">
        <v>2920</v>
      </c>
      <c r="C923" s="224">
        <v>541850</v>
      </c>
      <c r="D923" s="224" t="s">
        <v>2921</v>
      </c>
      <c r="E923" s="225"/>
    </row>
    <row r="924" spans="1:7" x14ac:dyDescent="0.35">
      <c r="A924" s="224">
        <v>541860</v>
      </c>
      <c r="B924" s="224" t="s">
        <v>2922</v>
      </c>
      <c r="C924" s="224">
        <v>541860</v>
      </c>
      <c r="D924" s="224" t="s">
        <v>2922</v>
      </c>
      <c r="E924" s="225"/>
    </row>
    <row r="925" spans="1:7" x14ac:dyDescent="0.35">
      <c r="A925" s="224">
        <v>541870</v>
      </c>
      <c r="B925" s="224" t="s">
        <v>2923</v>
      </c>
      <c r="C925" s="224">
        <v>541870</v>
      </c>
      <c r="D925" s="224" t="s">
        <v>2923</v>
      </c>
      <c r="E925" s="225"/>
    </row>
    <row r="926" spans="1:7" x14ac:dyDescent="0.35">
      <c r="A926" s="224">
        <v>541890</v>
      </c>
      <c r="B926" s="224" t="s">
        <v>2924</v>
      </c>
      <c r="C926" s="224">
        <v>541890</v>
      </c>
      <c r="D926" s="224" t="s">
        <v>2924</v>
      </c>
      <c r="E926" s="225"/>
    </row>
    <row r="927" spans="1:7" ht="25" x14ac:dyDescent="0.35">
      <c r="A927" s="224">
        <v>541910</v>
      </c>
      <c r="B927" s="224" t="s">
        <v>2925</v>
      </c>
      <c r="C927" s="224">
        <v>541910</v>
      </c>
      <c r="D927" s="224" t="s">
        <v>2925</v>
      </c>
      <c r="E927" s="225"/>
    </row>
    <row r="928" spans="1:7" x14ac:dyDescent="0.35">
      <c r="A928" s="224">
        <v>541921</v>
      </c>
      <c r="B928" s="224" t="s">
        <v>2926</v>
      </c>
      <c r="C928" s="224">
        <v>541921</v>
      </c>
      <c r="D928" s="224" t="s">
        <v>2926</v>
      </c>
      <c r="E928" s="225"/>
    </row>
    <row r="929" spans="1:9" x14ac:dyDescent="0.35">
      <c r="A929" s="224">
        <v>541922</v>
      </c>
      <c r="B929" s="224" t="s">
        <v>2927</v>
      </c>
      <c r="C929" s="224">
        <v>541922</v>
      </c>
      <c r="D929" s="224" t="s">
        <v>2927</v>
      </c>
      <c r="E929" s="225"/>
      <c r="I929" s="11" t="s">
        <v>1904</v>
      </c>
    </row>
    <row r="930" spans="1:9" x14ac:dyDescent="0.35">
      <c r="A930" s="224">
        <v>541930</v>
      </c>
      <c r="B930" s="224" t="s">
        <v>2928</v>
      </c>
      <c r="C930" s="224">
        <v>541930</v>
      </c>
      <c r="D930" s="224" t="s">
        <v>2928</v>
      </c>
      <c r="E930" s="225"/>
    </row>
    <row r="931" spans="1:9" x14ac:dyDescent="0.35">
      <c r="A931" s="224">
        <v>541940</v>
      </c>
      <c r="B931" s="224" t="s">
        <v>2929</v>
      </c>
      <c r="C931" s="224">
        <v>541940</v>
      </c>
      <c r="D931" s="224" t="s">
        <v>2929</v>
      </c>
      <c r="E931" s="225"/>
    </row>
    <row r="932" spans="1:9" ht="25" x14ac:dyDescent="0.35">
      <c r="A932" s="224">
        <v>541990</v>
      </c>
      <c r="B932" s="224" t="s">
        <v>2930</v>
      </c>
      <c r="C932" s="224">
        <v>541990</v>
      </c>
      <c r="D932" s="224" t="s">
        <v>2930</v>
      </c>
      <c r="E932" s="225"/>
    </row>
    <row r="933" spans="1:9" x14ac:dyDescent="0.35">
      <c r="A933" s="224">
        <v>551111</v>
      </c>
      <c r="B933" s="224" t="s">
        <v>2931</v>
      </c>
      <c r="C933" s="224">
        <v>551111</v>
      </c>
      <c r="D933" s="224" t="s">
        <v>2931</v>
      </c>
      <c r="E933" s="225"/>
    </row>
    <row r="934" spans="1:9" x14ac:dyDescent="0.35">
      <c r="A934" s="224">
        <v>551112</v>
      </c>
      <c r="B934" s="224" t="s">
        <v>2932</v>
      </c>
      <c r="C934" s="224">
        <v>551112</v>
      </c>
      <c r="D934" s="224" t="s">
        <v>2932</v>
      </c>
      <c r="E934" s="225"/>
    </row>
    <row r="935" spans="1:9" ht="25" x14ac:dyDescent="0.35">
      <c r="A935" s="224">
        <v>551114</v>
      </c>
      <c r="B935" s="224" t="s">
        <v>2933</v>
      </c>
      <c r="C935" s="224">
        <v>551114</v>
      </c>
      <c r="D935" s="224" t="s">
        <v>2933</v>
      </c>
      <c r="E935" s="225"/>
    </row>
    <row r="936" spans="1:9" x14ac:dyDescent="0.35">
      <c r="A936" s="224">
        <v>561110</v>
      </c>
      <c r="B936" s="224" t="s">
        <v>2934</v>
      </c>
      <c r="C936" s="224">
        <v>561110</v>
      </c>
      <c r="D936" s="224" t="s">
        <v>2934</v>
      </c>
      <c r="E936" s="225"/>
    </row>
    <row r="937" spans="1:9" x14ac:dyDescent="0.35">
      <c r="A937" s="224">
        <v>561210</v>
      </c>
      <c r="B937" s="224" t="s">
        <v>2935</v>
      </c>
      <c r="C937" s="224">
        <v>561210</v>
      </c>
      <c r="D937" s="224" t="s">
        <v>2935</v>
      </c>
      <c r="E937" s="225"/>
    </row>
    <row r="938" spans="1:9" x14ac:dyDescent="0.35">
      <c r="A938" s="224">
        <v>561311</v>
      </c>
      <c r="B938" s="224" t="s">
        <v>2936</v>
      </c>
      <c r="C938" s="224">
        <v>561311</v>
      </c>
      <c r="D938" s="224" t="s">
        <v>2936</v>
      </c>
      <c r="E938" s="225"/>
    </row>
    <row r="939" spans="1:9" x14ac:dyDescent="0.35">
      <c r="A939" s="224">
        <v>561312</v>
      </c>
      <c r="B939" s="224" t="s">
        <v>2937</v>
      </c>
      <c r="C939" s="224">
        <v>561312</v>
      </c>
      <c r="D939" s="224" t="s">
        <v>2937</v>
      </c>
      <c r="E939" s="225"/>
    </row>
    <row r="940" spans="1:9" x14ac:dyDescent="0.35">
      <c r="A940" s="224">
        <v>561320</v>
      </c>
      <c r="B940" s="224" t="s">
        <v>2938</v>
      </c>
      <c r="C940" s="224">
        <v>561320</v>
      </c>
      <c r="D940" s="224" t="s">
        <v>2938</v>
      </c>
      <c r="E940" s="225"/>
    </row>
    <row r="941" spans="1:9" x14ac:dyDescent="0.35">
      <c r="A941" s="224">
        <v>561330</v>
      </c>
      <c r="B941" s="224" t="s">
        <v>2939</v>
      </c>
      <c r="C941" s="224">
        <v>561330</v>
      </c>
      <c r="D941" s="224" t="s">
        <v>2939</v>
      </c>
      <c r="E941" s="225"/>
    </row>
    <row r="942" spans="1:9" x14ac:dyDescent="0.35">
      <c r="A942" s="224">
        <v>561410</v>
      </c>
      <c r="B942" s="224" t="s">
        <v>2940</v>
      </c>
      <c r="C942" s="224">
        <v>561410</v>
      </c>
      <c r="D942" s="224" t="s">
        <v>2940</v>
      </c>
      <c r="E942" s="225"/>
    </row>
    <row r="943" spans="1:9" x14ac:dyDescent="0.35">
      <c r="A943" s="224">
        <v>561421</v>
      </c>
      <c r="B943" s="224" t="s">
        <v>2941</v>
      </c>
      <c r="C943" s="224">
        <v>561421</v>
      </c>
      <c r="D943" s="224" t="s">
        <v>2941</v>
      </c>
      <c r="E943" s="225"/>
    </row>
    <row r="944" spans="1:9" ht="25" x14ac:dyDescent="0.35">
      <c r="A944" s="224">
        <v>561422</v>
      </c>
      <c r="B944" s="224" t="s">
        <v>2942</v>
      </c>
      <c r="C944" s="224">
        <v>561422</v>
      </c>
      <c r="D944" s="224" t="s">
        <v>2942</v>
      </c>
      <c r="E944" s="225"/>
    </row>
    <row r="945" spans="1:8" x14ac:dyDescent="0.35">
      <c r="A945" s="224">
        <v>561431</v>
      </c>
      <c r="B945" s="224" t="s">
        <v>2943</v>
      </c>
      <c r="C945" s="224">
        <v>561431</v>
      </c>
      <c r="D945" s="224" t="s">
        <v>2943</v>
      </c>
      <c r="E945" s="225"/>
    </row>
    <row r="946" spans="1:8" ht="25" x14ac:dyDescent="0.35">
      <c r="A946" s="224">
        <v>561439</v>
      </c>
      <c r="B946" s="224" t="s">
        <v>2944</v>
      </c>
      <c r="C946" s="224">
        <v>561439</v>
      </c>
      <c r="D946" s="224" t="s">
        <v>2944</v>
      </c>
      <c r="E946" s="225"/>
    </row>
    <row r="947" spans="1:8" x14ac:dyDescent="0.35">
      <c r="A947" s="224">
        <v>561440</v>
      </c>
      <c r="B947" s="224" t="s">
        <v>2945</v>
      </c>
      <c r="C947" s="224">
        <v>561440</v>
      </c>
      <c r="D947" s="224" t="s">
        <v>2945</v>
      </c>
      <c r="E947" s="225"/>
    </row>
    <row r="948" spans="1:8" x14ac:dyDescent="0.35">
      <c r="A948" s="224">
        <v>561450</v>
      </c>
      <c r="B948" s="224" t="s">
        <v>2946</v>
      </c>
      <c r="C948" s="224">
        <v>561450</v>
      </c>
      <c r="D948" s="224" t="s">
        <v>2946</v>
      </c>
      <c r="E948" s="225"/>
    </row>
    <row r="949" spans="1:8" x14ac:dyDescent="0.35">
      <c r="A949" s="224">
        <v>561491</v>
      </c>
      <c r="B949" s="224" t="s">
        <v>2947</v>
      </c>
      <c r="C949" s="224">
        <v>561491</v>
      </c>
      <c r="D949" s="224" t="s">
        <v>2947</v>
      </c>
      <c r="E949" s="225"/>
    </row>
    <row r="950" spans="1:8" x14ac:dyDescent="0.35">
      <c r="A950" s="224">
        <v>561492</v>
      </c>
      <c r="B950" s="224" t="s">
        <v>2948</v>
      </c>
      <c r="C950" s="224">
        <v>561492</v>
      </c>
      <c r="D950" s="224" t="s">
        <v>2948</v>
      </c>
      <c r="E950" s="225"/>
    </row>
    <row r="951" spans="1:8" x14ac:dyDescent="0.35">
      <c r="A951" s="224">
        <v>561499</v>
      </c>
      <c r="B951" s="224" t="s">
        <v>2949</v>
      </c>
      <c r="C951" s="224">
        <v>561499</v>
      </c>
      <c r="D951" s="224" t="s">
        <v>2949</v>
      </c>
      <c r="E951" s="225"/>
    </row>
    <row r="952" spans="1:8" x14ac:dyDescent="0.35">
      <c r="A952" s="224">
        <v>561510</v>
      </c>
      <c r="B952" s="224" t="s">
        <v>2950</v>
      </c>
      <c r="C952" s="224">
        <v>561510</v>
      </c>
      <c r="D952" s="224" t="s">
        <v>2950</v>
      </c>
      <c r="E952" s="225"/>
    </row>
    <row r="953" spans="1:8" x14ac:dyDescent="0.35">
      <c r="A953" s="224">
        <v>561520</v>
      </c>
      <c r="B953" s="224" t="s">
        <v>2951</v>
      </c>
      <c r="C953" s="224">
        <v>561520</v>
      </c>
      <c r="D953" s="224" t="s">
        <v>2951</v>
      </c>
      <c r="E953" s="225"/>
    </row>
    <row r="954" spans="1:8" x14ac:dyDescent="0.35">
      <c r="A954" s="224">
        <v>561591</v>
      </c>
      <c r="B954" s="224" t="s">
        <v>2952</v>
      </c>
      <c r="C954" s="224">
        <v>561591</v>
      </c>
      <c r="D954" s="224" t="s">
        <v>2952</v>
      </c>
      <c r="E954" s="225"/>
    </row>
    <row r="955" spans="1:8" ht="25" x14ac:dyDescent="0.35">
      <c r="A955" s="224">
        <v>561599</v>
      </c>
      <c r="B955" s="224" t="s">
        <v>2953</v>
      </c>
      <c r="C955" s="224">
        <v>561599</v>
      </c>
      <c r="D955" s="224" t="s">
        <v>2953</v>
      </c>
      <c r="E955" s="225"/>
    </row>
    <row r="956" spans="1:8" ht="25" x14ac:dyDescent="0.35">
      <c r="A956" s="224">
        <v>561611</v>
      </c>
      <c r="B956" s="224" t="s">
        <v>2954</v>
      </c>
      <c r="C956" s="224">
        <v>561611</v>
      </c>
      <c r="D956" s="224" t="s">
        <v>2955</v>
      </c>
      <c r="E956" s="225"/>
      <c r="H956" s="11" t="s">
        <v>1904</v>
      </c>
    </row>
    <row r="957" spans="1:8" x14ac:dyDescent="0.35">
      <c r="A957" s="224">
        <v>561612</v>
      </c>
      <c r="B957" s="224" t="s">
        <v>2956</v>
      </c>
      <c r="C957" s="224">
        <v>561612</v>
      </c>
      <c r="D957" s="224" t="s">
        <v>2956</v>
      </c>
      <c r="E957" s="225"/>
    </row>
    <row r="958" spans="1:8" x14ac:dyDescent="0.35">
      <c r="A958" s="224">
        <v>561613</v>
      </c>
      <c r="B958" s="224" t="s">
        <v>2957</v>
      </c>
      <c r="C958" s="224">
        <v>561613</v>
      </c>
      <c r="D958" s="224" t="s">
        <v>2957</v>
      </c>
      <c r="E958" s="225"/>
    </row>
    <row r="959" spans="1:8" ht="25" x14ac:dyDescent="0.35">
      <c r="A959" s="224">
        <v>561621</v>
      </c>
      <c r="B959" s="224" t="s">
        <v>2958</v>
      </c>
      <c r="C959" s="224">
        <v>561621</v>
      </c>
      <c r="D959" s="224" t="s">
        <v>2958</v>
      </c>
      <c r="E959" s="225"/>
    </row>
    <row r="960" spans="1:8" x14ac:dyDescent="0.35">
      <c r="A960" s="224">
        <v>561622</v>
      </c>
      <c r="B960" s="224" t="s">
        <v>2959</v>
      </c>
      <c r="C960" s="224">
        <v>561622</v>
      </c>
      <c r="D960" s="224" t="s">
        <v>2959</v>
      </c>
      <c r="E960" s="225"/>
    </row>
    <row r="961" spans="1:4" x14ac:dyDescent="0.35">
      <c r="A961" s="224">
        <v>561710</v>
      </c>
      <c r="B961" s="224" t="s">
        <v>2960</v>
      </c>
      <c r="C961" s="224">
        <v>561710</v>
      </c>
      <c r="D961" s="224" t="s">
        <v>2960</v>
      </c>
    </row>
    <row r="962" spans="1:4" x14ac:dyDescent="0.35">
      <c r="A962" s="224">
        <v>561720</v>
      </c>
      <c r="B962" s="224" t="s">
        <v>2961</v>
      </c>
      <c r="C962" s="224">
        <v>561720</v>
      </c>
      <c r="D962" s="224" t="s">
        <v>2961</v>
      </c>
    </row>
    <row r="963" spans="1:4" x14ac:dyDescent="0.35">
      <c r="A963" s="224">
        <v>561730</v>
      </c>
      <c r="B963" s="224" t="s">
        <v>2962</v>
      </c>
      <c r="C963" s="224">
        <v>561730</v>
      </c>
      <c r="D963" s="224" t="s">
        <v>2962</v>
      </c>
    </row>
    <row r="964" spans="1:4" x14ac:dyDescent="0.35">
      <c r="A964" s="224">
        <v>561740</v>
      </c>
      <c r="B964" s="224" t="s">
        <v>2963</v>
      </c>
      <c r="C964" s="224">
        <v>561740</v>
      </c>
      <c r="D964" s="224" t="s">
        <v>2963</v>
      </c>
    </row>
    <row r="965" spans="1:4" x14ac:dyDescent="0.35">
      <c r="A965" s="224">
        <v>561790</v>
      </c>
      <c r="B965" s="224" t="s">
        <v>2964</v>
      </c>
      <c r="C965" s="224">
        <v>561790</v>
      </c>
      <c r="D965" s="224" t="s">
        <v>2964</v>
      </c>
    </row>
    <row r="966" spans="1:4" x14ac:dyDescent="0.35">
      <c r="A966" s="224">
        <v>561910</v>
      </c>
      <c r="B966" s="224" t="s">
        <v>2965</v>
      </c>
      <c r="C966" s="224">
        <v>561910</v>
      </c>
      <c r="D966" s="224" t="s">
        <v>2965</v>
      </c>
    </row>
    <row r="967" spans="1:4" x14ac:dyDescent="0.35">
      <c r="A967" s="224">
        <v>561920</v>
      </c>
      <c r="B967" s="224" t="s">
        <v>2966</v>
      </c>
      <c r="C967" s="224">
        <v>561920</v>
      </c>
      <c r="D967" s="224" t="s">
        <v>2966</v>
      </c>
    </row>
    <row r="968" spans="1:4" x14ac:dyDescent="0.35">
      <c r="A968" s="224">
        <v>561990</v>
      </c>
      <c r="B968" s="224" t="s">
        <v>2967</v>
      </c>
      <c r="C968" s="224">
        <v>561990</v>
      </c>
      <c r="D968" s="224" t="s">
        <v>2967</v>
      </c>
    </row>
    <row r="969" spans="1:4" x14ac:dyDescent="0.35">
      <c r="A969" s="224">
        <v>562111</v>
      </c>
      <c r="B969" s="224" t="s">
        <v>2968</v>
      </c>
      <c r="C969" s="224">
        <v>562111</v>
      </c>
      <c r="D969" s="224" t="s">
        <v>2968</v>
      </c>
    </row>
    <row r="970" spans="1:4" x14ac:dyDescent="0.35">
      <c r="A970" s="224">
        <v>562112</v>
      </c>
      <c r="B970" s="224" t="s">
        <v>2969</v>
      </c>
      <c r="C970" s="224">
        <v>562112</v>
      </c>
      <c r="D970" s="224" t="s">
        <v>2969</v>
      </c>
    </row>
    <row r="971" spans="1:4" x14ac:dyDescent="0.35">
      <c r="A971" s="224">
        <v>562119</v>
      </c>
      <c r="B971" s="224" t="s">
        <v>2970</v>
      </c>
      <c r="C971" s="224">
        <v>562119</v>
      </c>
      <c r="D971" s="224" t="s">
        <v>2970</v>
      </c>
    </row>
    <row r="972" spans="1:4" x14ac:dyDescent="0.35">
      <c r="A972" s="224">
        <v>562211</v>
      </c>
      <c r="B972" s="224" t="s">
        <v>1839</v>
      </c>
      <c r="C972" s="224">
        <v>562211</v>
      </c>
      <c r="D972" s="224" t="s">
        <v>1839</v>
      </c>
    </row>
    <row r="973" spans="1:4" x14ac:dyDescent="0.35">
      <c r="A973" s="224">
        <v>562212</v>
      </c>
      <c r="B973" s="224" t="s">
        <v>2971</v>
      </c>
      <c r="C973" s="224">
        <v>562212</v>
      </c>
      <c r="D973" s="224" t="s">
        <v>2971</v>
      </c>
    </row>
    <row r="974" spans="1:4" x14ac:dyDescent="0.35">
      <c r="A974" s="224">
        <v>562213</v>
      </c>
      <c r="B974" s="224" t="s">
        <v>1858</v>
      </c>
      <c r="C974" s="224">
        <v>562213</v>
      </c>
      <c r="D974" s="224" t="s">
        <v>1858</v>
      </c>
    </row>
    <row r="975" spans="1:4" ht="25" x14ac:dyDescent="0.35">
      <c r="A975" s="224">
        <v>562219</v>
      </c>
      <c r="B975" s="224" t="s">
        <v>2972</v>
      </c>
      <c r="C975" s="224">
        <v>562219</v>
      </c>
      <c r="D975" s="224" t="s">
        <v>2972</v>
      </c>
    </row>
    <row r="976" spans="1:4" x14ac:dyDescent="0.35">
      <c r="A976" s="224">
        <v>562910</v>
      </c>
      <c r="B976" s="224" t="s">
        <v>2973</v>
      </c>
      <c r="C976" s="224">
        <v>562910</v>
      </c>
      <c r="D976" s="224" t="s">
        <v>2973</v>
      </c>
    </row>
    <row r="977" spans="1:8" x14ac:dyDescent="0.35">
      <c r="A977" s="224">
        <v>562920</v>
      </c>
      <c r="B977" s="224" t="s">
        <v>2974</v>
      </c>
      <c r="C977" s="224">
        <v>562920</v>
      </c>
      <c r="D977" s="224" t="s">
        <v>2974</v>
      </c>
      <c r="E977" s="225"/>
    </row>
    <row r="978" spans="1:8" x14ac:dyDescent="0.35">
      <c r="A978" s="224">
        <v>562991</v>
      </c>
      <c r="B978" s="224" t="s">
        <v>2975</v>
      </c>
      <c r="C978" s="224">
        <v>562991</v>
      </c>
      <c r="D978" s="224" t="s">
        <v>2975</v>
      </c>
      <c r="E978" s="225"/>
    </row>
    <row r="979" spans="1:8" ht="25" x14ac:dyDescent="0.35">
      <c r="A979" s="224">
        <v>562998</v>
      </c>
      <c r="B979" s="224" t="s">
        <v>2976</v>
      </c>
      <c r="C979" s="224">
        <v>562998</v>
      </c>
      <c r="D979" s="224" t="s">
        <v>2976</v>
      </c>
      <c r="E979" s="225"/>
    </row>
    <row r="980" spans="1:8" x14ac:dyDescent="0.35">
      <c r="A980" s="224">
        <v>611110</v>
      </c>
      <c r="B980" s="224" t="s">
        <v>2977</v>
      </c>
      <c r="C980" s="224">
        <v>611110</v>
      </c>
      <c r="D980" s="224" t="s">
        <v>2977</v>
      </c>
      <c r="E980" s="225"/>
      <c r="H980" s="11" t="s">
        <v>1904</v>
      </c>
    </row>
    <row r="981" spans="1:8" x14ac:dyDescent="0.35">
      <c r="A981" s="224">
        <v>611210</v>
      </c>
      <c r="B981" s="224" t="s">
        <v>2978</v>
      </c>
      <c r="C981" s="224">
        <v>611210</v>
      </c>
      <c r="D981" s="224" t="s">
        <v>2978</v>
      </c>
      <c r="E981" s="225"/>
    </row>
    <row r="982" spans="1:8" ht="25" x14ac:dyDescent="0.35">
      <c r="A982" s="224">
        <v>611310</v>
      </c>
      <c r="B982" s="224" t="s">
        <v>2979</v>
      </c>
      <c r="C982" s="224">
        <v>611310</v>
      </c>
      <c r="D982" s="224" t="s">
        <v>2979</v>
      </c>
      <c r="E982" s="225"/>
    </row>
    <row r="983" spans="1:8" x14ac:dyDescent="0.35">
      <c r="A983" s="224">
        <v>611410</v>
      </c>
      <c r="B983" s="224" t="s">
        <v>2980</v>
      </c>
      <c r="C983" s="224">
        <v>611410</v>
      </c>
      <c r="D983" s="224" t="s">
        <v>2980</v>
      </c>
      <c r="E983" s="225"/>
    </row>
    <row r="984" spans="1:8" x14ac:dyDescent="0.35">
      <c r="A984" s="224">
        <v>611420</v>
      </c>
      <c r="B984" s="224" t="s">
        <v>2981</v>
      </c>
      <c r="C984" s="224">
        <v>611420</v>
      </c>
      <c r="D984" s="224" t="s">
        <v>2981</v>
      </c>
      <c r="E984" s="225"/>
    </row>
    <row r="985" spans="1:8" ht="25" x14ac:dyDescent="0.35">
      <c r="A985" s="224">
        <v>611430</v>
      </c>
      <c r="B985" s="224" t="s">
        <v>2982</v>
      </c>
      <c r="C985" s="224">
        <v>611430</v>
      </c>
      <c r="D985" s="224" t="s">
        <v>2982</v>
      </c>
      <c r="E985" s="225"/>
    </row>
    <row r="986" spans="1:8" x14ac:dyDescent="0.35">
      <c r="A986" s="224">
        <v>611511</v>
      </c>
      <c r="B986" s="224" t="s">
        <v>2983</v>
      </c>
      <c r="C986" s="224">
        <v>611511</v>
      </c>
      <c r="D986" s="224" t="s">
        <v>2983</v>
      </c>
      <c r="E986" s="225"/>
    </row>
    <row r="987" spans="1:8" x14ac:dyDescent="0.35">
      <c r="A987" s="224">
        <v>611512</v>
      </c>
      <c r="B987" s="224" t="s">
        <v>2984</v>
      </c>
      <c r="C987" s="224">
        <v>611512</v>
      </c>
      <c r="D987" s="224" t="s">
        <v>2984</v>
      </c>
      <c r="E987" s="225"/>
    </row>
    <row r="988" spans="1:8" x14ac:dyDescent="0.35">
      <c r="A988" s="224">
        <v>611513</v>
      </c>
      <c r="B988" s="224" t="s">
        <v>2985</v>
      </c>
      <c r="C988" s="224">
        <v>611513</v>
      </c>
      <c r="D988" s="224" t="s">
        <v>2985</v>
      </c>
      <c r="E988" s="225"/>
    </row>
    <row r="989" spans="1:8" x14ac:dyDescent="0.35">
      <c r="A989" s="224">
        <v>611519</v>
      </c>
      <c r="B989" s="224" t="s">
        <v>2986</v>
      </c>
      <c r="C989" s="224">
        <v>611519</v>
      </c>
      <c r="D989" s="224" t="s">
        <v>2986</v>
      </c>
      <c r="E989" s="225"/>
    </row>
    <row r="990" spans="1:8" x14ac:dyDescent="0.35">
      <c r="A990" s="224">
        <v>611610</v>
      </c>
      <c r="B990" s="224" t="s">
        <v>2987</v>
      </c>
      <c r="C990" s="224">
        <v>611610</v>
      </c>
      <c r="D990" s="224" t="s">
        <v>2987</v>
      </c>
      <c r="E990" s="225"/>
    </row>
    <row r="991" spans="1:8" x14ac:dyDescent="0.35">
      <c r="A991" s="224">
        <v>611620</v>
      </c>
      <c r="B991" s="224" t="s">
        <v>2988</v>
      </c>
      <c r="C991" s="224">
        <v>611620</v>
      </c>
      <c r="D991" s="224" t="s">
        <v>2988</v>
      </c>
      <c r="E991" s="225"/>
    </row>
    <row r="992" spans="1:8" x14ac:dyDescent="0.35">
      <c r="A992" s="224">
        <v>611630</v>
      </c>
      <c r="B992" s="224" t="s">
        <v>2989</v>
      </c>
      <c r="C992" s="224">
        <v>611630</v>
      </c>
      <c r="D992" s="224" t="s">
        <v>2989</v>
      </c>
      <c r="E992" s="225"/>
    </row>
    <row r="993" spans="1:4" x14ac:dyDescent="0.35">
      <c r="A993" s="224">
        <v>611691</v>
      </c>
      <c r="B993" s="224" t="s">
        <v>2990</v>
      </c>
      <c r="C993" s="224">
        <v>611691</v>
      </c>
      <c r="D993" s="224" t="s">
        <v>2990</v>
      </c>
    </row>
    <row r="994" spans="1:4" x14ac:dyDescent="0.35">
      <c r="A994" s="224">
        <v>611692</v>
      </c>
      <c r="B994" s="224" t="s">
        <v>2991</v>
      </c>
      <c r="C994" s="224">
        <v>611692</v>
      </c>
      <c r="D994" s="224" t="s">
        <v>2991</v>
      </c>
    </row>
    <row r="995" spans="1:4" ht="25" x14ac:dyDescent="0.35">
      <c r="A995" s="224">
        <v>611699</v>
      </c>
      <c r="B995" s="224" t="s">
        <v>2992</v>
      </c>
      <c r="C995" s="224">
        <v>611699</v>
      </c>
      <c r="D995" s="224" t="s">
        <v>2992</v>
      </c>
    </row>
    <row r="996" spans="1:4" x14ac:dyDescent="0.35">
      <c r="A996" s="224">
        <v>611710</v>
      </c>
      <c r="B996" s="224" t="s">
        <v>2993</v>
      </c>
      <c r="C996" s="224">
        <v>611710</v>
      </c>
      <c r="D996" s="224" t="s">
        <v>2993</v>
      </c>
    </row>
    <row r="997" spans="1:4" ht="25" x14ac:dyDescent="0.35">
      <c r="A997" s="224">
        <v>621111</v>
      </c>
      <c r="B997" s="224" t="s">
        <v>2994</v>
      </c>
      <c r="C997" s="224">
        <v>621111</v>
      </c>
      <c r="D997" s="224" t="s">
        <v>2994</v>
      </c>
    </row>
    <row r="998" spans="1:4" ht="25" x14ac:dyDescent="0.35">
      <c r="A998" s="224">
        <v>621112</v>
      </c>
      <c r="B998" s="224" t="s">
        <v>2995</v>
      </c>
      <c r="C998" s="224">
        <v>621112</v>
      </c>
      <c r="D998" s="224" t="s">
        <v>2995</v>
      </c>
    </row>
    <row r="999" spans="1:4" x14ac:dyDescent="0.35">
      <c r="A999" s="224">
        <v>621210</v>
      </c>
      <c r="B999" s="224" t="s">
        <v>2996</v>
      </c>
      <c r="C999" s="224">
        <v>621210</v>
      </c>
      <c r="D999" s="224" t="s">
        <v>2996</v>
      </c>
    </row>
    <row r="1000" spans="1:4" x14ac:dyDescent="0.35">
      <c r="A1000" s="224">
        <v>621310</v>
      </c>
      <c r="B1000" s="224" t="s">
        <v>2997</v>
      </c>
      <c r="C1000" s="224">
        <v>621310</v>
      </c>
      <c r="D1000" s="224" t="s">
        <v>2997</v>
      </c>
    </row>
    <row r="1001" spans="1:4" x14ac:dyDescent="0.35">
      <c r="A1001" s="224">
        <v>621320</v>
      </c>
      <c r="B1001" s="224" t="s">
        <v>2998</v>
      </c>
      <c r="C1001" s="224">
        <v>621320</v>
      </c>
      <c r="D1001" s="224" t="s">
        <v>2998</v>
      </c>
    </row>
    <row r="1002" spans="1:4" ht="25" x14ac:dyDescent="0.35">
      <c r="A1002" s="224">
        <v>621330</v>
      </c>
      <c r="B1002" s="224" t="s">
        <v>2999</v>
      </c>
      <c r="C1002" s="224">
        <v>621330</v>
      </c>
      <c r="D1002" s="224" t="s">
        <v>2999</v>
      </c>
    </row>
    <row r="1003" spans="1:4" ht="25" x14ac:dyDescent="0.35">
      <c r="A1003" s="224">
        <v>621340</v>
      </c>
      <c r="B1003" s="224" t="s">
        <v>3000</v>
      </c>
      <c r="C1003" s="224">
        <v>621340</v>
      </c>
      <c r="D1003" s="224" t="s">
        <v>3000</v>
      </c>
    </row>
    <row r="1004" spans="1:4" x14ac:dyDescent="0.35">
      <c r="A1004" s="224">
        <v>621391</v>
      </c>
      <c r="B1004" s="224" t="s">
        <v>3001</v>
      </c>
      <c r="C1004" s="224">
        <v>621391</v>
      </c>
      <c r="D1004" s="224" t="s">
        <v>3001</v>
      </c>
    </row>
    <row r="1005" spans="1:4" ht="25" x14ac:dyDescent="0.35">
      <c r="A1005" s="224">
        <v>621399</v>
      </c>
      <c r="B1005" s="224" t="s">
        <v>3002</v>
      </c>
      <c r="C1005" s="224">
        <v>621399</v>
      </c>
      <c r="D1005" s="224" t="s">
        <v>3002</v>
      </c>
    </row>
    <row r="1006" spans="1:4" x14ac:dyDescent="0.35">
      <c r="A1006" s="224">
        <v>621410</v>
      </c>
      <c r="B1006" s="224" t="s">
        <v>3003</v>
      </c>
      <c r="C1006" s="224">
        <v>621410</v>
      </c>
      <c r="D1006" s="224" t="s">
        <v>3003</v>
      </c>
    </row>
    <row r="1007" spans="1:4" ht="25" x14ac:dyDescent="0.35">
      <c r="A1007" s="224">
        <v>621420</v>
      </c>
      <c r="B1007" s="224" t="s">
        <v>3004</v>
      </c>
      <c r="C1007" s="224">
        <v>621420</v>
      </c>
      <c r="D1007" s="224" t="s">
        <v>3004</v>
      </c>
    </row>
    <row r="1008" spans="1:4" x14ac:dyDescent="0.35">
      <c r="A1008" s="224">
        <v>621491</v>
      </c>
      <c r="B1008" s="224" t="s">
        <v>3005</v>
      </c>
      <c r="C1008" s="224">
        <v>621491</v>
      </c>
      <c r="D1008" s="224" t="s">
        <v>3005</v>
      </c>
    </row>
    <row r="1009" spans="1:8" x14ac:dyDescent="0.35">
      <c r="A1009" s="224">
        <v>621492</v>
      </c>
      <c r="B1009" s="224" t="s">
        <v>3006</v>
      </c>
      <c r="C1009" s="224">
        <v>621492</v>
      </c>
      <c r="D1009" s="224" t="s">
        <v>3006</v>
      </c>
      <c r="E1009" s="225"/>
    </row>
    <row r="1010" spans="1:8" ht="25" x14ac:dyDescent="0.35">
      <c r="A1010" s="224">
        <v>621493</v>
      </c>
      <c r="B1010" s="224" t="s">
        <v>3007</v>
      </c>
      <c r="C1010" s="224">
        <v>621493</v>
      </c>
      <c r="D1010" s="224" t="s">
        <v>3007</v>
      </c>
      <c r="E1010" s="225"/>
      <c r="H1010" s="11" t="s">
        <v>1904</v>
      </c>
    </row>
    <row r="1011" spans="1:8" x14ac:dyDescent="0.35">
      <c r="A1011" s="224">
        <v>621498</v>
      </c>
      <c r="B1011" s="224" t="s">
        <v>3008</v>
      </c>
      <c r="C1011" s="224">
        <v>621498</v>
      </c>
      <c r="D1011" s="224" t="s">
        <v>3008</v>
      </c>
      <c r="E1011" s="225"/>
    </row>
    <row r="1012" spans="1:8" x14ac:dyDescent="0.35">
      <c r="A1012" s="224">
        <v>621511</v>
      </c>
      <c r="B1012" s="224" t="s">
        <v>3009</v>
      </c>
      <c r="C1012" s="224">
        <v>621511</v>
      </c>
      <c r="D1012" s="224" t="s">
        <v>3009</v>
      </c>
      <c r="E1012" s="225"/>
    </row>
    <row r="1013" spans="1:8" x14ac:dyDescent="0.35">
      <c r="A1013" s="224">
        <v>621512</v>
      </c>
      <c r="B1013" s="224" t="s">
        <v>3010</v>
      </c>
      <c r="C1013" s="224">
        <v>621512</v>
      </c>
      <c r="D1013" s="224" t="s">
        <v>3010</v>
      </c>
      <c r="E1013" s="225"/>
    </row>
    <row r="1014" spans="1:8" x14ac:dyDescent="0.35">
      <c r="A1014" s="224">
        <v>621610</v>
      </c>
      <c r="B1014" s="224" t="s">
        <v>3011</v>
      </c>
      <c r="C1014" s="224">
        <v>621610</v>
      </c>
      <c r="D1014" s="224" t="s">
        <v>3011</v>
      </c>
      <c r="E1014" s="225"/>
    </row>
    <row r="1015" spans="1:8" x14ac:dyDescent="0.35">
      <c r="A1015" s="224">
        <v>621910</v>
      </c>
      <c r="B1015" s="224" t="s">
        <v>3012</v>
      </c>
      <c r="C1015" s="224">
        <v>621910</v>
      </c>
      <c r="D1015" s="224" t="s">
        <v>3012</v>
      </c>
      <c r="E1015" s="225"/>
    </row>
    <row r="1016" spans="1:8" x14ac:dyDescent="0.35">
      <c r="A1016" s="224">
        <v>621991</v>
      </c>
      <c r="B1016" s="224" t="s">
        <v>3013</v>
      </c>
      <c r="C1016" s="224">
        <v>621991</v>
      </c>
      <c r="D1016" s="224" t="s">
        <v>3013</v>
      </c>
      <c r="E1016" s="225"/>
    </row>
    <row r="1017" spans="1:8" ht="25" x14ac:dyDescent="0.35">
      <c r="A1017" s="224">
        <v>621999</v>
      </c>
      <c r="B1017" s="224" t="s">
        <v>3014</v>
      </c>
      <c r="C1017" s="224">
        <v>621999</v>
      </c>
      <c r="D1017" s="224" t="s">
        <v>3014</v>
      </c>
      <c r="E1017" s="225"/>
    </row>
    <row r="1018" spans="1:8" x14ac:dyDescent="0.35">
      <c r="A1018" s="224">
        <v>622110</v>
      </c>
      <c r="B1018" s="224" t="s">
        <v>3015</v>
      </c>
      <c r="C1018" s="224">
        <v>622110</v>
      </c>
      <c r="D1018" s="224" t="s">
        <v>3015</v>
      </c>
      <c r="E1018" s="225"/>
    </row>
    <row r="1019" spans="1:8" ht="25" x14ac:dyDescent="0.35">
      <c r="A1019" s="224">
        <v>622210</v>
      </c>
      <c r="B1019" s="224" t="s">
        <v>3016</v>
      </c>
      <c r="C1019" s="224">
        <v>622210</v>
      </c>
      <c r="D1019" s="224" t="s">
        <v>3016</v>
      </c>
      <c r="E1019" s="225"/>
    </row>
    <row r="1020" spans="1:8" ht="25" x14ac:dyDescent="0.35">
      <c r="A1020" s="224">
        <v>622310</v>
      </c>
      <c r="B1020" s="224" t="s">
        <v>3017</v>
      </c>
      <c r="C1020" s="224">
        <v>622310</v>
      </c>
      <c r="D1020" s="224" t="s">
        <v>3017</v>
      </c>
      <c r="E1020" s="225"/>
    </row>
    <row r="1021" spans="1:8" ht="25" x14ac:dyDescent="0.35">
      <c r="A1021" s="224">
        <v>623110</v>
      </c>
      <c r="B1021" s="224" t="s">
        <v>3018</v>
      </c>
      <c r="C1021" s="224">
        <v>623110</v>
      </c>
      <c r="D1021" s="224" t="s">
        <v>3018</v>
      </c>
      <c r="E1021" s="225"/>
    </row>
    <row r="1022" spans="1:8" ht="25" x14ac:dyDescent="0.35">
      <c r="A1022" s="224">
        <v>623210</v>
      </c>
      <c r="B1022" s="224" t="s">
        <v>3019</v>
      </c>
      <c r="C1022" s="224">
        <v>623210</v>
      </c>
      <c r="D1022" s="224" t="s">
        <v>3019</v>
      </c>
      <c r="E1022" s="225"/>
    </row>
    <row r="1023" spans="1:8" ht="25" x14ac:dyDescent="0.35">
      <c r="A1023" s="224">
        <v>623220</v>
      </c>
      <c r="B1023" s="224" t="s">
        <v>3020</v>
      </c>
      <c r="C1023" s="224">
        <v>623220</v>
      </c>
      <c r="D1023" s="224" t="s">
        <v>3020</v>
      </c>
      <c r="E1023" s="225"/>
    </row>
    <row r="1024" spans="1:8" x14ac:dyDescent="0.35">
      <c r="A1024" s="224">
        <v>623311</v>
      </c>
      <c r="B1024" s="224" t="s">
        <v>3021</v>
      </c>
      <c r="C1024" s="224">
        <v>623311</v>
      </c>
      <c r="D1024" s="224" t="s">
        <v>3021</v>
      </c>
      <c r="E1024" s="225"/>
    </row>
    <row r="1025" spans="1:9" x14ac:dyDescent="0.35">
      <c r="A1025" s="224">
        <v>623312</v>
      </c>
      <c r="B1025" s="224" t="s">
        <v>3022</v>
      </c>
      <c r="C1025" s="224">
        <v>623312</v>
      </c>
      <c r="D1025" s="224" t="s">
        <v>3022</v>
      </c>
      <c r="E1025" s="225"/>
    </row>
    <row r="1026" spans="1:9" x14ac:dyDescent="0.35">
      <c r="A1026" s="224">
        <v>623990</v>
      </c>
      <c r="B1026" s="224" t="s">
        <v>3023</v>
      </c>
      <c r="C1026" s="224">
        <v>623990</v>
      </c>
      <c r="D1026" s="224" t="s">
        <v>3023</v>
      </c>
      <c r="E1026" s="225"/>
    </row>
    <row r="1027" spans="1:9" x14ac:dyDescent="0.35">
      <c r="A1027" s="224">
        <v>624110</v>
      </c>
      <c r="B1027" s="224" t="s">
        <v>3024</v>
      </c>
      <c r="C1027" s="224">
        <v>624110</v>
      </c>
      <c r="D1027" s="224" t="s">
        <v>3024</v>
      </c>
      <c r="E1027" s="225"/>
    </row>
    <row r="1028" spans="1:9" ht="25" x14ac:dyDescent="0.35">
      <c r="A1028" s="224">
        <v>624120</v>
      </c>
      <c r="B1028" s="224" t="s">
        <v>3025</v>
      </c>
      <c r="C1028" s="224">
        <v>624120</v>
      </c>
      <c r="D1028" s="224" t="s">
        <v>3025</v>
      </c>
      <c r="E1028" s="225"/>
    </row>
    <row r="1029" spans="1:9" x14ac:dyDescent="0.35">
      <c r="A1029" s="224">
        <v>624190</v>
      </c>
      <c r="B1029" s="224" t="s">
        <v>3026</v>
      </c>
      <c r="C1029" s="224">
        <v>624190</v>
      </c>
      <c r="D1029" s="224" t="s">
        <v>3026</v>
      </c>
      <c r="E1029" s="225"/>
    </row>
    <row r="1030" spans="1:9" x14ac:dyDescent="0.35">
      <c r="A1030" s="224">
        <v>624210</v>
      </c>
      <c r="B1030" s="224" t="s">
        <v>3027</v>
      </c>
      <c r="C1030" s="224">
        <v>624210</v>
      </c>
      <c r="D1030" s="224" t="s">
        <v>3027</v>
      </c>
      <c r="E1030" s="225"/>
    </row>
    <row r="1031" spans="1:9" x14ac:dyDescent="0.35">
      <c r="A1031" s="224">
        <v>624221</v>
      </c>
      <c r="B1031" s="224" t="s">
        <v>3028</v>
      </c>
      <c r="C1031" s="224">
        <v>624221</v>
      </c>
      <c r="D1031" s="224" t="s">
        <v>3028</v>
      </c>
      <c r="E1031" s="225"/>
      <c r="I1031" s="11" t="s">
        <v>1904</v>
      </c>
    </row>
    <row r="1032" spans="1:9" x14ac:dyDescent="0.35">
      <c r="A1032" s="224">
        <v>624229</v>
      </c>
      <c r="B1032" s="224" t="s">
        <v>3029</v>
      </c>
      <c r="C1032" s="224">
        <v>624229</v>
      </c>
      <c r="D1032" s="224" t="s">
        <v>3029</v>
      </c>
      <c r="E1032" s="225"/>
    </row>
    <row r="1033" spans="1:9" x14ac:dyDescent="0.35">
      <c r="A1033" s="224">
        <v>624230</v>
      </c>
      <c r="B1033" s="224" t="s">
        <v>3030</v>
      </c>
      <c r="C1033" s="224">
        <v>624230</v>
      </c>
      <c r="D1033" s="224" t="s">
        <v>3030</v>
      </c>
      <c r="E1033" s="225"/>
    </row>
    <row r="1034" spans="1:9" x14ac:dyDescent="0.35">
      <c r="A1034" s="224">
        <v>624310</v>
      </c>
      <c r="B1034" s="224" t="s">
        <v>3031</v>
      </c>
      <c r="C1034" s="224">
        <v>624310</v>
      </c>
      <c r="D1034" s="224" t="s">
        <v>3031</v>
      </c>
      <c r="E1034" s="225"/>
    </row>
    <row r="1035" spans="1:9" x14ac:dyDescent="0.35">
      <c r="A1035" s="224">
        <v>624410</v>
      </c>
      <c r="B1035" s="224" t="s">
        <v>3032</v>
      </c>
      <c r="C1035" s="224">
        <v>624410</v>
      </c>
      <c r="D1035" s="224" t="s">
        <v>3033</v>
      </c>
      <c r="E1035" s="225"/>
    </row>
    <row r="1036" spans="1:9" x14ac:dyDescent="0.35">
      <c r="A1036" s="224">
        <v>711110</v>
      </c>
      <c r="B1036" s="224" t="s">
        <v>3034</v>
      </c>
      <c r="C1036" s="224">
        <v>711110</v>
      </c>
      <c r="D1036" s="224" t="s">
        <v>3034</v>
      </c>
      <c r="E1036" s="225"/>
    </row>
    <row r="1037" spans="1:9" x14ac:dyDescent="0.35">
      <c r="A1037" s="224">
        <v>711120</v>
      </c>
      <c r="B1037" s="224" t="s">
        <v>3035</v>
      </c>
      <c r="C1037" s="224">
        <v>711120</v>
      </c>
      <c r="D1037" s="224" t="s">
        <v>3035</v>
      </c>
      <c r="E1037" s="225"/>
    </row>
    <row r="1038" spans="1:9" x14ac:dyDescent="0.35">
      <c r="A1038" s="224">
        <v>711130</v>
      </c>
      <c r="B1038" s="224" t="s">
        <v>3036</v>
      </c>
      <c r="C1038" s="224">
        <v>711130</v>
      </c>
      <c r="D1038" s="224" t="s">
        <v>3036</v>
      </c>
      <c r="E1038" s="225"/>
    </row>
    <row r="1039" spans="1:9" x14ac:dyDescent="0.35">
      <c r="A1039" s="224">
        <v>711190</v>
      </c>
      <c r="B1039" s="224" t="s">
        <v>3037</v>
      </c>
      <c r="C1039" s="224">
        <v>711190</v>
      </c>
      <c r="D1039" s="224" t="s">
        <v>3037</v>
      </c>
      <c r="E1039" s="225"/>
    </row>
    <row r="1040" spans="1:9" x14ac:dyDescent="0.35">
      <c r="A1040" s="224">
        <v>711211</v>
      </c>
      <c r="B1040" s="224" t="s">
        <v>3038</v>
      </c>
      <c r="C1040" s="224">
        <v>711211</v>
      </c>
      <c r="D1040" s="224" t="s">
        <v>3038</v>
      </c>
      <c r="E1040" s="225"/>
    </row>
    <row r="1041" spans="1:4" x14ac:dyDescent="0.35">
      <c r="A1041" s="224">
        <v>711212</v>
      </c>
      <c r="B1041" s="224" t="s">
        <v>3039</v>
      </c>
      <c r="C1041" s="224">
        <v>711212</v>
      </c>
      <c r="D1041" s="224" t="s">
        <v>3039</v>
      </c>
    </row>
    <row r="1042" spans="1:4" x14ac:dyDescent="0.35">
      <c r="A1042" s="224">
        <v>711219</v>
      </c>
      <c r="B1042" s="224" t="s">
        <v>3040</v>
      </c>
      <c r="C1042" s="224">
        <v>711219</v>
      </c>
      <c r="D1042" s="224" t="s">
        <v>3040</v>
      </c>
    </row>
    <row r="1043" spans="1:4" ht="25" x14ac:dyDescent="0.35">
      <c r="A1043" s="224">
        <v>711310</v>
      </c>
      <c r="B1043" s="224" t="s">
        <v>3041</v>
      </c>
      <c r="C1043" s="224">
        <v>711310</v>
      </c>
      <c r="D1043" s="224" t="s">
        <v>3041</v>
      </c>
    </row>
    <row r="1044" spans="1:4" ht="25" x14ac:dyDescent="0.35">
      <c r="A1044" s="224">
        <v>711320</v>
      </c>
      <c r="B1044" s="224" t="s">
        <v>3042</v>
      </c>
      <c r="C1044" s="224">
        <v>711320</v>
      </c>
      <c r="D1044" s="224" t="s">
        <v>3042</v>
      </c>
    </row>
    <row r="1045" spans="1:4" ht="37.5" x14ac:dyDescent="0.35">
      <c r="A1045" s="224">
        <v>711410</v>
      </c>
      <c r="B1045" s="224" t="s">
        <v>3043</v>
      </c>
      <c r="C1045" s="224">
        <v>711410</v>
      </c>
      <c r="D1045" s="224" t="s">
        <v>3043</v>
      </c>
    </row>
    <row r="1046" spans="1:4" ht="25" x14ac:dyDescent="0.35">
      <c r="A1046" s="224">
        <v>711510</v>
      </c>
      <c r="B1046" s="224" t="s">
        <v>3044</v>
      </c>
      <c r="C1046" s="224">
        <v>711510</v>
      </c>
      <c r="D1046" s="224" t="s">
        <v>3044</v>
      </c>
    </row>
    <row r="1047" spans="1:4" x14ac:dyDescent="0.35">
      <c r="A1047" s="224">
        <v>712110</v>
      </c>
      <c r="B1047" s="224" t="s">
        <v>3045</v>
      </c>
      <c r="C1047" s="224">
        <v>712110</v>
      </c>
      <c r="D1047" s="224" t="s">
        <v>3045</v>
      </c>
    </row>
    <row r="1048" spans="1:4" x14ac:dyDescent="0.35">
      <c r="A1048" s="224">
        <v>712120</v>
      </c>
      <c r="B1048" s="224" t="s">
        <v>3046</v>
      </c>
      <c r="C1048" s="224">
        <v>712120</v>
      </c>
      <c r="D1048" s="224" t="s">
        <v>3046</v>
      </c>
    </row>
    <row r="1049" spans="1:4" x14ac:dyDescent="0.35">
      <c r="A1049" s="224">
        <v>712130</v>
      </c>
      <c r="B1049" s="224" t="s">
        <v>3047</v>
      </c>
      <c r="C1049" s="224">
        <v>712130</v>
      </c>
      <c r="D1049" s="224" t="s">
        <v>3047</v>
      </c>
    </row>
    <row r="1050" spans="1:4" x14ac:dyDescent="0.35">
      <c r="A1050" s="224">
        <v>712190</v>
      </c>
      <c r="B1050" s="224" t="s">
        <v>3048</v>
      </c>
      <c r="C1050" s="224">
        <v>712190</v>
      </c>
      <c r="D1050" s="224" t="s">
        <v>3048</v>
      </c>
    </row>
    <row r="1051" spans="1:4" x14ac:dyDescent="0.35">
      <c r="A1051" s="224">
        <v>713110</v>
      </c>
      <c r="B1051" s="224" t="s">
        <v>3049</v>
      </c>
      <c r="C1051" s="224">
        <v>713110</v>
      </c>
      <c r="D1051" s="224" t="s">
        <v>3049</v>
      </c>
    </row>
    <row r="1052" spans="1:4" x14ac:dyDescent="0.35">
      <c r="A1052" s="224">
        <v>713120</v>
      </c>
      <c r="B1052" s="224" t="s">
        <v>3050</v>
      </c>
      <c r="C1052" s="224">
        <v>713120</v>
      </c>
      <c r="D1052" s="224" t="s">
        <v>3050</v>
      </c>
    </row>
    <row r="1053" spans="1:4" x14ac:dyDescent="0.35">
      <c r="A1053" s="224">
        <v>713210</v>
      </c>
      <c r="B1053" s="224" t="s">
        <v>3051</v>
      </c>
      <c r="C1053" s="224">
        <v>713210</v>
      </c>
      <c r="D1053" s="224" t="s">
        <v>3051</v>
      </c>
    </row>
    <row r="1054" spans="1:4" x14ac:dyDescent="0.35">
      <c r="A1054" s="224">
        <v>713290</v>
      </c>
      <c r="B1054" s="224" t="s">
        <v>3052</v>
      </c>
      <c r="C1054" s="224">
        <v>713290</v>
      </c>
      <c r="D1054" s="224" t="s">
        <v>3052</v>
      </c>
    </row>
    <row r="1055" spans="1:4" x14ac:dyDescent="0.35">
      <c r="A1055" s="224">
        <v>713910</v>
      </c>
      <c r="B1055" s="224" t="s">
        <v>3053</v>
      </c>
      <c r="C1055" s="224">
        <v>713910</v>
      </c>
      <c r="D1055" s="224" t="s">
        <v>3053</v>
      </c>
    </row>
    <row r="1056" spans="1:4" x14ac:dyDescent="0.35">
      <c r="A1056" s="224">
        <v>713920</v>
      </c>
      <c r="B1056" s="224" t="s">
        <v>3054</v>
      </c>
      <c r="C1056" s="224">
        <v>713920</v>
      </c>
      <c r="D1056" s="224" t="s">
        <v>3054</v>
      </c>
    </row>
    <row r="1057" spans="1:7" x14ac:dyDescent="0.35">
      <c r="A1057" s="224">
        <v>713930</v>
      </c>
      <c r="B1057" s="224" t="s">
        <v>3055</v>
      </c>
      <c r="C1057" s="224">
        <v>713930</v>
      </c>
      <c r="D1057" s="224" t="s">
        <v>3055</v>
      </c>
      <c r="E1057" s="225"/>
    </row>
    <row r="1058" spans="1:7" x14ac:dyDescent="0.35">
      <c r="A1058" s="224">
        <v>713940</v>
      </c>
      <c r="B1058" s="224" t="s">
        <v>3056</v>
      </c>
      <c r="C1058" s="224">
        <v>713940</v>
      </c>
      <c r="D1058" s="224" t="s">
        <v>3056</v>
      </c>
      <c r="E1058" s="225"/>
      <c r="G1058" s="11" t="s">
        <v>1904</v>
      </c>
    </row>
    <row r="1059" spans="1:7" x14ac:dyDescent="0.35">
      <c r="A1059" s="224">
        <v>713950</v>
      </c>
      <c r="B1059" s="224" t="s">
        <v>3057</v>
      </c>
      <c r="C1059" s="224">
        <v>713950</v>
      </c>
      <c r="D1059" s="224" t="s">
        <v>3057</v>
      </c>
      <c r="E1059" s="225"/>
    </row>
    <row r="1060" spans="1:7" ht="25" x14ac:dyDescent="0.35">
      <c r="A1060" s="224">
        <v>713990</v>
      </c>
      <c r="B1060" s="224" t="s">
        <v>3058</v>
      </c>
      <c r="C1060" s="224">
        <v>713990</v>
      </c>
      <c r="D1060" s="224" t="s">
        <v>3058</v>
      </c>
      <c r="E1060" s="225"/>
    </row>
    <row r="1061" spans="1:7" x14ac:dyDescent="0.35">
      <c r="A1061" s="224">
        <v>721110</v>
      </c>
      <c r="B1061" s="224" t="s">
        <v>3059</v>
      </c>
      <c r="C1061" s="224">
        <v>721110</v>
      </c>
      <c r="D1061" s="224" t="s">
        <v>3059</v>
      </c>
      <c r="E1061" s="225"/>
    </row>
    <row r="1062" spans="1:7" x14ac:dyDescent="0.35">
      <c r="A1062" s="224">
        <v>721120</v>
      </c>
      <c r="B1062" s="224" t="s">
        <v>3060</v>
      </c>
      <c r="C1062" s="224">
        <v>721120</v>
      </c>
      <c r="D1062" s="224" t="s">
        <v>3060</v>
      </c>
      <c r="E1062" s="225"/>
    </row>
    <row r="1063" spans="1:7" x14ac:dyDescent="0.35">
      <c r="A1063" s="224">
        <v>721191</v>
      </c>
      <c r="B1063" s="224" t="s">
        <v>3061</v>
      </c>
      <c r="C1063" s="224">
        <v>721191</v>
      </c>
      <c r="D1063" s="224" t="s">
        <v>3061</v>
      </c>
      <c r="E1063" s="225"/>
    </row>
    <row r="1064" spans="1:7" x14ac:dyDescent="0.35">
      <c r="A1064" s="224">
        <v>721199</v>
      </c>
      <c r="B1064" s="224" t="s">
        <v>3062</v>
      </c>
      <c r="C1064" s="224">
        <v>721199</v>
      </c>
      <c r="D1064" s="224" t="s">
        <v>3062</v>
      </c>
      <c r="E1064" s="225"/>
    </row>
    <row r="1065" spans="1:7" ht="25" x14ac:dyDescent="0.35">
      <c r="A1065" s="224">
        <v>721211</v>
      </c>
      <c r="B1065" s="224" t="s">
        <v>3063</v>
      </c>
      <c r="C1065" s="224">
        <v>721211</v>
      </c>
      <c r="D1065" s="224" t="s">
        <v>3063</v>
      </c>
      <c r="E1065" s="225"/>
    </row>
    <row r="1066" spans="1:7" ht="25" x14ac:dyDescent="0.35">
      <c r="A1066" s="224">
        <v>721214</v>
      </c>
      <c r="B1066" s="224" t="s">
        <v>3064</v>
      </c>
      <c r="C1066" s="224">
        <v>721214</v>
      </c>
      <c r="D1066" s="224" t="s">
        <v>3064</v>
      </c>
      <c r="E1066" s="225"/>
    </row>
    <row r="1067" spans="1:7" ht="25" x14ac:dyDescent="0.35">
      <c r="A1067" s="224">
        <v>721310</v>
      </c>
      <c r="B1067" s="224" t="s">
        <v>3065</v>
      </c>
      <c r="C1067" s="224">
        <v>721310</v>
      </c>
      <c r="D1067" s="224" t="s">
        <v>3065</v>
      </c>
      <c r="E1067" s="225"/>
    </row>
    <row r="1068" spans="1:7" x14ac:dyDescent="0.35">
      <c r="A1068" s="224">
        <v>722310</v>
      </c>
      <c r="B1068" s="224" t="s">
        <v>3066</v>
      </c>
      <c r="C1068" s="224">
        <v>722310</v>
      </c>
      <c r="D1068" s="224" t="s">
        <v>3066</v>
      </c>
      <c r="E1068" s="225"/>
    </row>
    <row r="1069" spans="1:7" x14ac:dyDescent="0.35">
      <c r="A1069" s="224">
        <v>722320</v>
      </c>
      <c r="B1069" s="224" t="s">
        <v>3067</v>
      </c>
      <c r="C1069" s="224">
        <v>722320</v>
      </c>
      <c r="D1069" s="224" t="s">
        <v>3067</v>
      </c>
      <c r="E1069" s="225"/>
    </row>
    <row r="1070" spans="1:7" x14ac:dyDescent="0.35">
      <c r="A1070" s="224">
        <v>722330</v>
      </c>
      <c r="B1070" s="224" t="s">
        <v>3068</v>
      </c>
      <c r="C1070" s="224">
        <v>722330</v>
      </c>
      <c r="D1070" s="224" t="s">
        <v>3068</v>
      </c>
      <c r="E1070" s="225"/>
    </row>
    <row r="1071" spans="1:7" x14ac:dyDescent="0.35">
      <c r="A1071" s="224">
        <v>722410</v>
      </c>
      <c r="B1071" s="224" t="s">
        <v>3069</v>
      </c>
      <c r="C1071" s="224">
        <v>722410</v>
      </c>
      <c r="D1071" s="224" t="s">
        <v>3069</v>
      </c>
      <c r="E1071" s="225"/>
    </row>
    <row r="1072" spans="1:7" x14ac:dyDescent="0.35">
      <c r="A1072" s="318">
        <v>722511</v>
      </c>
      <c r="B1072" s="318" t="s">
        <v>3070</v>
      </c>
      <c r="C1072" s="318">
        <v>722511</v>
      </c>
      <c r="D1072" s="318" t="s">
        <v>3070</v>
      </c>
      <c r="E1072" s="319"/>
    </row>
    <row r="1073" spans="1:6" x14ac:dyDescent="0.35">
      <c r="A1073" s="318">
        <v>722513</v>
      </c>
      <c r="B1073" s="318" t="s">
        <v>3071</v>
      </c>
      <c r="C1073" s="318">
        <v>722513</v>
      </c>
      <c r="D1073" s="318" t="s">
        <v>3071</v>
      </c>
      <c r="E1073" s="319"/>
    </row>
    <row r="1074" spans="1:6" x14ac:dyDescent="0.35">
      <c r="A1074" s="318">
        <v>722514</v>
      </c>
      <c r="B1074" s="318" t="s">
        <v>3072</v>
      </c>
      <c r="C1074" s="318">
        <v>722514</v>
      </c>
      <c r="D1074" s="318" t="s">
        <v>3072</v>
      </c>
      <c r="E1074" s="319"/>
    </row>
    <row r="1075" spans="1:6" x14ac:dyDescent="0.35">
      <c r="A1075" s="318">
        <v>722515</v>
      </c>
      <c r="B1075" s="318" t="s">
        <v>3073</v>
      </c>
      <c r="C1075" s="318">
        <v>722515</v>
      </c>
      <c r="D1075" s="318" t="s">
        <v>3073</v>
      </c>
      <c r="E1075" s="319"/>
    </row>
    <row r="1076" spans="1:6" x14ac:dyDescent="0.35">
      <c r="A1076" s="224">
        <v>811111</v>
      </c>
      <c r="B1076" s="224" t="s">
        <v>3074</v>
      </c>
      <c r="C1076" s="224">
        <v>811111</v>
      </c>
      <c r="D1076" s="224" t="s">
        <v>3074</v>
      </c>
      <c r="E1076" s="225"/>
    </row>
    <row r="1077" spans="1:6" x14ac:dyDescent="0.35">
      <c r="A1077" s="224">
        <v>811112</v>
      </c>
      <c r="B1077" s="224" t="s">
        <v>3075</v>
      </c>
      <c r="C1077" s="227">
        <v>811114</v>
      </c>
      <c r="D1077" s="224" t="s">
        <v>3076</v>
      </c>
      <c r="E1077" s="228"/>
    </row>
    <row r="1078" spans="1:6" x14ac:dyDescent="0.35">
      <c r="A1078" s="224">
        <v>811113</v>
      </c>
      <c r="B1078" s="224" t="s">
        <v>3077</v>
      </c>
      <c r="C1078" s="227">
        <v>811114</v>
      </c>
      <c r="D1078" s="224" t="s">
        <v>3076</v>
      </c>
      <c r="E1078" s="228"/>
    </row>
    <row r="1079" spans="1:6" ht="25" x14ac:dyDescent="0.35">
      <c r="A1079" s="224">
        <v>811118</v>
      </c>
      <c r="B1079" s="224" t="s">
        <v>3078</v>
      </c>
      <c r="C1079" s="227">
        <v>811114</v>
      </c>
      <c r="D1079" s="224" t="s">
        <v>3076</v>
      </c>
      <c r="E1079" s="228"/>
    </row>
    <row r="1080" spans="1:6" ht="25" x14ac:dyDescent="0.35">
      <c r="A1080" s="224">
        <v>811121</v>
      </c>
      <c r="B1080" s="224" t="s">
        <v>3079</v>
      </c>
      <c r="C1080" s="224">
        <v>811121</v>
      </c>
      <c r="D1080" s="224" t="s">
        <v>3079</v>
      </c>
      <c r="E1080" s="225"/>
    </row>
    <row r="1081" spans="1:6" x14ac:dyDescent="0.35">
      <c r="A1081" s="224">
        <v>811122</v>
      </c>
      <c r="B1081" s="224" t="s">
        <v>3080</v>
      </c>
      <c r="C1081" s="224">
        <v>811122</v>
      </c>
      <c r="D1081" s="224" t="s">
        <v>3080</v>
      </c>
      <c r="E1081" s="225"/>
    </row>
    <row r="1082" spans="1:6" ht="25" x14ac:dyDescent="0.35">
      <c r="A1082" s="224">
        <v>811191</v>
      </c>
      <c r="B1082" s="224" t="s">
        <v>3081</v>
      </c>
      <c r="C1082" s="224">
        <v>811191</v>
      </c>
      <c r="D1082" s="224" t="s">
        <v>3081</v>
      </c>
      <c r="E1082" s="225"/>
    </row>
    <row r="1083" spans="1:6" x14ac:dyDescent="0.35">
      <c r="A1083" s="224">
        <v>811192</v>
      </c>
      <c r="B1083" s="224" t="s">
        <v>3082</v>
      </c>
      <c r="C1083" s="224">
        <v>811192</v>
      </c>
      <c r="D1083" s="224" t="s">
        <v>3082</v>
      </c>
      <c r="E1083" s="225"/>
      <c r="F1083" s="11" t="s">
        <v>1904</v>
      </c>
    </row>
    <row r="1084" spans="1:6" ht="25" x14ac:dyDescent="0.35">
      <c r="A1084" s="224">
        <v>811198</v>
      </c>
      <c r="B1084" s="224" t="s">
        <v>3083</v>
      </c>
      <c r="C1084" s="224">
        <v>811198</v>
      </c>
      <c r="D1084" s="224" t="s">
        <v>3083</v>
      </c>
      <c r="E1084" s="225"/>
    </row>
    <row r="1085" spans="1:6" ht="25" x14ac:dyDescent="0.35">
      <c r="A1085" s="224">
        <v>811211</v>
      </c>
      <c r="B1085" s="224" t="s">
        <v>3084</v>
      </c>
      <c r="C1085" s="227">
        <v>811210</v>
      </c>
      <c r="D1085" s="224" t="s">
        <v>3085</v>
      </c>
      <c r="E1085" s="228"/>
    </row>
    <row r="1086" spans="1:6" ht="25" x14ac:dyDescent="0.35">
      <c r="A1086" s="224">
        <v>811212</v>
      </c>
      <c r="B1086" s="224" t="s">
        <v>3086</v>
      </c>
      <c r="C1086" s="227">
        <v>811210</v>
      </c>
      <c r="D1086" s="224" t="s">
        <v>3085</v>
      </c>
      <c r="E1086" s="228"/>
    </row>
    <row r="1087" spans="1:6" ht="25" x14ac:dyDescent="0.35">
      <c r="A1087" s="224">
        <v>811213</v>
      </c>
      <c r="B1087" s="224" t="s">
        <v>3087</v>
      </c>
      <c r="C1087" s="227">
        <v>811210</v>
      </c>
      <c r="D1087" s="224" t="s">
        <v>3085</v>
      </c>
      <c r="E1087" s="228"/>
    </row>
    <row r="1088" spans="1:6" ht="25" x14ac:dyDescent="0.35">
      <c r="A1088" s="224">
        <v>811219</v>
      </c>
      <c r="B1088" s="224" t="s">
        <v>3088</v>
      </c>
      <c r="C1088" s="227">
        <v>811210</v>
      </c>
      <c r="D1088" s="224" t="s">
        <v>3085</v>
      </c>
      <c r="E1088" s="228"/>
    </row>
    <row r="1089" spans="1:7" ht="37.5" x14ac:dyDescent="0.35">
      <c r="A1089" s="224">
        <v>811310</v>
      </c>
      <c r="B1089" s="224" t="s">
        <v>3089</v>
      </c>
      <c r="C1089" s="224">
        <v>811310</v>
      </c>
      <c r="D1089" s="224" t="s">
        <v>3089</v>
      </c>
      <c r="E1089" s="225"/>
    </row>
    <row r="1090" spans="1:7" ht="25" x14ac:dyDescent="0.35">
      <c r="A1090" s="224">
        <v>811411</v>
      </c>
      <c r="B1090" s="224" t="s">
        <v>3090</v>
      </c>
      <c r="C1090" s="224">
        <v>811411</v>
      </c>
      <c r="D1090" s="224" t="s">
        <v>3090</v>
      </c>
      <c r="E1090" s="225"/>
    </row>
    <row r="1091" spans="1:7" x14ac:dyDescent="0.35">
      <c r="A1091" s="224">
        <v>811412</v>
      </c>
      <c r="B1091" s="224" t="s">
        <v>3091</v>
      </c>
      <c r="C1091" s="224">
        <v>811412</v>
      </c>
      <c r="D1091" s="224" t="s">
        <v>3091</v>
      </c>
      <c r="E1091" s="225"/>
    </row>
    <row r="1092" spans="1:7" x14ac:dyDescent="0.35">
      <c r="A1092" s="224">
        <v>811420</v>
      </c>
      <c r="B1092" s="224" t="s">
        <v>3092</v>
      </c>
      <c r="C1092" s="224">
        <v>811420</v>
      </c>
      <c r="D1092" s="224" t="s">
        <v>3092</v>
      </c>
      <c r="E1092" s="225"/>
    </row>
    <row r="1093" spans="1:7" x14ac:dyDescent="0.35">
      <c r="A1093" s="224">
        <v>811430</v>
      </c>
      <c r="B1093" s="224" t="s">
        <v>3093</v>
      </c>
      <c r="C1093" s="224">
        <v>811430</v>
      </c>
      <c r="D1093" s="224" t="s">
        <v>3093</v>
      </c>
      <c r="E1093" s="225"/>
    </row>
    <row r="1094" spans="1:7" ht="25" x14ac:dyDescent="0.35">
      <c r="A1094" s="224">
        <v>811490</v>
      </c>
      <c r="B1094" s="224" t="s">
        <v>3094</v>
      </c>
      <c r="C1094" s="224">
        <v>811490</v>
      </c>
      <c r="D1094" s="224" t="s">
        <v>3094</v>
      </c>
      <c r="E1094" s="225"/>
    </row>
    <row r="1095" spans="1:7" x14ac:dyDescent="0.35">
      <c r="A1095" s="224">
        <v>812111</v>
      </c>
      <c r="B1095" s="224" t="s">
        <v>3095</v>
      </c>
      <c r="C1095" s="224">
        <v>812111</v>
      </c>
      <c r="D1095" s="224" t="s">
        <v>3095</v>
      </c>
      <c r="E1095" s="225"/>
    </row>
    <row r="1096" spans="1:7" x14ac:dyDescent="0.35">
      <c r="A1096" s="224">
        <v>812112</v>
      </c>
      <c r="B1096" s="224" t="s">
        <v>3096</v>
      </c>
      <c r="C1096" s="224">
        <v>812112</v>
      </c>
      <c r="D1096" s="224" t="s">
        <v>3096</v>
      </c>
      <c r="E1096" s="225"/>
    </row>
    <row r="1097" spans="1:7" x14ac:dyDescent="0.35">
      <c r="A1097" s="224">
        <v>812113</v>
      </c>
      <c r="B1097" s="224" t="s">
        <v>3097</v>
      </c>
      <c r="C1097" s="224">
        <v>812113</v>
      </c>
      <c r="D1097" s="224" t="s">
        <v>3097</v>
      </c>
      <c r="E1097" s="225"/>
    </row>
    <row r="1098" spans="1:7" x14ac:dyDescent="0.35">
      <c r="A1098" s="224">
        <v>812191</v>
      </c>
      <c r="B1098" s="224" t="s">
        <v>3098</v>
      </c>
      <c r="C1098" s="224">
        <v>812191</v>
      </c>
      <c r="D1098" s="224" t="s">
        <v>3098</v>
      </c>
      <c r="E1098" s="225"/>
    </row>
    <row r="1099" spans="1:7" x14ac:dyDescent="0.35">
      <c r="A1099" s="224">
        <v>812199</v>
      </c>
      <c r="B1099" s="224" t="s">
        <v>3099</v>
      </c>
      <c r="C1099" s="224">
        <v>812199</v>
      </c>
      <c r="D1099" s="224" t="s">
        <v>3099</v>
      </c>
      <c r="E1099" s="225"/>
    </row>
    <row r="1100" spans="1:7" x14ac:dyDescent="0.35">
      <c r="A1100" s="224">
        <v>812210</v>
      </c>
      <c r="B1100" s="224" t="s">
        <v>3100</v>
      </c>
      <c r="C1100" s="224">
        <v>812210</v>
      </c>
      <c r="D1100" s="224" t="s">
        <v>3100</v>
      </c>
      <c r="E1100" s="225"/>
    </row>
    <row r="1101" spans="1:7" x14ac:dyDescent="0.35">
      <c r="A1101" s="224">
        <v>812220</v>
      </c>
      <c r="B1101" s="224" t="s">
        <v>3101</v>
      </c>
      <c r="C1101" s="224">
        <v>812220</v>
      </c>
      <c r="D1101" s="224" t="s">
        <v>3101</v>
      </c>
      <c r="E1101" s="225"/>
    </row>
    <row r="1102" spans="1:7" x14ac:dyDescent="0.35">
      <c r="A1102" s="224">
        <v>812310</v>
      </c>
      <c r="B1102" s="224" t="s">
        <v>3102</v>
      </c>
      <c r="C1102" s="224">
        <v>812310</v>
      </c>
      <c r="D1102" s="224" t="s">
        <v>3102</v>
      </c>
      <c r="E1102" s="225"/>
      <c r="G1102" s="11" t="s">
        <v>1904</v>
      </c>
    </row>
    <row r="1103" spans="1:7" ht="25" x14ac:dyDescent="0.35">
      <c r="A1103" s="224">
        <v>812320</v>
      </c>
      <c r="B1103" s="224" t="s">
        <v>3103</v>
      </c>
      <c r="C1103" s="224">
        <v>812320</v>
      </c>
      <c r="D1103" s="224" t="s">
        <v>3103</v>
      </c>
      <c r="E1103" s="225"/>
    </row>
    <row r="1104" spans="1:7" x14ac:dyDescent="0.35">
      <c r="A1104" s="224">
        <v>812331</v>
      </c>
      <c r="B1104" s="224" t="s">
        <v>3104</v>
      </c>
      <c r="C1104" s="224">
        <v>812331</v>
      </c>
      <c r="D1104" s="224" t="s">
        <v>3104</v>
      </c>
      <c r="E1104" s="225"/>
    </row>
    <row r="1105" spans="1:4" x14ac:dyDescent="0.35">
      <c r="A1105" s="224">
        <v>812332</v>
      </c>
      <c r="B1105" s="224" t="s">
        <v>3105</v>
      </c>
      <c r="C1105" s="224">
        <v>812332</v>
      </c>
      <c r="D1105" s="224" t="s">
        <v>3105</v>
      </c>
    </row>
    <row r="1106" spans="1:4" x14ac:dyDescent="0.35">
      <c r="A1106" s="224">
        <v>812910</v>
      </c>
      <c r="B1106" s="224" t="s">
        <v>3106</v>
      </c>
      <c r="C1106" s="224">
        <v>812910</v>
      </c>
      <c r="D1106" s="224" t="s">
        <v>3106</v>
      </c>
    </row>
    <row r="1107" spans="1:4" ht="25" x14ac:dyDescent="0.35">
      <c r="A1107" s="224">
        <v>812921</v>
      </c>
      <c r="B1107" s="224" t="s">
        <v>3107</v>
      </c>
      <c r="C1107" s="224">
        <v>812921</v>
      </c>
      <c r="D1107" s="224" t="s">
        <v>3107</v>
      </c>
    </row>
    <row r="1108" spans="1:4" x14ac:dyDescent="0.35">
      <c r="A1108" s="224">
        <v>812922</v>
      </c>
      <c r="B1108" s="224" t="s">
        <v>3108</v>
      </c>
      <c r="C1108" s="224">
        <v>812922</v>
      </c>
      <c r="D1108" s="224" t="s">
        <v>3108</v>
      </c>
    </row>
    <row r="1109" spans="1:4" x14ac:dyDescent="0.35">
      <c r="A1109" s="224">
        <v>812930</v>
      </c>
      <c r="B1109" s="224" t="s">
        <v>3109</v>
      </c>
      <c r="C1109" s="224">
        <v>812930</v>
      </c>
      <c r="D1109" s="224" t="s">
        <v>3109</v>
      </c>
    </row>
    <row r="1110" spans="1:4" x14ac:dyDescent="0.35">
      <c r="A1110" s="224">
        <v>812990</v>
      </c>
      <c r="B1110" s="224" t="s">
        <v>3110</v>
      </c>
      <c r="C1110" s="224">
        <v>812990</v>
      </c>
      <c r="D1110" s="224" t="s">
        <v>3110</v>
      </c>
    </row>
    <row r="1111" spans="1:4" x14ac:dyDescent="0.35">
      <c r="A1111" s="224">
        <v>813110</v>
      </c>
      <c r="B1111" s="224" t="s">
        <v>3111</v>
      </c>
      <c r="C1111" s="224">
        <v>813110</v>
      </c>
      <c r="D1111" s="224" t="s">
        <v>3111</v>
      </c>
    </row>
    <row r="1112" spans="1:4" x14ac:dyDescent="0.35">
      <c r="A1112" s="224">
        <v>813211</v>
      </c>
      <c r="B1112" s="224" t="s">
        <v>3112</v>
      </c>
      <c r="C1112" s="224">
        <v>813211</v>
      </c>
      <c r="D1112" s="224" t="s">
        <v>3112</v>
      </c>
    </row>
    <row r="1113" spans="1:4" x14ac:dyDescent="0.35">
      <c r="A1113" s="224">
        <v>813212</v>
      </c>
      <c r="B1113" s="224" t="s">
        <v>3113</v>
      </c>
      <c r="C1113" s="224">
        <v>813212</v>
      </c>
      <c r="D1113" s="224" t="s">
        <v>3113</v>
      </c>
    </row>
    <row r="1114" spans="1:4" x14ac:dyDescent="0.35">
      <c r="A1114" s="224">
        <v>813219</v>
      </c>
      <c r="B1114" s="224" t="s">
        <v>3114</v>
      </c>
      <c r="C1114" s="224">
        <v>813219</v>
      </c>
      <c r="D1114" s="224" t="s">
        <v>3114</v>
      </c>
    </row>
    <row r="1115" spans="1:4" x14ac:dyDescent="0.35">
      <c r="A1115" s="224">
        <v>813311</v>
      </c>
      <c r="B1115" s="224" t="s">
        <v>3115</v>
      </c>
      <c r="C1115" s="224">
        <v>813311</v>
      </c>
      <c r="D1115" s="224" t="s">
        <v>3115</v>
      </c>
    </row>
    <row r="1116" spans="1:4" ht="25" x14ac:dyDescent="0.35">
      <c r="A1116" s="224">
        <v>813312</v>
      </c>
      <c r="B1116" s="224" t="s">
        <v>3116</v>
      </c>
      <c r="C1116" s="224">
        <v>813312</v>
      </c>
      <c r="D1116" s="224" t="s">
        <v>3116</v>
      </c>
    </row>
    <row r="1117" spans="1:4" x14ac:dyDescent="0.35">
      <c r="A1117" s="224">
        <v>813319</v>
      </c>
      <c r="B1117" s="224" t="s">
        <v>3117</v>
      </c>
      <c r="C1117" s="224">
        <v>813319</v>
      </c>
      <c r="D1117" s="224" t="s">
        <v>3117</v>
      </c>
    </row>
    <row r="1118" spans="1:4" x14ac:dyDescent="0.35">
      <c r="A1118" s="224">
        <v>813410</v>
      </c>
      <c r="B1118" s="224" t="s">
        <v>3118</v>
      </c>
      <c r="C1118" s="224">
        <v>813410</v>
      </c>
      <c r="D1118" s="224" t="s">
        <v>3118</v>
      </c>
    </row>
    <row r="1119" spans="1:4" x14ac:dyDescent="0.35">
      <c r="A1119" s="224">
        <v>813910</v>
      </c>
      <c r="B1119" s="224" t="s">
        <v>3119</v>
      </c>
      <c r="C1119" s="224">
        <v>813910</v>
      </c>
      <c r="D1119" s="224" t="s">
        <v>3119</v>
      </c>
    </row>
    <row r="1120" spans="1:4" x14ac:dyDescent="0.35">
      <c r="A1120" s="224">
        <v>813920</v>
      </c>
      <c r="B1120" s="224" t="s">
        <v>3120</v>
      </c>
      <c r="C1120" s="224">
        <v>813920</v>
      </c>
      <c r="D1120" s="224" t="s">
        <v>3120</v>
      </c>
    </row>
    <row r="1121" spans="1:8" ht="25" x14ac:dyDescent="0.35">
      <c r="A1121" s="224">
        <v>813930</v>
      </c>
      <c r="B1121" s="224" t="s">
        <v>3121</v>
      </c>
      <c r="C1121" s="224">
        <v>813930</v>
      </c>
      <c r="D1121" s="224" t="s">
        <v>3121</v>
      </c>
      <c r="E1121" s="225"/>
    </row>
    <row r="1122" spans="1:8" x14ac:dyDescent="0.35">
      <c r="A1122" s="224">
        <v>813940</v>
      </c>
      <c r="B1122" s="224" t="s">
        <v>3122</v>
      </c>
      <c r="C1122" s="224">
        <v>813940</v>
      </c>
      <c r="D1122" s="224" t="s">
        <v>3122</v>
      </c>
      <c r="E1122" s="225"/>
    </row>
    <row r="1123" spans="1:8" ht="37.5" x14ac:dyDescent="0.35">
      <c r="A1123" s="224">
        <v>813990</v>
      </c>
      <c r="B1123" s="224" t="s">
        <v>3123</v>
      </c>
      <c r="C1123" s="224">
        <v>813990</v>
      </c>
      <c r="D1123" s="224" t="s">
        <v>3123</v>
      </c>
      <c r="E1123" s="225"/>
    </row>
    <row r="1124" spans="1:8" x14ac:dyDescent="0.35">
      <c r="A1124" s="224">
        <v>814110</v>
      </c>
      <c r="B1124" s="224" t="s">
        <v>3124</v>
      </c>
      <c r="C1124" s="224">
        <v>814110</v>
      </c>
      <c r="D1124" s="224" t="s">
        <v>3124</v>
      </c>
      <c r="E1124" s="225"/>
    </row>
    <row r="1125" spans="1:8" x14ac:dyDescent="0.35">
      <c r="A1125" s="224">
        <v>921110</v>
      </c>
      <c r="B1125" s="224" t="s">
        <v>3125</v>
      </c>
      <c r="C1125" s="224">
        <v>921110</v>
      </c>
      <c r="D1125" s="224" t="s">
        <v>3125</v>
      </c>
      <c r="E1125" s="225"/>
    </row>
    <row r="1126" spans="1:8" x14ac:dyDescent="0.35">
      <c r="A1126" s="224">
        <v>921120</v>
      </c>
      <c r="B1126" s="224" t="s">
        <v>3126</v>
      </c>
      <c r="C1126" s="224">
        <v>921120</v>
      </c>
      <c r="D1126" s="224" t="s">
        <v>3126</v>
      </c>
      <c r="E1126" s="225"/>
    </row>
    <row r="1127" spans="1:8" x14ac:dyDescent="0.35">
      <c r="A1127" s="224">
        <v>921130</v>
      </c>
      <c r="B1127" s="224" t="s">
        <v>3127</v>
      </c>
      <c r="C1127" s="224">
        <v>921130</v>
      </c>
      <c r="D1127" s="224" t="s">
        <v>3127</v>
      </c>
      <c r="E1127" s="225"/>
    </row>
    <row r="1128" spans="1:8" ht="25" x14ac:dyDescent="0.35">
      <c r="A1128" s="224">
        <v>921140</v>
      </c>
      <c r="B1128" s="224" t="s">
        <v>3128</v>
      </c>
      <c r="C1128" s="224">
        <v>921140</v>
      </c>
      <c r="D1128" s="224" t="s">
        <v>3128</v>
      </c>
      <c r="E1128" s="225"/>
    </row>
    <row r="1129" spans="1:8" ht="25" x14ac:dyDescent="0.35">
      <c r="A1129" s="224">
        <v>921150</v>
      </c>
      <c r="B1129" s="224" t="s">
        <v>3129</v>
      </c>
      <c r="C1129" s="224">
        <v>921150</v>
      </c>
      <c r="D1129" s="224" t="s">
        <v>3129</v>
      </c>
      <c r="E1129" s="225"/>
    </row>
    <row r="1130" spans="1:8" x14ac:dyDescent="0.35">
      <c r="A1130" s="224">
        <v>921190</v>
      </c>
      <c r="B1130" s="224" t="s">
        <v>3130</v>
      </c>
      <c r="C1130" s="224">
        <v>921190</v>
      </c>
      <c r="D1130" s="224" t="s">
        <v>3130</v>
      </c>
      <c r="E1130" s="225"/>
    </row>
    <row r="1131" spans="1:8" x14ac:dyDescent="0.35">
      <c r="A1131" s="224">
        <v>922110</v>
      </c>
      <c r="B1131" s="224" t="s">
        <v>3131</v>
      </c>
      <c r="C1131" s="224">
        <v>922110</v>
      </c>
      <c r="D1131" s="224" t="s">
        <v>3131</v>
      </c>
      <c r="E1131" s="225"/>
    </row>
    <row r="1132" spans="1:8" x14ac:dyDescent="0.35">
      <c r="A1132" s="224">
        <v>922120</v>
      </c>
      <c r="B1132" s="224" t="s">
        <v>3132</v>
      </c>
      <c r="C1132" s="224">
        <v>922120</v>
      </c>
      <c r="D1132" s="224" t="s">
        <v>3132</v>
      </c>
      <c r="E1132" s="225"/>
      <c r="H1132" s="11" t="s">
        <v>1904</v>
      </c>
    </row>
    <row r="1133" spans="1:8" x14ac:dyDescent="0.35">
      <c r="A1133" s="224">
        <v>922130</v>
      </c>
      <c r="B1133" s="224" t="s">
        <v>3133</v>
      </c>
      <c r="C1133" s="224">
        <v>922130</v>
      </c>
      <c r="D1133" s="224" t="s">
        <v>3133</v>
      </c>
      <c r="E1133" s="225"/>
    </row>
    <row r="1134" spans="1:8" x14ac:dyDescent="0.35">
      <c r="A1134" s="224">
        <v>922140</v>
      </c>
      <c r="B1134" s="224" t="s">
        <v>3134</v>
      </c>
      <c r="C1134" s="224">
        <v>922140</v>
      </c>
      <c r="D1134" s="224" t="s">
        <v>3134</v>
      </c>
      <c r="E1134" s="225"/>
    </row>
    <row r="1135" spans="1:8" x14ac:dyDescent="0.35">
      <c r="A1135" s="224">
        <v>922150</v>
      </c>
      <c r="B1135" s="224" t="s">
        <v>3135</v>
      </c>
      <c r="C1135" s="224">
        <v>922150</v>
      </c>
      <c r="D1135" s="224" t="s">
        <v>3135</v>
      </c>
      <c r="E1135" s="225"/>
    </row>
    <row r="1136" spans="1:8" x14ac:dyDescent="0.35">
      <c r="A1136" s="224">
        <v>922160</v>
      </c>
      <c r="B1136" s="224" t="s">
        <v>3136</v>
      </c>
      <c r="C1136" s="224">
        <v>922160</v>
      </c>
      <c r="D1136" s="224" t="s">
        <v>3136</v>
      </c>
      <c r="E1136" s="225"/>
    </row>
    <row r="1137" spans="1:6" ht="25" x14ac:dyDescent="0.35">
      <c r="A1137" s="224">
        <v>922190</v>
      </c>
      <c r="B1137" s="224" t="s">
        <v>3137</v>
      </c>
      <c r="C1137" s="224">
        <v>922190</v>
      </c>
      <c r="D1137" s="224" t="s">
        <v>3137</v>
      </c>
      <c r="E1137" s="225"/>
    </row>
    <row r="1138" spans="1:6" x14ac:dyDescent="0.35">
      <c r="A1138" s="224">
        <v>923110</v>
      </c>
      <c r="B1138" s="224" t="s">
        <v>3138</v>
      </c>
      <c r="C1138" s="224">
        <v>923110</v>
      </c>
      <c r="D1138" s="224" t="s">
        <v>3138</v>
      </c>
      <c r="E1138" s="225"/>
    </row>
    <row r="1139" spans="1:6" x14ac:dyDescent="0.35">
      <c r="A1139" s="224">
        <v>923120</v>
      </c>
      <c r="B1139" s="224" t="s">
        <v>3139</v>
      </c>
      <c r="C1139" s="224">
        <v>923120</v>
      </c>
      <c r="D1139" s="224" t="s">
        <v>3139</v>
      </c>
      <c r="E1139" s="225"/>
    </row>
    <row r="1140" spans="1:6" ht="37.5" x14ac:dyDescent="0.35">
      <c r="A1140" s="224">
        <v>923130</v>
      </c>
      <c r="B1140" s="224" t="s">
        <v>3140</v>
      </c>
      <c r="C1140" s="224">
        <v>923130</v>
      </c>
      <c r="D1140" s="224" t="s">
        <v>3140</v>
      </c>
      <c r="E1140" s="225"/>
    </row>
    <row r="1141" spans="1:6" x14ac:dyDescent="0.35">
      <c r="A1141" s="224">
        <v>923140</v>
      </c>
      <c r="B1141" s="224" t="s">
        <v>3141</v>
      </c>
      <c r="C1141" s="224">
        <v>923140</v>
      </c>
      <c r="D1141" s="224" t="s">
        <v>3141</v>
      </c>
      <c r="E1141" s="225"/>
    </row>
    <row r="1142" spans="1:6" ht="25" x14ac:dyDescent="0.35">
      <c r="A1142" s="224">
        <v>924110</v>
      </c>
      <c r="B1142" s="224" t="s">
        <v>3142</v>
      </c>
      <c r="C1142" s="224">
        <v>924110</v>
      </c>
      <c r="D1142" s="224" t="s">
        <v>3142</v>
      </c>
      <c r="E1142" s="225"/>
    </row>
    <row r="1143" spans="1:6" x14ac:dyDescent="0.35">
      <c r="A1143" s="224">
        <v>924120</v>
      </c>
      <c r="B1143" s="224" t="s">
        <v>3143</v>
      </c>
      <c r="C1143" s="224">
        <v>924120</v>
      </c>
      <c r="D1143" s="224" t="s">
        <v>3143</v>
      </c>
      <c r="E1143" s="225"/>
    </row>
    <row r="1144" spans="1:6" x14ac:dyDescent="0.35">
      <c r="A1144" s="224">
        <v>925110</v>
      </c>
      <c r="B1144" s="224" t="s">
        <v>3144</v>
      </c>
      <c r="C1144" s="224">
        <v>925110</v>
      </c>
      <c r="D1144" s="224" t="s">
        <v>3144</v>
      </c>
      <c r="E1144" s="225"/>
    </row>
    <row r="1145" spans="1:6" ht="25" x14ac:dyDescent="0.35">
      <c r="A1145" s="224">
        <v>925120</v>
      </c>
      <c r="B1145" s="224" t="s">
        <v>3145</v>
      </c>
      <c r="C1145" s="224">
        <v>925120</v>
      </c>
      <c r="D1145" s="224" t="s">
        <v>3145</v>
      </c>
      <c r="E1145" s="225"/>
      <c r="F1145" s="11" t="s">
        <v>1904</v>
      </c>
    </row>
    <row r="1146" spans="1:6" ht="25" x14ac:dyDescent="0.35">
      <c r="A1146" s="224">
        <v>926110</v>
      </c>
      <c r="B1146" s="224" t="s">
        <v>3146</v>
      </c>
      <c r="C1146" s="224">
        <v>926110</v>
      </c>
      <c r="D1146" s="224" t="s">
        <v>3146</v>
      </c>
      <c r="E1146" s="225"/>
    </row>
    <row r="1147" spans="1:6" ht="25" x14ac:dyDescent="0.35">
      <c r="A1147" s="224">
        <v>926120</v>
      </c>
      <c r="B1147" s="224" t="s">
        <v>3147</v>
      </c>
      <c r="C1147" s="224">
        <v>926120</v>
      </c>
      <c r="D1147" s="224" t="s">
        <v>3147</v>
      </c>
      <c r="E1147" s="225"/>
    </row>
    <row r="1148" spans="1:6" ht="37.5" x14ac:dyDescent="0.35">
      <c r="A1148" s="224">
        <v>926130</v>
      </c>
      <c r="B1148" s="224" t="s">
        <v>3148</v>
      </c>
      <c r="C1148" s="224">
        <v>926130</v>
      </c>
      <c r="D1148" s="224" t="s">
        <v>3148</v>
      </c>
      <c r="E1148" s="225"/>
    </row>
    <row r="1149" spans="1:6" ht="25" x14ac:dyDescent="0.35">
      <c r="A1149" s="224">
        <v>926140</v>
      </c>
      <c r="B1149" s="224" t="s">
        <v>3149</v>
      </c>
      <c r="C1149" s="224">
        <v>926140</v>
      </c>
      <c r="D1149" s="224" t="s">
        <v>3149</v>
      </c>
      <c r="E1149" s="225"/>
    </row>
    <row r="1150" spans="1:6" ht="25" x14ac:dyDescent="0.35">
      <c r="A1150" s="224">
        <v>926150</v>
      </c>
      <c r="B1150" s="224" t="s">
        <v>3150</v>
      </c>
      <c r="C1150" s="224">
        <v>926150</v>
      </c>
      <c r="D1150" s="224" t="s">
        <v>3150</v>
      </c>
      <c r="E1150" s="225"/>
    </row>
    <row r="1151" spans="1:6" x14ac:dyDescent="0.35">
      <c r="A1151" s="224">
        <v>927110</v>
      </c>
      <c r="B1151" s="224" t="s">
        <v>3151</v>
      </c>
      <c r="C1151" s="224">
        <v>927110</v>
      </c>
      <c r="D1151" s="224" t="s">
        <v>3151</v>
      </c>
      <c r="E1151" s="225"/>
    </row>
    <row r="1152" spans="1:6" x14ac:dyDescent="0.35">
      <c r="A1152" s="224">
        <v>928110</v>
      </c>
      <c r="B1152" s="224" t="s">
        <v>3152</v>
      </c>
      <c r="C1152" s="224">
        <v>928110</v>
      </c>
      <c r="D1152" s="224" t="s">
        <v>3152</v>
      </c>
      <c r="E1152" s="225"/>
    </row>
    <row r="1153" spans="1:4" x14ac:dyDescent="0.35">
      <c r="A1153" s="224">
        <v>928120</v>
      </c>
      <c r="B1153" s="224" t="s">
        <v>3153</v>
      </c>
      <c r="C1153" s="224">
        <v>928120</v>
      </c>
      <c r="D1153" s="224" t="s">
        <v>3153</v>
      </c>
    </row>
  </sheetData>
  <sheetProtection sheet="1" objects="1" scenarios="1" formatCells="0" formatColumns="0" formatRows="0" sort="0" autoFilter="0"/>
  <autoFilter ref="A1:K1153" xr:uid="{691A50BA-80C9-4E2C-8911-C10D36A6C062}">
    <filterColumn colId="0" showButton="0"/>
    <filterColumn colId="1" showButton="0"/>
    <filterColumn colId="2" showButton="0"/>
  </autoFilter>
  <mergeCells count="2">
    <mergeCell ref="A1:D1"/>
    <mergeCell ref="A2:D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647C-DA69-4559-AF98-A53615CD24E7}">
  <sheetPr codeName="Sheet16">
    <tabColor rgb="FF9933FF"/>
  </sheetPr>
  <dimension ref="A1:E54"/>
  <sheetViews>
    <sheetView workbookViewId="0"/>
  </sheetViews>
  <sheetFormatPr defaultRowHeight="14.5" x14ac:dyDescent="0.35"/>
  <cols>
    <col min="1" max="1" width="31.26953125" style="11" bestFit="1" customWidth="1"/>
    <col min="2" max="2" width="32.1796875" style="11" bestFit="1" customWidth="1"/>
    <col min="3" max="4" width="8.7265625" style="11"/>
    <col min="5" max="5" width="11.26953125" style="11" bestFit="1" customWidth="1"/>
    <col min="6" max="16384" width="8.7265625" style="11"/>
  </cols>
  <sheetData>
    <row r="1" spans="1:5" x14ac:dyDescent="0.35">
      <c r="A1" s="11" t="s">
        <v>3154</v>
      </c>
      <c r="B1" s="11" t="s">
        <v>3155</v>
      </c>
      <c r="D1" s="11" t="s">
        <v>3156</v>
      </c>
      <c r="E1" s="11" t="s">
        <v>3157</v>
      </c>
    </row>
    <row r="2" spans="1:5" x14ac:dyDescent="0.35">
      <c r="A2" s="177">
        <v>1</v>
      </c>
      <c r="B2" s="11" t="s">
        <v>3158</v>
      </c>
      <c r="D2" s="39" t="s">
        <v>545</v>
      </c>
      <c r="E2" s="11">
        <v>4</v>
      </c>
    </row>
    <row r="3" spans="1:5" x14ac:dyDescent="0.35">
      <c r="A3" s="163">
        <v>2</v>
      </c>
      <c r="B3" s="11" t="s">
        <v>3159</v>
      </c>
      <c r="D3" s="39" t="s">
        <v>3160</v>
      </c>
      <c r="E3" s="11">
        <v>10</v>
      </c>
    </row>
    <row r="4" spans="1:5" x14ac:dyDescent="0.35">
      <c r="A4" s="163">
        <v>3</v>
      </c>
      <c r="B4" s="11" t="s">
        <v>3161</v>
      </c>
      <c r="D4" s="39" t="s">
        <v>288</v>
      </c>
      <c r="E4" s="11">
        <v>9</v>
      </c>
    </row>
    <row r="5" spans="1:5" x14ac:dyDescent="0.35">
      <c r="A5" s="163">
        <v>4</v>
      </c>
      <c r="B5" s="11" t="s">
        <v>3162</v>
      </c>
      <c r="D5" s="39" t="s">
        <v>202</v>
      </c>
      <c r="E5" s="11">
        <v>6</v>
      </c>
    </row>
    <row r="6" spans="1:5" x14ac:dyDescent="0.35">
      <c r="A6" s="163">
        <v>5</v>
      </c>
      <c r="B6" s="11" t="s">
        <v>3163</v>
      </c>
      <c r="D6" s="39" t="s">
        <v>102</v>
      </c>
      <c r="E6" s="11">
        <v>9</v>
      </c>
    </row>
    <row r="7" spans="1:5" x14ac:dyDescent="0.35">
      <c r="A7" s="163">
        <v>6</v>
      </c>
      <c r="B7" s="11" t="s">
        <v>3164</v>
      </c>
      <c r="D7" s="39" t="s">
        <v>492</v>
      </c>
      <c r="E7" s="11">
        <v>8</v>
      </c>
    </row>
    <row r="8" spans="1:5" x14ac:dyDescent="0.35">
      <c r="A8" s="163">
        <v>7</v>
      </c>
      <c r="B8" s="11" t="s">
        <v>3165</v>
      </c>
      <c r="D8" s="39" t="s">
        <v>1862</v>
      </c>
      <c r="E8" s="11">
        <v>1</v>
      </c>
    </row>
    <row r="9" spans="1:5" x14ac:dyDescent="0.35">
      <c r="A9" s="163">
        <v>8</v>
      </c>
      <c r="B9" s="11" t="s">
        <v>3166</v>
      </c>
      <c r="D9" s="39" t="s">
        <v>515</v>
      </c>
      <c r="E9" s="11">
        <v>3</v>
      </c>
    </row>
    <row r="10" spans="1:5" x14ac:dyDescent="0.35">
      <c r="A10" s="163">
        <v>9</v>
      </c>
      <c r="B10" s="11" t="s">
        <v>3167</v>
      </c>
      <c r="D10" s="39" t="s">
        <v>3168</v>
      </c>
      <c r="E10" s="11">
        <v>3</v>
      </c>
    </row>
    <row r="11" spans="1:5" x14ac:dyDescent="0.35">
      <c r="A11" s="163">
        <v>10</v>
      </c>
      <c r="B11" s="11" t="s">
        <v>3169</v>
      </c>
      <c r="D11" s="39" t="s">
        <v>3170</v>
      </c>
      <c r="E11" s="11">
        <v>4</v>
      </c>
    </row>
    <row r="12" spans="1:5" x14ac:dyDescent="0.35">
      <c r="A12" s="163">
        <v>11</v>
      </c>
      <c r="B12" s="11" t="s">
        <v>3171</v>
      </c>
      <c r="D12" s="39" t="s">
        <v>567</v>
      </c>
      <c r="E12" s="11">
        <v>4</v>
      </c>
    </row>
    <row r="13" spans="1:5" x14ac:dyDescent="0.35">
      <c r="D13" s="39" t="s">
        <v>156</v>
      </c>
      <c r="E13" s="11">
        <v>9</v>
      </c>
    </row>
    <row r="14" spans="1:5" x14ac:dyDescent="0.35">
      <c r="D14" s="39" t="s">
        <v>3172</v>
      </c>
      <c r="E14" s="11">
        <v>10</v>
      </c>
    </row>
    <row r="15" spans="1:5" x14ac:dyDescent="0.35">
      <c r="D15" s="39" t="s">
        <v>111</v>
      </c>
      <c r="E15" s="11">
        <v>5</v>
      </c>
    </row>
    <row r="16" spans="1:5" x14ac:dyDescent="0.35">
      <c r="D16" s="39" t="s">
        <v>151</v>
      </c>
      <c r="E16" s="11">
        <v>5</v>
      </c>
    </row>
    <row r="17" spans="4:5" x14ac:dyDescent="0.35">
      <c r="D17" s="39" t="s">
        <v>3173</v>
      </c>
      <c r="E17" s="11">
        <v>7</v>
      </c>
    </row>
    <row r="18" spans="4:5" x14ac:dyDescent="0.35">
      <c r="D18" s="39" t="s">
        <v>3174</v>
      </c>
      <c r="E18" s="11">
        <v>7</v>
      </c>
    </row>
    <row r="19" spans="4:5" x14ac:dyDescent="0.35">
      <c r="D19" s="39" t="s">
        <v>108</v>
      </c>
      <c r="E19" s="11">
        <v>4</v>
      </c>
    </row>
    <row r="20" spans="4:5" x14ac:dyDescent="0.35">
      <c r="D20" s="39" t="s">
        <v>91</v>
      </c>
      <c r="E20" s="11">
        <v>6</v>
      </c>
    </row>
    <row r="21" spans="4:5" x14ac:dyDescent="0.35">
      <c r="D21" s="39" t="s">
        <v>592</v>
      </c>
      <c r="E21" s="11">
        <v>1</v>
      </c>
    </row>
    <row r="22" spans="4:5" x14ac:dyDescent="0.35">
      <c r="D22" s="39" t="s">
        <v>481</v>
      </c>
      <c r="E22" s="11">
        <v>3</v>
      </c>
    </row>
    <row r="23" spans="4:5" x14ac:dyDescent="0.35">
      <c r="D23" s="39" t="s">
        <v>451</v>
      </c>
      <c r="E23" s="11">
        <v>1</v>
      </c>
    </row>
    <row r="24" spans="4:5" x14ac:dyDescent="0.35">
      <c r="D24" s="39" t="s">
        <v>181</v>
      </c>
      <c r="E24" s="11">
        <v>5</v>
      </c>
    </row>
    <row r="25" spans="4:5" x14ac:dyDescent="0.35">
      <c r="D25" s="39" t="s">
        <v>328</v>
      </c>
      <c r="E25" s="11">
        <v>5</v>
      </c>
    </row>
    <row r="26" spans="4:5" x14ac:dyDescent="0.35">
      <c r="D26" s="39" t="s">
        <v>3175</v>
      </c>
      <c r="E26" s="11">
        <v>4</v>
      </c>
    </row>
    <row r="27" spans="4:5" x14ac:dyDescent="0.35">
      <c r="D27" s="39" t="s">
        <v>129</v>
      </c>
      <c r="E27" s="11">
        <v>7</v>
      </c>
    </row>
    <row r="28" spans="4:5" x14ac:dyDescent="0.35">
      <c r="D28" s="39" t="s">
        <v>3176</v>
      </c>
      <c r="E28" s="11">
        <v>8</v>
      </c>
    </row>
    <row r="29" spans="4:5" x14ac:dyDescent="0.35">
      <c r="D29" s="39" t="s">
        <v>560</v>
      </c>
      <c r="E29" s="11">
        <v>7</v>
      </c>
    </row>
    <row r="30" spans="4:5" x14ac:dyDescent="0.35">
      <c r="D30" s="39" t="s">
        <v>221</v>
      </c>
      <c r="E30" s="11">
        <v>9</v>
      </c>
    </row>
    <row r="31" spans="4:5" x14ac:dyDescent="0.35">
      <c r="D31" s="39" t="s">
        <v>3177</v>
      </c>
      <c r="E31" s="11">
        <v>1</v>
      </c>
    </row>
    <row r="32" spans="4:5" x14ac:dyDescent="0.35">
      <c r="D32" s="39" t="s">
        <v>254</v>
      </c>
      <c r="E32" s="11">
        <v>2</v>
      </c>
    </row>
    <row r="33" spans="4:5" x14ac:dyDescent="0.35">
      <c r="D33" s="39" t="s">
        <v>273</v>
      </c>
      <c r="E33" s="11">
        <v>6</v>
      </c>
    </row>
    <row r="34" spans="4:5" x14ac:dyDescent="0.35">
      <c r="D34" s="39" t="s">
        <v>126</v>
      </c>
      <c r="E34" s="11">
        <v>2</v>
      </c>
    </row>
    <row r="35" spans="4:5" x14ac:dyDescent="0.35">
      <c r="D35" s="39" t="s">
        <v>1824</v>
      </c>
      <c r="E35" s="11">
        <v>4</v>
      </c>
    </row>
    <row r="36" spans="4:5" x14ac:dyDescent="0.35">
      <c r="D36" s="39" t="s">
        <v>3178</v>
      </c>
      <c r="E36" s="11">
        <v>8</v>
      </c>
    </row>
    <row r="37" spans="4:5" x14ac:dyDescent="0.35">
      <c r="D37" s="39" t="s">
        <v>458</v>
      </c>
      <c r="E37" s="11">
        <v>5</v>
      </c>
    </row>
    <row r="38" spans="4:5" x14ac:dyDescent="0.35">
      <c r="D38" s="39" t="s">
        <v>3179</v>
      </c>
      <c r="E38" s="11">
        <v>6</v>
      </c>
    </row>
    <row r="39" spans="4:5" x14ac:dyDescent="0.35">
      <c r="D39" s="39" t="s">
        <v>601</v>
      </c>
      <c r="E39" s="11">
        <v>10</v>
      </c>
    </row>
    <row r="40" spans="4:5" x14ac:dyDescent="0.35">
      <c r="D40" s="39" t="s">
        <v>340</v>
      </c>
      <c r="E40" s="11">
        <v>3</v>
      </c>
    </row>
    <row r="41" spans="4:5" x14ac:dyDescent="0.35">
      <c r="D41" s="39" t="s">
        <v>400</v>
      </c>
      <c r="E41" s="11">
        <v>1</v>
      </c>
    </row>
    <row r="42" spans="4:5" x14ac:dyDescent="0.35">
      <c r="D42" s="39" t="s">
        <v>194</v>
      </c>
      <c r="E42" s="11">
        <v>4</v>
      </c>
    </row>
    <row r="43" spans="4:5" x14ac:dyDescent="0.35">
      <c r="D43" s="39" t="s">
        <v>3180</v>
      </c>
      <c r="E43" s="11">
        <v>8</v>
      </c>
    </row>
    <row r="44" spans="4:5" x14ac:dyDescent="0.35">
      <c r="D44" s="39" t="s">
        <v>161</v>
      </c>
      <c r="E44" s="11">
        <v>4</v>
      </c>
    </row>
    <row r="45" spans="4:5" x14ac:dyDescent="0.35">
      <c r="D45" s="39" t="s">
        <v>95</v>
      </c>
      <c r="E45" s="11">
        <v>6</v>
      </c>
    </row>
    <row r="46" spans="4:5" x14ac:dyDescent="0.35">
      <c r="D46" s="39" t="s">
        <v>670</v>
      </c>
      <c r="E46" s="11">
        <v>8</v>
      </c>
    </row>
    <row r="47" spans="4:5" x14ac:dyDescent="0.35">
      <c r="D47" s="39" t="s">
        <v>331</v>
      </c>
      <c r="E47" s="11">
        <v>1</v>
      </c>
    </row>
    <row r="48" spans="4:5" x14ac:dyDescent="0.35">
      <c r="D48" s="39" t="s">
        <v>276</v>
      </c>
      <c r="E48" s="11">
        <v>3</v>
      </c>
    </row>
    <row r="49" spans="4:5" x14ac:dyDescent="0.35">
      <c r="D49" s="39" t="s">
        <v>3181</v>
      </c>
      <c r="E49" s="11">
        <v>10</v>
      </c>
    </row>
    <row r="50" spans="4:5" x14ac:dyDescent="0.35">
      <c r="D50" s="39" t="s">
        <v>350</v>
      </c>
      <c r="E50" s="11">
        <v>3</v>
      </c>
    </row>
    <row r="51" spans="4:5" x14ac:dyDescent="0.35">
      <c r="D51" s="39" t="s">
        <v>3182</v>
      </c>
      <c r="E51" s="11">
        <v>5</v>
      </c>
    </row>
    <row r="52" spans="4:5" x14ac:dyDescent="0.35">
      <c r="D52" s="39" t="s">
        <v>3183</v>
      </c>
      <c r="E52" s="11">
        <v>8</v>
      </c>
    </row>
    <row r="53" spans="4:5" x14ac:dyDescent="0.35">
      <c r="D53" s="39" t="s">
        <v>3184</v>
      </c>
      <c r="E53" s="11">
        <v>2</v>
      </c>
    </row>
    <row r="54" spans="4:5" x14ac:dyDescent="0.35">
      <c r="D54" s="39" t="s">
        <v>3185</v>
      </c>
      <c r="E54" s="11">
        <v>2</v>
      </c>
    </row>
  </sheetData>
  <sheetProtection sheet="1" objects="1" scenarios="1" formatCells="0" formatColumns="0" formatRows="0" sort="0" autoFilter="0"/>
  <autoFilter ref="A1:E54" xr:uid="{E419647C-DA69-4559-AF98-A53615CD24E7}"/>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737C5-34DD-4A9E-8807-A002AEC5C48C}">
  <sheetPr codeName="Sheet17">
    <tabColor rgb="FF9933FF"/>
  </sheetPr>
  <dimension ref="A1:D2273"/>
  <sheetViews>
    <sheetView workbookViewId="0">
      <selection sqref="A1:D1"/>
    </sheetView>
  </sheetViews>
  <sheetFormatPr defaultColWidth="9.1796875" defaultRowHeight="14.5" x14ac:dyDescent="0.35"/>
  <cols>
    <col min="1" max="1" width="6.81640625" style="323" customWidth="1"/>
    <col min="2" max="2" width="46.81640625" style="323" customWidth="1"/>
    <col min="3" max="3" width="9.81640625" style="323" customWidth="1"/>
    <col min="4" max="4" width="46.81640625" style="323" customWidth="1"/>
    <col min="5" max="16384" width="9.1796875" style="323"/>
  </cols>
  <sheetData>
    <row r="1" spans="1:4" ht="24" customHeight="1" x14ac:dyDescent="0.35">
      <c r="A1" s="320" t="s">
        <v>3186</v>
      </c>
      <c r="B1" s="321"/>
      <c r="C1" s="321"/>
      <c r="D1" s="322"/>
    </row>
    <row r="2" spans="1:4" ht="28.75" customHeight="1" x14ac:dyDescent="0.35">
      <c r="A2" s="324" t="s">
        <v>3187</v>
      </c>
      <c r="B2" s="325" t="s">
        <v>3188</v>
      </c>
      <c r="C2" s="326" t="s">
        <v>3189</v>
      </c>
      <c r="D2" s="327" t="s">
        <v>3190</v>
      </c>
    </row>
    <row r="3" spans="1:4" ht="17.25" customHeight="1" x14ac:dyDescent="0.35">
      <c r="A3" s="328">
        <v>111</v>
      </c>
      <c r="B3" s="329" t="s">
        <v>3191</v>
      </c>
      <c r="C3" s="330">
        <v>111140</v>
      </c>
      <c r="D3" s="331" t="s">
        <v>3192</v>
      </c>
    </row>
    <row r="4" spans="1:4" ht="17.25" customHeight="1" x14ac:dyDescent="0.35">
      <c r="A4" s="332">
        <v>112</v>
      </c>
      <c r="B4" s="333" t="s">
        <v>3193</v>
      </c>
      <c r="C4" s="334">
        <v>111160</v>
      </c>
      <c r="D4" s="335" t="s">
        <v>3194</v>
      </c>
    </row>
    <row r="5" spans="1:4" ht="17.25" customHeight="1" x14ac:dyDescent="0.35">
      <c r="A5" s="332">
        <v>115</v>
      </c>
      <c r="B5" s="333" t="s">
        <v>3195</v>
      </c>
      <c r="C5" s="334">
        <v>111150</v>
      </c>
      <c r="D5" s="335" t="s">
        <v>3196</v>
      </c>
    </row>
    <row r="6" spans="1:4" ht="17.25" customHeight="1" x14ac:dyDescent="0.35">
      <c r="A6" s="332">
        <v>116</v>
      </c>
      <c r="B6" s="333" t="s">
        <v>3197</v>
      </c>
      <c r="C6" s="334">
        <v>111110</v>
      </c>
      <c r="D6" s="335" t="s">
        <v>3198</v>
      </c>
    </row>
    <row r="7" spans="1:4" ht="17.25" customHeight="1" x14ac:dyDescent="0.35">
      <c r="A7" s="336">
        <v>119</v>
      </c>
      <c r="B7" s="337" t="s">
        <v>3199</v>
      </c>
      <c r="C7" s="338">
        <v>111120</v>
      </c>
      <c r="D7" s="339" t="s">
        <v>3200</v>
      </c>
    </row>
    <row r="8" spans="1:4" ht="17.25" customHeight="1" x14ac:dyDescent="0.35">
      <c r="A8" s="332">
        <v>119</v>
      </c>
      <c r="B8" s="333" t="s">
        <v>3199</v>
      </c>
      <c r="C8" s="334">
        <v>111130</v>
      </c>
      <c r="D8" s="335" t="s">
        <v>3201</v>
      </c>
    </row>
    <row r="9" spans="1:4" ht="17.25" customHeight="1" x14ac:dyDescent="0.35">
      <c r="A9" s="336">
        <v>119</v>
      </c>
      <c r="B9" s="337" t="s">
        <v>3199</v>
      </c>
      <c r="C9" s="338">
        <v>111150</v>
      </c>
      <c r="D9" s="339" t="s">
        <v>3196</v>
      </c>
    </row>
    <row r="10" spans="1:4" ht="17.25" customHeight="1" x14ac:dyDescent="0.35">
      <c r="A10" s="336">
        <v>119</v>
      </c>
      <c r="B10" s="337" t="s">
        <v>3199</v>
      </c>
      <c r="C10" s="338">
        <v>111191</v>
      </c>
      <c r="D10" s="339" t="s">
        <v>3202</v>
      </c>
    </row>
    <row r="11" spans="1:4" ht="17.25" customHeight="1" x14ac:dyDescent="0.35">
      <c r="A11" s="332">
        <v>119</v>
      </c>
      <c r="B11" s="333" t="s">
        <v>3199</v>
      </c>
      <c r="C11" s="334">
        <v>111199</v>
      </c>
      <c r="D11" s="335" t="s">
        <v>3203</v>
      </c>
    </row>
    <row r="12" spans="1:4" ht="17.25" customHeight="1" x14ac:dyDescent="0.35">
      <c r="A12" s="336">
        <v>131</v>
      </c>
      <c r="B12" s="337" t="s">
        <v>3204</v>
      </c>
      <c r="C12" s="338">
        <v>111920</v>
      </c>
      <c r="D12" s="339" t="s">
        <v>3205</v>
      </c>
    </row>
    <row r="13" spans="1:4" ht="17.25" customHeight="1" x14ac:dyDescent="0.35">
      <c r="A13" s="332">
        <v>132</v>
      </c>
      <c r="B13" s="333" t="s">
        <v>3206</v>
      </c>
      <c r="C13" s="334">
        <v>111910</v>
      </c>
      <c r="D13" s="335" t="s">
        <v>3207</v>
      </c>
    </row>
    <row r="14" spans="1:4" ht="17.25" customHeight="1" x14ac:dyDescent="0.35">
      <c r="A14" s="332">
        <v>133</v>
      </c>
      <c r="B14" s="333" t="s">
        <v>3208</v>
      </c>
      <c r="C14" s="334">
        <v>111930</v>
      </c>
      <c r="D14" s="335" t="s">
        <v>3209</v>
      </c>
    </row>
    <row r="15" spans="1:4" ht="17.25" customHeight="1" x14ac:dyDescent="0.35">
      <c r="A15" s="332">
        <v>133</v>
      </c>
      <c r="B15" s="333" t="s">
        <v>3208</v>
      </c>
      <c r="C15" s="334">
        <v>111991</v>
      </c>
      <c r="D15" s="335" t="s">
        <v>3210</v>
      </c>
    </row>
    <row r="16" spans="1:4" ht="17.25" customHeight="1" x14ac:dyDescent="0.35">
      <c r="A16" s="332">
        <v>134</v>
      </c>
      <c r="B16" s="333" t="s">
        <v>3211</v>
      </c>
      <c r="C16" s="334">
        <v>111211</v>
      </c>
      <c r="D16" s="335" t="s">
        <v>3212</v>
      </c>
    </row>
    <row r="17" spans="1:4" ht="17.25" customHeight="1" x14ac:dyDescent="0.35">
      <c r="A17" s="336">
        <v>139</v>
      </c>
      <c r="B17" s="337" t="s">
        <v>3213</v>
      </c>
      <c r="C17" s="338">
        <v>111199</v>
      </c>
      <c r="D17" s="339" t="s">
        <v>3203</v>
      </c>
    </row>
    <row r="18" spans="1:4" ht="17.25" customHeight="1" x14ac:dyDescent="0.35">
      <c r="A18" s="336">
        <v>139</v>
      </c>
      <c r="B18" s="337" t="s">
        <v>3213</v>
      </c>
      <c r="C18" s="338">
        <v>111211</v>
      </c>
      <c r="D18" s="339" t="s">
        <v>3212</v>
      </c>
    </row>
    <row r="19" spans="1:4" ht="34.5" customHeight="1" x14ac:dyDescent="0.35">
      <c r="A19" s="336">
        <v>139</v>
      </c>
      <c r="B19" s="337" t="s">
        <v>3213</v>
      </c>
      <c r="C19" s="338">
        <v>111219</v>
      </c>
      <c r="D19" s="340" t="s">
        <v>3214</v>
      </c>
    </row>
    <row r="20" spans="1:4" ht="17.25" customHeight="1" x14ac:dyDescent="0.35">
      <c r="A20" s="336">
        <v>139</v>
      </c>
      <c r="B20" s="337" t="s">
        <v>3213</v>
      </c>
      <c r="C20" s="338">
        <v>111940</v>
      </c>
      <c r="D20" s="339" t="s">
        <v>3215</v>
      </c>
    </row>
    <row r="21" spans="1:4" ht="17.25" customHeight="1" x14ac:dyDescent="0.35">
      <c r="A21" s="336">
        <v>139</v>
      </c>
      <c r="B21" s="337" t="s">
        <v>3213</v>
      </c>
      <c r="C21" s="338">
        <v>111992</v>
      </c>
      <c r="D21" s="339" t="s">
        <v>3216</v>
      </c>
    </row>
    <row r="22" spans="1:4" ht="17.25" customHeight="1" x14ac:dyDescent="0.35">
      <c r="A22" s="332">
        <v>139</v>
      </c>
      <c r="B22" s="333" t="s">
        <v>3213</v>
      </c>
      <c r="C22" s="334">
        <v>111998</v>
      </c>
      <c r="D22" s="335" t="s">
        <v>3217</v>
      </c>
    </row>
    <row r="23" spans="1:4" ht="17.25" customHeight="1" x14ac:dyDescent="0.35">
      <c r="A23" s="336">
        <v>139</v>
      </c>
      <c r="B23" s="337" t="s">
        <v>3213</v>
      </c>
      <c r="C23" s="338">
        <v>112519</v>
      </c>
      <c r="D23" s="339" t="s">
        <v>3218</v>
      </c>
    </row>
    <row r="24" spans="1:4" ht="17.25" customHeight="1" x14ac:dyDescent="0.35">
      <c r="A24" s="332">
        <v>161</v>
      </c>
      <c r="B24" s="333" t="s">
        <v>3219</v>
      </c>
      <c r="C24" s="334">
        <v>111211</v>
      </c>
      <c r="D24" s="335" t="s">
        <v>3212</v>
      </c>
    </row>
    <row r="25" spans="1:4" ht="34.5" customHeight="1" x14ac:dyDescent="0.35">
      <c r="A25" s="332">
        <v>161</v>
      </c>
      <c r="B25" s="333" t="s">
        <v>3219</v>
      </c>
      <c r="C25" s="334">
        <v>111219</v>
      </c>
      <c r="D25" s="341" t="s">
        <v>3214</v>
      </c>
    </row>
    <row r="26" spans="1:4" ht="17.25" customHeight="1" x14ac:dyDescent="0.35">
      <c r="A26" s="336">
        <v>171</v>
      </c>
      <c r="B26" s="337" t="s">
        <v>3220</v>
      </c>
      <c r="C26" s="338">
        <v>111333</v>
      </c>
      <c r="D26" s="339" t="s">
        <v>3221</v>
      </c>
    </row>
    <row r="27" spans="1:4" ht="17.25" customHeight="1" x14ac:dyDescent="0.35">
      <c r="A27" s="332">
        <v>171</v>
      </c>
      <c r="B27" s="333" t="s">
        <v>3220</v>
      </c>
      <c r="C27" s="334">
        <v>111334</v>
      </c>
      <c r="D27" s="335" t="s">
        <v>3222</v>
      </c>
    </row>
    <row r="28" spans="1:4" ht="17.25" customHeight="1" x14ac:dyDescent="0.35">
      <c r="A28" s="332">
        <v>172</v>
      </c>
      <c r="B28" s="333" t="s">
        <v>3223</v>
      </c>
      <c r="C28" s="334">
        <v>111332</v>
      </c>
      <c r="D28" s="335" t="s">
        <v>3224</v>
      </c>
    </row>
    <row r="29" spans="1:4" ht="17.25" customHeight="1" x14ac:dyDescent="0.35">
      <c r="A29" s="336">
        <v>173</v>
      </c>
      <c r="B29" s="337" t="s">
        <v>3225</v>
      </c>
      <c r="C29" s="338">
        <v>111335</v>
      </c>
      <c r="D29" s="339" t="s">
        <v>3226</v>
      </c>
    </row>
    <row r="30" spans="1:4" ht="17.25" customHeight="1" x14ac:dyDescent="0.35">
      <c r="A30" s="336">
        <v>174</v>
      </c>
      <c r="B30" s="337" t="s">
        <v>3227</v>
      </c>
      <c r="C30" s="338">
        <v>111310</v>
      </c>
      <c r="D30" s="339" t="s">
        <v>3228</v>
      </c>
    </row>
    <row r="31" spans="1:4" ht="17.25" customHeight="1" x14ac:dyDescent="0.35">
      <c r="A31" s="332">
        <v>174</v>
      </c>
      <c r="B31" s="333" t="s">
        <v>3227</v>
      </c>
      <c r="C31" s="334">
        <v>111320</v>
      </c>
      <c r="D31" s="335" t="s">
        <v>3229</v>
      </c>
    </row>
    <row r="32" spans="1:4" ht="17.25" customHeight="1" x14ac:dyDescent="0.35">
      <c r="A32" s="336">
        <v>175</v>
      </c>
      <c r="B32" s="337" t="s">
        <v>3230</v>
      </c>
      <c r="C32" s="338">
        <v>111331</v>
      </c>
      <c r="D32" s="339" t="s">
        <v>3231</v>
      </c>
    </row>
    <row r="33" spans="1:4" ht="17.25" customHeight="1" x14ac:dyDescent="0.35">
      <c r="A33" s="336">
        <v>175</v>
      </c>
      <c r="B33" s="337" t="s">
        <v>3230</v>
      </c>
      <c r="C33" s="338">
        <v>111339</v>
      </c>
      <c r="D33" s="339" t="s">
        <v>3232</v>
      </c>
    </row>
    <row r="34" spans="1:4" ht="17.25" customHeight="1" x14ac:dyDescent="0.35">
      <c r="A34" s="332">
        <v>179</v>
      </c>
      <c r="B34" s="333" t="s">
        <v>3233</v>
      </c>
      <c r="C34" s="334">
        <v>111336</v>
      </c>
      <c r="D34" s="335" t="s">
        <v>3234</v>
      </c>
    </row>
    <row r="35" spans="1:4" ht="17.25" customHeight="1" x14ac:dyDescent="0.35">
      <c r="A35" s="332">
        <v>179</v>
      </c>
      <c r="B35" s="333" t="s">
        <v>3233</v>
      </c>
      <c r="C35" s="334">
        <v>111339</v>
      </c>
      <c r="D35" s="335" t="s">
        <v>3232</v>
      </c>
    </row>
    <row r="36" spans="1:4" ht="17.25" customHeight="1" x14ac:dyDescent="0.35">
      <c r="A36" s="336">
        <v>181</v>
      </c>
      <c r="B36" s="337" t="s">
        <v>3235</v>
      </c>
      <c r="C36" s="338">
        <v>111421</v>
      </c>
      <c r="D36" s="339" t="s">
        <v>3236</v>
      </c>
    </row>
    <row r="37" spans="1:4" ht="17.25" customHeight="1" x14ac:dyDescent="0.35">
      <c r="A37" s="336">
        <v>181</v>
      </c>
      <c r="B37" s="337" t="s">
        <v>3235</v>
      </c>
      <c r="C37" s="338">
        <v>111422</v>
      </c>
      <c r="D37" s="339" t="s">
        <v>3237</v>
      </c>
    </row>
    <row r="38" spans="1:4" ht="17.25" customHeight="1" x14ac:dyDescent="0.35">
      <c r="A38" s="336">
        <v>182</v>
      </c>
      <c r="B38" s="337" t="s">
        <v>3238</v>
      </c>
      <c r="C38" s="338">
        <v>111411</v>
      </c>
      <c r="D38" s="339" t="s">
        <v>3239</v>
      </c>
    </row>
    <row r="39" spans="1:4" ht="17.25" customHeight="1" x14ac:dyDescent="0.35">
      <c r="A39" s="332">
        <v>182</v>
      </c>
      <c r="B39" s="333" t="s">
        <v>3238</v>
      </c>
      <c r="C39" s="334">
        <v>111419</v>
      </c>
      <c r="D39" s="335" t="s">
        <v>3240</v>
      </c>
    </row>
    <row r="40" spans="1:4" ht="17.25" customHeight="1" x14ac:dyDescent="0.35">
      <c r="A40" s="336">
        <v>191</v>
      </c>
      <c r="B40" s="337" t="s">
        <v>3241</v>
      </c>
      <c r="C40" s="338">
        <v>111998</v>
      </c>
      <c r="D40" s="339" t="s">
        <v>3217</v>
      </c>
    </row>
    <row r="41" spans="1:4" ht="17.25" customHeight="1" x14ac:dyDescent="0.35">
      <c r="A41" s="332">
        <v>191</v>
      </c>
      <c r="B41" s="333" t="s">
        <v>3241</v>
      </c>
      <c r="C41" s="334">
        <v>112519</v>
      </c>
      <c r="D41" s="335" t="s">
        <v>3218</v>
      </c>
    </row>
    <row r="42" spans="1:4" ht="17.25" customHeight="1" x14ac:dyDescent="0.35">
      <c r="A42" s="336">
        <v>211</v>
      </c>
      <c r="B42" s="337" t="s">
        <v>3242</v>
      </c>
      <c r="C42" s="338">
        <v>112112</v>
      </c>
      <c r="D42" s="339" t="s">
        <v>3243</v>
      </c>
    </row>
    <row r="43" spans="1:4" ht="17.25" customHeight="1" x14ac:dyDescent="0.35">
      <c r="A43" s="336">
        <v>212</v>
      </c>
      <c r="B43" s="337" t="s">
        <v>3244</v>
      </c>
      <c r="C43" s="338">
        <v>112111</v>
      </c>
      <c r="D43" s="339" t="s">
        <v>3245</v>
      </c>
    </row>
    <row r="44" spans="1:4" ht="17.25" customHeight="1" x14ac:dyDescent="0.35">
      <c r="A44" s="332">
        <v>213</v>
      </c>
      <c r="B44" s="333" t="s">
        <v>3246</v>
      </c>
      <c r="C44" s="334">
        <v>112210</v>
      </c>
      <c r="D44" s="335" t="s">
        <v>3247</v>
      </c>
    </row>
    <row r="45" spans="1:4" ht="17.25" customHeight="1" x14ac:dyDescent="0.35">
      <c r="A45" s="332">
        <v>214</v>
      </c>
      <c r="B45" s="333" t="s">
        <v>3248</v>
      </c>
      <c r="C45" s="334">
        <v>112410</v>
      </c>
      <c r="D45" s="335" t="s">
        <v>3249</v>
      </c>
    </row>
    <row r="46" spans="1:4" ht="17.25" customHeight="1" x14ac:dyDescent="0.35">
      <c r="A46" s="336">
        <v>214</v>
      </c>
      <c r="B46" s="337" t="s">
        <v>3248</v>
      </c>
      <c r="C46" s="338">
        <v>112420</v>
      </c>
      <c r="D46" s="339" t="s">
        <v>3250</v>
      </c>
    </row>
    <row r="47" spans="1:4" ht="17.25" customHeight="1" x14ac:dyDescent="0.35">
      <c r="A47" s="336">
        <v>219</v>
      </c>
      <c r="B47" s="337" t="s">
        <v>3251</v>
      </c>
      <c r="C47" s="338">
        <v>112990</v>
      </c>
      <c r="D47" s="339" t="s">
        <v>3252</v>
      </c>
    </row>
    <row r="48" spans="1:4" ht="17.25" customHeight="1" x14ac:dyDescent="0.35">
      <c r="A48" s="332">
        <v>241</v>
      </c>
      <c r="B48" s="333" t="s">
        <v>3253</v>
      </c>
      <c r="C48" s="334">
        <v>112111</v>
      </c>
      <c r="D48" s="335" t="s">
        <v>3245</v>
      </c>
    </row>
    <row r="49" spans="1:4" ht="17.25" customHeight="1" x14ac:dyDescent="0.35">
      <c r="A49" s="342">
        <v>241</v>
      </c>
      <c r="B49" s="333" t="s">
        <v>3253</v>
      </c>
      <c r="C49" s="334">
        <v>112120</v>
      </c>
      <c r="D49" s="335" t="s">
        <v>3254</v>
      </c>
    </row>
    <row r="50" spans="1:4" ht="34.5" customHeight="1" x14ac:dyDescent="0.35">
      <c r="A50" s="342">
        <v>251</v>
      </c>
      <c r="B50" s="333" t="s">
        <v>3255</v>
      </c>
      <c r="C50" s="334">
        <v>112320</v>
      </c>
      <c r="D50" s="341" t="s">
        <v>3256</v>
      </c>
    </row>
    <row r="51" spans="1:4" ht="17.25" customHeight="1" x14ac:dyDescent="0.35">
      <c r="A51" s="343">
        <v>252</v>
      </c>
      <c r="B51" s="337" t="s">
        <v>3257</v>
      </c>
      <c r="C51" s="338">
        <v>112310</v>
      </c>
      <c r="D51" s="339" t="s">
        <v>3258</v>
      </c>
    </row>
    <row r="52" spans="1:4" ht="17.25" customHeight="1" x14ac:dyDescent="0.35">
      <c r="A52" s="343">
        <v>253</v>
      </c>
      <c r="B52" s="337" t="s">
        <v>3259</v>
      </c>
      <c r="C52" s="338">
        <v>112330</v>
      </c>
      <c r="D52" s="339" t="s">
        <v>3260</v>
      </c>
    </row>
    <row r="53" spans="1:4" ht="17.25" customHeight="1" x14ac:dyDescent="0.35">
      <c r="A53" s="342">
        <v>254</v>
      </c>
      <c r="B53" s="333" t="s">
        <v>3261</v>
      </c>
      <c r="C53" s="334">
        <v>112340</v>
      </c>
      <c r="D53" s="335" t="s">
        <v>3261</v>
      </c>
    </row>
    <row r="54" spans="1:4" ht="17.25" customHeight="1" x14ac:dyDescent="0.35">
      <c r="A54" s="343">
        <v>259</v>
      </c>
      <c r="B54" s="337" t="s">
        <v>3262</v>
      </c>
      <c r="C54" s="338">
        <v>112390</v>
      </c>
      <c r="D54" s="339" t="s">
        <v>3263</v>
      </c>
    </row>
    <row r="55" spans="1:4" ht="28.75" customHeight="1" x14ac:dyDescent="0.35">
      <c r="A55" s="342">
        <v>271</v>
      </c>
      <c r="B55" s="333" t="s">
        <v>3264</v>
      </c>
      <c r="C55" s="334">
        <v>112930</v>
      </c>
      <c r="D55" s="335" t="s">
        <v>3265</v>
      </c>
    </row>
    <row r="56" spans="1:4" ht="17.25" customHeight="1" x14ac:dyDescent="0.35">
      <c r="A56" s="343">
        <v>272</v>
      </c>
      <c r="B56" s="337" t="s">
        <v>3266</v>
      </c>
      <c r="C56" s="338">
        <v>112920</v>
      </c>
      <c r="D56" s="339" t="s">
        <v>3267</v>
      </c>
    </row>
    <row r="57" spans="1:4" ht="17.25" customHeight="1" x14ac:dyDescent="0.35">
      <c r="A57" s="342">
        <v>273</v>
      </c>
      <c r="B57" s="333" t="s">
        <v>3268</v>
      </c>
      <c r="C57" s="334">
        <v>112511</v>
      </c>
      <c r="D57" s="335" t="s">
        <v>3269</v>
      </c>
    </row>
    <row r="58" spans="1:4" ht="17.25" customHeight="1" x14ac:dyDescent="0.35">
      <c r="A58" s="342">
        <v>273</v>
      </c>
      <c r="B58" s="333" t="s">
        <v>3268</v>
      </c>
      <c r="C58" s="334">
        <v>112512</v>
      </c>
      <c r="D58" s="335" t="s">
        <v>3270</v>
      </c>
    </row>
    <row r="59" spans="1:4" ht="17.25" customHeight="1" x14ac:dyDescent="0.35">
      <c r="A59" s="343">
        <v>273</v>
      </c>
      <c r="B59" s="337" t="s">
        <v>3268</v>
      </c>
      <c r="C59" s="338">
        <v>112519</v>
      </c>
      <c r="D59" s="339" t="s">
        <v>3218</v>
      </c>
    </row>
    <row r="60" spans="1:4" ht="17.25" customHeight="1" x14ac:dyDescent="0.35">
      <c r="A60" s="342">
        <v>279</v>
      </c>
      <c r="B60" s="333" t="s">
        <v>3271</v>
      </c>
      <c r="C60" s="334">
        <v>112519</v>
      </c>
      <c r="D60" s="335" t="s">
        <v>3218</v>
      </c>
    </row>
    <row r="61" spans="1:4" ht="17.25" customHeight="1" x14ac:dyDescent="0.35">
      <c r="A61" s="342">
        <v>279</v>
      </c>
      <c r="B61" s="333" t="s">
        <v>3271</v>
      </c>
      <c r="C61" s="334">
        <v>112910</v>
      </c>
      <c r="D61" s="335" t="s">
        <v>3272</v>
      </c>
    </row>
    <row r="62" spans="1:4" ht="17.25" customHeight="1" x14ac:dyDescent="0.35">
      <c r="A62" s="342">
        <v>279</v>
      </c>
      <c r="B62" s="333" t="s">
        <v>3271</v>
      </c>
      <c r="C62" s="334">
        <v>112990</v>
      </c>
      <c r="D62" s="335" t="s">
        <v>3252</v>
      </c>
    </row>
    <row r="63" spans="1:4" ht="17.25" customHeight="1" x14ac:dyDescent="0.35">
      <c r="A63" s="343">
        <v>291</v>
      </c>
      <c r="B63" s="337" t="s">
        <v>3273</v>
      </c>
      <c r="C63" s="338">
        <v>112990</v>
      </c>
      <c r="D63" s="339" t="s">
        <v>3252</v>
      </c>
    </row>
    <row r="64" spans="1:4" ht="17.25" customHeight="1" x14ac:dyDescent="0.35">
      <c r="A64" s="343">
        <v>711</v>
      </c>
      <c r="B64" s="337" t="s">
        <v>3274</v>
      </c>
      <c r="C64" s="338">
        <v>115112</v>
      </c>
      <c r="D64" s="339" t="s">
        <v>3275</v>
      </c>
    </row>
    <row r="65" spans="1:4" ht="17.25" customHeight="1" x14ac:dyDescent="0.35">
      <c r="A65" s="342">
        <v>721</v>
      </c>
      <c r="B65" s="333" t="s">
        <v>3276</v>
      </c>
      <c r="C65" s="334">
        <v>115112</v>
      </c>
      <c r="D65" s="335" t="s">
        <v>3275</v>
      </c>
    </row>
    <row r="66" spans="1:4" ht="17.25" customHeight="1" x14ac:dyDescent="0.35">
      <c r="A66" s="343">
        <v>722</v>
      </c>
      <c r="B66" s="337" t="s">
        <v>3277</v>
      </c>
      <c r="C66" s="338">
        <v>115113</v>
      </c>
      <c r="D66" s="339" t="s">
        <v>3278</v>
      </c>
    </row>
    <row r="67" spans="1:4" ht="34.5" customHeight="1" x14ac:dyDescent="0.35">
      <c r="A67" s="342">
        <v>723</v>
      </c>
      <c r="B67" s="333" t="s">
        <v>3279</v>
      </c>
      <c r="C67" s="334">
        <v>115114</v>
      </c>
      <c r="D67" s="341" t="s">
        <v>3280</v>
      </c>
    </row>
    <row r="68" spans="1:4" ht="17.25" customHeight="1" x14ac:dyDescent="0.35">
      <c r="A68" s="343">
        <v>723</v>
      </c>
      <c r="B68" s="337" t="s">
        <v>3279</v>
      </c>
      <c r="C68" s="338">
        <v>311119</v>
      </c>
      <c r="D68" s="339" t="s">
        <v>3281</v>
      </c>
    </row>
    <row r="69" spans="1:4" ht="17.25" customHeight="1" x14ac:dyDescent="0.35">
      <c r="A69" s="342">
        <v>724</v>
      </c>
      <c r="B69" s="333" t="s">
        <v>3282</v>
      </c>
      <c r="C69" s="334">
        <v>115111</v>
      </c>
      <c r="D69" s="335" t="s">
        <v>3282</v>
      </c>
    </row>
    <row r="70" spans="1:4" ht="17.25" customHeight="1" x14ac:dyDescent="0.35">
      <c r="A70" s="342">
        <v>741</v>
      </c>
      <c r="B70" s="333" t="s">
        <v>3283</v>
      </c>
      <c r="C70" s="334">
        <v>541940</v>
      </c>
      <c r="D70" s="335" t="s">
        <v>3284</v>
      </c>
    </row>
    <row r="71" spans="1:4" ht="17.25" customHeight="1" x14ac:dyDescent="0.35">
      <c r="A71" s="343">
        <v>742</v>
      </c>
      <c r="B71" s="337" t="s">
        <v>3285</v>
      </c>
      <c r="C71" s="338">
        <v>541940</v>
      </c>
      <c r="D71" s="339" t="s">
        <v>3284</v>
      </c>
    </row>
    <row r="72" spans="1:4" ht="17.25" customHeight="1" x14ac:dyDescent="0.35">
      <c r="A72" s="343">
        <v>751</v>
      </c>
      <c r="B72" s="337" t="s">
        <v>3286</v>
      </c>
      <c r="C72" s="338">
        <v>115210</v>
      </c>
      <c r="D72" s="339" t="s">
        <v>3287</v>
      </c>
    </row>
    <row r="73" spans="1:4" ht="17.25" customHeight="1" x14ac:dyDescent="0.35">
      <c r="A73" s="343">
        <v>751</v>
      </c>
      <c r="B73" s="337" t="s">
        <v>3286</v>
      </c>
      <c r="C73" s="338">
        <v>311611</v>
      </c>
      <c r="D73" s="339" t="s">
        <v>3288</v>
      </c>
    </row>
    <row r="74" spans="1:4" ht="17.25" customHeight="1" x14ac:dyDescent="0.35">
      <c r="A74" s="342">
        <v>752</v>
      </c>
      <c r="B74" s="333" t="s">
        <v>3289</v>
      </c>
      <c r="C74" s="334">
        <v>115210</v>
      </c>
      <c r="D74" s="335" t="s">
        <v>3287</v>
      </c>
    </row>
    <row r="75" spans="1:4" ht="17.25" customHeight="1" x14ac:dyDescent="0.35">
      <c r="A75" s="342">
        <v>752</v>
      </c>
      <c r="B75" s="333" t="s">
        <v>3289</v>
      </c>
      <c r="C75" s="334">
        <v>812910</v>
      </c>
      <c r="D75" s="335" t="s">
        <v>3290</v>
      </c>
    </row>
    <row r="76" spans="1:4" ht="28.75" customHeight="1" x14ac:dyDescent="0.35">
      <c r="A76" s="343">
        <v>761</v>
      </c>
      <c r="B76" s="337" t="s">
        <v>3291</v>
      </c>
      <c r="C76" s="338">
        <v>115115</v>
      </c>
      <c r="D76" s="339" t="s">
        <v>3292</v>
      </c>
    </row>
    <row r="77" spans="1:4" ht="17.25" customHeight="1" x14ac:dyDescent="0.35">
      <c r="A77" s="342">
        <v>762</v>
      </c>
      <c r="B77" s="333" t="s">
        <v>3293</v>
      </c>
      <c r="C77" s="334">
        <v>115116</v>
      </c>
      <c r="D77" s="335" t="s">
        <v>3293</v>
      </c>
    </row>
    <row r="78" spans="1:4" ht="17.25" customHeight="1" x14ac:dyDescent="0.35">
      <c r="A78" s="343">
        <v>781</v>
      </c>
      <c r="B78" s="337" t="s">
        <v>3294</v>
      </c>
      <c r="C78" s="338">
        <v>541320</v>
      </c>
      <c r="D78" s="339" t="s">
        <v>3295</v>
      </c>
    </row>
    <row r="79" spans="1:4" ht="34.5" customHeight="1" x14ac:dyDescent="0.35">
      <c r="A79" s="343">
        <v>781</v>
      </c>
      <c r="B79" s="337" t="s">
        <v>3294</v>
      </c>
      <c r="C79" s="338">
        <v>541690</v>
      </c>
      <c r="D79" s="340" t="s">
        <v>3296</v>
      </c>
    </row>
    <row r="80" spans="1:4" ht="17.25" customHeight="1" x14ac:dyDescent="0.35">
      <c r="A80" s="342">
        <v>782</v>
      </c>
      <c r="B80" s="333" t="s">
        <v>3297</v>
      </c>
      <c r="C80" s="334">
        <v>561730</v>
      </c>
      <c r="D80" s="335" t="s">
        <v>3298</v>
      </c>
    </row>
    <row r="81" spans="1:4" ht="17.25" customHeight="1" x14ac:dyDescent="0.35">
      <c r="A81" s="343">
        <v>783</v>
      </c>
      <c r="B81" s="337" t="s">
        <v>3299</v>
      </c>
      <c r="C81" s="338">
        <v>561730</v>
      </c>
      <c r="D81" s="339" t="s">
        <v>3298</v>
      </c>
    </row>
    <row r="82" spans="1:4" ht="17.25" customHeight="1" x14ac:dyDescent="0.35">
      <c r="A82" s="342">
        <v>811</v>
      </c>
      <c r="B82" s="333" t="s">
        <v>3300</v>
      </c>
      <c r="C82" s="334">
        <v>111421</v>
      </c>
      <c r="D82" s="335" t="s">
        <v>3236</v>
      </c>
    </row>
    <row r="83" spans="1:4" ht="17.25" customHeight="1" x14ac:dyDescent="0.35">
      <c r="A83" s="342">
        <v>811</v>
      </c>
      <c r="B83" s="333" t="s">
        <v>3300</v>
      </c>
      <c r="C83" s="334">
        <v>113110</v>
      </c>
      <c r="D83" s="335" t="s">
        <v>3301</v>
      </c>
    </row>
    <row r="84" spans="1:4" ht="17.25" customHeight="1" x14ac:dyDescent="0.35">
      <c r="A84" s="342">
        <v>831</v>
      </c>
      <c r="B84" s="333" t="s">
        <v>3302</v>
      </c>
      <c r="C84" s="334">
        <v>111998</v>
      </c>
      <c r="D84" s="335" t="s">
        <v>3217</v>
      </c>
    </row>
    <row r="85" spans="1:4" ht="17.25" customHeight="1" x14ac:dyDescent="0.35">
      <c r="A85" s="343">
        <v>831</v>
      </c>
      <c r="B85" s="337" t="s">
        <v>3302</v>
      </c>
      <c r="C85" s="338">
        <v>112519</v>
      </c>
      <c r="D85" s="339" t="s">
        <v>3218</v>
      </c>
    </row>
    <row r="86" spans="1:4" ht="34.5" customHeight="1" x14ac:dyDescent="0.35">
      <c r="A86" s="343">
        <v>831</v>
      </c>
      <c r="B86" s="337" t="s">
        <v>3302</v>
      </c>
      <c r="C86" s="338">
        <v>113210</v>
      </c>
      <c r="D86" s="340" t="s">
        <v>3303</v>
      </c>
    </row>
    <row r="87" spans="1:4" ht="17.25" customHeight="1" x14ac:dyDescent="0.35">
      <c r="A87" s="342">
        <v>851</v>
      </c>
      <c r="B87" s="333" t="s">
        <v>3304</v>
      </c>
      <c r="C87" s="334">
        <v>115310</v>
      </c>
      <c r="D87" s="335" t="s">
        <v>3305</v>
      </c>
    </row>
    <row r="88" spans="1:4" ht="17.25" customHeight="1" x14ac:dyDescent="0.35">
      <c r="A88" s="343">
        <v>912</v>
      </c>
      <c r="B88" s="337" t="s">
        <v>3306</v>
      </c>
      <c r="C88" s="338">
        <v>114111</v>
      </c>
      <c r="D88" s="339" t="s">
        <v>3307</v>
      </c>
    </row>
    <row r="89" spans="1:4" ht="17.25" customHeight="1" x14ac:dyDescent="0.35">
      <c r="A89" s="342">
        <v>913</v>
      </c>
      <c r="B89" s="333" t="s">
        <v>3308</v>
      </c>
      <c r="C89" s="334">
        <v>114112</v>
      </c>
      <c r="D89" s="335" t="s">
        <v>3309</v>
      </c>
    </row>
    <row r="90" spans="1:4" ht="17.25" customHeight="1" x14ac:dyDescent="0.35">
      <c r="A90" s="343">
        <v>919</v>
      </c>
      <c r="B90" s="337" t="s">
        <v>3310</v>
      </c>
      <c r="C90" s="338">
        <v>111998</v>
      </c>
      <c r="D90" s="339" t="s">
        <v>3217</v>
      </c>
    </row>
    <row r="91" spans="1:4" ht="17.25" customHeight="1" x14ac:dyDescent="0.35">
      <c r="A91" s="343">
        <v>919</v>
      </c>
      <c r="B91" s="337" t="s">
        <v>3310</v>
      </c>
      <c r="C91" s="338">
        <v>112512</v>
      </c>
      <c r="D91" s="339" t="s">
        <v>3270</v>
      </c>
    </row>
    <row r="92" spans="1:4" ht="17.25" customHeight="1" x14ac:dyDescent="0.35">
      <c r="A92" s="342">
        <v>919</v>
      </c>
      <c r="B92" s="333" t="s">
        <v>3310</v>
      </c>
      <c r="C92" s="334">
        <v>112519</v>
      </c>
      <c r="D92" s="335" t="s">
        <v>3218</v>
      </c>
    </row>
    <row r="93" spans="1:4" ht="17.25" customHeight="1" x14ac:dyDescent="0.35">
      <c r="A93" s="343">
        <v>919</v>
      </c>
      <c r="B93" s="337" t="s">
        <v>3310</v>
      </c>
      <c r="C93" s="338">
        <v>114112</v>
      </c>
      <c r="D93" s="339" t="s">
        <v>3309</v>
      </c>
    </row>
    <row r="94" spans="1:4" ht="17.25" customHeight="1" x14ac:dyDescent="0.35">
      <c r="A94" s="342">
        <v>919</v>
      </c>
      <c r="B94" s="333" t="s">
        <v>3310</v>
      </c>
      <c r="C94" s="334">
        <v>114119</v>
      </c>
      <c r="D94" s="335" t="s">
        <v>3311</v>
      </c>
    </row>
    <row r="95" spans="1:4" ht="17.25" customHeight="1" x14ac:dyDescent="0.35">
      <c r="A95" s="343">
        <v>921</v>
      </c>
      <c r="B95" s="337" t="s">
        <v>3312</v>
      </c>
      <c r="C95" s="338">
        <v>112511</v>
      </c>
      <c r="D95" s="339" t="s">
        <v>3269</v>
      </c>
    </row>
    <row r="96" spans="1:4" ht="17.25" customHeight="1" x14ac:dyDescent="0.35">
      <c r="A96" s="342">
        <v>921</v>
      </c>
      <c r="B96" s="333" t="s">
        <v>3312</v>
      </c>
      <c r="C96" s="334">
        <v>112512</v>
      </c>
      <c r="D96" s="335" t="s">
        <v>3270</v>
      </c>
    </row>
    <row r="97" spans="1:4" ht="17.25" customHeight="1" x14ac:dyDescent="0.35">
      <c r="A97" s="343">
        <v>971</v>
      </c>
      <c r="B97" s="337" t="s">
        <v>3313</v>
      </c>
      <c r="C97" s="338">
        <v>114210</v>
      </c>
      <c r="D97" s="339" t="s">
        <v>3314</v>
      </c>
    </row>
    <row r="98" spans="1:4" ht="17.25" customHeight="1" x14ac:dyDescent="0.35">
      <c r="A98" s="344">
        <v>1011</v>
      </c>
      <c r="B98" s="337" t="s">
        <v>3315</v>
      </c>
      <c r="C98" s="338">
        <v>212210</v>
      </c>
      <c r="D98" s="339" t="s">
        <v>3316</v>
      </c>
    </row>
    <row r="99" spans="1:4" ht="17.25" customHeight="1" x14ac:dyDescent="0.35">
      <c r="A99" s="344">
        <v>1021</v>
      </c>
      <c r="B99" s="337" t="s">
        <v>3317</v>
      </c>
      <c r="C99" s="338">
        <v>212230</v>
      </c>
      <c r="D99" s="339" t="s">
        <v>3318</v>
      </c>
    </row>
    <row r="100" spans="1:4" ht="17.25" customHeight="1" x14ac:dyDescent="0.35">
      <c r="A100" s="345">
        <v>1031</v>
      </c>
      <c r="B100" s="333" t="s">
        <v>3319</v>
      </c>
      <c r="C100" s="334">
        <v>212230</v>
      </c>
      <c r="D100" s="335" t="s">
        <v>3318</v>
      </c>
    </row>
    <row r="101" spans="1:4" ht="17.25" customHeight="1" x14ac:dyDescent="0.35">
      <c r="A101" s="345">
        <v>1041</v>
      </c>
      <c r="B101" s="333" t="s">
        <v>3320</v>
      </c>
      <c r="C101" s="334">
        <v>212221</v>
      </c>
      <c r="D101" s="335" t="s">
        <v>3321</v>
      </c>
    </row>
    <row r="102" spans="1:4" ht="17.25" customHeight="1" x14ac:dyDescent="0.35">
      <c r="A102" s="344">
        <v>1044</v>
      </c>
      <c r="B102" s="337" t="s">
        <v>3322</v>
      </c>
      <c r="C102" s="338">
        <v>212222</v>
      </c>
      <c r="D102" s="339" t="s">
        <v>3323</v>
      </c>
    </row>
    <row r="103" spans="1:4" ht="17.25" customHeight="1" x14ac:dyDescent="0.35">
      <c r="A103" s="345">
        <v>1061</v>
      </c>
      <c r="B103" s="333" t="s">
        <v>3324</v>
      </c>
      <c r="C103" s="334">
        <v>212230</v>
      </c>
      <c r="D103" s="335" t="s">
        <v>3318</v>
      </c>
    </row>
    <row r="104" spans="1:4" ht="17.25" customHeight="1" x14ac:dyDescent="0.35">
      <c r="A104" s="345">
        <v>1061</v>
      </c>
      <c r="B104" s="333" t="s">
        <v>3324</v>
      </c>
      <c r="C104" s="334">
        <v>212299</v>
      </c>
      <c r="D104" s="335" t="s">
        <v>3325</v>
      </c>
    </row>
    <row r="105" spans="1:4" ht="17.25" customHeight="1" x14ac:dyDescent="0.35">
      <c r="A105" s="344">
        <v>1081</v>
      </c>
      <c r="B105" s="337" t="s">
        <v>3326</v>
      </c>
      <c r="C105" s="338">
        <v>213114</v>
      </c>
      <c r="D105" s="339" t="s">
        <v>3327</v>
      </c>
    </row>
    <row r="106" spans="1:4" ht="17.25" customHeight="1" x14ac:dyDescent="0.35">
      <c r="A106" s="344">
        <v>1081</v>
      </c>
      <c r="B106" s="337" t="s">
        <v>3326</v>
      </c>
      <c r="C106" s="338">
        <v>238910</v>
      </c>
      <c r="D106" s="339" t="s">
        <v>3328</v>
      </c>
    </row>
    <row r="107" spans="1:4" ht="34.5" customHeight="1" x14ac:dyDescent="0.35">
      <c r="A107" s="344">
        <v>1081</v>
      </c>
      <c r="B107" s="337" t="s">
        <v>3326</v>
      </c>
      <c r="C107" s="338">
        <v>541360</v>
      </c>
      <c r="D107" s="340" t="s">
        <v>3329</v>
      </c>
    </row>
    <row r="108" spans="1:4" ht="17.25" customHeight="1" x14ac:dyDescent="0.35">
      <c r="A108" s="344">
        <v>1094</v>
      </c>
      <c r="B108" s="337" t="s">
        <v>3330</v>
      </c>
      <c r="C108" s="338">
        <v>212291</v>
      </c>
      <c r="D108" s="339" t="s">
        <v>3331</v>
      </c>
    </row>
    <row r="109" spans="1:4" ht="17.25" customHeight="1" x14ac:dyDescent="0.35">
      <c r="A109" s="344">
        <v>1099</v>
      </c>
      <c r="B109" s="337" t="s">
        <v>3332</v>
      </c>
      <c r="C109" s="338">
        <v>212299</v>
      </c>
      <c r="D109" s="339" t="s">
        <v>3325</v>
      </c>
    </row>
    <row r="110" spans="1:4" ht="34.5" customHeight="1" x14ac:dyDescent="0.35">
      <c r="A110" s="345">
        <v>1221</v>
      </c>
      <c r="B110" s="333" t="s">
        <v>3333</v>
      </c>
      <c r="C110" s="334">
        <v>212111</v>
      </c>
      <c r="D110" s="341" t="s">
        <v>3334</v>
      </c>
    </row>
    <row r="111" spans="1:4" ht="17.25" customHeight="1" x14ac:dyDescent="0.35">
      <c r="A111" s="344">
        <v>1222</v>
      </c>
      <c r="B111" s="337" t="s">
        <v>3335</v>
      </c>
      <c r="C111" s="338">
        <v>212112</v>
      </c>
      <c r="D111" s="339" t="s">
        <v>3336</v>
      </c>
    </row>
    <row r="112" spans="1:4" ht="17.25" customHeight="1" x14ac:dyDescent="0.35">
      <c r="A112" s="345">
        <v>1231</v>
      </c>
      <c r="B112" s="333" t="s">
        <v>3337</v>
      </c>
      <c r="C112" s="334">
        <v>212113</v>
      </c>
      <c r="D112" s="335" t="s">
        <v>3337</v>
      </c>
    </row>
    <row r="113" spans="1:4" ht="17.25" customHeight="1" x14ac:dyDescent="0.35">
      <c r="A113" s="345">
        <v>1241</v>
      </c>
      <c r="B113" s="333" t="s">
        <v>3338</v>
      </c>
      <c r="C113" s="334">
        <v>213113</v>
      </c>
      <c r="D113" s="335" t="s">
        <v>3339</v>
      </c>
    </row>
    <row r="114" spans="1:4" ht="17.25" customHeight="1" x14ac:dyDescent="0.35">
      <c r="A114" s="345">
        <v>1241</v>
      </c>
      <c r="B114" s="333" t="s">
        <v>3338</v>
      </c>
      <c r="C114" s="334">
        <v>238910</v>
      </c>
      <c r="D114" s="335" t="s">
        <v>3328</v>
      </c>
    </row>
    <row r="115" spans="1:4" ht="17.25" customHeight="1" x14ac:dyDescent="0.35">
      <c r="A115" s="344">
        <v>1311</v>
      </c>
      <c r="B115" s="337" t="s">
        <v>3340</v>
      </c>
      <c r="C115" s="338">
        <v>211120</v>
      </c>
      <c r="D115" s="339" t="s">
        <v>3341</v>
      </c>
    </row>
    <row r="116" spans="1:4" ht="17.25" customHeight="1" x14ac:dyDescent="0.35">
      <c r="A116" s="345">
        <v>1321</v>
      </c>
      <c r="B116" s="333" t="s">
        <v>3342</v>
      </c>
      <c r="C116" s="334">
        <v>211130</v>
      </c>
      <c r="D116" s="335" t="s">
        <v>3343</v>
      </c>
    </row>
    <row r="117" spans="1:4" ht="17.25" customHeight="1" x14ac:dyDescent="0.35">
      <c r="A117" s="344">
        <v>1381</v>
      </c>
      <c r="B117" s="337" t="s">
        <v>3344</v>
      </c>
      <c r="C117" s="338">
        <v>213111</v>
      </c>
      <c r="D117" s="339" t="s">
        <v>3344</v>
      </c>
    </row>
    <row r="118" spans="1:4" ht="34.5" customHeight="1" x14ac:dyDescent="0.35">
      <c r="A118" s="345">
        <v>1382</v>
      </c>
      <c r="B118" s="333" t="s">
        <v>3345</v>
      </c>
      <c r="C118" s="334">
        <v>213112</v>
      </c>
      <c r="D118" s="341" t="s">
        <v>3346</v>
      </c>
    </row>
    <row r="119" spans="1:4" ht="34.5" customHeight="1" x14ac:dyDescent="0.35">
      <c r="A119" s="345">
        <v>1382</v>
      </c>
      <c r="B119" s="333" t="s">
        <v>3345</v>
      </c>
      <c r="C119" s="334">
        <v>541360</v>
      </c>
      <c r="D119" s="341" t="s">
        <v>3329</v>
      </c>
    </row>
    <row r="120" spans="1:4" ht="34.5" customHeight="1" x14ac:dyDescent="0.35">
      <c r="A120" s="344">
        <v>1389</v>
      </c>
      <c r="B120" s="337" t="s">
        <v>3347</v>
      </c>
      <c r="C120" s="338">
        <v>213112</v>
      </c>
      <c r="D120" s="340" t="s">
        <v>3346</v>
      </c>
    </row>
    <row r="121" spans="1:4" ht="34.5" customHeight="1" x14ac:dyDescent="0.35">
      <c r="A121" s="345">
        <v>1389</v>
      </c>
      <c r="B121" s="333" t="s">
        <v>3347</v>
      </c>
      <c r="C121" s="334">
        <v>237120</v>
      </c>
      <c r="D121" s="341" t="s">
        <v>3348</v>
      </c>
    </row>
    <row r="122" spans="1:4" ht="17.25" customHeight="1" x14ac:dyDescent="0.35">
      <c r="A122" s="344">
        <v>1389</v>
      </c>
      <c r="B122" s="337" t="s">
        <v>3347</v>
      </c>
      <c r="C122" s="338">
        <v>238910</v>
      </c>
      <c r="D122" s="339" t="s">
        <v>3328</v>
      </c>
    </row>
    <row r="123" spans="1:4" ht="17.25" customHeight="1" x14ac:dyDescent="0.35">
      <c r="A123" s="345">
        <v>1411</v>
      </c>
      <c r="B123" s="333" t="s">
        <v>3349</v>
      </c>
      <c r="C123" s="334">
        <v>212311</v>
      </c>
      <c r="D123" s="335" t="s">
        <v>3350</v>
      </c>
    </row>
    <row r="124" spans="1:4" ht="34.5" customHeight="1" x14ac:dyDescent="0.35">
      <c r="A124" s="344">
        <v>1422</v>
      </c>
      <c r="B124" s="337" t="s">
        <v>3351</v>
      </c>
      <c r="C124" s="338">
        <v>212312</v>
      </c>
      <c r="D124" s="340" t="s">
        <v>3352</v>
      </c>
    </row>
    <row r="125" spans="1:4" ht="34.5" customHeight="1" x14ac:dyDescent="0.35">
      <c r="A125" s="345">
        <v>1423</v>
      </c>
      <c r="B125" s="333" t="s">
        <v>3353</v>
      </c>
      <c r="C125" s="334">
        <v>212313</v>
      </c>
      <c r="D125" s="341" t="s">
        <v>3354</v>
      </c>
    </row>
    <row r="126" spans="1:4" ht="34.5" customHeight="1" x14ac:dyDescent="0.35">
      <c r="A126" s="344">
        <v>1429</v>
      </c>
      <c r="B126" s="337" t="s">
        <v>3355</v>
      </c>
      <c r="C126" s="338">
        <v>212319</v>
      </c>
      <c r="D126" s="340" t="s">
        <v>3356</v>
      </c>
    </row>
    <row r="127" spans="1:4" ht="17.25" customHeight="1" x14ac:dyDescent="0.35">
      <c r="A127" s="344">
        <v>1442</v>
      </c>
      <c r="B127" s="337" t="s">
        <v>3357</v>
      </c>
      <c r="C127" s="338">
        <v>212321</v>
      </c>
      <c r="D127" s="339" t="s">
        <v>3358</v>
      </c>
    </row>
    <row r="128" spans="1:4" ht="17.25" customHeight="1" x14ac:dyDescent="0.35">
      <c r="A128" s="345">
        <v>1446</v>
      </c>
      <c r="B128" s="333" t="s">
        <v>3359</v>
      </c>
      <c r="C128" s="334">
        <v>212322</v>
      </c>
      <c r="D128" s="335" t="s">
        <v>3360</v>
      </c>
    </row>
    <row r="129" spans="1:4" ht="17.25" customHeight="1" x14ac:dyDescent="0.35">
      <c r="A129" s="344">
        <v>1455</v>
      </c>
      <c r="B129" s="337" t="s">
        <v>3361</v>
      </c>
      <c r="C129" s="338">
        <v>212324</v>
      </c>
      <c r="D129" s="339" t="s">
        <v>3362</v>
      </c>
    </row>
    <row r="130" spans="1:4" ht="34.5" customHeight="1" x14ac:dyDescent="0.35">
      <c r="A130" s="344">
        <v>1459</v>
      </c>
      <c r="B130" s="337" t="s">
        <v>3363</v>
      </c>
      <c r="C130" s="338">
        <v>212325</v>
      </c>
      <c r="D130" s="340" t="s">
        <v>3364</v>
      </c>
    </row>
    <row r="131" spans="1:4" ht="17.25" customHeight="1" x14ac:dyDescent="0.35">
      <c r="A131" s="344">
        <v>1474</v>
      </c>
      <c r="B131" s="337" t="s">
        <v>3365</v>
      </c>
      <c r="C131" s="338">
        <v>212391</v>
      </c>
      <c r="D131" s="339" t="s">
        <v>3366</v>
      </c>
    </row>
    <row r="132" spans="1:4" ht="17.25" customHeight="1" x14ac:dyDescent="0.35">
      <c r="A132" s="345">
        <v>1475</v>
      </c>
      <c r="B132" s="333" t="s">
        <v>3367</v>
      </c>
      <c r="C132" s="334">
        <v>212392</v>
      </c>
      <c r="D132" s="335" t="s">
        <v>3368</v>
      </c>
    </row>
    <row r="133" spans="1:4" ht="34.5" customHeight="1" x14ac:dyDescent="0.35">
      <c r="A133" s="344">
        <v>1479</v>
      </c>
      <c r="B133" s="337" t="s">
        <v>3369</v>
      </c>
      <c r="C133" s="338">
        <v>212393</v>
      </c>
      <c r="D133" s="340" t="s">
        <v>3370</v>
      </c>
    </row>
    <row r="134" spans="1:4" ht="34.5" customHeight="1" x14ac:dyDescent="0.35">
      <c r="A134" s="345">
        <v>1481</v>
      </c>
      <c r="B134" s="333" t="s">
        <v>3371</v>
      </c>
      <c r="C134" s="334">
        <v>213115</v>
      </c>
      <c r="D134" s="341" t="s">
        <v>3372</v>
      </c>
    </row>
    <row r="135" spans="1:4" ht="17.25" customHeight="1" x14ac:dyDescent="0.35">
      <c r="A135" s="345">
        <v>1481</v>
      </c>
      <c r="B135" s="333" t="s">
        <v>3371</v>
      </c>
      <c r="C135" s="334">
        <v>238910</v>
      </c>
      <c r="D135" s="335" t="s">
        <v>3328</v>
      </c>
    </row>
    <row r="136" spans="1:4" ht="34.5" customHeight="1" x14ac:dyDescent="0.35">
      <c r="A136" s="344">
        <v>1481</v>
      </c>
      <c r="B136" s="337" t="s">
        <v>3371</v>
      </c>
      <c r="C136" s="338">
        <v>541360</v>
      </c>
      <c r="D136" s="340" t="s">
        <v>3329</v>
      </c>
    </row>
    <row r="137" spans="1:4" ht="34.5" customHeight="1" x14ac:dyDescent="0.35">
      <c r="A137" s="345">
        <v>1499</v>
      </c>
      <c r="B137" s="333" t="s">
        <v>3373</v>
      </c>
      <c r="C137" s="334">
        <v>212319</v>
      </c>
      <c r="D137" s="341" t="s">
        <v>3356</v>
      </c>
    </row>
    <row r="138" spans="1:4" ht="17.25" customHeight="1" x14ac:dyDescent="0.35">
      <c r="A138" s="344">
        <v>1499</v>
      </c>
      <c r="B138" s="337" t="s">
        <v>3373</v>
      </c>
      <c r="C138" s="338">
        <v>212399</v>
      </c>
      <c r="D138" s="339" t="s">
        <v>3374</v>
      </c>
    </row>
    <row r="139" spans="1:4" ht="34.5" customHeight="1" x14ac:dyDescent="0.35">
      <c r="A139" s="344">
        <v>1521</v>
      </c>
      <c r="B139" s="337" t="s">
        <v>3375</v>
      </c>
      <c r="C139" s="338">
        <v>236115</v>
      </c>
      <c r="D139" s="340" t="s">
        <v>3376</v>
      </c>
    </row>
    <row r="140" spans="1:4" ht="17.25" customHeight="1" x14ac:dyDescent="0.35">
      <c r="A140" s="345">
        <v>1521</v>
      </c>
      <c r="B140" s="333" t="s">
        <v>3375</v>
      </c>
      <c r="C140" s="334">
        <v>236118</v>
      </c>
      <c r="D140" s="335" t="s">
        <v>3377</v>
      </c>
    </row>
    <row r="141" spans="1:4" ht="34.5" customHeight="1" x14ac:dyDescent="0.35">
      <c r="A141" s="344">
        <v>1522</v>
      </c>
      <c r="B141" s="337" t="s">
        <v>3378</v>
      </c>
      <c r="C141" s="338">
        <v>236116</v>
      </c>
      <c r="D141" s="340" t="s">
        <v>3379</v>
      </c>
    </row>
    <row r="142" spans="1:4" ht="17.25" customHeight="1" x14ac:dyDescent="0.35">
      <c r="A142" s="344">
        <v>1522</v>
      </c>
      <c r="B142" s="337" t="s">
        <v>3378</v>
      </c>
      <c r="C142" s="338">
        <v>236118</v>
      </c>
      <c r="D142" s="339" t="s">
        <v>3377</v>
      </c>
    </row>
    <row r="143" spans="1:4" ht="34.5" customHeight="1" x14ac:dyDescent="0.35">
      <c r="A143" s="345">
        <v>1522</v>
      </c>
      <c r="B143" s="333" t="s">
        <v>3378</v>
      </c>
      <c r="C143" s="334">
        <v>236220</v>
      </c>
      <c r="D143" s="341" t="s">
        <v>3380</v>
      </c>
    </row>
    <row r="144" spans="1:4" ht="17.25" customHeight="1" x14ac:dyDescent="0.35">
      <c r="A144" s="344">
        <v>1531</v>
      </c>
      <c r="B144" s="337" t="s">
        <v>3381</v>
      </c>
      <c r="C144" s="338">
        <v>236117</v>
      </c>
      <c r="D144" s="339" t="s">
        <v>3382</v>
      </c>
    </row>
    <row r="145" spans="1:4" ht="17.25" customHeight="1" x14ac:dyDescent="0.35">
      <c r="A145" s="345">
        <v>1531</v>
      </c>
      <c r="B145" s="333" t="s">
        <v>3381</v>
      </c>
      <c r="C145" s="334">
        <v>236118</v>
      </c>
      <c r="D145" s="335" t="s">
        <v>3377</v>
      </c>
    </row>
    <row r="146" spans="1:4" ht="17.25" customHeight="1" x14ac:dyDescent="0.35">
      <c r="A146" s="345">
        <v>1531</v>
      </c>
      <c r="B146" s="333" t="s">
        <v>3381</v>
      </c>
      <c r="C146" s="334">
        <v>236210</v>
      </c>
      <c r="D146" s="335" t="s">
        <v>3383</v>
      </c>
    </row>
    <row r="147" spans="1:4" ht="34.5" customHeight="1" x14ac:dyDescent="0.35">
      <c r="A147" s="344">
        <v>1531</v>
      </c>
      <c r="B147" s="337" t="s">
        <v>3381</v>
      </c>
      <c r="C147" s="338">
        <v>236220</v>
      </c>
      <c r="D147" s="340" t="s">
        <v>3380</v>
      </c>
    </row>
    <row r="148" spans="1:4" ht="17.25" customHeight="1" x14ac:dyDescent="0.35">
      <c r="A148" s="344">
        <v>1541</v>
      </c>
      <c r="B148" s="337" t="s">
        <v>3384</v>
      </c>
      <c r="C148" s="338">
        <v>236210</v>
      </c>
      <c r="D148" s="339" t="s">
        <v>3383</v>
      </c>
    </row>
    <row r="149" spans="1:4" ht="34.5" customHeight="1" x14ac:dyDescent="0.35">
      <c r="A149" s="345">
        <v>1541</v>
      </c>
      <c r="B149" s="333" t="s">
        <v>3384</v>
      </c>
      <c r="C149" s="334">
        <v>236220</v>
      </c>
      <c r="D149" s="341" t="s">
        <v>3380</v>
      </c>
    </row>
    <row r="150" spans="1:4" ht="34.5" customHeight="1" x14ac:dyDescent="0.35">
      <c r="A150" s="344">
        <v>1542</v>
      </c>
      <c r="B150" s="337" t="s">
        <v>3385</v>
      </c>
      <c r="C150" s="338">
        <v>236220</v>
      </c>
      <c r="D150" s="340" t="s">
        <v>3380</v>
      </c>
    </row>
    <row r="151" spans="1:4" ht="17.25" customHeight="1" x14ac:dyDescent="0.35">
      <c r="A151" s="345">
        <v>1611</v>
      </c>
      <c r="B151" s="333" t="s">
        <v>3386</v>
      </c>
      <c r="C151" s="334">
        <v>237310</v>
      </c>
      <c r="D151" s="335" t="s">
        <v>3387</v>
      </c>
    </row>
    <row r="152" spans="1:4" ht="17.25" customHeight="1" x14ac:dyDescent="0.35">
      <c r="A152" s="344">
        <v>1622</v>
      </c>
      <c r="B152" s="337" t="s">
        <v>3388</v>
      </c>
      <c r="C152" s="338">
        <v>237310</v>
      </c>
      <c r="D152" s="339" t="s">
        <v>3387</v>
      </c>
    </row>
    <row r="153" spans="1:4" ht="34.5" customHeight="1" x14ac:dyDescent="0.35">
      <c r="A153" s="345">
        <v>1622</v>
      </c>
      <c r="B153" s="333" t="s">
        <v>3388</v>
      </c>
      <c r="C153" s="334">
        <v>237990</v>
      </c>
      <c r="D153" s="341" t="s">
        <v>3389</v>
      </c>
    </row>
    <row r="154" spans="1:4" ht="34.5" customHeight="1" x14ac:dyDescent="0.35">
      <c r="A154" s="345">
        <v>1623</v>
      </c>
      <c r="B154" s="333" t="s">
        <v>3390</v>
      </c>
      <c r="C154" s="334">
        <v>237110</v>
      </c>
      <c r="D154" s="341" t="s">
        <v>3391</v>
      </c>
    </row>
    <row r="155" spans="1:4" ht="34.5" customHeight="1" x14ac:dyDescent="0.35">
      <c r="A155" s="344">
        <v>1623</v>
      </c>
      <c r="B155" s="337" t="s">
        <v>3390</v>
      </c>
      <c r="C155" s="338">
        <v>237120</v>
      </c>
      <c r="D155" s="340" t="s">
        <v>3348</v>
      </c>
    </row>
    <row r="156" spans="1:4" ht="34.5" customHeight="1" x14ac:dyDescent="0.35">
      <c r="A156" s="345">
        <v>1623</v>
      </c>
      <c r="B156" s="333" t="s">
        <v>3390</v>
      </c>
      <c r="C156" s="334">
        <v>237130</v>
      </c>
      <c r="D156" s="341" t="s">
        <v>3392</v>
      </c>
    </row>
    <row r="157" spans="1:4" ht="17.25" customHeight="1" x14ac:dyDescent="0.35">
      <c r="A157" s="345">
        <v>1629</v>
      </c>
      <c r="B157" s="333" t="s">
        <v>3393</v>
      </c>
      <c r="C157" s="334">
        <v>236210</v>
      </c>
      <c r="D157" s="335" t="s">
        <v>3383</v>
      </c>
    </row>
    <row r="158" spans="1:4" ht="34.5" customHeight="1" x14ac:dyDescent="0.35">
      <c r="A158" s="344">
        <v>1629</v>
      </c>
      <c r="B158" s="337" t="s">
        <v>3393</v>
      </c>
      <c r="C158" s="338">
        <v>237110</v>
      </c>
      <c r="D158" s="340" t="s">
        <v>3391</v>
      </c>
    </row>
    <row r="159" spans="1:4" ht="34.5" customHeight="1" x14ac:dyDescent="0.35">
      <c r="A159" s="345">
        <v>1629</v>
      </c>
      <c r="B159" s="333" t="s">
        <v>3393</v>
      </c>
      <c r="C159" s="334">
        <v>237120</v>
      </c>
      <c r="D159" s="341" t="s">
        <v>3348</v>
      </c>
    </row>
    <row r="160" spans="1:4" ht="34.5" customHeight="1" x14ac:dyDescent="0.35">
      <c r="A160" s="344">
        <v>1629</v>
      </c>
      <c r="B160" s="337" t="s">
        <v>3393</v>
      </c>
      <c r="C160" s="338">
        <v>237130</v>
      </c>
      <c r="D160" s="340" t="s">
        <v>3392</v>
      </c>
    </row>
    <row r="161" spans="1:4" ht="34.5" customHeight="1" x14ac:dyDescent="0.35">
      <c r="A161" s="344">
        <v>1629</v>
      </c>
      <c r="B161" s="337" t="s">
        <v>3393</v>
      </c>
      <c r="C161" s="338">
        <v>237990</v>
      </c>
      <c r="D161" s="340" t="s">
        <v>3389</v>
      </c>
    </row>
    <row r="162" spans="1:4" ht="17.25" customHeight="1" x14ac:dyDescent="0.35">
      <c r="A162" s="344">
        <v>1629</v>
      </c>
      <c r="B162" s="337" t="s">
        <v>3393</v>
      </c>
      <c r="C162" s="338">
        <v>238910</v>
      </c>
      <c r="D162" s="339" t="s">
        <v>3328</v>
      </c>
    </row>
    <row r="163" spans="1:4" ht="34.5" customHeight="1" x14ac:dyDescent="0.35">
      <c r="A163" s="344">
        <v>1711</v>
      </c>
      <c r="B163" s="337" t="s">
        <v>3394</v>
      </c>
      <c r="C163" s="338">
        <v>238210</v>
      </c>
      <c r="D163" s="340" t="s">
        <v>3395</v>
      </c>
    </row>
    <row r="164" spans="1:4" ht="34.5" customHeight="1" x14ac:dyDescent="0.35">
      <c r="A164" s="344">
        <v>1711</v>
      </c>
      <c r="B164" s="337" t="s">
        <v>3394</v>
      </c>
      <c r="C164" s="338">
        <v>238220</v>
      </c>
      <c r="D164" s="340" t="s">
        <v>3396</v>
      </c>
    </row>
    <row r="165" spans="1:4" ht="17.25" customHeight="1" x14ac:dyDescent="0.35">
      <c r="A165" s="345">
        <v>1711</v>
      </c>
      <c r="B165" s="333" t="s">
        <v>3394</v>
      </c>
      <c r="C165" s="334">
        <v>238910</v>
      </c>
      <c r="D165" s="335" t="s">
        <v>3328</v>
      </c>
    </row>
    <row r="166" spans="1:4" ht="17.25" customHeight="1" x14ac:dyDescent="0.35">
      <c r="A166" s="345">
        <v>1721</v>
      </c>
      <c r="B166" s="333" t="s">
        <v>3397</v>
      </c>
      <c r="C166" s="334">
        <v>237310</v>
      </c>
      <c r="D166" s="335" t="s">
        <v>3387</v>
      </c>
    </row>
    <row r="167" spans="1:4" ht="17.25" customHeight="1" x14ac:dyDescent="0.35">
      <c r="A167" s="344">
        <v>1721</v>
      </c>
      <c r="B167" s="337" t="s">
        <v>3397</v>
      </c>
      <c r="C167" s="338">
        <v>238320</v>
      </c>
      <c r="D167" s="339" t="s">
        <v>3398</v>
      </c>
    </row>
    <row r="168" spans="1:4" ht="34.5" customHeight="1" x14ac:dyDescent="0.35">
      <c r="A168" s="345">
        <v>1731</v>
      </c>
      <c r="B168" s="333" t="s">
        <v>3399</v>
      </c>
      <c r="C168" s="334">
        <v>238210</v>
      </c>
      <c r="D168" s="341" t="s">
        <v>3395</v>
      </c>
    </row>
    <row r="169" spans="1:4" ht="17.25" customHeight="1" x14ac:dyDescent="0.35">
      <c r="A169" s="344">
        <v>1741</v>
      </c>
      <c r="B169" s="337" t="s">
        <v>3400</v>
      </c>
      <c r="C169" s="338">
        <v>238140</v>
      </c>
      <c r="D169" s="339" t="s">
        <v>3401</v>
      </c>
    </row>
    <row r="170" spans="1:4" ht="17.25" customHeight="1" x14ac:dyDescent="0.35">
      <c r="A170" s="345">
        <v>1742</v>
      </c>
      <c r="B170" s="333" t="s">
        <v>3402</v>
      </c>
      <c r="C170" s="334">
        <v>238310</v>
      </c>
      <c r="D170" s="335" t="s">
        <v>3403</v>
      </c>
    </row>
    <row r="171" spans="1:4" ht="17.25" customHeight="1" x14ac:dyDescent="0.35">
      <c r="A171" s="344">
        <v>1743</v>
      </c>
      <c r="B171" s="337" t="s">
        <v>3404</v>
      </c>
      <c r="C171" s="338">
        <v>238310</v>
      </c>
      <c r="D171" s="339" t="s">
        <v>3403</v>
      </c>
    </row>
    <row r="172" spans="1:4" ht="17.25" customHeight="1" x14ac:dyDescent="0.35">
      <c r="A172" s="345">
        <v>1743</v>
      </c>
      <c r="B172" s="333" t="s">
        <v>3404</v>
      </c>
      <c r="C172" s="334">
        <v>238340</v>
      </c>
      <c r="D172" s="335" t="s">
        <v>3405</v>
      </c>
    </row>
    <row r="173" spans="1:4" ht="17.25" customHeight="1" x14ac:dyDescent="0.35">
      <c r="A173" s="345">
        <v>1751</v>
      </c>
      <c r="B173" s="333" t="s">
        <v>3406</v>
      </c>
      <c r="C173" s="334">
        <v>238130</v>
      </c>
      <c r="D173" s="335" t="s">
        <v>3407</v>
      </c>
    </row>
    <row r="174" spans="1:4" ht="17.25" customHeight="1" x14ac:dyDescent="0.35">
      <c r="A174" s="344">
        <v>1751</v>
      </c>
      <c r="B174" s="337" t="s">
        <v>3406</v>
      </c>
      <c r="C174" s="338">
        <v>238350</v>
      </c>
      <c r="D174" s="339" t="s">
        <v>3408</v>
      </c>
    </row>
    <row r="175" spans="1:4" ht="17.25" customHeight="1" x14ac:dyDescent="0.35">
      <c r="A175" s="345">
        <v>1752</v>
      </c>
      <c r="B175" s="333" t="s">
        <v>3409</v>
      </c>
      <c r="C175" s="334">
        <v>238310</v>
      </c>
      <c r="D175" s="335" t="s">
        <v>3403</v>
      </c>
    </row>
    <row r="176" spans="1:4" ht="17.25" customHeight="1" x14ac:dyDescent="0.35">
      <c r="A176" s="344">
        <v>1752</v>
      </c>
      <c r="B176" s="337" t="s">
        <v>3409</v>
      </c>
      <c r="C176" s="338">
        <v>238330</v>
      </c>
      <c r="D176" s="339" t="s">
        <v>3410</v>
      </c>
    </row>
    <row r="177" spans="1:4" ht="17.25" customHeight="1" x14ac:dyDescent="0.35">
      <c r="A177" s="344">
        <v>1761</v>
      </c>
      <c r="B177" s="337" t="s">
        <v>3411</v>
      </c>
      <c r="C177" s="338">
        <v>238160</v>
      </c>
      <c r="D177" s="339" t="s">
        <v>3412</v>
      </c>
    </row>
    <row r="178" spans="1:4" ht="17.25" customHeight="1" x14ac:dyDescent="0.35">
      <c r="A178" s="345">
        <v>1761</v>
      </c>
      <c r="B178" s="333" t="s">
        <v>3411</v>
      </c>
      <c r="C178" s="334">
        <v>238170</v>
      </c>
      <c r="D178" s="335" t="s">
        <v>3413</v>
      </c>
    </row>
    <row r="179" spans="1:4" ht="17.25" customHeight="1" x14ac:dyDescent="0.35">
      <c r="A179" s="344">
        <v>1761</v>
      </c>
      <c r="B179" s="337" t="s">
        <v>3411</v>
      </c>
      <c r="C179" s="338">
        <v>238390</v>
      </c>
      <c r="D179" s="339" t="s">
        <v>3414</v>
      </c>
    </row>
    <row r="180" spans="1:4" ht="34.5" customHeight="1" x14ac:dyDescent="0.35">
      <c r="A180" s="345">
        <v>1771</v>
      </c>
      <c r="B180" s="333" t="s">
        <v>3415</v>
      </c>
      <c r="C180" s="334">
        <v>238110</v>
      </c>
      <c r="D180" s="341" t="s">
        <v>3416</v>
      </c>
    </row>
    <row r="181" spans="1:4" ht="17.25" customHeight="1" x14ac:dyDescent="0.35">
      <c r="A181" s="345">
        <v>1771</v>
      </c>
      <c r="B181" s="333" t="s">
        <v>3415</v>
      </c>
      <c r="C181" s="334">
        <v>238140</v>
      </c>
      <c r="D181" s="335" t="s">
        <v>3401</v>
      </c>
    </row>
    <row r="182" spans="1:4" ht="17.25" customHeight="1" x14ac:dyDescent="0.35">
      <c r="A182" s="344">
        <v>1771</v>
      </c>
      <c r="B182" s="337" t="s">
        <v>3415</v>
      </c>
      <c r="C182" s="338">
        <v>238990</v>
      </c>
      <c r="D182" s="339" t="s">
        <v>3417</v>
      </c>
    </row>
    <row r="183" spans="1:4" ht="34.5" customHeight="1" x14ac:dyDescent="0.35">
      <c r="A183" s="345">
        <v>1781</v>
      </c>
      <c r="B183" s="333" t="s">
        <v>3418</v>
      </c>
      <c r="C183" s="334">
        <v>237110</v>
      </c>
      <c r="D183" s="341" t="s">
        <v>3391</v>
      </c>
    </row>
    <row r="184" spans="1:4" ht="34.5" customHeight="1" x14ac:dyDescent="0.35">
      <c r="A184" s="344">
        <v>1791</v>
      </c>
      <c r="B184" s="337" t="s">
        <v>3419</v>
      </c>
      <c r="C184" s="338">
        <v>238120</v>
      </c>
      <c r="D184" s="340" t="s">
        <v>3420</v>
      </c>
    </row>
    <row r="185" spans="1:4" ht="34.5" customHeight="1" x14ac:dyDescent="0.35">
      <c r="A185" s="344">
        <v>1791</v>
      </c>
      <c r="B185" s="337" t="s">
        <v>3419</v>
      </c>
      <c r="C185" s="338">
        <v>238190</v>
      </c>
      <c r="D185" s="340" t="s">
        <v>3421</v>
      </c>
    </row>
    <row r="186" spans="1:4" ht="34.5" customHeight="1" x14ac:dyDescent="0.35">
      <c r="A186" s="345">
        <v>1791</v>
      </c>
      <c r="B186" s="333" t="s">
        <v>3419</v>
      </c>
      <c r="C186" s="334">
        <v>238220</v>
      </c>
      <c r="D186" s="341" t="s">
        <v>3396</v>
      </c>
    </row>
    <row r="187" spans="1:4" ht="17.25" customHeight="1" x14ac:dyDescent="0.35">
      <c r="A187" s="344">
        <v>1791</v>
      </c>
      <c r="B187" s="337" t="s">
        <v>3419</v>
      </c>
      <c r="C187" s="338">
        <v>238310</v>
      </c>
      <c r="D187" s="339" t="s">
        <v>3403</v>
      </c>
    </row>
    <row r="188" spans="1:4" ht="17.25" customHeight="1" x14ac:dyDescent="0.35">
      <c r="A188" s="344">
        <v>1793</v>
      </c>
      <c r="B188" s="337" t="s">
        <v>3422</v>
      </c>
      <c r="C188" s="338">
        <v>238150</v>
      </c>
      <c r="D188" s="339" t="s">
        <v>3423</v>
      </c>
    </row>
    <row r="189" spans="1:4" ht="17.25" customHeight="1" x14ac:dyDescent="0.35">
      <c r="A189" s="344">
        <v>1794</v>
      </c>
      <c r="B189" s="337" t="s">
        <v>3424</v>
      </c>
      <c r="C189" s="338">
        <v>238910</v>
      </c>
      <c r="D189" s="339" t="s">
        <v>3328</v>
      </c>
    </row>
    <row r="190" spans="1:4" ht="17.25" customHeight="1" x14ac:dyDescent="0.35">
      <c r="A190" s="345">
        <v>1795</v>
      </c>
      <c r="B190" s="333" t="s">
        <v>3425</v>
      </c>
      <c r="C190" s="334">
        <v>238910</v>
      </c>
      <c r="D190" s="335" t="s">
        <v>3328</v>
      </c>
    </row>
    <row r="191" spans="1:4" ht="34.5" customHeight="1" x14ac:dyDescent="0.35">
      <c r="A191" s="344">
        <v>1796</v>
      </c>
      <c r="B191" s="337" t="s">
        <v>3426</v>
      </c>
      <c r="C191" s="338">
        <v>238220</v>
      </c>
      <c r="D191" s="340" t="s">
        <v>3396</v>
      </c>
    </row>
    <row r="192" spans="1:4" ht="17.25" customHeight="1" x14ac:dyDescent="0.35">
      <c r="A192" s="344">
        <v>1796</v>
      </c>
      <c r="B192" s="337" t="s">
        <v>3426</v>
      </c>
      <c r="C192" s="338">
        <v>238290</v>
      </c>
      <c r="D192" s="339" t="s">
        <v>3427</v>
      </c>
    </row>
    <row r="193" spans="1:4" ht="34.5" customHeight="1" x14ac:dyDescent="0.35">
      <c r="A193" s="345">
        <v>1799</v>
      </c>
      <c r="B193" s="333" t="s">
        <v>3428</v>
      </c>
      <c r="C193" s="334">
        <v>236220</v>
      </c>
      <c r="D193" s="341" t="s">
        <v>3380</v>
      </c>
    </row>
    <row r="194" spans="1:4" ht="34.5" customHeight="1" x14ac:dyDescent="0.35">
      <c r="A194" s="345">
        <v>1799</v>
      </c>
      <c r="B194" s="333" t="s">
        <v>3428</v>
      </c>
      <c r="C194" s="334">
        <v>237990</v>
      </c>
      <c r="D194" s="341" t="s">
        <v>3389</v>
      </c>
    </row>
    <row r="195" spans="1:4" ht="17.25" customHeight="1" x14ac:dyDescent="0.35">
      <c r="A195" s="345">
        <v>1799</v>
      </c>
      <c r="B195" s="333" t="s">
        <v>3428</v>
      </c>
      <c r="C195" s="334">
        <v>238150</v>
      </c>
      <c r="D195" s="335" t="s">
        <v>3423</v>
      </c>
    </row>
    <row r="196" spans="1:4" ht="34.5" customHeight="1" x14ac:dyDescent="0.35">
      <c r="A196" s="345">
        <v>1799</v>
      </c>
      <c r="B196" s="333" t="s">
        <v>3428</v>
      </c>
      <c r="C196" s="334">
        <v>238190</v>
      </c>
      <c r="D196" s="341" t="s">
        <v>3421</v>
      </c>
    </row>
    <row r="197" spans="1:4" ht="17.25" customHeight="1" x14ac:dyDescent="0.35">
      <c r="A197" s="345">
        <v>1799</v>
      </c>
      <c r="B197" s="333" t="s">
        <v>3428</v>
      </c>
      <c r="C197" s="334">
        <v>238290</v>
      </c>
      <c r="D197" s="335" t="s">
        <v>3427</v>
      </c>
    </row>
    <row r="198" spans="1:4" ht="17.25" customHeight="1" x14ac:dyDescent="0.35">
      <c r="A198" s="345">
        <v>1799</v>
      </c>
      <c r="B198" s="333" t="s">
        <v>3428</v>
      </c>
      <c r="C198" s="334">
        <v>238310</v>
      </c>
      <c r="D198" s="335" t="s">
        <v>3403</v>
      </c>
    </row>
    <row r="199" spans="1:4" ht="17.25" customHeight="1" x14ac:dyDescent="0.35">
      <c r="A199" s="345">
        <v>1799</v>
      </c>
      <c r="B199" s="333" t="s">
        <v>3428</v>
      </c>
      <c r="C199" s="334">
        <v>238320</v>
      </c>
      <c r="D199" s="335" t="s">
        <v>3398</v>
      </c>
    </row>
    <row r="200" spans="1:4" ht="17.25" customHeight="1" x14ac:dyDescent="0.35">
      <c r="A200" s="345">
        <v>1799</v>
      </c>
      <c r="B200" s="333" t="s">
        <v>3428</v>
      </c>
      <c r="C200" s="334">
        <v>238350</v>
      </c>
      <c r="D200" s="335" t="s">
        <v>3408</v>
      </c>
    </row>
    <row r="201" spans="1:4" ht="17.25" customHeight="1" x14ac:dyDescent="0.35">
      <c r="A201" s="345">
        <v>1799</v>
      </c>
      <c r="B201" s="333" t="s">
        <v>3428</v>
      </c>
      <c r="C201" s="334">
        <v>238390</v>
      </c>
      <c r="D201" s="335" t="s">
        <v>3414</v>
      </c>
    </row>
    <row r="202" spans="1:4" ht="17.25" customHeight="1" x14ac:dyDescent="0.35">
      <c r="A202" s="344">
        <v>1799</v>
      </c>
      <c r="B202" s="337" t="s">
        <v>3428</v>
      </c>
      <c r="C202" s="338">
        <v>238910</v>
      </c>
      <c r="D202" s="339" t="s">
        <v>3328</v>
      </c>
    </row>
    <row r="203" spans="1:4" ht="17.25" customHeight="1" x14ac:dyDescent="0.35">
      <c r="A203" s="345">
        <v>1799</v>
      </c>
      <c r="B203" s="333" t="s">
        <v>3428</v>
      </c>
      <c r="C203" s="334">
        <v>238990</v>
      </c>
      <c r="D203" s="335" t="s">
        <v>3417</v>
      </c>
    </row>
    <row r="204" spans="1:4" ht="17.25" customHeight="1" x14ac:dyDescent="0.35">
      <c r="A204" s="344">
        <v>1799</v>
      </c>
      <c r="B204" s="337" t="s">
        <v>3428</v>
      </c>
      <c r="C204" s="338">
        <v>561790</v>
      </c>
      <c r="D204" s="339" t="s">
        <v>3429</v>
      </c>
    </row>
    <row r="205" spans="1:4" ht="17.25" customHeight="1" x14ac:dyDescent="0.35">
      <c r="A205" s="344">
        <v>1799</v>
      </c>
      <c r="B205" s="337" t="s">
        <v>3428</v>
      </c>
      <c r="C205" s="338">
        <v>562910</v>
      </c>
      <c r="D205" s="339" t="s">
        <v>3430</v>
      </c>
    </row>
    <row r="206" spans="1:4" ht="17.25" customHeight="1" x14ac:dyDescent="0.35">
      <c r="A206" s="345">
        <v>2011</v>
      </c>
      <c r="B206" s="333" t="s">
        <v>3431</v>
      </c>
      <c r="C206" s="334">
        <v>311611</v>
      </c>
      <c r="D206" s="335" t="s">
        <v>3288</v>
      </c>
    </row>
    <row r="207" spans="1:4" ht="17.25" customHeight="1" x14ac:dyDescent="0.35">
      <c r="A207" s="345">
        <v>2013</v>
      </c>
      <c r="B207" s="333" t="s">
        <v>3432</v>
      </c>
      <c r="C207" s="334">
        <v>311612</v>
      </c>
      <c r="D207" s="335" t="s">
        <v>3433</v>
      </c>
    </row>
    <row r="208" spans="1:4" ht="28.75" customHeight="1" x14ac:dyDescent="0.35">
      <c r="A208" s="345">
        <v>2013</v>
      </c>
      <c r="B208" s="333" t="s">
        <v>3432</v>
      </c>
      <c r="C208" s="334">
        <v>311613</v>
      </c>
      <c r="D208" s="335" t="s">
        <v>3434</v>
      </c>
    </row>
    <row r="209" spans="1:4" ht="17.25" customHeight="1" x14ac:dyDescent="0.35">
      <c r="A209" s="345">
        <v>2015</v>
      </c>
      <c r="B209" s="333" t="s">
        <v>3435</v>
      </c>
      <c r="C209" s="334">
        <v>311615</v>
      </c>
      <c r="D209" s="335" t="s">
        <v>3436</v>
      </c>
    </row>
    <row r="210" spans="1:4" ht="34.5" customHeight="1" x14ac:dyDescent="0.35">
      <c r="A210" s="345">
        <v>2015</v>
      </c>
      <c r="B210" s="333" t="s">
        <v>3435</v>
      </c>
      <c r="C210" s="334">
        <v>311999</v>
      </c>
      <c r="D210" s="341" t="s">
        <v>3437</v>
      </c>
    </row>
    <row r="211" spans="1:4" ht="17.25" customHeight="1" x14ac:dyDescent="0.35">
      <c r="A211" s="345">
        <v>2021</v>
      </c>
      <c r="B211" s="333" t="s">
        <v>3438</v>
      </c>
      <c r="C211" s="334">
        <v>311512</v>
      </c>
      <c r="D211" s="335" t="s">
        <v>3439</v>
      </c>
    </row>
    <row r="212" spans="1:4" ht="17.25" customHeight="1" x14ac:dyDescent="0.35">
      <c r="A212" s="344">
        <v>2022</v>
      </c>
      <c r="B212" s="337" t="s">
        <v>3440</v>
      </c>
      <c r="C212" s="338">
        <v>311513</v>
      </c>
      <c r="D212" s="339" t="s">
        <v>3441</v>
      </c>
    </row>
    <row r="213" spans="1:4" ht="17.25" customHeight="1" x14ac:dyDescent="0.35">
      <c r="A213" s="345">
        <v>2023</v>
      </c>
      <c r="B213" s="333" t="s">
        <v>3442</v>
      </c>
      <c r="C213" s="334">
        <v>311511</v>
      </c>
      <c r="D213" s="335" t="s">
        <v>3443</v>
      </c>
    </row>
    <row r="214" spans="1:4" ht="34.5" customHeight="1" x14ac:dyDescent="0.35">
      <c r="A214" s="345">
        <v>2023</v>
      </c>
      <c r="B214" s="333" t="s">
        <v>3442</v>
      </c>
      <c r="C214" s="334">
        <v>311514</v>
      </c>
      <c r="D214" s="341" t="s">
        <v>3444</v>
      </c>
    </row>
    <row r="215" spans="1:4" ht="34.5" customHeight="1" x14ac:dyDescent="0.35">
      <c r="A215" s="345">
        <v>2024</v>
      </c>
      <c r="B215" s="333" t="s">
        <v>3445</v>
      </c>
      <c r="C215" s="334">
        <v>311520</v>
      </c>
      <c r="D215" s="341" t="s">
        <v>3446</v>
      </c>
    </row>
    <row r="216" spans="1:4" ht="17.25" customHeight="1" x14ac:dyDescent="0.35">
      <c r="A216" s="344">
        <v>2026</v>
      </c>
      <c r="B216" s="337" t="s">
        <v>3447</v>
      </c>
      <c r="C216" s="338">
        <v>311511</v>
      </c>
      <c r="D216" s="339" t="s">
        <v>3443</v>
      </c>
    </row>
    <row r="217" spans="1:4" ht="34.5" customHeight="1" x14ac:dyDescent="0.35">
      <c r="A217" s="344">
        <v>2026</v>
      </c>
      <c r="B217" s="337" t="s">
        <v>3447</v>
      </c>
      <c r="C217" s="338">
        <v>311514</v>
      </c>
      <c r="D217" s="340" t="s">
        <v>3444</v>
      </c>
    </row>
    <row r="218" spans="1:4" ht="17.25" customHeight="1" x14ac:dyDescent="0.35">
      <c r="A218" s="344">
        <v>2032</v>
      </c>
      <c r="B218" s="337" t="s">
        <v>3448</v>
      </c>
      <c r="C218" s="338">
        <v>311422</v>
      </c>
      <c r="D218" s="339" t="s">
        <v>3449</v>
      </c>
    </row>
    <row r="219" spans="1:4" ht="34.5" customHeight="1" x14ac:dyDescent="0.35">
      <c r="A219" s="344">
        <v>2032</v>
      </c>
      <c r="B219" s="337" t="s">
        <v>3448</v>
      </c>
      <c r="C219" s="338">
        <v>311999</v>
      </c>
      <c r="D219" s="340" t="s">
        <v>3437</v>
      </c>
    </row>
    <row r="220" spans="1:4" ht="17.25" customHeight="1" x14ac:dyDescent="0.35">
      <c r="A220" s="344">
        <v>2033</v>
      </c>
      <c r="B220" s="337" t="s">
        <v>3450</v>
      </c>
      <c r="C220" s="338">
        <v>311421</v>
      </c>
      <c r="D220" s="339" t="s">
        <v>3451</v>
      </c>
    </row>
    <row r="221" spans="1:4" ht="17.25" customHeight="1" x14ac:dyDescent="0.35">
      <c r="A221" s="344">
        <v>2034</v>
      </c>
      <c r="B221" s="337" t="s">
        <v>3452</v>
      </c>
      <c r="C221" s="338">
        <v>311211</v>
      </c>
      <c r="D221" s="339" t="s">
        <v>3453</v>
      </c>
    </row>
    <row r="222" spans="1:4" ht="28.75" customHeight="1" x14ac:dyDescent="0.35">
      <c r="A222" s="345">
        <v>2034</v>
      </c>
      <c r="B222" s="333" t="s">
        <v>3452</v>
      </c>
      <c r="C222" s="334">
        <v>311423</v>
      </c>
      <c r="D222" s="335" t="s">
        <v>3454</v>
      </c>
    </row>
    <row r="223" spans="1:4" ht="34.5" customHeight="1" x14ac:dyDescent="0.35">
      <c r="A223" s="345">
        <v>2034</v>
      </c>
      <c r="B223" s="333" t="s">
        <v>3452</v>
      </c>
      <c r="C223" s="334">
        <v>311999</v>
      </c>
      <c r="D223" s="341" t="s">
        <v>3437</v>
      </c>
    </row>
    <row r="224" spans="1:4" ht="17.25" customHeight="1" x14ac:dyDescent="0.35">
      <c r="A224" s="345">
        <v>2035</v>
      </c>
      <c r="B224" s="333" t="s">
        <v>3455</v>
      </c>
      <c r="C224" s="334">
        <v>311421</v>
      </c>
      <c r="D224" s="335" t="s">
        <v>3451</v>
      </c>
    </row>
    <row r="225" spans="1:4" ht="34.5" customHeight="1" x14ac:dyDescent="0.35">
      <c r="A225" s="344">
        <v>2035</v>
      </c>
      <c r="B225" s="337" t="s">
        <v>3455</v>
      </c>
      <c r="C225" s="338">
        <v>311941</v>
      </c>
      <c r="D225" s="340" t="s">
        <v>3456</v>
      </c>
    </row>
    <row r="226" spans="1:4" ht="34.5" customHeight="1" x14ac:dyDescent="0.35">
      <c r="A226" s="344">
        <v>2037</v>
      </c>
      <c r="B226" s="337" t="s">
        <v>3457</v>
      </c>
      <c r="C226" s="338">
        <v>311411</v>
      </c>
      <c r="D226" s="340" t="s">
        <v>3458</v>
      </c>
    </row>
    <row r="227" spans="1:4" ht="17.25" customHeight="1" x14ac:dyDescent="0.35">
      <c r="A227" s="345">
        <v>2038</v>
      </c>
      <c r="B227" s="333" t="s">
        <v>3459</v>
      </c>
      <c r="C227" s="334">
        <v>311412</v>
      </c>
      <c r="D227" s="335" t="s">
        <v>3460</v>
      </c>
    </row>
    <row r="228" spans="1:4" ht="17.25" customHeight="1" x14ac:dyDescent="0.35">
      <c r="A228" s="345">
        <v>2041</v>
      </c>
      <c r="B228" s="333" t="s">
        <v>3461</v>
      </c>
      <c r="C228" s="334">
        <v>311211</v>
      </c>
      <c r="D228" s="335" t="s">
        <v>3453</v>
      </c>
    </row>
    <row r="229" spans="1:4" ht="17.25" customHeight="1" x14ac:dyDescent="0.35">
      <c r="A229" s="344">
        <v>2043</v>
      </c>
      <c r="B229" s="337" t="s">
        <v>3462</v>
      </c>
      <c r="C229" s="338">
        <v>311230</v>
      </c>
      <c r="D229" s="339" t="s">
        <v>3463</v>
      </c>
    </row>
    <row r="230" spans="1:4" ht="17.25" customHeight="1" x14ac:dyDescent="0.35">
      <c r="A230" s="345">
        <v>2043</v>
      </c>
      <c r="B230" s="333" t="s">
        <v>3462</v>
      </c>
      <c r="C230" s="334">
        <v>311920</v>
      </c>
      <c r="D230" s="335" t="s">
        <v>3464</v>
      </c>
    </row>
    <row r="231" spans="1:4" ht="17.25" customHeight="1" x14ac:dyDescent="0.35">
      <c r="A231" s="344">
        <v>2044</v>
      </c>
      <c r="B231" s="337" t="s">
        <v>3465</v>
      </c>
      <c r="C231" s="338">
        <v>311212</v>
      </c>
      <c r="D231" s="339" t="s">
        <v>3465</v>
      </c>
    </row>
    <row r="232" spans="1:4" ht="34.5" customHeight="1" x14ac:dyDescent="0.35">
      <c r="A232" s="345">
        <v>2045</v>
      </c>
      <c r="B232" s="333" t="s">
        <v>3466</v>
      </c>
      <c r="C232" s="334">
        <v>311824</v>
      </c>
      <c r="D232" s="341" t="s">
        <v>3467</v>
      </c>
    </row>
    <row r="233" spans="1:4" ht="17.25" customHeight="1" x14ac:dyDescent="0.35">
      <c r="A233" s="345">
        <v>2046</v>
      </c>
      <c r="B233" s="333" t="s">
        <v>3468</v>
      </c>
      <c r="C233" s="334">
        <v>311221</v>
      </c>
      <c r="D233" s="335" t="s">
        <v>3468</v>
      </c>
    </row>
    <row r="234" spans="1:4" ht="17.25" customHeight="1" x14ac:dyDescent="0.35">
      <c r="A234" s="345">
        <v>2046</v>
      </c>
      <c r="B234" s="333" t="s">
        <v>3468</v>
      </c>
      <c r="C234" s="334">
        <v>311225</v>
      </c>
      <c r="D234" s="335" t="s">
        <v>3469</v>
      </c>
    </row>
    <row r="235" spans="1:4" ht="17.25" customHeight="1" x14ac:dyDescent="0.35">
      <c r="A235" s="345">
        <v>2047</v>
      </c>
      <c r="B235" s="333" t="s">
        <v>3470</v>
      </c>
      <c r="C235" s="334">
        <v>311111</v>
      </c>
      <c r="D235" s="335" t="s">
        <v>3471</v>
      </c>
    </row>
    <row r="236" spans="1:4" ht="17.25" customHeight="1" x14ac:dyDescent="0.35">
      <c r="A236" s="345">
        <v>2048</v>
      </c>
      <c r="B236" s="333" t="s">
        <v>3472</v>
      </c>
      <c r="C236" s="334">
        <v>311119</v>
      </c>
      <c r="D236" s="335" t="s">
        <v>3281</v>
      </c>
    </row>
    <row r="237" spans="1:4" ht="17.25" customHeight="1" x14ac:dyDescent="0.35">
      <c r="A237" s="344">
        <v>2048</v>
      </c>
      <c r="B237" s="337" t="s">
        <v>3472</v>
      </c>
      <c r="C237" s="338">
        <v>311611</v>
      </c>
      <c r="D237" s="339" t="s">
        <v>3288</v>
      </c>
    </row>
    <row r="238" spans="1:4" ht="17.25" customHeight="1" x14ac:dyDescent="0.35">
      <c r="A238" s="345">
        <v>2051</v>
      </c>
      <c r="B238" s="333" t="s">
        <v>3473</v>
      </c>
      <c r="C238" s="334">
        <v>311812</v>
      </c>
      <c r="D238" s="335" t="s">
        <v>3474</v>
      </c>
    </row>
    <row r="239" spans="1:4" ht="17.25" customHeight="1" x14ac:dyDescent="0.35">
      <c r="A239" s="344">
        <v>2052</v>
      </c>
      <c r="B239" s="337" t="s">
        <v>3475</v>
      </c>
      <c r="C239" s="338">
        <v>311812</v>
      </c>
      <c r="D239" s="339" t="s">
        <v>3474</v>
      </c>
    </row>
    <row r="240" spans="1:4" ht="17.25" customHeight="1" x14ac:dyDescent="0.35">
      <c r="A240" s="344">
        <v>2052</v>
      </c>
      <c r="B240" s="337" t="s">
        <v>3475</v>
      </c>
      <c r="C240" s="338">
        <v>311821</v>
      </c>
      <c r="D240" s="339" t="s">
        <v>3476</v>
      </c>
    </row>
    <row r="241" spans="1:4" ht="17.25" customHeight="1" x14ac:dyDescent="0.35">
      <c r="A241" s="345">
        <v>2052</v>
      </c>
      <c r="B241" s="333" t="s">
        <v>3475</v>
      </c>
      <c r="C241" s="334">
        <v>311919</v>
      </c>
      <c r="D241" s="335" t="s">
        <v>3477</v>
      </c>
    </row>
    <row r="242" spans="1:4" ht="34.5" customHeight="1" x14ac:dyDescent="0.35">
      <c r="A242" s="345">
        <v>2053</v>
      </c>
      <c r="B242" s="333" t="s">
        <v>3478</v>
      </c>
      <c r="C242" s="334">
        <v>311813</v>
      </c>
      <c r="D242" s="341" t="s">
        <v>3479</v>
      </c>
    </row>
    <row r="243" spans="1:4" ht="17.25" customHeight="1" x14ac:dyDescent="0.35">
      <c r="A243" s="344">
        <v>2061</v>
      </c>
      <c r="B243" s="337" t="s">
        <v>3480</v>
      </c>
      <c r="C243" s="338">
        <v>311314</v>
      </c>
      <c r="D243" s="339" t="s">
        <v>3481</v>
      </c>
    </row>
    <row r="244" spans="1:4" ht="17.25" customHeight="1" x14ac:dyDescent="0.35">
      <c r="A244" s="345">
        <v>2062</v>
      </c>
      <c r="B244" s="333" t="s">
        <v>3482</v>
      </c>
      <c r="C244" s="334">
        <v>311314</v>
      </c>
      <c r="D244" s="335" t="s">
        <v>3481</v>
      </c>
    </row>
    <row r="245" spans="1:4" ht="17.25" customHeight="1" x14ac:dyDescent="0.35">
      <c r="A245" s="345">
        <v>2063</v>
      </c>
      <c r="B245" s="333" t="s">
        <v>3483</v>
      </c>
      <c r="C245" s="334">
        <v>311313</v>
      </c>
      <c r="D245" s="335" t="s">
        <v>3484</v>
      </c>
    </row>
    <row r="246" spans="1:4" ht="34.5" customHeight="1" x14ac:dyDescent="0.35">
      <c r="A246" s="344">
        <v>2064</v>
      </c>
      <c r="B246" s="337" t="s">
        <v>3485</v>
      </c>
      <c r="C246" s="338">
        <v>311340</v>
      </c>
      <c r="D246" s="340" t="s">
        <v>3486</v>
      </c>
    </row>
    <row r="247" spans="1:4" ht="34.5" customHeight="1" x14ac:dyDescent="0.35">
      <c r="A247" s="345">
        <v>2064</v>
      </c>
      <c r="B247" s="333" t="s">
        <v>3485</v>
      </c>
      <c r="C247" s="334">
        <v>311352</v>
      </c>
      <c r="D247" s="341" t="s">
        <v>3487</v>
      </c>
    </row>
    <row r="248" spans="1:4" ht="34.5" customHeight="1" x14ac:dyDescent="0.35">
      <c r="A248" s="344">
        <v>2066</v>
      </c>
      <c r="B248" s="337" t="s">
        <v>3488</v>
      </c>
      <c r="C248" s="338">
        <v>311351</v>
      </c>
      <c r="D248" s="340" t="s">
        <v>3489</v>
      </c>
    </row>
    <row r="249" spans="1:4" ht="34.5" customHeight="1" x14ac:dyDescent="0.35">
      <c r="A249" s="344">
        <v>2066</v>
      </c>
      <c r="B249" s="337" t="s">
        <v>3488</v>
      </c>
      <c r="C249" s="338">
        <v>311352</v>
      </c>
      <c r="D249" s="340" t="s">
        <v>3487</v>
      </c>
    </row>
    <row r="250" spans="1:4" ht="34.5" customHeight="1" x14ac:dyDescent="0.35">
      <c r="A250" s="345">
        <v>2067</v>
      </c>
      <c r="B250" s="333" t="s">
        <v>3490</v>
      </c>
      <c r="C250" s="334">
        <v>311340</v>
      </c>
      <c r="D250" s="341" t="s">
        <v>3486</v>
      </c>
    </row>
    <row r="251" spans="1:4" ht="34.5" customHeight="1" x14ac:dyDescent="0.35">
      <c r="A251" s="345">
        <v>2068</v>
      </c>
      <c r="B251" s="333" t="s">
        <v>3491</v>
      </c>
      <c r="C251" s="334">
        <v>311911</v>
      </c>
      <c r="D251" s="341" t="s">
        <v>3492</v>
      </c>
    </row>
    <row r="252" spans="1:4" ht="17.25" customHeight="1" x14ac:dyDescent="0.35">
      <c r="A252" s="344">
        <v>2074</v>
      </c>
      <c r="B252" s="337" t="s">
        <v>3493</v>
      </c>
      <c r="C252" s="338">
        <v>311224</v>
      </c>
      <c r="D252" s="339" t="s">
        <v>3494</v>
      </c>
    </row>
    <row r="253" spans="1:4" ht="17.25" customHeight="1" x14ac:dyDescent="0.35">
      <c r="A253" s="344">
        <v>2074</v>
      </c>
      <c r="B253" s="337" t="s">
        <v>3493</v>
      </c>
      <c r="C253" s="338">
        <v>311225</v>
      </c>
      <c r="D253" s="339" t="s">
        <v>3469</v>
      </c>
    </row>
    <row r="254" spans="1:4" ht="17.25" customHeight="1" x14ac:dyDescent="0.35">
      <c r="A254" s="345">
        <v>2075</v>
      </c>
      <c r="B254" s="333" t="s">
        <v>3495</v>
      </c>
      <c r="C254" s="334">
        <v>311224</v>
      </c>
      <c r="D254" s="335" t="s">
        <v>3494</v>
      </c>
    </row>
    <row r="255" spans="1:4" ht="17.25" customHeight="1" x14ac:dyDescent="0.35">
      <c r="A255" s="345">
        <v>2075</v>
      </c>
      <c r="B255" s="333" t="s">
        <v>3495</v>
      </c>
      <c r="C255" s="334">
        <v>311225</v>
      </c>
      <c r="D255" s="335" t="s">
        <v>3469</v>
      </c>
    </row>
    <row r="256" spans="1:4" ht="17.25" customHeight="1" x14ac:dyDescent="0.35">
      <c r="A256" s="344">
        <v>2076</v>
      </c>
      <c r="B256" s="337" t="s">
        <v>3496</v>
      </c>
      <c r="C256" s="338">
        <v>311224</v>
      </c>
      <c r="D256" s="339" t="s">
        <v>3494</v>
      </c>
    </row>
    <row r="257" spans="1:4" ht="17.25" customHeight="1" x14ac:dyDescent="0.35">
      <c r="A257" s="344">
        <v>2076</v>
      </c>
      <c r="B257" s="337" t="s">
        <v>3496</v>
      </c>
      <c r="C257" s="338">
        <v>311225</v>
      </c>
      <c r="D257" s="339" t="s">
        <v>3469</v>
      </c>
    </row>
    <row r="258" spans="1:4" ht="28.75" customHeight="1" x14ac:dyDescent="0.35">
      <c r="A258" s="344">
        <v>2077</v>
      </c>
      <c r="B258" s="337" t="s">
        <v>3497</v>
      </c>
      <c r="C258" s="338">
        <v>311613</v>
      </c>
      <c r="D258" s="339" t="s">
        <v>3434</v>
      </c>
    </row>
    <row r="259" spans="1:4" ht="34.5" customHeight="1" x14ac:dyDescent="0.35">
      <c r="A259" s="344">
        <v>2077</v>
      </c>
      <c r="B259" s="337" t="s">
        <v>3497</v>
      </c>
      <c r="C259" s="338">
        <v>311710</v>
      </c>
      <c r="D259" s="340" t="s">
        <v>3498</v>
      </c>
    </row>
    <row r="260" spans="1:4" ht="34.5" customHeight="1" x14ac:dyDescent="0.35">
      <c r="A260" s="345">
        <v>2077</v>
      </c>
      <c r="B260" s="333" t="s">
        <v>3497</v>
      </c>
      <c r="C260" s="334">
        <v>311710</v>
      </c>
      <c r="D260" s="341" t="s">
        <v>3498</v>
      </c>
    </row>
    <row r="261" spans="1:4" ht="17.25" customHeight="1" x14ac:dyDescent="0.35">
      <c r="A261" s="345">
        <v>2079</v>
      </c>
      <c r="B261" s="333" t="s">
        <v>3499</v>
      </c>
      <c r="C261" s="334">
        <v>311224</v>
      </c>
      <c r="D261" s="335" t="s">
        <v>3494</v>
      </c>
    </row>
    <row r="262" spans="1:4" ht="17.25" customHeight="1" x14ac:dyDescent="0.35">
      <c r="A262" s="344">
        <v>2079</v>
      </c>
      <c r="B262" s="337" t="s">
        <v>3499</v>
      </c>
      <c r="C262" s="338">
        <v>311224</v>
      </c>
      <c r="D262" s="339" t="s">
        <v>3494</v>
      </c>
    </row>
    <row r="263" spans="1:4" ht="17.25" customHeight="1" x14ac:dyDescent="0.35">
      <c r="A263" s="345">
        <v>2079</v>
      </c>
      <c r="B263" s="333" t="s">
        <v>3499</v>
      </c>
      <c r="C263" s="334">
        <v>311225</v>
      </c>
      <c r="D263" s="335" t="s">
        <v>3469</v>
      </c>
    </row>
    <row r="264" spans="1:4" ht="17.25" customHeight="1" x14ac:dyDescent="0.35">
      <c r="A264" s="344">
        <v>2082</v>
      </c>
      <c r="B264" s="337" t="s">
        <v>3500</v>
      </c>
      <c r="C264" s="338">
        <v>311942</v>
      </c>
      <c r="D264" s="339" t="s">
        <v>3501</v>
      </c>
    </row>
    <row r="265" spans="1:4" ht="17.25" customHeight="1" x14ac:dyDescent="0.35">
      <c r="A265" s="344">
        <v>2082</v>
      </c>
      <c r="B265" s="337" t="s">
        <v>3500</v>
      </c>
      <c r="C265" s="338">
        <v>312120</v>
      </c>
      <c r="D265" s="339" t="s">
        <v>3502</v>
      </c>
    </row>
    <row r="266" spans="1:4" ht="17.25" customHeight="1" x14ac:dyDescent="0.35">
      <c r="A266" s="344">
        <v>2083</v>
      </c>
      <c r="B266" s="337" t="s">
        <v>3503</v>
      </c>
      <c r="C266" s="338">
        <v>311213</v>
      </c>
      <c r="D266" s="339" t="s">
        <v>3504</v>
      </c>
    </row>
    <row r="267" spans="1:4" ht="17.25" customHeight="1" x14ac:dyDescent="0.35">
      <c r="A267" s="345">
        <v>2084</v>
      </c>
      <c r="B267" s="333" t="s">
        <v>3505</v>
      </c>
      <c r="C267" s="334">
        <v>312130</v>
      </c>
      <c r="D267" s="335" t="s">
        <v>3506</v>
      </c>
    </row>
    <row r="268" spans="1:4" ht="17.25" customHeight="1" x14ac:dyDescent="0.35">
      <c r="A268" s="344">
        <v>2085</v>
      </c>
      <c r="B268" s="337" t="s">
        <v>3507</v>
      </c>
      <c r="C268" s="338">
        <v>312130</v>
      </c>
      <c r="D268" s="339" t="s">
        <v>3506</v>
      </c>
    </row>
    <row r="269" spans="1:4" ht="17.25" customHeight="1" x14ac:dyDescent="0.35">
      <c r="A269" s="345">
        <v>2085</v>
      </c>
      <c r="B269" s="333" t="s">
        <v>3507</v>
      </c>
      <c r="C269" s="334">
        <v>312140</v>
      </c>
      <c r="D269" s="335" t="s">
        <v>3508</v>
      </c>
    </row>
    <row r="270" spans="1:4" ht="17.25" customHeight="1" x14ac:dyDescent="0.35">
      <c r="A270" s="344">
        <v>2086</v>
      </c>
      <c r="B270" s="337" t="s">
        <v>3509</v>
      </c>
      <c r="C270" s="338">
        <v>312111</v>
      </c>
      <c r="D270" s="339" t="s">
        <v>3510</v>
      </c>
    </row>
    <row r="271" spans="1:4" ht="17.25" customHeight="1" x14ac:dyDescent="0.35">
      <c r="A271" s="345">
        <v>2086</v>
      </c>
      <c r="B271" s="333" t="s">
        <v>3509</v>
      </c>
      <c r="C271" s="334">
        <v>312112</v>
      </c>
      <c r="D271" s="335" t="s">
        <v>3511</v>
      </c>
    </row>
    <row r="272" spans="1:4" ht="17.25" customHeight="1" x14ac:dyDescent="0.35">
      <c r="A272" s="344">
        <v>2087</v>
      </c>
      <c r="B272" s="337" t="s">
        <v>3512</v>
      </c>
      <c r="C272" s="338">
        <v>311920</v>
      </c>
      <c r="D272" s="339" t="s">
        <v>3464</v>
      </c>
    </row>
    <row r="273" spans="1:4" ht="34.5" customHeight="1" x14ac:dyDescent="0.35">
      <c r="A273" s="345">
        <v>2087</v>
      </c>
      <c r="B273" s="333" t="s">
        <v>3512</v>
      </c>
      <c r="C273" s="334">
        <v>311930</v>
      </c>
      <c r="D273" s="341" t="s">
        <v>3513</v>
      </c>
    </row>
    <row r="274" spans="1:4" ht="17.25" customHeight="1" x14ac:dyDescent="0.35">
      <c r="A274" s="345">
        <v>2087</v>
      </c>
      <c r="B274" s="333" t="s">
        <v>3512</v>
      </c>
      <c r="C274" s="334">
        <v>311942</v>
      </c>
      <c r="D274" s="335" t="s">
        <v>3501</v>
      </c>
    </row>
    <row r="275" spans="1:4" ht="34.5" customHeight="1" x14ac:dyDescent="0.35">
      <c r="A275" s="344">
        <v>2087</v>
      </c>
      <c r="B275" s="337" t="s">
        <v>3512</v>
      </c>
      <c r="C275" s="338">
        <v>311999</v>
      </c>
      <c r="D275" s="340" t="s">
        <v>3437</v>
      </c>
    </row>
    <row r="276" spans="1:4" ht="34.5" customHeight="1" x14ac:dyDescent="0.35">
      <c r="A276" s="344">
        <v>2091</v>
      </c>
      <c r="B276" s="337" t="s">
        <v>3514</v>
      </c>
      <c r="C276" s="338">
        <v>311710</v>
      </c>
      <c r="D276" s="340" t="s">
        <v>3498</v>
      </c>
    </row>
    <row r="277" spans="1:4" ht="34.5" customHeight="1" x14ac:dyDescent="0.35">
      <c r="A277" s="345">
        <v>2092</v>
      </c>
      <c r="B277" s="333" t="s">
        <v>3515</v>
      </c>
      <c r="C277" s="334">
        <v>311710</v>
      </c>
      <c r="D277" s="341" t="s">
        <v>3498</v>
      </c>
    </row>
    <row r="278" spans="1:4" ht="17.25" customHeight="1" x14ac:dyDescent="0.35">
      <c r="A278" s="345">
        <v>2095</v>
      </c>
      <c r="B278" s="333" t="s">
        <v>3516</v>
      </c>
      <c r="C278" s="334">
        <v>311920</v>
      </c>
      <c r="D278" s="335" t="s">
        <v>3464</v>
      </c>
    </row>
    <row r="279" spans="1:4" ht="17.25" customHeight="1" x14ac:dyDescent="0.35">
      <c r="A279" s="344">
        <v>2096</v>
      </c>
      <c r="B279" s="337" t="s">
        <v>3517</v>
      </c>
      <c r="C279" s="338">
        <v>311919</v>
      </c>
      <c r="D279" s="339" t="s">
        <v>3477</v>
      </c>
    </row>
    <row r="280" spans="1:4" ht="17.25" customHeight="1" x14ac:dyDescent="0.35">
      <c r="A280" s="345">
        <v>2097</v>
      </c>
      <c r="B280" s="333" t="s">
        <v>3518</v>
      </c>
      <c r="C280" s="334">
        <v>312113</v>
      </c>
      <c r="D280" s="335" t="s">
        <v>3519</v>
      </c>
    </row>
    <row r="281" spans="1:4" ht="34.5" customHeight="1" x14ac:dyDescent="0.35">
      <c r="A281" s="344">
        <v>2098</v>
      </c>
      <c r="B281" s="337" t="s">
        <v>3520</v>
      </c>
      <c r="C281" s="338">
        <v>311824</v>
      </c>
      <c r="D281" s="340" t="s">
        <v>3467</v>
      </c>
    </row>
    <row r="282" spans="1:4" ht="17.25" customHeight="1" x14ac:dyDescent="0.35">
      <c r="A282" s="345">
        <v>2099</v>
      </c>
      <c r="B282" s="333" t="s">
        <v>3521</v>
      </c>
      <c r="C282" s="334">
        <v>111998</v>
      </c>
      <c r="D282" s="335" t="s">
        <v>3217</v>
      </c>
    </row>
    <row r="283" spans="1:4" ht="17.25" customHeight="1" x14ac:dyDescent="0.35">
      <c r="A283" s="344">
        <v>2099</v>
      </c>
      <c r="B283" s="337" t="s">
        <v>3521</v>
      </c>
      <c r="C283" s="338">
        <v>112519</v>
      </c>
      <c r="D283" s="339" t="s">
        <v>3218</v>
      </c>
    </row>
    <row r="284" spans="1:4" ht="17.25" customHeight="1" x14ac:dyDescent="0.35">
      <c r="A284" s="345">
        <v>2099</v>
      </c>
      <c r="B284" s="333" t="s">
        <v>3521</v>
      </c>
      <c r="C284" s="334">
        <v>311212</v>
      </c>
      <c r="D284" s="335" t="s">
        <v>3465</v>
      </c>
    </row>
    <row r="285" spans="1:4" ht="34.5" customHeight="1" x14ac:dyDescent="0.35">
      <c r="A285" s="344">
        <v>2099</v>
      </c>
      <c r="B285" s="337" t="s">
        <v>3521</v>
      </c>
      <c r="C285" s="338">
        <v>311340</v>
      </c>
      <c r="D285" s="340" t="s">
        <v>3486</v>
      </c>
    </row>
    <row r="286" spans="1:4" ht="28.75" customHeight="1" x14ac:dyDescent="0.35">
      <c r="A286" s="344">
        <v>2099</v>
      </c>
      <c r="B286" s="337" t="s">
        <v>3521</v>
      </c>
      <c r="C286" s="338">
        <v>311423</v>
      </c>
      <c r="D286" s="339" t="s">
        <v>3454</v>
      </c>
    </row>
    <row r="287" spans="1:4" ht="34.5" customHeight="1" x14ac:dyDescent="0.35">
      <c r="A287" s="345">
        <v>2099</v>
      </c>
      <c r="B287" s="333" t="s">
        <v>3521</v>
      </c>
      <c r="C287" s="334">
        <v>311824</v>
      </c>
      <c r="D287" s="341" t="s">
        <v>3467</v>
      </c>
    </row>
    <row r="288" spans="1:4" ht="17.25" customHeight="1" x14ac:dyDescent="0.35">
      <c r="A288" s="344">
        <v>2099</v>
      </c>
      <c r="B288" s="337" t="s">
        <v>3521</v>
      </c>
      <c r="C288" s="338">
        <v>311830</v>
      </c>
      <c r="D288" s="339" t="s">
        <v>3522</v>
      </c>
    </row>
    <row r="289" spans="1:4" ht="34.5" customHeight="1" x14ac:dyDescent="0.35">
      <c r="A289" s="344">
        <v>2099</v>
      </c>
      <c r="B289" s="337" t="s">
        <v>3521</v>
      </c>
      <c r="C289" s="338">
        <v>311911</v>
      </c>
      <c r="D289" s="340" t="s">
        <v>3492</v>
      </c>
    </row>
    <row r="290" spans="1:4" ht="17.25" customHeight="1" x14ac:dyDescent="0.35">
      <c r="A290" s="344">
        <v>2099</v>
      </c>
      <c r="B290" s="337" t="s">
        <v>3521</v>
      </c>
      <c r="C290" s="338">
        <v>311920</v>
      </c>
      <c r="D290" s="339" t="s">
        <v>3464</v>
      </c>
    </row>
    <row r="291" spans="1:4" ht="34.5" customHeight="1" x14ac:dyDescent="0.35">
      <c r="A291" s="345">
        <v>2099</v>
      </c>
      <c r="B291" s="333" t="s">
        <v>3521</v>
      </c>
      <c r="C291" s="334">
        <v>311941</v>
      </c>
      <c r="D291" s="341" t="s">
        <v>3456</v>
      </c>
    </row>
    <row r="292" spans="1:4" ht="17.25" customHeight="1" x14ac:dyDescent="0.35">
      <c r="A292" s="344">
        <v>2099</v>
      </c>
      <c r="B292" s="337" t="s">
        <v>3521</v>
      </c>
      <c r="C292" s="338">
        <v>311942</v>
      </c>
      <c r="D292" s="339" t="s">
        <v>3501</v>
      </c>
    </row>
    <row r="293" spans="1:4" ht="17.25" customHeight="1" x14ac:dyDescent="0.35">
      <c r="A293" s="344">
        <v>2099</v>
      </c>
      <c r="B293" s="337" t="s">
        <v>3521</v>
      </c>
      <c r="C293" s="338">
        <v>311991</v>
      </c>
      <c r="D293" s="339" t="s">
        <v>3523</v>
      </c>
    </row>
    <row r="294" spans="1:4" ht="34.5" customHeight="1" x14ac:dyDescent="0.35">
      <c r="A294" s="345">
        <v>2099</v>
      </c>
      <c r="B294" s="333" t="s">
        <v>3521</v>
      </c>
      <c r="C294" s="334">
        <v>311999</v>
      </c>
      <c r="D294" s="341" t="s">
        <v>3437</v>
      </c>
    </row>
    <row r="295" spans="1:4" ht="17.25" customHeight="1" x14ac:dyDescent="0.35">
      <c r="A295" s="344">
        <v>2111</v>
      </c>
      <c r="B295" s="337" t="s">
        <v>3524</v>
      </c>
      <c r="C295" s="338">
        <v>312230</v>
      </c>
      <c r="D295" s="339" t="s">
        <v>3525</v>
      </c>
    </row>
    <row r="296" spans="1:4" ht="17.25" customHeight="1" x14ac:dyDescent="0.35">
      <c r="A296" s="345">
        <v>2121</v>
      </c>
      <c r="B296" s="333" t="s">
        <v>3526</v>
      </c>
      <c r="C296" s="334">
        <v>312230</v>
      </c>
      <c r="D296" s="335" t="s">
        <v>3525</v>
      </c>
    </row>
    <row r="297" spans="1:4" ht="17.25" customHeight="1" x14ac:dyDescent="0.35">
      <c r="A297" s="344">
        <v>2131</v>
      </c>
      <c r="B297" s="337" t="s">
        <v>3527</v>
      </c>
      <c r="C297" s="338">
        <v>312230</v>
      </c>
      <c r="D297" s="339" t="s">
        <v>3525</v>
      </c>
    </row>
    <row r="298" spans="1:4" ht="17.25" customHeight="1" x14ac:dyDescent="0.35">
      <c r="A298" s="345">
        <v>2141</v>
      </c>
      <c r="B298" s="333" t="s">
        <v>3528</v>
      </c>
      <c r="C298" s="334">
        <v>312230</v>
      </c>
      <c r="D298" s="335" t="s">
        <v>3525</v>
      </c>
    </row>
    <row r="299" spans="1:4" ht="17.25" customHeight="1" x14ac:dyDescent="0.35">
      <c r="A299" s="344">
        <v>2141</v>
      </c>
      <c r="B299" s="337" t="s">
        <v>3528</v>
      </c>
      <c r="C299" s="338">
        <v>312230</v>
      </c>
      <c r="D299" s="339" t="s">
        <v>3525</v>
      </c>
    </row>
    <row r="300" spans="1:4" ht="17.25" customHeight="1" x14ac:dyDescent="0.35">
      <c r="A300" s="345">
        <v>2211</v>
      </c>
      <c r="B300" s="333" t="s">
        <v>3529</v>
      </c>
      <c r="C300" s="334">
        <v>313210</v>
      </c>
      <c r="D300" s="335" t="s">
        <v>3530</v>
      </c>
    </row>
    <row r="301" spans="1:4" ht="17.25" customHeight="1" x14ac:dyDescent="0.35">
      <c r="A301" s="344">
        <v>2221</v>
      </c>
      <c r="B301" s="337" t="s">
        <v>3531</v>
      </c>
      <c r="C301" s="338">
        <v>313210</v>
      </c>
      <c r="D301" s="339" t="s">
        <v>3530</v>
      </c>
    </row>
    <row r="302" spans="1:4" ht="17.25" customHeight="1" x14ac:dyDescent="0.35">
      <c r="A302" s="345">
        <v>2231</v>
      </c>
      <c r="B302" s="333" t="s">
        <v>3532</v>
      </c>
      <c r="C302" s="334">
        <v>313210</v>
      </c>
      <c r="D302" s="335" t="s">
        <v>3530</v>
      </c>
    </row>
    <row r="303" spans="1:4" ht="17.25" customHeight="1" x14ac:dyDescent="0.35">
      <c r="A303" s="344">
        <v>2231</v>
      </c>
      <c r="B303" s="337" t="s">
        <v>3532</v>
      </c>
      <c r="C303" s="338">
        <v>313310</v>
      </c>
      <c r="D303" s="339" t="s">
        <v>3533</v>
      </c>
    </row>
    <row r="304" spans="1:4" ht="17.25" customHeight="1" x14ac:dyDescent="0.35">
      <c r="A304" s="345">
        <v>2231</v>
      </c>
      <c r="B304" s="333" t="s">
        <v>3532</v>
      </c>
      <c r="C304" s="334">
        <v>313310</v>
      </c>
      <c r="D304" s="335" t="s">
        <v>3533</v>
      </c>
    </row>
    <row r="305" spans="1:4" ht="34.5" customHeight="1" x14ac:dyDescent="0.35">
      <c r="A305" s="345">
        <v>2241</v>
      </c>
      <c r="B305" s="333" t="s">
        <v>3534</v>
      </c>
      <c r="C305" s="334">
        <v>313220</v>
      </c>
      <c r="D305" s="341" t="s">
        <v>3535</v>
      </c>
    </row>
    <row r="306" spans="1:4" ht="17.25" customHeight="1" x14ac:dyDescent="0.35">
      <c r="A306" s="344">
        <v>2251</v>
      </c>
      <c r="B306" s="337" t="s">
        <v>3536</v>
      </c>
      <c r="C306" s="338">
        <v>313310</v>
      </c>
      <c r="D306" s="339" t="s">
        <v>3533</v>
      </c>
    </row>
    <row r="307" spans="1:4" ht="17.25" customHeight="1" x14ac:dyDescent="0.35">
      <c r="A307" s="344">
        <v>2251</v>
      </c>
      <c r="B307" s="337" t="s">
        <v>3536</v>
      </c>
      <c r="C307" s="338">
        <v>315110</v>
      </c>
      <c r="D307" s="339" t="s">
        <v>3537</v>
      </c>
    </row>
    <row r="308" spans="1:4" ht="17.25" customHeight="1" x14ac:dyDescent="0.35">
      <c r="A308" s="345">
        <v>2252</v>
      </c>
      <c r="B308" s="333" t="s">
        <v>3538</v>
      </c>
      <c r="C308" s="334">
        <v>313310</v>
      </c>
      <c r="D308" s="335" t="s">
        <v>3533</v>
      </c>
    </row>
    <row r="309" spans="1:4" ht="17.25" customHeight="1" x14ac:dyDescent="0.35">
      <c r="A309" s="345">
        <v>2252</v>
      </c>
      <c r="B309" s="333" t="s">
        <v>3538</v>
      </c>
      <c r="C309" s="334">
        <v>315110</v>
      </c>
      <c r="D309" s="335" t="s">
        <v>3537</v>
      </c>
    </row>
    <row r="310" spans="1:4" ht="17.25" customHeight="1" x14ac:dyDescent="0.35">
      <c r="A310" s="344">
        <v>2252</v>
      </c>
      <c r="B310" s="337" t="s">
        <v>3538</v>
      </c>
      <c r="C310" s="338">
        <v>315110</v>
      </c>
      <c r="D310" s="339" t="s">
        <v>3537</v>
      </c>
    </row>
    <row r="311" spans="1:4" ht="17.25" customHeight="1" x14ac:dyDescent="0.35">
      <c r="A311" s="344">
        <v>2253</v>
      </c>
      <c r="B311" s="337" t="s">
        <v>3539</v>
      </c>
      <c r="C311" s="338">
        <v>313310</v>
      </c>
      <c r="D311" s="339" t="s">
        <v>3533</v>
      </c>
    </row>
    <row r="312" spans="1:4" ht="17.25" customHeight="1" x14ac:dyDescent="0.35">
      <c r="A312" s="345">
        <v>2253</v>
      </c>
      <c r="B312" s="333" t="s">
        <v>3539</v>
      </c>
      <c r="C312" s="334">
        <v>315190</v>
      </c>
      <c r="D312" s="335" t="s">
        <v>3540</v>
      </c>
    </row>
    <row r="313" spans="1:4" ht="17.25" customHeight="1" x14ac:dyDescent="0.35">
      <c r="A313" s="344">
        <v>2253</v>
      </c>
      <c r="B313" s="337" t="s">
        <v>3539</v>
      </c>
      <c r="C313" s="338">
        <v>315190</v>
      </c>
      <c r="D313" s="339" t="s">
        <v>3540</v>
      </c>
    </row>
    <row r="314" spans="1:4" ht="17.25" customHeight="1" x14ac:dyDescent="0.35">
      <c r="A314" s="345">
        <v>2254</v>
      </c>
      <c r="B314" s="333" t="s">
        <v>3541</v>
      </c>
      <c r="C314" s="334">
        <v>313310</v>
      </c>
      <c r="D314" s="335" t="s">
        <v>3533</v>
      </c>
    </row>
    <row r="315" spans="1:4" ht="17.25" customHeight="1" x14ac:dyDescent="0.35">
      <c r="A315" s="345">
        <v>2254</v>
      </c>
      <c r="B315" s="333" t="s">
        <v>3541</v>
      </c>
      <c r="C315" s="334">
        <v>315190</v>
      </c>
      <c r="D315" s="335" t="s">
        <v>3540</v>
      </c>
    </row>
    <row r="316" spans="1:4" ht="17.25" customHeight="1" x14ac:dyDescent="0.35">
      <c r="A316" s="344">
        <v>2257</v>
      </c>
      <c r="B316" s="337" t="s">
        <v>3542</v>
      </c>
      <c r="C316" s="338">
        <v>313240</v>
      </c>
      <c r="D316" s="339" t="s">
        <v>3543</v>
      </c>
    </row>
    <row r="317" spans="1:4" ht="17.25" customHeight="1" x14ac:dyDescent="0.35">
      <c r="A317" s="344">
        <v>2257</v>
      </c>
      <c r="B317" s="337" t="s">
        <v>3542</v>
      </c>
      <c r="C317" s="338">
        <v>313310</v>
      </c>
      <c r="D317" s="339" t="s">
        <v>3533</v>
      </c>
    </row>
    <row r="318" spans="1:4" ht="17.25" customHeight="1" x14ac:dyDescent="0.35">
      <c r="A318" s="345">
        <v>2258</v>
      </c>
      <c r="B318" s="333" t="s">
        <v>3544</v>
      </c>
      <c r="C318" s="334">
        <v>313240</v>
      </c>
      <c r="D318" s="335" t="s">
        <v>3543</v>
      </c>
    </row>
    <row r="319" spans="1:4" ht="17.25" customHeight="1" x14ac:dyDescent="0.35">
      <c r="A319" s="345">
        <v>2258</v>
      </c>
      <c r="B319" s="333" t="s">
        <v>3544</v>
      </c>
      <c r="C319" s="334">
        <v>313310</v>
      </c>
      <c r="D319" s="335" t="s">
        <v>3533</v>
      </c>
    </row>
    <row r="320" spans="1:4" ht="17.25" customHeight="1" x14ac:dyDescent="0.35">
      <c r="A320" s="344">
        <v>2259</v>
      </c>
      <c r="B320" s="337" t="s">
        <v>3545</v>
      </c>
      <c r="C320" s="338">
        <v>313240</v>
      </c>
      <c r="D320" s="339" t="s">
        <v>3543</v>
      </c>
    </row>
    <row r="321" spans="1:4" ht="17.25" customHeight="1" x14ac:dyDescent="0.35">
      <c r="A321" s="345">
        <v>2259</v>
      </c>
      <c r="B321" s="333" t="s">
        <v>3545</v>
      </c>
      <c r="C321" s="334">
        <v>313240</v>
      </c>
      <c r="D321" s="335" t="s">
        <v>3543</v>
      </c>
    </row>
    <row r="322" spans="1:4" ht="17.25" customHeight="1" x14ac:dyDescent="0.35">
      <c r="A322" s="344">
        <v>2259</v>
      </c>
      <c r="B322" s="337" t="s">
        <v>3545</v>
      </c>
      <c r="C322" s="338">
        <v>313310</v>
      </c>
      <c r="D322" s="339" t="s">
        <v>3533</v>
      </c>
    </row>
    <row r="323" spans="1:4" ht="17.25" customHeight="1" x14ac:dyDescent="0.35">
      <c r="A323" s="344">
        <v>2259</v>
      </c>
      <c r="B323" s="337" t="s">
        <v>3545</v>
      </c>
      <c r="C323" s="338">
        <v>315190</v>
      </c>
      <c r="D323" s="339" t="s">
        <v>3540</v>
      </c>
    </row>
    <row r="324" spans="1:4" ht="17.25" customHeight="1" x14ac:dyDescent="0.35">
      <c r="A324" s="345">
        <v>2259</v>
      </c>
      <c r="B324" s="333" t="s">
        <v>3545</v>
      </c>
      <c r="C324" s="334">
        <v>315190</v>
      </c>
      <c r="D324" s="335" t="s">
        <v>3540</v>
      </c>
    </row>
    <row r="325" spans="1:4" ht="17.25" customHeight="1" x14ac:dyDescent="0.35">
      <c r="A325" s="345">
        <v>2261</v>
      </c>
      <c r="B325" s="333" t="s">
        <v>3546</v>
      </c>
      <c r="C325" s="334">
        <v>313310</v>
      </c>
      <c r="D325" s="335" t="s">
        <v>3533</v>
      </c>
    </row>
    <row r="326" spans="1:4" ht="17.25" customHeight="1" x14ac:dyDescent="0.35">
      <c r="A326" s="344">
        <v>2262</v>
      </c>
      <c r="B326" s="337" t="s">
        <v>3547</v>
      </c>
      <c r="C326" s="338">
        <v>313310</v>
      </c>
      <c r="D326" s="339" t="s">
        <v>3533</v>
      </c>
    </row>
    <row r="327" spans="1:4" ht="17.25" customHeight="1" x14ac:dyDescent="0.35">
      <c r="A327" s="345">
        <v>2269</v>
      </c>
      <c r="B327" s="333" t="s">
        <v>3548</v>
      </c>
      <c r="C327" s="334">
        <v>313310</v>
      </c>
      <c r="D327" s="335" t="s">
        <v>3533</v>
      </c>
    </row>
    <row r="328" spans="1:4" ht="17.25" customHeight="1" x14ac:dyDescent="0.35">
      <c r="A328" s="344">
        <v>2269</v>
      </c>
      <c r="B328" s="337" t="s">
        <v>3548</v>
      </c>
      <c r="C328" s="338">
        <v>313310</v>
      </c>
      <c r="D328" s="339" t="s">
        <v>3533</v>
      </c>
    </row>
    <row r="329" spans="1:4" ht="17.25" customHeight="1" x14ac:dyDescent="0.35">
      <c r="A329" s="344">
        <v>2273</v>
      </c>
      <c r="B329" s="337" t="s">
        <v>3549</v>
      </c>
      <c r="C329" s="338">
        <v>314110</v>
      </c>
      <c r="D329" s="339" t="s">
        <v>3550</v>
      </c>
    </row>
    <row r="330" spans="1:4" ht="17.25" customHeight="1" x14ac:dyDescent="0.35">
      <c r="A330" s="344">
        <v>2281</v>
      </c>
      <c r="B330" s="337" t="s">
        <v>3551</v>
      </c>
      <c r="C330" s="338">
        <v>313110</v>
      </c>
      <c r="D330" s="339" t="s">
        <v>3552</v>
      </c>
    </row>
    <row r="331" spans="1:4" ht="17.25" customHeight="1" x14ac:dyDescent="0.35">
      <c r="A331" s="345">
        <v>2282</v>
      </c>
      <c r="B331" s="333" t="s">
        <v>3553</v>
      </c>
      <c r="C331" s="334">
        <v>313110</v>
      </c>
      <c r="D331" s="335" t="s">
        <v>3552</v>
      </c>
    </row>
    <row r="332" spans="1:4" ht="17.25" customHeight="1" x14ac:dyDescent="0.35">
      <c r="A332" s="344">
        <v>2284</v>
      </c>
      <c r="B332" s="337" t="s">
        <v>3554</v>
      </c>
      <c r="C332" s="338">
        <v>313110</v>
      </c>
      <c r="D332" s="339" t="s">
        <v>3552</v>
      </c>
    </row>
    <row r="333" spans="1:4" ht="17.25" customHeight="1" x14ac:dyDescent="0.35">
      <c r="A333" s="345">
        <v>2284</v>
      </c>
      <c r="B333" s="333" t="s">
        <v>3554</v>
      </c>
      <c r="C333" s="334">
        <v>313310</v>
      </c>
      <c r="D333" s="335" t="s">
        <v>3533</v>
      </c>
    </row>
    <row r="334" spans="1:4" ht="17.25" customHeight="1" x14ac:dyDescent="0.35">
      <c r="A334" s="344">
        <v>2295</v>
      </c>
      <c r="B334" s="337" t="s">
        <v>3555</v>
      </c>
      <c r="C334" s="338">
        <v>313320</v>
      </c>
      <c r="D334" s="339" t="s">
        <v>3556</v>
      </c>
    </row>
    <row r="335" spans="1:4" ht="34.5" customHeight="1" x14ac:dyDescent="0.35">
      <c r="A335" s="345">
        <v>2296</v>
      </c>
      <c r="B335" s="333" t="s">
        <v>3557</v>
      </c>
      <c r="C335" s="334">
        <v>314994</v>
      </c>
      <c r="D335" s="341" t="s">
        <v>3558</v>
      </c>
    </row>
    <row r="336" spans="1:4" ht="17.25" customHeight="1" x14ac:dyDescent="0.35">
      <c r="A336" s="344">
        <v>2297</v>
      </c>
      <c r="B336" s="337" t="s">
        <v>3559</v>
      </c>
      <c r="C336" s="338">
        <v>313230</v>
      </c>
      <c r="D336" s="339" t="s">
        <v>3560</v>
      </c>
    </row>
    <row r="337" spans="1:4" ht="17.25" customHeight="1" x14ac:dyDescent="0.35">
      <c r="A337" s="345">
        <v>2298</v>
      </c>
      <c r="B337" s="333" t="s">
        <v>3561</v>
      </c>
      <c r="C337" s="334">
        <v>313110</v>
      </c>
      <c r="D337" s="335" t="s">
        <v>3552</v>
      </c>
    </row>
    <row r="338" spans="1:4" ht="34.5" customHeight="1" x14ac:dyDescent="0.35">
      <c r="A338" s="344">
        <v>2298</v>
      </c>
      <c r="B338" s="337" t="s">
        <v>3561</v>
      </c>
      <c r="C338" s="338">
        <v>314994</v>
      </c>
      <c r="D338" s="340" t="s">
        <v>3558</v>
      </c>
    </row>
    <row r="339" spans="1:4" ht="17.25" customHeight="1" x14ac:dyDescent="0.35">
      <c r="A339" s="344">
        <v>2299</v>
      </c>
      <c r="B339" s="337" t="s">
        <v>3562</v>
      </c>
      <c r="C339" s="338">
        <v>313110</v>
      </c>
      <c r="D339" s="339" t="s">
        <v>3552</v>
      </c>
    </row>
    <row r="340" spans="1:4" ht="17.25" customHeight="1" x14ac:dyDescent="0.35">
      <c r="A340" s="345">
        <v>2299</v>
      </c>
      <c r="B340" s="333" t="s">
        <v>3562</v>
      </c>
      <c r="C340" s="334">
        <v>313110</v>
      </c>
      <c r="D340" s="335" t="s">
        <v>3552</v>
      </c>
    </row>
    <row r="341" spans="1:4" ht="17.25" customHeight="1" x14ac:dyDescent="0.35">
      <c r="A341" s="344">
        <v>2299</v>
      </c>
      <c r="B341" s="337" t="s">
        <v>3562</v>
      </c>
      <c r="C341" s="338">
        <v>313110</v>
      </c>
      <c r="D341" s="339" t="s">
        <v>3552</v>
      </c>
    </row>
    <row r="342" spans="1:4" ht="17.25" customHeight="1" x14ac:dyDescent="0.35">
      <c r="A342" s="344">
        <v>2299</v>
      </c>
      <c r="B342" s="337" t="s">
        <v>3562</v>
      </c>
      <c r="C342" s="338">
        <v>313210</v>
      </c>
      <c r="D342" s="339" t="s">
        <v>3530</v>
      </c>
    </row>
    <row r="343" spans="1:4" ht="34.5" customHeight="1" x14ac:dyDescent="0.35">
      <c r="A343" s="344">
        <v>2299</v>
      </c>
      <c r="B343" s="337" t="s">
        <v>3562</v>
      </c>
      <c r="C343" s="338">
        <v>313220</v>
      </c>
      <c r="D343" s="340" t="s">
        <v>3535</v>
      </c>
    </row>
    <row r="344" spans="1:4" ht="17.25" customHeight="1" x14ac:dyDescent="0.35">
      <c r="A344" s="345">
        <v>2299</v>
      </c>
      <c r="B344" s="333" t="s">
        <v>3562</v>
      </c>
      <c r="C344" s="334">
        <v>313230</v>
      </c>
      <c r="D344" s="335" t="s">
        <v>3560</v>
      </c>
    </row>
    <row r="345" spans="1:4" ht="17.25" customHeight="1" x14ac:dyDescent="0.35">
      <c r="A345" s="344">
        <v>2299</v>
      </c>
      <c r="B345" s="337" t="s">
        <v>3562</v>
      </c>
      <c r="C345" s="338">
        <v>313310</v>
      </c>
      <c r="D345" s="339" t="s">
        <v>3533</v>
      </c>
    </row>
    <row r="346" spans="1:4" ht="34.5" customHeight="1" x14ac:dyDescent="0.35">
      <c r="A346" s="345">
        <v>2299</v>
      </c>
      <c r="B346" s="333" t="s">
        <v>3562</v>
      </c>
      <c r="C346" s="334">
        <v>314999</v>
      </c>
      <c r="D346" s="341" t="s">
        <v>3563</v>
      </c>
    </row>
    <row r="347" spans="1:4" ht="34.5" customHeight="1" x14ac:dyDescent="0.35">
      <c r="A347" s="344">
        <v>2311</v>
      </c>
      <c r="B347" s="337" t="s">
        <v>3564</v>
      </c>
      <c r="C347" s="338">
        <v>314999</v>
      </c>
      <c r="D347" s="340" t="s">
        <v>3563</v>
      </c>
    </row>
    <row r="348" spans="1:4" ht="17.25" customHeight="1" x14ac:dyDescent="0.35">
      <c r="A348" s="344">
        <v>2311</v>
      </c>
      <c r="B348" s="337" t="s">
        <v>3564</v>
      </c>
      <c r="C348" s="338">
        <v>315210</v>
      </c>
      <c r="D348" s="339" t="s">
        <v>3565</v>
      </c>
    </row>
    <row r="349" spans="1:4" ht="34.5" customHeight="1" x14ac:dyDescent="0.35">
      <c r="A349" s="344">
        <v>2311</v>
      </c>
      <c r="B349" s="337" t="s">
        <v>3564</v>
      </c>
      <c r="C349" s="338">
        <v>315220</v>
      </c>
      <c r="D349" s="340" t="s">
        <v>3566</v>
      </c>
    </row>
    <row r="350" spans="1:4" ht="34.5" customHeight="1" x14ac:dyDescent="0.35">
      <c r="A350" s="345">
        <v>2321</v>
      </c>
      <c r="B350" s="333" t="s">
        <v>3567</v>
      </c>
      <c r="C350" s="334">
        <v>314999</v>
      </c>
      <c r="D350" s="341" t="s">
        <v>3563</v>
      </c>
    </row>
    <row r="351" spans="1:4" ht="17.25" customHeight="1" x14ac:dyDescent="0.35">
      <c r="A351" s="345">
        <v>2321</v>
      </c>
      <c r="B351" s="333" t="s">
        <v>3567</v>
      </c>
      <c r="C351" s="334">
        <v>315210</v>
      </c>
      <c r="D351" s="335" t="s">
        <v>3565</v>
      </c>
    </row>
    <row r="352" spans="1:4" ht="34.5" customHeight="1" x14ac:dyDescent="0.35">
      <c r="A352" s="345">
        <v>2321</v>
      </c>
      <c r="B352" s="333" t="s">
        <v>3567</v>
      </c>
      <c r="C352" s="334">
        <v>315220</v>
      </c>
      <c r="D352" s="341" t="s">
        <v>3566</v>
      </c>
    </row>
    <row r="353" spans="1:4" ht="34.5" customHeight="1" x14ac:dyDescent="0.35">
      <c r="A353" s="344">
        <v>2322</v>
      </c>
      <c r="B353" s="337" t="s">
        <v>3568</v>
      </c>
      <c r="C353" s="338">
        <v>314999</v>
      </c>
      <c r="D353" s="340" t="s">
        <v>3563</v>
      </c>
    </row>
    <row r="354" spans="1:4" ht="28.75" customHeight="1" x14ac:dyDescent="0.35">
      <c r="A354" s="344">
        <v>2322</v>
      </c>
      <c r="B354" s="337" t="s">
        <v>3568</v>
      </c>
      <c r="C354" s="338">
        <v>315210</v>
      </c>
      <c r="D354" s="339" t="s">
        <v>3565</v>
      </c>
    </row>
    <row r="355" spans="1:4" ht="34.5" customHeight="1" x14ac:dyDescent="0.35">
      <c r="A355" s="344">
        <v>2322</v>
      </c>
      <c r="B355" s="337" t="s">
        <v>3568</v>
      </c>
      <c r="C355" s="338">
        <v>315220</v>
      </c>
      <c r="D355" s="340" t="s">
        <v>3566</v>
      </c>
    </row>
    <row r="356" spans="1:4" ht="34.5" customHeight="1" x14ac:dyDescent="0.35">
      <c r="A356" s="345">
        <v>2323</v>
      </c>
      <c r="B356" s="333" t="s">
        <v>3569</v>
      </c>
      <c r="C356" s="334">
        <v>314999</v>
      </c>
      <c r="D356" s="341" t="s">
        <v>3563</v>
      </c>
    </row>
    <row r="357" spans="1:4" ht="17.25" customHeight="1" x14ac:dyDescent="0.35">
      <c r="A357" s="345">
        <v>2323</v>
      </c>
      <c r="B357" s="333" t="s">
        <v>3569</v>
      </c>
      <c r="C357" s="334">
        <v>315210</v>
      </c>
      <c r="D357" s="335" t="s">
        <v>3565</v>
      </c>
    </row>
    <row r="358" spans="1:4" ht="34.5" customHeight="1" x14ac:dyDescent="0.35">
      <c r="A358" s="344">
        <v>2323</v>
      </c>
      <c r="B358" s="337" t="s">
        <v>3569</v>
      </c>
      <c r="C358" s="338">
        <v>315990</v>
      </c>
      <c r="D358" s="340" t="s">
        <v>3570</v>
      </c>
    </row>
    <row r="359" spans="1:4" ht="34.5" customHeight="1" x14ac:dyDescent="0.35">
      <c r="A359" s="344">
        <v>2325</v>
      </c>
      <c r="B359" s="337" t="s">
        <v>3571</v>
      </c>
      <c r="C359" s="338">
        <v>314999</v>
      </c>
      <c r="D359" s="340" t="s">
        <v>3563</v>
      </c>
    </row>
    <row r="360" spans="1:4" ht="17.25" customHeight="1" x14ac:dyDescent="0.35">
      <c r="A360" s="344">
        <v>2325</v>
      </c>
      <c r="B360" s="337" t="s">
        <v>3571</v>
      </c>
      <c r="C360" s="338">
        <v>315210</v>
      </c>
      <c r="D360" s="339" t="s">
        <v>3565</v>
      </c>
    </row>
    <row r="361" spans="1:4" ht="34.5" customHeight="1" x14ac:dyDescent="0.35">
      <c r="A361" s="345">
        <v>2325</v>
      </c>
      <c r="B361" s="333" t="s">
        <v>3571</v>
      </c>
      <c r="C361" s="334">
        <v>315220</v>
      </c>
      <c r="D361" s="341" t="s">
        <v>3566</v>
      </c>
    </row>
    <row r="362" spans="1:4" ht="34.5" customHeight="1" x14ac:dyDescent="0.35">
      <c r="A362" s="345">
        <v>2326</v>
      </c>
      <c r="B362" s="333" t="s">
        <v>3572</v>
      </c>
      <c r="C362" s="334">
        <v>314999</v>
      </c>
      <c r="D362" s="341" t="s">
        <v>3563</v>
      </c>
    </row>
    <row r="363" spans="1:4" ht="17.25" customHeight="1" x14ac:dyDescent="0.35">
      <c r="A363" s="345">
        <v>2326</v>
      </c>
      <c r="B363" s="333" t="s">
        <v>3572</v>
      </c>
      <c r="C363" s="334">
        <v>315210</v>
      </c>
      <c r="D363" s="335" t="s">
        <v>3565</v>
      </c>
    </row>
    <row r="364" spans="1:4" ht="34.5" customHeight="1" x14ac:dyDescent="0.35">
      <c r="A364" s="344">
        <v>2326</v>
      </c>
      <c r="B364" s="337" t="s">
        <v>3572</v>
      </c>
      <c r="C364" s="338">
        <v>315220</v>
      </c>
      <c r="D364" s="340" t="s">
        <v>3566</v>
      </c>
    </row>
    <row r="365" spans="1:4" ht="34.5" customHeight="1" x14ac:dyDescent="0.35">
      <c r="A365" s="344">
        <v>2329</v>
      </c>
      <c r="B365" s="337" t="s">
        <v>3573</v>
      </c>
      <c r="C365" s="338">
        <v>314999</v>
      </c>
      <c r="D365" s="340" t="s">
        <v>3563</v>
      </c>
    </row>
    <row r="366" spans="1:4" ht="17.25" customHeight="1" x14ac:dyDescent="0.35">
      <c r="A366" s="344">
        <v>2329</v>
      </c>
      <c r="B366" s="337" t="s">
        <v>3573</v>
      </c>
      <c r="C366" s="338">
        <v>315210</v>
      </c>
      <c r="D366" s="339" t="s">
        <v>3565</v>
      </c>
    </row>
    <row r="367" spans="1:4" ht="34.5" customHeight="1" x14ac:dyDescent="0.35">
      <c r="A367" s="345">
        <v>2329</v>
      </c>
      <c r="B367" s="333" t="s">
        <v>3573</v>
      </c>
      <c r="C367" s="334">
        <v>315220</v>
      </c>
      <c r="D367" s="341" t="s">
        <v>3566</v>
      </c>
    </row>
    <row r="368" spans="1:4" ht="17.25" customHeight="1" x14ac:dyDescent="0.35">
      <c r="A368" s="345">
        <v>2329</v>
      </c>
      <c r="B368" s="333" t="s">
        <v>3573</v>
      </c>
      <c r="C368" s="334">
        <v>315280</v>
      </c>
      <c r="D368" s="335" t="s">
        <v>3574</v>
      </c>
    </row>
    <row r="369" spans="1:4" ht="34.5" customHeight="1" x14ac:dyDescent="0.35">
      <c r="A369" s="345">
        <v>2331</v>
      </c>
      <c r="B369" s="333" t="s">
        <v>3575</v>
      </c>
      <c r="C369" s="334">
        <v>314999</v>
      </c>
      <c r="D369" s="341" t="s">
        <v>3563</v>
      </c>
    </row>
    <row r="370" spans="1:4" ht="17.25" customHeight="1" x14ac:dyDescent="0.35">
      <c r="A370" s="345">
        <v>2331</v>
      </c>
      <c r="B370" s="333" t="s">
        <v>3575</v>
      </c>
      <c r="C370" s="334">
        <v>315210</v>
      </c>
      <c r="D370" s="335" t="s">
        <v>3565</v>
      </c>
    </row>
    <row r="371" spans="1:4" ht="34.5" customHeight="1" x14ac:dyDescent="0.35">
      <c r="A371" s="345">
        <v>2331</v>
      </c>
      <c r="B371" s="333" t="s">
        <v>3575</v>
      </c>
      <c r="C371" s="334">
        <v>315240</v>
      </c>
      <c r="D371" s="341" t="s">
        <v>3576</v>
      </c>
    </row>
    <row r="372" spans="1:4" ht="34.5" customHeight="1" x14ac:dyDescent="0.35">
      <c r="A372" s="344">
        <v>2335</v>
      </c>
      <c r="B372" s="337" t="s">
        <v>3577</v>
      </c>
      <c r="C372" s="338">
        <v>314999</v>
      </c>
      <c r="D372" s="340" t="s">
        <v>3563</v>
      </c>
    </row>
    <row r="373" spans="1:4" ht="17.25" customHeight="1" x14ac:dyDescent="0.35">
      <c r="A373" s="344">
        <v>2335</v>
      </c>
      <c r="B373" s="337" t="s">
        <v>3577</v>
      </c>
      <c r="C373" s="338">
        <v>315210</v>
      </c>
      <c r="D373" s="339" t="s">
        <v>3565</v>
      </c>
    </row>
    <row r="374" spans="1:4" ht="34.5" customHeight="1" x14ac:dyDescent="0.35">
      <c r="A374" s="344">
        <v>2335</v>
      </c>
      <c r="B374" s="337" t="s">
        <v>3577</v>
      </c>
      <c r="C374" s="338">
        <v>315240</v>
      </c>
      <c r="D374" s="340" t="s">
        <v>3576</v>
      </c>
    </row>
    <row r="375" spans="1:4" ht="34.5" customHeight="1" x14ac:dyDescent="0.35">
      <c r="A375" s="345">
        <v>2337</v>
      </c>
      <c r="B375" s="333" t="s">
        <v>3578</v>
      </c>
      <c r="C375" s="334">
        <v>314999</v>
      </c>
      <c r="D375" s="341" t="s">
        <v>3563</v>
      </c>
    </row>
    <row r="376" spans="1:4" ht="17.25" customHeight="1" x14ac:dyDescent="0.35">
      <c r="A376" s="345">
        <v>2337</v>
      </c>
      <c r="B376" s="333" t="s">
        <v>3578</v>
      </c>
      <c r="C376" s="334">
        <v>315210</v>
      </c>
      <c r="D376" s="335" t="s">
        <v>3565</v>
      </c>
    </row>
    <row r="377" spans="1:4" ht="34.5" customHeight="1" x14ac:dyDescent="0.35">
      <c r="A377" s="345">
        <v>2337</v>
      </c>
      <c r="B377" s="333" t="s">
        <v>3578</v>
      </c>
      <c r="C377" s="334">
        <v>315240</v>
      </c>
      <c r="D377" s="341" t="s">
        <v>3576</v>
      </c>
    </row>
    <row r="378" spans="1:4" ht="34.5" customHeight="1" x14ac:dyDescent="0.35">
      <c r="A378" s="344">
        <v>2339</v>
      </c>
      <c r="B378" s="337" t="s">
        <v>3579</v>
      </c>
      <c r="C378" s="338">
        <v>314999</v>
      </c>
      <c r="D378" s="340" t="s">
        <v>3563</v>
      </c>
    </row>
    <row r="379" spans="1:4" ht="17.25" customHeight="1" x14ac:dyDescent="0.35">
      <c r="A379" s="344">
        <v>2339</v>
      </c>
      <c r="B379" s="337" t="s">
        <v>3579</v>
      </c>
      <c r="C379" s="338">
        <v>315210</v>
      </c>
      <c r="D379" s="339" t="s">
        <v>3565</v>
      </c>
    </row>
    <row r="380" spans="1:4" ht="34.5" customHeight="1" x14ac:dyDescent="0.35">
      <c r="A380" s="344">
        <v>2339</v>
      </c>
      <c r="B380" s="337" t="s">
        <v>3579</v>
      </c>
      <c r="C380" s="338">
        <v>315240</v>
      </c>
      <c r="D380" s="340" t="s">
        <v>3576</v>
      </c>
    </row>
    <row r="381" spans="1:4" ht="17.25" customHeight="1" x14ac:dyDescent="0.35">
      <c r="A381" s="344">
        <v>2339</v>
      </c>
      <c r="B381" s="337" t="s">
        <v>3579</v>
      </c>
      <c r="C381" s="338">
        <v>315280</v>
      </c>
      <c r="D381" s="339" t="s">
        <v>3574</v>
      </c>
    </row>
    <row r="382" spans="1:4" ht="34.5" customHeight="1" x14ac:dyDescent="0.35">
      <c r="A382" s="345">
        <v>2339</v>
      </c>
      <c r="B382" s="333" t="s">
        <v>3579</v>
      </c>
      <c r="C382" s="334">
        <v>315990</v>
      </c>
      <c r="D382" s="341" t="s">
        <v>3570</v>
      </c>
    </row>
    <row r="383" spans="1:4" ht="34.5" customHeight="1" x14ac:dyDescent="0.35">
      <c r="A383" s="345">
        <v>2341</v>
      </c>
      <c r="B383" s="333" t="s">
        <v>3580</v>
      </c>
      <c r="C383" s="334">
        <v>314999</v>
      </c>
      <c r="D383" s="341" t="s">
        <v>3563</v>
      </c>
    </row>
    <row r="384" spans="1:4" ht="34.5" customHeight="1" x14ac:dyDescent="0.35">
      <c r="A384" s="344">
        <v>2341</v>
      </c>
      <c r="B384" s="337" t="s">
        <v>3580</v>
      </c>
      <c r="C384" s="338">
        <v>314999</v>
      </c>
      <c r="D384" s="340" t="s">
        <v>3563</v>
      </c>
    </row>
    <row r="385" spans="1:4" ht="17.25" customHeight="1" x14ac:dyDescent="0.35">
      <c r="A385" s="345">
        <v>2341</v>
      </c>
      <c r="B385" s="333" t="s">
        <v>3580</v>
      </c>
      <c r="C385" s="334">
        <v>315210</v>
      </c>
      <c r="D385" s="335" t="s">
        <v>3565</v>
      </c>
    </row>
    <row r="386" spans="1:4" ht="17.25" customHeight="1" x14ac:dyDescent="0.35">
      <c r="A386" s="344">
        <v>2341</v>
      </c>
      <c r="B386" s="337" t="s">
        <v>3580</v>
      </c>
      <c r="C386" s="338">
        <v>315210</v>
      </c>
      <c r="D386" s="339" t="s">
        <v>3565</v>
      </c>
    </row>
    <row r="387" spans="1:4" ht="34.5" customHeight="1" x14ac:dyDescent="0.35">
      <c r="A387" s="344">
        <v>2341</v>
      </c>
      <c r="B387" s="337" t="s">
        <v>3580</v>
      </c>
      <c r="C387" s="338">
        <v>315220</v>
      </c>
      <c r="D387" s="340" t="s">
        <v>3566</v>
      </c>
    </row>
    <row r="388" spans="1:4" ht="34.5" customHeight="1" x14ac:dyDescent="0.35">
      <c r="A388" s="345">
        <v>2341</v>
      </c>
      <c r="B388" s="333" t="s">
        <v>3580</v>
      </c>
      <c r="C388" s="334">
        <v>315240</v>
      </c>
      <c r="D388" s="341" t="s">
        <v>3576</v>
      </c>
    </row>
    <row r="389" spans="1:4" ht="34.5" customHeight="1" x14ac:dyDescent="0.35">
      <c r="A389" s="344">
        <v>2341</v>
      </c>
      <c r="B389" s="337" t="s">
        <v>3580</v>
      </c>
      <c r="C389" s="338">
        <v>315240</v>
      </c>
      <c r="D389" s="340" t="s">
        <v>3576</v>
      </c>
    </row>
    <row r="390" spans="1:4" ht="34.5" customHeight="1" x14ac:dyDescent="0.35">
      <c r="A390" s="345">
        <v>2342</v>
      </c>
      <c r="B390" s="333" t="s">
        <v>3581</v>
      </c>
      <c r="C390" s="334">
        <v>314999</v>
      </c>
      <c r="D390" s="341" t="s">
        <v>3563</v>
      </c>
    </row>
    <row r="391" spans="1:4" ht="17.25" customHeight="1" x14ac:dyDescent="0.35">
      <c r="A391" s="345">
        <v>2342</v>
      </c>
      <c r="B391" s="333" t="s">
        <v>3581</v>
      </c>
      <c r="C391" s="334">
        <v>315210</v>
      </c>
      <c r="D391" s="335" t="s">
        <v>3565</v>
      </c>
    </row>
    <row r="392" spans="1:4" ht="34.5" customHeight="1" x14ac:dyDescent="0.35">
      <c r="A392" s="345">
        <v>2342</v>
      </c>
      <c r="B392" s="333" t="s">
        <v>3581</v>
      </c>
      <c r="C392" s="334">
        <v>315240</v>
      </c>
      <c r="D392" s="341" t="s">
        <v>3576</v>
      </c>
    </row>
    <row r="393" spans="1:4" ht="34.5" customHeight="1" x14ac:dyDescent="0.35">
      <c r="A393" s="344">
        <v>2353</v>
      </c>
      <c r="B393" s="337" t="s">
        <v>3582</v>
      </c>
      <c r="C393" s="338">
        <v>314999</v>
      </c>
      <c r="D393" s="340" t="s">
        <v>3563</v>
      </c>
    </row>
    <row r="394" spans="1:4" ht="34.5" customHeight="1" x14ac:dyDescent="0.35">
      <c r="A394" s="345">
        <v>2353</v>
      </c>
      <c r="B394" s="333" t="s">
        <v>3582</v>
      </c>
      <c r="C394" s="334">
        <v>314999</v>
      </c>
      <c r="D394" s="341" t="s">
        <v>3563</v>
      </c>
    </row>
    <row r="395" spans="1:4" ht="17.25" customHeight="1" x14ac:dyDescent="0.35">
      <c r="A395" s="344">
        <v>2353</v>
      </c>
      <c r="B395" s="337" t="s">
        <v>3582</v>
      </c>
      <c r="C395" s="338">
        <v>315210</v>
      </c>
      <c r="D395" s="339" t="s">
        <v>3565</v>
      </c>
    </row>
    <row r="396" spans="1:4" ht="17.25" customHeight="1" x14ac:dyDescent="0.35">
      <c r="A396" s="345">
        <v>2353</v>
      </c>
      <c r="B396" s="333" t="s">
        <v>3582</v>
      </c>
      <c r="C396" s="334">
        <v>315210</v>
      </c>
      <c r="D396" s="335" t="s">
        <v>3565</v>
      </c>
    </row>
    <row r="397" spans="1:4" ht="34.5" customHeight="1" x14ac:dyDescent="0.35">
      <c r="A397" s="344">
        <v>2353</v>
      </c>
      <c r="B397" s="337" t="s">
        <v>3582</v>
      </c>
      <c r="C397" s="338">
        <v>315990</v>
      </c>
      <c r="D397" s="340" t="s">
        <v>3570</v>
      </c>
    </row>
    <row r="398" spans="1:4" ht="34.5" customHeight="1" x14ac:dyDescent="0.35">
      <c r="A398" s="344">
        <v>2361</v>
      </c>
      <c r="B398" s="337" t="s">
        <v>3583</v>
      </c>
      <c r="C398" s="338">
        <v>314999</v>
      </c>
      <c r="D398" s="340" t="s">
        <v>3563</v>
      </c>
    </row>
    <row r="399" spans="1:4" ht="34.5" customHeight="1" x14ac:dyDescent="0.35">
      <c r="A399" s="345">
        <v>2361</v>
      </c>
      <c r="B399" s="333" t="s">
        <v>3583</v>
      </c>
      <c r="C399" s="334">
        <v>314999</v>
      </c>
      <c r="D399" s="341" t="s">
        <v>3563</v>
      </c>
    </row>
    <row r="400" spans="1:4" ht="17.25" customHeight="1" x14ac:dyDescent="0.35">
      <c r="A400" s="344">
        <v>2361</v>
      </c>
      <c r="B400" s="337" t="s">
        <v>3583</v>
      </c>
      <c r="C400" s="338">
        <v>315210</v>
      </c>
      <c r="D400" s="339" t="s">
        <v>3565</v>
      </c>
    </row>
    <row r="401" spans="1:4" ht="17.25" customHeight="1" x14ac:dyDescent="0.35">
      <c r="A401" s="345">
        <v>2361</v>
      </c>
      <c r="B401" s="333" t="s">
        <v>3583</v>
      </c>
      <c r="C401" s="334">
        <v>315210</v>
      </c>
      <c r="D401" s="335" t="s">
        <v>3565</v>
      </c>
    </row>
    <row r="402" spans="1:4" ht="34.5" customHeight="1" x14ac:dyDescent="0.35">
      <c r="A402" s="345">
        <v>2361</v>
      </c>
      <c r="B402" s="333" t="s">
        <v>3583</v>
      </c>
      <c r="C402" s="334">
        <v>315220</v>
      </c>
      <c r="D402" s="341" t="s">
        <v>3566</v>
      </c>
    </row>
    <row r="403" spans="1:4" ht="34.5" customHeight="1" x14ac:dyDescent="0.35">
      <c r="A403" s="344">
        <v>2361</v>
      </c>
      <c r="B403" s="337" t="s">
        <v>3583</v>
      </c>
      <c r="C403" s="338">
        <v>315240</v>
      </c>
      <c r="D403" s="340" t="s">
        <v>3576</v>
      </c>
    </row>
    <row r="404" spans="1:4" ht="34.5" customHeight="1" x14ac:dyDescent="0.35">
      <c r="A404" s="345">
        <v>2361</v>
      </c>
      <c r="B404" s="333" t="s">
        <v>3583</v>
      </c>
      <c r="C404" s="334">
        <v>315240</v>
      </c>
      <c r="D404" s="341" t="s">
        <v>3576</v>
      </c>
    </row>
    <row r="405" spans="1:4" ht="34.5" customHeight="1" x14ac:dyDescent="0.35">
      <c r="A405" s="344">
        <v>2361</v>
      </c>
      <c r="B405" s="337" t="s">
        <v>3583</v>
      </c>
      <c r="C405" s="338">
        <v>315240</v>
      </c>
      <c r="D405" s="340" t="s">
        <v>3576</v>
      </c>
    </row>
    <row r="406" spans="1:4" ht="34.5" customHeight="1" x14ac:dyDescent="0.35">
      <c r="A406" s="344">
        <v>2369</v>
      </c>
      <c r="B406" s="337" t="s">
        <v>3584</v>
      </c>
      <c r="C406" s="338">
        <v>314999</v>
      </c>
      <c r="D406" s="340" t="s">
        <v>3563</v>
      </c>
    </row>
    <row r="407" spans="1:4" ht="34.5" customHeight="1" x14ac:dyDescent="0.35">
      <c r="A407" s="345">
        <v>2369</v>
      </c>
      <c r="B407" s="333" t="s">
        <v>3584</v>
      </c>
      <c r="C407" s="334">
        <v>314999</v>
      </c>
      <c r="D407" s="341" t="s">
        <v>3563</v>
      </c>
    </row>
    <row r="408" spans="1:4" ht="17.25" customHeight="1" x14ac:dyDescent="0.35">
      <c r="A408" s="344">
        <v>2369</v>
      </c>
      <c r="B408" s="337" t="s">
        <v>3584</v>
      </c>
      <c r="C408" s="338">
        <v>315210</v>
      </c>
      <c r="D408" s="339" t="s">
        <v>3565</v>
      </c>
    </row>
    <row r="409" spans="1:4" ht="17.25" customHeight="1" x14ac:dyDescent="0.35">
      <c r="A409" s="345">
        <v>2369</v>
      </c>
      <c r="B409" s="333" t="s">
        <v>3584</v>
      </c>
      <c r="C409" s="334">
        <v>315210</v>
      </c>
      <c r="D409" s="335" t="s">
        <v>3565</v>
      </c>
    </row>
    <row r="410" spans="1:4" ht="34.5" customHeight="1" x14ac:dyDescent="0.35">
      <c r="A410" s="344">
        <v>2369</v>
      </c>
      <c r="B410" s="337" t="s">
        <v>3584</v>
      </c>
      <c r="C410" s="338">
        <v>315220</v>
      </c>
      <c r="D410" s="340" t="s">
        <v>3566</v>
      </c>
    </row>
    <row r="411" spans="1:4" ht="34.5" customHeight="1" x14ac:dyDescent="0.35">
      <c r="A411" s="345">
        <v>2369</v>
      </c>
      <c r="B411" s="333" t="s">
        <v>3584</v>
      </c>
      <c r="C411" s="334">
        <v>315220</v>
      </c>
      <c r="D411" s="341" t="s">
        <v>3566</v>
      </c>
    </row>
    <row r="412" spans="1:4" ht="34.5" customHeight="1" x14ac:dyDescent="0.35">
      <c r="A412" s="344">
        <v>2369</v>
      </c>
      <c r="B412" s="337" t="s">
        <v>3584</v>
      </c>
      <c r="C412" s="338">
        <v>315220</v>
      </c>
      <c r="D412" s="340" t="s">
        <v>3566</v>
      </c>
    </row>
    <row r="413" spans="1:4" ht="34.5" customHeight="1" x14ac:dyDescent="0.35">
      <c r="A413" s="345">
        <v>2369</v>
      </c>
      <c r="B413" s="333" t="s">
        <v>3584</v>
      </c>
      <c r="C413" s="334">
        <v>315220</v>
      </c>
      <c r="D413" s="341" t="s">
        <v>3566</v>
      </c>
    </row>
    <row r="414" spans="1:4" ht="34.5" customHeight="1" x14ac:dyDescent="0.35">
      <c r="A414" s="345">
        <v>2369</v>
      </c>
      <c r="B414" s="333" t="s">
        <v>3584</v>
      </c>
      <c r="C414" s="334">
        <v>315240</v>
      </c>
      <c r="D414" s="341" t="s">
        <v>3576</v>
      </c>
    </row>
    <row r="415" spans="1:4" ht="34.5" customHeight="1" x14ac:dyDescent="0.35">
      <c r="A415" s="344">
        <v>2369</v>
      </c>
      <c r="B415" s="337" t="s">
        <v>3584</v>
      </c>
      <c r="C415" s="338">
        <v>315240</v>
      </c>
      <c r="D415" s="340" t="s">
        <v>3576</v>
      </c>
    </row>
    <row r="416" spans="1:4" ht="34.5" customHeight="1" x14ac:dyDescent="0.35">
      <c r="A416" s="345">
        <v>2369</v>
      </c>
      <c r="B416" s="333" t="s">
        <v>3584</v>
      </c>
      <c r="C416" s="334">
        <v>315240</v>
      </c>
      <c r="D416" s="341" t="s">
        <v>3576</v>
      </c>
    </row>
    <row r="417" spans="1:4" ht="34.5" customHeight="1" x14ac:dyDescent="0.35">
      <c r="A417" s="344">
        <v>2369</v>
      </c>
      <c r="B417" s="337" t="s">
        <v>3584</v>
      </c>
      <c r="C417" s="338">
        <v>315240</v>
      </c>
      <c r="D417" s="340" t="s">
        <v>3576</v>
      </c>
    </row>
    <row r="418" spans="1:4" ht="34.5" customHeight="1" x14ac:dyDescent="0.35">
      <c r="A418" s="344">
        <v>2371</v>
      </c>
      <c r="B418" s="337" t="s">
        <v>3585</v>
      </c>
      <c r="C418" s="338">
        <v>314999</v>
      </c>
      <c r="D418" s="340" t="s">
        <v>3563</v>
      </c>
    </row>
    <row r="419" spans="1:4" ht="34.5" customHeight="1" x14ac:dyDescent="0.35">
      <c r="A419" s="345">
        <v>2371</v>
      </c>
      <c r="B419" s="333" t="s">
        <v>3585</v>
      </c>
      <c r="C419" s="334">
        <v>314999</v>
      </c>
      <c r="D419" s="341" t="s">
        <v>3563</v>
      </c>
    </row>
    <row r="420" spans="1:4" ht="17.25" customHeight="1" x14ac:dyDescent="0.35">
      <c r="A420" s="344">
        <v>2371</v>
      </c>
      <c r="B420" s="337" t="s">
        <v>3585</v>
      </c>
      <c r="C420" s="338">
        <v>315210</v>
      </c>
      <c r="D420" s="339" t="s">
        <v>3565</v>
      </c>
    </row>
    <row r="421" spans="1:4" ht="17.25" customHeight="1" x14ac:dyDescent="0.35">
      <c r="A421" s="345">
        <v>2371</v>
      </c>
      <c r="B421" s="333" t="s">
        <v>3585</v>
      </c>
      <c r="C421" s="334">
        <v>315210</v>
      </c>
      <c r="D421" s="335" t="s">
        <v>3565</v>
      </c>
    </row>
    <row r="422" spans="1:4" ht="17.25" customHeight="1" x14ac:dyDescent="0.35">
      <c r="A422" s="345">
        <v>2371</v>
      </c>
      <c r="B422" s="333" t="s">
        <v>3585</v>
      </c>
      <c r="C422" s="334">
        <v>315280</v>
      </c>
      <c r="D422" s="335" t="s">
        <v>3574</v>
      </c>
    </row>
    <row r="423" spans="1:4" ht="34.5" customHeight="1" x14ac:dyDescent="0.35">
      <c r="A423" s="344">
        <v>2381</v>
      </c>
      <c r="B423" s="337" t="s">
        <v>3586</v>
      </c>
      <c r="C423" s="338">
        <v>314999</v>
      </c>
      <c r="D423" s="340" t="s">
        <v>3563</v>
      </c>
    </row>
    <row r="424" spans="1:4" ht="34.5" customHeight="1" x14ac:dyDescent="0.35">
      <c r="A424" s="345">
        <v>2381</v>
      </c>
      <c r="B424" s="333" t="s">
        <v>3586</v>
      </c>
      <c r="C424" s="334">
        <v>314999</v>
      </c>
      <c r="D424" s="341" t="s">
        <v>3563</v>
      </c>
    </row>
    <row r="425" spans="1:4" ht="17.25" customHeight="1" x14ac:dyDescent="0.35">
      <c r="A425" s="344">
        <v>2381</v>
      </c>
      <c r="B425" s="337" t="s">
        <v>3586</v>
      </c>
      <c r="C425" s="338">
        <v>315210</v>
      </c>
      <c r="D425" s="339" t="s">
        <v>3565</v>
      </c>
    </row>
    <row r="426" spans="1:4" ht="17.25" customHeight="1" x14ac:dyDescent="0.35">
      <c r="A426" s="345">
        <v>2381</v>
      </c>
      <c r="B426" s="333" t="s">
        <v>3586</v>
      </c>
      <c r="C426" s="334">
        <v>315210</v>
      </c>
      <c r="D426" s="335" t="s">
        <v>3565</v>
      </c>
    </row>
    <row r="427" spans="1:4" ht="34.5" customHeight="1" x14ac:dyDescent="0.35">
      <c r="A427" s="345">
        <v>2381</v>
      </c>
      <c r="B427" s="333" t="s">
        <v>3586</v>
      </c>
      <c r="C427" s="334">
        <v>315990</v>
      </c>
      <c r="D427" s="341" t="s">
        <v>3570</v>
      </c>
    </row>
    <row r="428" spans="1:4" ht="34.5" customHeight="1" x14ac:dyDescent="0.35">
      <c r="A428" s="344">
        <v>2384</v>
      </c>
      <c r="B428" s="337" t="s">
        <v>3587</v>
      </c>
      <c r="C428" s="338">
        <v>314999</v>
      </c>
      <c r="D428" s="340" t="s">
        <v>3563</v>
      </c>
    </row>
    <row r="429" spans="1:4" ht="34.5" customHeight="1" x14ac:dyDescent="0.35">
      <c r="A429" s="345">
        <v>2384</v>
      </c>
      <c r="B429" s="333" t="s">
        <v>3587</v>
      </c>
      <c r="C429" s="334">
        <v>314999</v>
      </c>
      <c r="D429" s="341" t="s">
        <v>3563</v>
      </c>
    </row>
    <row r="430" spans="1:4" ht="17.25" customHeight="1" x14ac:dyDescent="0.35">
      <c r="A430" s="344">
        <v>2384</v>
      </c>
      <c r="B430" s="337" t="s">
        <v>3587</v>
      </c>
      <c r="C430" s="338">
        <v>315210</v>
      </c>
      <c r="D430" s="339" t="s">
        <v>3565</v>
      </c>
    </row>
    <row r="431" spans="1:4" ht="17.25" customHeight="1" x14ac:dyDescent="0.35">
      <c r="A431" s="345">
        <v>2384</v>
      </c>
      <c r="B431" s="333" t="s">
        <v>3587</v>
      </c>
      <c r="C431" s="334">
        <v>315210</v>
      </c>
      <c r="D431" s="335" t="s">
        <v>3565</v>
      </c>
    </row>
    <row r="432" spans="1:4" ht="34.5" customHeight="1" x14ac:dyDescent="0.35">
      <c r="A432" s="344">
        <v>2384</v>
      </c>
      <c r="B432" s="337" t="s">
        <v>3587</v>
      </c>
      <c r="C432" s="338">
        <v>315220</v>
      </c>
      <c r="D432" s="340" t="s">
        <v>3566</v>
      </c>
    </row>
    <row r="433" spans="1:4" ht="34.5" customHeight="1" x14ac:dyDescent="0.35">
      <c r="A433" s="345">
        <v>2384</v>
      </c>
      <c r="B433" s="333" t="s">
        <v>3587</v>
      </c>
      <c r="C433" s="334">
        <v>315240</v>
      </c>
      <c r="D433" s="341" t="s">
        <v>3576</v>
      </c>
    </row>
    <row r="434" spans="1:4" ht="34.5" customHeight="1" x14ac:dyDescent="0.35">
      <c r="A434" s="344">
        <v>2385</v>
      </c>
      <c r="B434" s="337" t="s">
        <v>3588</v>
      </c>
      <c r="C434" s="338">
        <v>314999</v>
      </c>
      <c r="D434" s="340" t="s">
        <v>3563</v>
      </c>
    </row>
    <row r="435" spans="1:4" ht="34.5" customHeight="1" x14ac:dyDescent="0.35">
      <c r="A435" s="345">
        <v>2385</v>
      </c>
      <c r="B435" s="333" t="s">
        <v>3588</v>
      </c>
      <c r="C435" s="334">
        <v>314999</v>
      </c>
      <c r="D435" s="341" t="s">
        <v>3563</v>
      </c>
    </row>
    <row r="436" spans="1:4" ht="17.25" customHeight="1" x14ac:dyDescent="0.35">
      <c r="A436" s="344">
        <v>2385</v>
      </c>
      <c r="B436" s="337" t="s">
        <v>3588</v>
      </c>
      <c r="C436" s="338">
        <v>315210</v>
      </c>
      <c r="D436" s="339" t="s">
        <v>3565</v>
      </c>
    </row>
    <row r="437" spans="1:4" ht="17.25" customHeight="1" x14ac:dyDescent="0.35">
      <c r="A437" s="345">
        <v>2385</v>
      </c>
      <c r="B437" s="333" t="s">
        <v>3588</v>
      </c>
      <c r="C437" s="334">
        <v>315210</v>
      </c>
      <c r="D437" s="335" t="s">
        <v>3565</v>
      </c>
    </row>
    <row r="438" spans="1:4" ht="34.5" customHeight="1" x14ac:dyDescent="0.35">
      <c r="A438" s="345">
        <v>2385</v>
      </c>
      <c r="B438" s="333" t="s">
        <v>3588</v>
      </c>
      <c r="C438" s="334">
        <v>315220</v>
      </c>
      <c r="D438" s="341" t="s">
        <v>3566</v>
      </c>
    </row>
    <row r="439" spans="1:4" ht="34.5" customHeight="1" x14ac:dyDescent="0.35">
      <c r="A439" s="344">
        <v>2385</v>
      </c>
      <c r="B439" s="337" t="s">
        <v>3588</v>
      </c>
      <c r="C439" s="338">
        <v>315220</v>
      </c>
      <c r="D439" s="340" t="s">
        <v>3566</v>
      </c>
    </row>
    <row r="440" spans="1:4" ht="34.5" customHeight="1" x14ac:dyDescent="0.35">
      <c r="A440" s="344">
        <v>2385</v>
      </c>
      <c r="B440" s="337" t="s">
        <v>3588</v>
      </c>
      <c r="C440" s="338">
        <v>315240</v>
      </c>
      <c r="D440" s="340" t="s">
        <v>3576</v>
      </c>
    </row>
    <row r="441" spans="1:4" ht="34.5" customHeight="1" x14ac:dyDescent="0.35">
      <c r="A441" s="345">
        <v>2385</v>
      </c>
      <c r="B441" s="333" t="s">
        <v>3588</v>
      </c>
      <c r="C441" s="334">
        <v>315240</v>
      </c>
      <c r="D441" s="341" t="s">
        <v>3576</v>
      </c>
    </row>
    <row r="442" spans="1:4" ht="34.5" customHeight="1" x14ac:dyDescent="0.35">
      <c r="A442" s="344">
        <v>2385</v>
      </c>
      <c r="B442" s="337" t="s">
        <v>3588</v>
      </c>
      <c r="C442" s="338">
        <v>315240</v>
      </c>
      <c r="D442" s="340" t="s">
        <v>3576</v>
      </c>
    </row>
    <row r="443" spans="1:4" ht="17.25" customHeight="1" x14ac:dyDescent="0.35">
      <c r="A443" s="344">
        <v>2385</v>
      </c>
      <c r="B443" s="337" t="s">
        <v>3588</v>
      </c>
      <c r="C443" s="338">
        <v>315280</v>
      </c>
      <c r="D443" s="339" t="s">
        <v>3574</v>
      </c>
    </row>
    <row r="444" spans="1:4" ht="34.5" customHeight="1" x14ac:dyDescent="0.35">
      <c r="A444" s="344">
        <v>2385</v>
      </c>
      <c r="B444" s="337" t="s">
        <v>3588</v>
      </c>
      <c r="C444" s="338">
        <v>315990</v>
      </c>
      <c r="D444" s="340" t="s">
        <v>3570</v>
      </c>
    </row>
    <row r="445" spans="1:4" ht="34.5" customHeight="1" x14ac:dyDescent="0.35">
      <c r="A445" s="344">
        <v>2386</v>
      </c>
      <c r="B445" s="337" t="s">
        <v>3589</v>
      </c>
      <c r="C445" s="338">
        <v>314999</v>
      </c>
      <c r="D445" s="340" t="s">
        <v>3563</v>
      </c>
    </row>
    <row r="446" spans="1:4" ht="34.5" customHeight="1" x14ac:dyDescent="0.35">
      <c r="A446" s="345">
        <v>2386</v>
      </c>
      <c r="B446" s="333" t="s">
        <v>3589</v>
      </c>
      <c r="C446" s="334">
        <v>314999</v>
      </c>
      <c r="D446" s="341" t="s">
        <v>3563</v>
      </c>
    </row>
    <row r="447" spans="1:4" ht="17.25" customHeight="1" x14ac:dyDescent="0.35">
      <c r="A447" s="344">
        <v>2386</v>
      </c>
      <c r="B447" s="337" t="s">
        <v>3589</v>
      </c>
      <c r="C447" s="338">
        <v>315210</v>
      </c>
      <c r="D447" s="339" t="s">
        <v>3565</v>
      </c>
    </row>
    <row r="448" spans="1:4" ht="17.25" customHeight="1" x14ac:dyDescent="0.35">
      <c r="A448" s="345">
        <v>2386</v>
      </c>
      <c r="B448" s="333" t="s">
        <v>3589</v>
      </c>
      <c r="C448" s="334">
        <v>315210</v>
      </c>
      <c r="D448" s="335" t="s">
        <v>3565</v>
      </c>
    </row>
    <row r="449" spans="1:4" ht="17.25" customHeight="1" x14ac:dyDescent="0.35">
      <c r="A449" s="345">
        <v>2386</v>
      </c>
      <c r="B449" s="333" t="s">
        <v>3589</v>
      </c>
      <c r="C449" s="334">
        <v>315280</v>
      </c>
      <c r="D449" s="335" t="s">
        <v>3574</v>
      </c>
    </row>
    <row r="450" spans="1:4" ht="34.5" customHeight="1" x14ac:dyDescent="0.35">
      <c r="A450" s="344">
        <v>2387</v>
      </c>
      <c r="B450" s="337" t="s">
        <v>3590</v>
      </c>
      <c r="C450" s="338">
        <v>314999</v>
      </c>
      <c r="D450" s="340" t="s">
        <v>3563</v>
      </c>
    </row>
    <row r="451" spans="1:4" ht="34.5" customHeight="1" x14ac:dyDescent="0.35">
      <c r="A451" s="345">
        <v>2387</v>
      </c>
      <c r="B451" s="333" t="s">
        <v>3590</v>
      </c>
      <c r="C451" s="334">
        <v>314999</v>
      </c>
      <c r="D451" s="341" t="s">
        <v>3563</v>
      </c>
    </row>
    <row r="452" spans="1:4" ht="17.25" customHeight="1" x14ac:dyDescent="0.35">
      <c r="A452" s="344">
        <v>2387</v>
      </c>
      <c r="B452" s="337" t="s">
        <v>3590</v>
      </c>
      <c r="C452" s="338">
        <v>315210</v>
      </c>
      <c r="D452" s="339" t="s">
        <v>3565</v>
      </c>
    </row>
    <row r="453" spans="1:4" ht="17.25" customHeight="1" x14ac:dyDescent="0.35">
      <c r="A453" s="345">
        <v>2387</v>
      </c>
      <c r="B453" s="333" t="s">
        <v>3590</v>
      </c>
      <c r="C453" s="334">
        <v>315210</v>
      </c>
      <c r="D453" s="335" t="s">
        <v>3565</v>
      </c>
    </row>
    <row r="454" spans="1:4" ht="34.5" customHeight="1" x14ac:dyDescent="0.35">
      <c r="A454" s="345">
        <v>2387</v>
      </c>
      <c r="B454" s="333" t="s">
        <v>3590</v>
      </c>
      <c r="C454" s="334">
        <v>315990</v>
      </c>
      <c r="D454" s="341" t="s">
        <v>3570</v>
      </c>
    </row>
    <row r="455" spans="1:4" ht="34.5" customHeight="1" x14ac:dyDescent="0.35">
      <c r="A455" s="344">
        <v>2389</v>
      </c>
      <c r="B455" s="337" t="s">
        <v>3591</v>
      </c>
      <c r="C455" s="338">
        <v>314999</v>
      </c>
      <c r="D455" s="340" t="s">
        <v>3563</v>
      </c>
    </row>
    <row r="456" spans="1:4" ht="34.5" customHeight="1" x14ac:dyDescent="0.35">
      <c r="A456" s="345">
        <v>2389</v>
      </c>
      <c r="B456" s="333" t="s">
        <v>3591</v>
      </c>
      <c r="C456" s="334">
        <v>314999</v>
      </c>
      <c r="D456" s="341" t="s">
        <v>3563</v>
      </c>
    </row>
    <row r="457" spans="1:4" ht="17.25" customHeight="1" x14ac:dyDescent="0.35">
      <c r="A457" s="344">
        <v>2389</v>
      </c>
      <c r="B457" s="337" t="s">
        <v>3591</v>
      </c>
      <c r="C457" s="338">
        <v>315210</v>
      </c>
      <c r="D457" s="339" t="s">
        <v>3565</v>
      </c>
    </row>
    <row r="458" spans="1:4" ht="17.25" customHeight="1" x14ac:dyDescent="0.35">
      <c r="A458" s="345">
        <v>2389</v>
      </c>
      <c r="B458" s="333" t="s">
        <v>3591</v>
      </c>
      <c r="C458" s="334">
        <v>315210</v>
      </c>
      <c r="D458" s="335" t="s">
        <v>3565</v>
      </c>
    </row>
    <row r="459" spans="1:4" ht="34.5" customHeight="1" x14ac:dyDescent="0.35">
      <c r="A459" s="345">
        <v>2389</v>
      </c>
      <c r="B459" s="333" t="s">
        <v>3591</v>
      </c>
      <c r="C459" s="334">
        <v>315240</v>
      </c>
      <c r="D459" s="341" t="s">
        <v>3576</v>
      </c>
    </row>
    <row r="460" spans="1:4" ht="17.25" customHeight="1" x14ac:dyDescent="0.35">
      <c r="A460" s="344">
        <v>2389</v>
      </c>
      <c r="B460" s="337" t="s">
        <v>3591</v>
      </c>
      <c r="C460" s="338">
        <v>315280</v>
      </c>
      <c r="D460" s="339" t="s">
        <v>3574</v>
      </c>
    </row>
    <row r="461" spans="1:4" ht="34.5" customHeight="1" x14ac:dyDescent="0.35">
      <c r="A461" s="344">
        <v>2389</v>
      </c>
      <c r="B461" s="337" t="s">
        <v>3591</v>
      </c>
      <c r="C461" s="338">
        <v>315990</v>
      </c>
      <c r="D461" s="340" t="s">
        <v>3570</v>
      </c>
    </row>
    <row r="462" spans="1:4" ht="17.25" customHeight="1" x14ac:dyDescent="0.35">
      <c r="A462" s="345">
        <v>2391</v>
      </c>
      <c r="B462" s="333" t="s">
        <v>3592</v>
      </c>
      <c r="C462" s="334">
        <v>314120</v>
      </c>
      <c r="D462" s="335" t="s">
        <v>3593</v>
      </c>
    </row>
    <row r="463" spans="1:4" ht="17.25" customHeight="1" x14ac:dyDescent="0.35">
      <c r="A463" s="344">
        <v>2392</v>
      </c>
      <c r="B463" s="337" t="s">
        <v>3594</v>
      </c>
      <c r="C463" s="338">
        <v>314120</v>
      </c>
      <c r="D463" s="339" t="s">
        <v>3593</v>
      </c>
    </row>
    <row r="464" spans="1:4" ht="17.25" customHeight="1" x14ac:dyDescent="0.35">
      <c r="A464" s="345">
        <v>2392</v>
      </c>
      <c r="B464" s="333" t="s">
        <v>3594</v>
      </c>
      <c r="C464" s="334">
        <v>314910</v>
      </c>
      <c r="D464" s="335" t="s">
        <v>3595</v>
      </c>
    </row>
    <row r="465" spans="1:4" ht="34.5" customHeight="1" x14ac:dyDescent="0.35">
      <c r="A465" s="344">
        <v>2392</v>
      </c>
      <c r="B465" s="337" t="s">
        <v>3594</v>
      </c>
      <c r="C465" s="338">
        <v>314999</v>
      </c>
      <c r="D465" s="340" t="s">
        <v>3563</v>
      </c>
    </row>
    <row r="466" spans="1:4" ht="17.25" customHeight="1" x14ac:dyDescent="0.35">
      <c r="A466" s="345">
        <v>2392</v>
      </c>
      <c r="B466" s="333" t="s">
        <v>3594</v>
      </c>
      <c r="C466" s="334">
        <v>339994</v>
      </c>
      <c r="D466" s="335" t="s">
        <v>3596</v>
      </c>
    </row>
    <row r="467" spans="1:4" ht="17.25" customHeight="1" x14ac:dyDescent="0.35">
      <c r="A467" s="344">
        <v>2393</v>
      </c>
      <c r="B467" s="337" t="s">
        <v>3597</v>
      </c>
      <c r="C467" s="338">
        <v>314910</v>
      </c>
      <c r="D467" s="339" t="s">
        <v>3595</v>
      </c>
    </row>
    <row r="468" spans="1:4" ht="17.25" customHeight="1" x14ac:dyDescent="0.35">
      <c r="A468" s="345">
        <v>2394</v>
      </c>
      <c r="B468" s="333" t="s">
        <v>3598</v>
      </c>
      <c r="C468" s="334">
        <v>314910</v>
      </c>
      <c r="D468" s="335" t="s">
        <v>3595</v>
      </c>
    </row>
    <row r="469" spans="1:4" ht="34.5" customHeight="1" x14ac:dyDescent="0.35">
      <c r="A469" s="345">
        <v>2395</v>
      </c>
      <c r="B469" s="333" t="s">
        <v>3599</v>
      </c>
      <c r="C469" s="334">
        <v>314999</v>
      </c>
      <c r="D469" s="341" t="s">
        <v>3563</v>
      </c>
    </row>
    <row r="470" spans="1:4" ht="34.5" customHeight="1" x14ac:dyDescent="0.35">
      <c r="A470" s="344">
        <v>2395</v>
      </c>
      <c r="B470" s="337" t="s">
        <v>3599</v>
      </c>
      <c r="C470" s="338">
        <v>314999</v>
      </c>
      <c r="D470" s="340" t="s">
        <v>3563</v>
      </c>
    </row>
    <row r="471" spans="1:4" ht="34.5" customHeight="1" x14ac:dyDescent="0.35">
      <c r="A471" s="345">
        <v>2395</v>
      </c>
      <c r="B471" s="333" t="s">
        <v>3599</v>
      </c>
      <c r="C471" s="334">
        <v>314999</v>
      </c>
      <c r="D471" s="341" t="s">
        <v>3563</v>
      </c>
    </row>
    <row r="472" spans="1:4" ht="17.25" customHeight="1" x14ac:dyDescent="0.35">
      <c r="A472" s="344">
        <v>2395</v>
      </c>
      <c r="B472" s="337" t="s">
        <v>3599</v>
      </c>
      <c r="C472" s="338">
        <v>315210</v>
      </c>
      <c r="D472" s="339" t="s">
        <v>3565</v>
      </c>
    </row>
    <row r="473" spans="1:4" ht="17.25" customHeight="1" x14ac:dyDescent="0.35">
      <c r="A473" s="345">
        <v>2395</v>
      </c>
      <c r="B473" s="333" t="s">
        <v>3599</v>
      </c>
      <c r="C473" s="334">
        <v>315210</v>
      </c>
      <c r="D473" s="335" t="s">
        <v>3565</v>
      </c>
    </row>
    <row r="474" spans="1:4" ht="34.5" customHeight="1" x14ac:dyDescent="0.35">
      <c r="A474" s="344">
        <v>2396</v>
      </c>
      <c r="B474" s="337" t="s">
        <v>3600</v>
      </c>
      <c r="C474" s="338">
        <v>314999</v>
      </c>
      <c r="D474" s="340" t="s">
        <v>3563</v>
      </c>
    </row>
    <row r="475" spans="1:4" ht="34.5" customHeight="1" x14ac:dyDescent="0.35">
      <c r="A475" s="345">
        <v>2396</v>
      </c>
      <c r="B475" s="333" t="s">
        <v>3600</v>
      </c>
      <c r="C475" s="334">
        <v>314999</v>
      </c>
      <c r="D475" s="341" t="s">
        <v>3563</v>
      </c>
    </row>
    <row r="476" spans="1:4" ht="34.5" customHeight="1" x14ac:dyDescent="0.35">
      <c r="A476" s="344">
        <v>2396</v>
      </c>
      <c r="B476" s="337" t="s">
        <v>3600</v>
      </c>
      <c r="C476" s="338">
        <v>314999</v>
      </c>
      <c r="D476" s="340" t="s">
        <v>3563</v>
      </c>
    </row>
    <row r="477" spans="1:4" ht="17.25" customHeight="1" x14ac:dyDescent="0.35">
      <c r="A477" s="344">
        <v>2396</v>
      </c>
      <c r="B477" s="337" t="s">
        <v>3600</v>
      </c>
      <c r="C477" s="338">
        <v>315210</v>
      </c>
      <c r="D477" s="339" t="s">
        <v>3565</v>
      </c>
    </row>
    <row r="478" spans="1:4" ht="17.25" customHeight="1" x14ac:dyDescent="0.35">
      <c r="A478" s="345">
        <v>2396</v>
      </c>
      <c r="B478" s="333" t="s">
        <v>3600</v>
      </c>
      <c r="C478" s="334">
        <v>315210</v>
      </c>
      <c r="D478" s="335" t="s">
        <v>3565</v>
      </c>
    </row>
    <row r="479" spans="1:4" ht="34.5" customHeight="1" x14ac:dyDescent="0.35">
      <c r="A479" s="345">
        <v>2396</v>
      </c>
      <c r="B479" s="333" t="s">
        <v>3600</v>
      </c>
      <c r="C479" s="334">
        <v>315990</v>
      </c>
      <c r="D479" s="341" t="s">
        <v>3570</v>
      </c>
    </row>
    <row r="480" spans="1:4" ht="17.25" customHeight="1" x14ac:dyDescent="0.35">
      <c r="A480" s="345">
        <v>2396</v>
      </c>
      <c r="B480" s="333" t="s">
        <v>3600</v>
      </c>
      <c r="C480" s="334">
        <v>323113</v>
      </c>
      <c r="D480" s="335" t="s">
        <v>3601</v>
      </c>
    </row>
    <row r="481" spans="1:4" ht="34.5" customHeight="1" x14ac:dyDescent="0.35">
      <c r="A481" s="344">
        <v>2396</v>
      </c>
      <c r="B481" s="337" t="s">
        <v>3600</v>
      </c>
      <c r="C481" s="338">
        <v>336360</v>
      </c>
      <c r="D481" s="340" t="s">
        <v>3602</v>
      </c>
    </row>
    <row r="482" spans="1:4" ht="34.5" customHeight="1" x14ac:dyDescent="0.35">
      <c r="A482" s="345">
        <v>2397</v>
      </c>
      <c r="B482" s="333" t="s">
        <v>3603</v>
      </c>
      <c r="C482" s="334">
        <v>313220</v>
      </c>
      <c r="D482" s="341" t="s">
        <v>3535</v>
      </c>
    </row>
    <row r="483" spans="1:4" ht="34.5" customHeight="1" x14ac:dyDescent="0.35">
      <c r="A483" s="345">
        <v>2399</v>
      </c>
      <c r="B483" s="333" t="s">
        <v>3604</v>
      </c>
      <c r="C483" s="334">
        <v>314999</v>
      </c>
      <c r="D483" s="341" t="s">
        <v>3563</v>
      </c>
    </row>
    <row r="484" spans="1:4" ht="34.5" customHeight="1" x14ac:dyDescent="0.35">
      <c r="A484" s="344">
        <v>2399</v>
      </c>
      <c r="B484" s="337" t="s">
        <v>3604</v>
      </c>
      <c r="C484" s="338">
        <v>314999</v>
      </c>
      <c r="D484" s="340" t="s">
        <v>3563</v>
      </c>
    </row>
    <row r="485" spans="1:4" ht="34.5" customHeight="1" x14ac:dyDescent="0.35">
      <c r="A485" s="345">
        <v>2399</v>
      </c>
      <c r="B485" s="333" t="s">
        <v>3604</v>
      </c>
      <c r="C485" s="334">
        <v>314999</v>
      </c>
      <c r="D485" s="341" t="s">
        <v>3563</v>
      </c>
    </row>
    <row r="486" spans="1:4" ht="17.25" customHeight="1" x14ac:dyDescent="0.35">
      <c r="A486" s="344">
        <v>2399</v>
      </c>
      <c r="B486" s="337" t="s">
        <v>3604</v>
      </c>
      <c r="C486" s="338">
        <v>315210</v>
      </c>
      <c r="D486" s="339" t="s">
        <v>3565</v>
      </c>
    </row>
    <row r="487" spans="1:4" ht="17.25" customHeight="1" x14ac:dyDescent="0.35">
      <c r="A487" s="345">
        <v>2399</v>
      </c>
      <c r="B487" s="333" t="s">
        <v>3604</v>
      </c>
      <c r="C487" s="334">
        <v>315210</v>
      </c>
      <c r="D487" s="335" t="s">
        <v>3565</v>
      </c>
    </row>
    <row r="488" spans="1:4" ht="34.5" customHeight="1" x14ac:dyDescent="0.35">
      <c r="A488" s="344">
        <v>2399</v>
      </c>
      <c r="B488" s="337" t="s">
        <v>3604</v>
      </c>
      <c r="C488" s="338">
        <v>315990</v>
      </c>
      <c r="D488" s="340" t="s">
        <v>3570</v>
      </c>
    </row>
    <row r="489" spans="1:4" ht="34.5" customHeight="1" x14ac:dyDescent="0.35">
      <c r="A489" s="345">
        <v>2399</v>
      </c>
      <c r="B489" s="333" t="s">
        <v>3604</v>
      </c>
      <c r="C489" s="334">
        <v>336360</v>
      </c>
      <c r="D489" s="341" t="s">
        <v>3602</v>
      </c>
    </row>
    <row r="490" spans="1:4" ht="17.25" customHeight="1" x14ac:dyDescent="0.35">
      <c r="A490" s="345">
        <v>2411</v>
      </c>
      <c r="B490" s="333" t="s">
        <v>3605</v>
      </c>
      <c r="C490" s="334">
        <v>113310</v>
      </c>
      <c r="D490" s="335" t="s">
        <v>3605</v>
      </c>
    </row>
    <row r="491" spans="1:4" ht="17.25" customHeight="1" x14ac:dyDescent="0.35">
      <c r="A491" s="345">
        <v>2421</v>
      </c>
      <c r="B491" s="333" t="s">
        <v>3606</v>
      </c>
      <c r="C491" s="334">
        <v>321113</v>
      </c>
      <c r="D491" s="335" t="s">
        <v>3607</v>
      </c>
    </row>
    <row r="492" spans="1:4" ht="17.25" customHeight="1" x14ac:dyDescent="0.35">
      <c r="A492" s="345">
        <v>2421</v>
      </c>
      <c r="B492" s="333" t="s">
        <v>3606</v>
      </c>
      <c r="C492" s="334">
        <v>321912</v>
      </c>
      <c r="D492" s="335" t="s">
        <v>3608</v>
      </c>
    </row>
    <row r="493" spans="1:4" ht="17.25" customHeight="1" x14ac:dyDescent="0.35">
      <c r="A493" s="345">
        <v>2421</v>
      </c>
      <c r="B493" s="333" t="s">
        <v>3606</v>
      </c>
      <c r="C493" s="334">
        <v>321918</v>
      </c>
      <c r="D493" s="335" t="s">
        <v>3609</v>
      </c>
    </row>
    <row r="494" spans="1:4" ht="17.25" customHeight="1" x14ac:dyDescent="0.35">
      <c r="A494" s="344">
        <v>2421</v>
      </c>
      <c r="B494" s="337" t="s">
        <v>3606</v>
      </c>
      <c r="C494" s="338">
        <v>321920</v>
      </c>
      <c r="D494" s="339" t="s">
        <v>3610</v>
      </c>
    </row>
    <row r="495" spans="1:4" ht="34.5" customHeight="1" x14ac:dyDescent="0.35">
      <c r="A495" s="344">
        <v>2421</v>
      </c>
      <c r="B495" s="337" t="s">
        <v>3606</v>
      </c>
      <c r="C495" s="338">
        <v>321999</v>
      </c>
      <c r="D495" s="340" t="s">
        <v>3611</v>
      </c>
    </row>
    <row r="496" spans="1:4" ht="17.25" customHeight="1" x14ac:dyDescent="0.35">
      <c r="A496" s="344">
        <v>2426</v>
      </c>
      <c r="B496" s="337" t="s">
        <v>3612</v>
      </c>
      <c r="C496" s="338">
        <v>321113</v>
      </c>
      <c r="D496" s="339" t="s">
        <v>3607</v>
      </c>
    </row>
    <row r="497" spans="1:4" ht="17.25" customHeight="1" x14ac:dyDescent="0.35">
      <c r="A497" s="344">
        <v>2426</v>
      </c>
      <c r="B497" s="337" t="s">
        <v>3612</v>
      </c>
      <c r="C497" s="338">
        <v>321912</v>
      </c>
      <c r="D497" s="339" t="s">
        <v>3608</v>
      </c>
    </row>
    <row r="498" spans="1:4" ht="17.25" customHeight="1" x14ac:dyDescent="0.35">
      <c r="A498" s="344">
        <v>2426</v>
      </c>
      <c r="B498" s="337" t="s">
        <v>3612</v>
      </c>
      <c r="C498" s="338">
        <v>321918</v>
      </c>
      <c r="D498" s="339" t="s">
        <v>3609</v>
      </c>
    </row>
    <row r="499" spans="1:4" ht="34.5" customHeight="1" x14ac:dyDescent="0.35">
      <c r="A499" s="344">
        <v>2426</v>
      </c>
      <c r="B499" s="337" t="s">
        <v>3612</v>
      </c>
      <c r="C499" s="338">
        <v>337215</v>
      </c>
      <c r="D499" s="340" t="s">
        <v>3613</v>
      </c>
    </row>
    <row r="500" spans="1:4" ht="17.25" customHeight="1" x14ac:dyDescent="0.35">
      <c r="A500" s="345">
        <v>2429</v>
      </c>
      <c r="B500" s="333" t="s">
        <v>3614</v>
      </c>
      <c r="C500" s="334">
        <v>321113</v>
      </c>
      <c r="D500" s="335" t="s">
        <v>3607</v>
      </c>
    </row>
    <row r="501" spans="1:4" ht="17.25" customHeight="1" x14ac:dyDescent="0.35">
      <c r="A501" s="345">
        <v>2429</v>
      </c>
      <c r="B501" s="333" t="s">
        <v>3614</v>
      </c>
      <c r="C501" s="334">
        <v>321920</v>
      </c>
      <c r="D501" s="335" t="s">
        <v>3610</v>
      </c>
    </row>
    <row r="502" spans="1:4" ht="34.5" customHeight="1" x14ac:dyDescent="0.35">
      <c r="A502" s="345">
        <v>2429</v>
      </c>
      <c r="B502" s="333" t="s">
        <v>3614</v>
      </c>
      <c r="C502" s="334">
        <v>321999</v>
      </c>
      <c r="D502" s="341" t="s">
        <v>3611</v>
      </c>
    </row>
    <row r="503" spans="1:4" ht="17.25" customHeight="1" x14ac:dyDescent="0.35">
      <c r="A503" s="344">
        <v>2431</v>
      </c>
      <c r="B503" s="337" t="s">
        <v>3615</v>
      </c>
      <c r="C503" s="338">
        <v>321911</v>
      </c>
      <c r="D503" s="339" t="s">
        <v>3616</v>
      </c>
    </row>
    <row r="504" spans="1:4" ht="17.25" customHeight="1" x14ac:dyDescent="0.35">
      <c r="A504" s="345">
        <v>2431</v>
      </c>
      <c r="B504" s="333" t="s">
        <v>3615</v>
      </c>
      <c r="C504" s="334">
        <v>321918</v>
      </c>
      <c r="D504" s="335" t="s">
        <v>3609</v>
      </c>
    </row>
    <row r="505" spans="1:4" ht="34.5" customHeight="1" x14ac:dyDescent="0.35">
      <c r="A505" s="344">
        <v>2434</v>
      </c>
      <c r="B505" s="337" t="s">
        <v>3617</v>
      </c>
      <c r="C505" s="338">
        <v>337110</v>
      </c>
      <c r="D505" s="340" t="s">
        <v>3618</v>
      </c>
    </row>
    <row r="506" spans="1:4" ht="34.5" customHeight="1" x14ac:dyDescent="0.35">
      <c r="A506" s="345">
        <v>2435</v>
      </c>
      <c r="B506" s="333" t="s">
        <v>3619</v>
      </c>
      <c r="C506" s="334">
        <v>321211</v>
      </c>
      <c r="D506" s="341" t="s">
        <v>3620</v>
      </c>
    </row>
    <row r="507" spans="1:4" ht="34.5" customHeight="1" x14ac:dyDescent="0.35">
      <c r="A507" s="344">
        <v>2436</v>
      </c>
      <c r="B507" s="337" t="s">
        <v>3621</v>
      </c>
      <c r="C507" s="338">
        <v>321212</v>
      </c>
      <c r="D507" s="340" t="s">
        <v>3622</v>
      </c>
    </row>
    <row r="508" spans="1:4" ht="34.5" customHeight="1" x14ac:dyDescent="0.35">
      <c r="A508" s="345">
        <v>2439</v>
      </c>
      <c r="B508" s="333" t="s">
        <v>3623</v>
      </c>
      <c r="C508" s="334">
        <v>321213</v>
      </c>
      <c r="D508" s="341" t="s">
        <v>3624</v>
      </c>
    </row>
    <row r="509" spans="1:4" ht="17.25" customHeight="1" x14ac:dyDescent="0.35">
      <c r="A509" s="344">
        <v>2439</v>
      </c>
      <c r="B509" s="337" t="s">
        <v>3623</v>
      </c>
      <c r="C509" s="338">
        <v>321214</v>
      </c>
      <c r="D509" s="339" t="s">
        <v>3625</v>
      </c>
    </row>
    <row r="510" spans="1:4" ht="17.25" customHeight="1" x14ac:dyDescent="0.35">
      <c r="A510" s="344">
        <v>2441</v>
      </c>
      <c r="B510" s="337" t="s">
        <v>3626</v>
      </c>
      <c r="C510" s="338">
        <v>321920</v>
      </c>
      <c r="D510" s="339" t="s">
        <v>3610</v>
      </c>
    </row>
    <row r="511" spans="1:4" ht="17.25" customHeight="1" x14ac:dyDescent="0.35">
      <c r="A511" s="345">
        <v>2448</v>
      </c>
      <c r="B511" s="333" t="s">
        <v>3627</v>
      </c>
      <c r="C511" s="334">
        <v>321920</v>
      </c>
      <c r="D511" s="335" t="s">
        <v>3610</v>
      </c>
    </row>
    <row r="512" spans="1:4" ht="17.25" customHeight="1" x14ac:dyDescent="0.35">
      <c r="A512" s="344">
        <v>2449</v>
      </c>
      <c r="B512" s="337" t="s">
        <v>3628</v>
      </c>
      <c r="C512" s="338">
        <v>321920</v>
      </c>
      <c r="D512" s="339" t="s">
        <v>3610</v>
      </c>
    </row>
    <row r="513" spans="1:4" ht="34.5" customHeight="1" x14ac:dyDescent="0.35">
      <c r="A513" s="344">
        <v>2451</v>
      </c>
      <c r="B513" s="337" t="s">
        <v>3629</v>
      </c>
      <c r="C513" s="338">
        <v>321991</v>
      </c>
      <c r="D513" s="340" t="s">
        <v>3630</v>
      </c>
    </row>
    <row r="514" spans="1:4" ht="34.5" customHeight="1" x14ac:dyDescent="0.35">
      <c r="A514" s="345">
        <v>2452</v>
      </c>
      <c r="B514" s="333" t="s">
        <v>3631</v>
      </c>
      <c r="C514" s="334">
        <v>321992</v>
      </c>
      <c r="D514" s="341" t="s">
        <v>3632</v>
      </c>
    </row>
    <row r="515" spans="1:4" ht="17.25" customHeight="1" x14ac:dyDescent="0.35">
      <c r="A515" s="344">
        <v>2491</v>
      </c>
      <c r="B515" s="337" t="s">
        <v>3633</v>
      </c>
      <c r="C515" s="338">
        <v>321114</v>
      </c>
      <c r="D515" s="339" t="s">
        <v>3634</v>
      </c>
    </row>
    <row r="516" spans="1:4" ht="34.5" customHeight="1" x14ac:dyDescent="0.35">
      <c r="A516" s="345">
        <v>2493</v>
      </c>
      <c r="B516" s="333" t="s">
        <v>3635</v>
      </c>
      <c r="C516" s="334">
        <v>321219</v>
      </c>
      <c r="D516" s="341" t="s">
        <v>3636</v>
      </c>
    </row>
    <row r="517" spans="1:4" ht="17.25" customHeight="1" x14ac:dyDescent="0.35">
      <c r="A517" s="345">
        <v>2499</v>
      </c>
      <c r="B517" s="333" t="s">
        <v>3637</v>
      </c>
      <c r="C517" s="334">
        <v>321920</v>
      </c>
      <c r="D517" s="335" t="s">
        <v>3610</v>
      </c>
    </row>
    <row r="518" spans="1:4" ht="34.5" customHeight="1" x14ac:dyDescent="0.35">
      <c r="A518" s="344">
        <v>2499</v>
      </c>
      <c r="B518" s="337" t="s">
        <v>3637</v>
      </c>
      <c r="C518" s="338">
        <v>321999</v>
      </c>
      <c r="D518" s="340" t="s">
        <v>3611</v>
      </c>
    </row>
    <row r="519" spans="1:4" ht="43.5" customHeight="1" x14ac:dyDescent="0.35">
      <c r="A519" s="345">
        <v>2499</v>
      </c>
      <c r="B519" s="333" t="s">
        <v>3637</v>
      </c>
      <c r="C519" s="334">
        <v>333415</v>
      </c>
      <c r="D519" s="341" t="s">
        <v>3638</v>
      </c>
    </row>
    <row r="520" spans="1:4" ht="34.5" customHeight="1" x14ac:dyDescent="0.35">
      <c r="A520" s="344">
        <v>2499</v>
      </c>
      <c r="B520" s="337" t="s">
        <v>3637</v>
      </c>
      <c r="C520" s="338">
        <v>337125</v>
      </c>
      <c r="D520" s="340" t="s">
        <v>3639</v>
      </c>
    </row>
    <row r="521" spans="1:4" ht="34.5" customHeight="1" x14ac:dyDescent="0.35">
      <c r="A521" s="344">
        <v>2499</v>
      </c>
      <c r="B521" s="337" t="s">
        <v>3637</v>
      </c>
      <c r="C521" s="338">
        <v>339113</v>
      </c>
      <c r="D521" s="340" t="s">
        <v>3640</v>
      </c>
    </row>
    <row r="522" spans="1:4" ht="17.25" customHeight="1" x14ac:dyDescent="0.35">
      <c r="A522" s="344">
        <v>2499</v>
      </c>
      <c r="B522" s="337" t="s">
        <v>3637</v>
      </c>
      <c r="C522" s="338">
        <v>339999</v>
      </c>
      <c r="D522" s="339" t="s">
        <v>3641</v>
      </c>
    </row>
    <row r="523" spans="1:4" ht="34.5" customHeight="1" x14ac:dyDescent="0.35">
      <c r="A523" s="345">
        <v>2511</v>
      </c>
      <c r="B523" s="333" t="s">
        <v>3642</v>
      </c>
      <c r="C523" s="334">
        <v>337122</v>
      </c>
      <c r="D523" s="341" t="s">
        <v>3643</v>
      </c>
    </row>
    <row r="524" spans="1:4" ht="34.5" customHeight="1" x14ac:dyDescent="0.35">
      <c r="A524" s="345">
        <v>2511</v>
      </c>
      <c r="B524" s="333" t="s">
        <v>3642</v>
      </c>
      <c r="C524" s="334">
        <v>337215</v>
      </c>
      <c r="D524" s="341" t="s">
        <v>3613</v>
      </c>
    </row>
    <row r="525" spans="1:4" ht="34.5" customHeight="1" x14ac:dyDescent="0.35">
      <c r="A525" s="345">
        <v>2512</v>
      </c>
      <c r="B525" s="333" t="s">
        <v>3644</v>
      </c>
      <c r="C525" s="334">
        <v>337121</v>
      </c>
      <c r="D525" s="341" t="s">
        <v>3645</v>
      </c>
    </row>
    <row r="526" spans="1:4" ht="34.5" customHeight="1" x14ac:dyDescent="0.35">
      <c r="A526" s="344">
        <v>2514</v>
      </c>
      <c r="B526" s="337" t="s">
        <v>3646</v>
      </c>
      <c r="C526" s="338">
        <v>337121</v>
      </c>
      <c r="D526" s="340" t="s">
        <v>3645</v>
      </c>
    </row>
    <row r="527" spans="1:4" ht="17.25" customHeight="1" x14ac:dyDescent="0.35">
      <c r="A527" s="345">
        <v>2514</v>
      </c>
      <c r="B527" s="333" t="s">
        <v>3646</v>
      </c>
      <c r="C527" s="334">
        <v>337124</v>
      </c>
      <c r="D527" s="335" t="s">
        <v>3647</v>
      </c>
    </row>
    <row r="528" spans="1:4" ht="34.5" customHeight="1" x14ac:dyDescent="0.35">
      <c r="A528" s="344">
        <v>2514</v>
      </c>
      <c r="B528" s="337" t="s">
        <v>3646</v>
      </c>
      <c r="C528" s="338">
        <v>337215</v>
      </c>
      <c r="D528" s="340" t="s">
        <v>3613</v>
      </c>
    </row>
    <row r="529" spans="1:4" ht="34.5" customHeight="1" x14ac:dyDescent="0.35">
      <c r="A529" s="345">
        <v>2515</v>
      </c>
      <c r="B529" s="333" t="s">
        <v>3648</v>
      </c>
      <c r="C529" s="334">
        <v>337121</v>
      </c>
      <c r="D529" s="341" t="s">
        <v>3645</v>
      </c>
    </row>
    <row r="530" spans="1:4" ht="17.25" customHeight="1" x14ac:dyDescent="0.35">
      <c r="A530" s="344">
        <v>2515</v>
      </c>
      <c r="B530" s="337" t="s">
        <v>3648</v>
      </c>
      <c r="C530" s="338">
        <v>337910</v>
      </c>
      <c r="D530" s="339" t="s">
        <v>3649</v>
      </c>
    </row>
    <row r="531" spans="1:4" ht="34.5" customHeight="1" x14ac:dyDescent="0.35">
      <c r="A531" s="345">
        <v>2517</v>
      </c>
      <c r="B531" s="333" t="s">
        <v>3650</v>
      </c>
      <c r="C531" s="334">
        <v>321999</v>
      </c>
      <c r="D531" s="341" t="s">
        <v>3611</v>
      </c>
    </row>
    <row r="532" spans="1:4" ht="34.5" customHeight="1" x14ac:dyDescent="0.35">
      <c r="A532" s="345">
        <v>2519</v>
      </c>
      <c r="B532" s="333" t="s">
        <v>3651</v>
      </c>
      <c r="C532" s="334">
        <v>337125</v>
      </c>
      <c r="D532" s="341" t="s">
        <v>3639</v>
      </c>
    </row>
    <row r="533" spans="1:4" ht="17.25" customHeight="1" x14ac:dyDescent="0.35">
      <c r="A533" s="345">
        <v>2521</v>
      </c>
      <c r="B533" s="333" t="s">
        <v>3652</v>
      </c>
      <c r="C533" s="334">
        <v>337211</v>
      </c>
      <c r="D533" s="335" t="s">
        <v>3653</v>
      </c>
    </row>
    <row r="534" spans="1:4" ht="34.5" customHeight="1" x14ac:dyDescent="0.35">
      <c r="A534" s="345">
        <v>2522</v>
      </c>
      <c r="B534" s="333" t="s">
        <v>3654</v>
      </c>
      <c r="C534" s="334">
        <v>337214</v>
      </c>
      <c r="D534" s="341" t="s">
        <v>3655</v>
      </c>
    </row>
    <row r="535" spans="1:4" ht="34.5" customHeight="1" x14ac:dyDescent="0.35">
      <c r="A535" s="344">
        <v>2531</v>
      </c>
      <c r="B535" s="337" t="s">
        <v>3656</v>
      </c>
      <c r="C535" s="338">
        <v>336360</v>
      </c>
      <c r="D535" s="340" t="s">
        <v>3602</v>
      </c>
    </row>
    <row r="536" spans="1:4" ht="17.25" customHeight="1" x14ac:dyDescent="0.35">
      <c r="A536" s="344">
        <v>2531</v>
      </c>
      <c r="B536" s="337" t="s">
        <v>3656</v>
      </c>
      <c r="C536" s="338">
        <v>337127</v>
      </c>
      <c r="D536" s="339" t="s">
        <v>3657</v>
      </c>
    </row>
    <row r="537" spans="1:4" ht="34.5" customHeight="1" x14ac:dyDescent="0.35">
      <c r="A537" s="345">
        <v>2531</v>
      </c>
      <c r="B537" s="333" t="s">
        <v>3656</v>
      </c>
      <c r="C537" s="334">
        <v>339940</v>
      </c>
      <c r="D537" s="341" t="s">
        <v>3658</v>
      </c>
    </row>
    <row r="538" spans="1:4" ht="34.5" customHeight="1" x14ac:dyDescent="0.35">
      <c r="A538" s="345">
        <v>2541</v>
      </c>
      <c r="B538" s="333" t="s">
        <v>3659</v>
      </c>
      <c r="C538" s="334">
        <v>337110</v>
      </c>
      <c r="D538" s="341" t="s">
        <v>3618</v>
      </c>
    </row>
    <row r="539" spans="1:4" ht="17.25" customHeight="1" x14ac:dyDescent="0.35">
      <c r="A539" s="345">
        <v>2541</v>
      </c>
      <c r="B539" s="333" t="s">
        <v>3659</v>
      </c>
      <c r="C539" s="334">
        <v>337127</v>
      </c>
      <c r="D539" s="335" t="s">
        <v>3657</v>
      </c>
    </row>
    <row r="540" spans="1:4" ht="34.5" customHeight="1" x14ac:dyDescent="0.35">
      <c r="A540" s="344">
        <v>2541</v>
      </c>
      <c r="B540" s="337" t="s">
        <v>3659</v>
      </c>
      <c r="C540" s="338">
        <v>337212</v>
      </c>
      <c r="D540" s="340" t="s">
        <v>3660</v>
      </c>
    </row>
    <row r="541" spans="1:4" ht="34.5" customHeight="1" x14ac:dyDescent="0.35">
      <c r="A541" s="345">
        <v>2541</v>
      </c>
      <c r="B541" s="333" t="s">
        <v>3659</v>
      </c>
      <c r="C541" s="334">
        <v>337215</v>
      </c>
      <c r="D541" s="341" t="s">
        <v>3613</v>
      </c>
    </row>
    <row r="542" spans="1:4" ht="17.25" customHeight="1" x14ac:dyDescent="0.35">
      <c r="A542" s="344">
        <v>2542</v>
      </c>
      <c r="B542" s="337" t="s">
        <v>3661</v>
      </c>
      <c r="C542" s="338">
        <v>337127</v>
      </c>
      <c r="D542" s="339" t="s">
        <v>3657</v>
      </c>
    </row>
    <row r="543" spans="1:4" ht="34.5" customHeight="1" x14ac:dyDescent="0.35">
      <c r="A543" s="344">
        <v>2542</v>
      </c>
      <c r="B543" s="337" t="s">
        <v>3661</v>
      </c>
      <c r="C543" s="338">
        <v>337215</v>
      </c>
      <c r="D543" s="340" t="s">
        <v>3613</v>
      </c>
    </row>
    <row r="544" spans="1:4" ht="17.25" customHeight="1" x14ac:dyDescent="0.35">
      <c r="A544" s="345">
        <v>2591</v>
      </c>
      <c r="B544" s="333" t="s">
        <v>3662</v>
      </c>
      <c r="C544" s="334">
        <v>337920</v>
      </c>
      <c r="D544" s="335" t="s">
        <v>3663</v>
      </c>
    </row>
    <row r="545" spans="1:4" ht="17.25" customHeight="1" x14ac:dyDescent="0.35">
      <c r="A545" s="345">
        <v>2599</v>
      </c>
      <c r="B545" s="333" t="s">
        <v>3664</v>
      </c>
      <c r="C545" s="334">
        <v>333249</v>
      </c>
      <c r="D545" s="335" t="s">
        <v>3665</v>
      </c>
    </row>
    <row r="546" spans="1:4" ht="43.5" customHeight="1" x14ac:dyDescent="0.35">
      <c r="A546" s="344">
        <v>2599</v>
      </c>
      <c r="B546" s="337" t="s">
        <v>3664</v>
      </c>
      <c r="C546" s="338">
        <v>333415</v>
      </c>
      <c r="D546" s="340" t="s">
        <v>3638</v>
      </c>
    </row>
    <row r="547" spans="1:4" ht="34.5" customHeight="1" x14ac:dyDescent="0.35">
      <c r="A547" s="345">
        <v>2599</v>
      </c>
      <c r="B547" s="333" t="s">
        <v>3664</v>
      </c>
      <c r="C547" s="334">
        <v>333994</v>
      </c>
      <c r="D547" s="341" t="s">
        <v>3666</v>
      </c>
    </row>
    <row r="548" spans="1:4" ht="17.25" customHeight="1" x14ac:dyDescent="0.35">
      <c r="A548" s="345">
        <v>2599</v>
      </c>
      <c r="B548" s="333" t="s">
        <v>3664</v>
      </c>
      <c r="C548" s="334">
        <v>333997</v>
      </c>
      <c r="D548" s="335" t="s">
        <v>3667</v>
      </c>
    </row>
    <row r="549" spans="1:4" ht="34.5" customHeight="1" x14ac:dyDescent="0.35">
      <c r="A549" s="345">
        <v>2599</v>
      </c>
      <c r="B549" s="333" t="s">
        <v>3664</v>
      </c>
      <c r="C549" s="334">
        <v>333999</v>
      </c>
      <c r="D549" s="341" t="s">
        <v>3668</v>
      </c>
    </row>
    <row r="550" spans="1:4" ht="17.25" customHeight="1" x14ac:dyDescent="0.35">
      <c r="A550" s="345">
        <v>2599</v>
      </c>
      <c r="B550" s="333" t="s">
        <v>3664</v>
      </c>
      <c r="C550" s="334">
        <v>337127</v>
      </c>
      <c r="D550" s="335" t="s">
        <v>3657</v>
      </c>
    </row>
    <row r="551" spans="1:4" ht="17.25" customHeight="1" x14ac:dyDescent="0.35">
      <c r="A551" s="344">
        <v>2599</v>
      </c>
      <c r="B551" s="337" t="s">
        <v>3664</v>
      </c>
      <c r="C551" s="338">
        <v>337127</v>
      </c>
      <c r="D551" s="339" t="s">
        <v>3657</v>
      </c>
    </row>
    <row r="552" spans="1:4" ht="34.5" customHeight="1" x14ac:dyDescent="0.35">
      <c r="A552" s="345">
        <v>2599</v>
      </c>
      <c r="B552" s="333" t="s">
        <v>3664</v>
      </c>
      <c r="C552" s="334">
        <v>339113</v>
      </c>
      <c r="D552" s="341" t="s">
        <v>3640</v>
      </c>
    </row>
    <row r="553" spans="1:4" ht="17.25" customHeight="1" x14ac:dyDescent="0.35">
      <c r="A553" s="344">
        <v>2611</v>
      </c>
      <c r="B553" s="337" t="s">
        <v>3669</v>
      </c>
      <c r="C553" s="338">
        <v>322110</v>
      </c>
      <c r="D553" s="339" t="s">
        <v>3669</v>
      </c>
    </row>
    <row r="554" spans="1:4" ht="17.25" customHeight="1" x14ac:dyDescent="0.35">
      <c r="A554" s="345">
        <v>2611</v>
      </c>
      <c r="B554" s="333" t="s">
        <v>3669</v>
      </c>
      <c r="C554" s="334">
        <v>322121</v>
      </c>
      <c r="D554" s="335" t="s">
        <v>3670</v>
      </c>
    </row>
    <row r="555" spans="1:4" ht="17.25" customHeight="1" x14ac:dyDescent="0.35">
      <c r="A555" s="345">
        <v>2611</v>
      </c>
      <c r="B555" s="333" t="s">
        <v>3669</v>
      </c>
      <c r="C555" s="334">
        <v>322122</v>
      </c>
      <c r="D555" s="335" t="s">
        <v>3671</v>
      </c>
    </row>
    <row r="556" spans="1:4" ht="17.25" customHeight="1" x14ac:dyDescent="0.35">
      <c r="A556" s="345">
        <v>2611</v>
      </c>
      <c r="B556" s="333" t="s">
        <v>3669</v>
      </c>
      <c r="C556" s="334">
        <v>322130</v>
      </c>
      <c r="D556" s="335" t="s">
        <v>3672</v>
      </c>
    </row>
    <row r="557" spans="1:4" ht="17.25" customHeight="1" x14ac:dyDescent="0.35">
      <c r="A557" s="344">
        <v>2621</v>
      </c>
      <c r="B557" s="337" t="s">
        <v>3673</v>
      </c>
      <c r="C557" s="338">
        <v>322121</v>
      </c>
      <c r="D557" s="339" t="s">
        <v>3670</v>
      </c>
    </row>
    <row r="558" spans="1:4" ht="17.25" customHeight="1" x14ac:dyDescent="0.35">
      <c r="A558" s="344">
        <v>2621</v>
      </c>
      <c r="B558" s="337" t="s">
        <v>3673</v>
      </c>
      <c r="C558" s="338">
        <v>322122</v>
      </c>
      <c r="D558" s="339" t="s">
        <v>3671</v>
      </c>
    </row>
    <row r="559" spans="1:4" ht="17.25" customHeight="1" x14ac:dyDescent="0.35">
      <c r="A559" s="344">
        <v>2631</v>
      </c>
      <c r="B559" s="337" t="s">
        <v>3672</v>
      </c>
      <c r="C559" s="338">
        <v>322130</v>
      </c>
      <c r="D559" s="339" t="s">
        <v>3672</v>
      </c>
    </row>
    <row r="560" spans="1:4" ht="34.5" customHeight="1" x14ac:dyDescent="0.35">
      <c r="A560" s="344">
        <v>2652</v>
      </c>
      <c r="B560" s="337" t="s">
        <v>3674</v>
      </c>
      <c r="C560" s="338">
        <v>322219</v>
      </c>
      <c r="D560" s="340" t="s">
        <v>3675</v>
      </c>
    </row>
    <row r="561" spans="1:4" ht="34.5" customHeight="1" x14ac:dyDescent="0.35">
      <c r="A561" s="345">
        <v>2653</v>
      </c>
      <c r="B561" s="333" t="s">
        <v>3676</v>
      </c>
      <c r="C561" s="334">
        <v>322211</v>
      </c>
      <c r="D561" s="341" t="s">
        <v>3677</v>
      </c>
    </row>
    <row r="562" spans="1:4" ht="34.5" customHeight="1" x14ac:dyDescent="0.35">
      <c r="A562" s="345">
        <v>2655</v>
      </c>
      <c r="B562" s="333" t="s">
        <v>3678</v>
      </c>
      <c r="C562" s="334">
        <v>322219</v>
      </c>
      <c r="D562" s="341" t="s">
        <v>3675</v>
      </c>
    </row>
    <row r="563" spans="1:4" ht="34.5" customHeight="1" x14ac:dyDescent="0.35">
      <c r="A563" s="344">
        <v>2656</v>
      </c>
      <c r="B563" s="337" t="s">
        <v>3679</v>
      </c>
      <c r="C563" s="338">
        <v>322219</v>
      </c>
      <c r="D563" s="340" t="s">
        <v>3675</v>
      </c>
    </row>
    <row r="564" spans="1:4" ht="17.25" customHeight="1" x14ac:dyDescent="0.35">
      <c r="A564" s="345">
        <v>2657</v>
      </c>
      <c r="B564" s="333" t="s">
        <v>3680</v>
      </c>
      <c r="C564" s="334">
        <v>322212</v>
      </c>
      <c r="D564" s="335" t="s">
        <v>3681</v>
      </c>
    </row>
    <row r="565" spans="1:4" ht="34.5" customHeight="1" x14ac:dyDescent="0.35">
      <c r="A565" s="345">
        <v>2671</v>
      </c>
      <c r="B565" s="333" t="s">
        <v>3682</v>
      </c>
      <c r="C565" s="334">
        <v>322220</v>
      </c>
      <c r="D565" s="341" t="s">
        <v>3683</v>
      </c>
    </row>
    <row r="566" spans="1:4" ht="34.5" customHeight="1" x14ac:dyDescent="0.35">
      <c r="A566" s="345">
        <v>2671</v>
      </c>
      <c r="B566" s="333" t="s">
        <v>3682</v>
      </c>
      <c r="C566" s="334">
        <v>326112</v>
      </c>
      <c r="D566" s="341" t="s">
        <v>3684</v>
      </c>
    </row>
    <row r="567" spans="1:4" ht="34.5" customHeight="1" x14ac:dyDescent="0.35">
      <c r="A567" s="344">
        <v>2672</v>
      </c>
      <c r="B567" s="337" t="s">
        <v>3685</v>
      </c>
      <c r="C567" s="338">
        <v>322220</v>
      </c>
      <c r="D567" s="340" t="s">
        <v>3683</v>
      </c>
    </row>
    <row r="568" spans="1:4" ht="34.5" customHeight="1" x14ac:dyDescent="0.35">
      <c r="A568" s="345">
        <v>2673</v>
      </c>
      <c r="B568" s="333" t="s">
        <v>3686</v>
      </c>
      <c r="C568" s="334">
        <v>322220</v>
      </c>
      <c r="D568" s="341" t="s">
        <v>3683</v>
      </c>
    </row>
    <row r="569" spans="1:4" ht="17.25" customHeight="1" x14ac:dyDescent="0.35">
      <c r="A569" s="344">
        <v>2673</v>
      </c>
      <c r="B569" s="337" t="s">
        <v>3686</v>
      </c>
      <c r="C569" s="338">
        <v>326111</v>
      </c>
      <c r="D569" s="339" t="s">
        <v>3687</v>
      </c>
    </row>
    <row r="570" spans="1:4" ht="34.5" customHeight="1" x14ac:dyDescent="0.35">
      <c r="A570" s="344">
        <v>2674</v>
      </c>
      <c r="B570" s="337" t="s">
        <v>3688</v>
      </c>
      <c r="C570" s="338">
        <v>322220</v>
      </c>
      <c r="D570" s="340" t="s">
        <v>3683</v>
      </c>
    </row>
    <row r="571" spans="1:4" ht="34.5" customHeight="1" x14ac:dyDescent="0.35">
      <c r="A571" s="345">
        <v>2675</v>
      </c>
      <c r="B571" s="333" t="s">
        <v>3689</v>
      </c>
      <c r="C571" s="334">
        <v>322220</v>
      </c>
      <c r="D571" s="341" t="s">
        <v>3683</v>
      </c>
    </row>
    <row r="572" spans="1:4" ht="17.25" customHeight="1" x14ac:dyDescent="0.35">
      <c r="A572" s="344">
        <v>2675</v>
      </c>
      <c r="B572" s="337" t="s">
        <v>3689</v>
      </c>
      <c r="C572" s="338">
        <v>322230</v>
      </c>
      <c r="D572" s="339" t="s">
        <v>3690</v>
      </c>
    </row>
    <row r="573" spans="1:4" ht="34.5" customHeight="1" x14ac:dyDescent="0.35">
      <c r="A573" s="344">
        <v>2675</v>
      </c>
      <c r="B573" s="337" t="s">
        <v>3689</v>
      </c>
      <c r="C573" s="338">
        <v>322299</v>
      </c>
      <c r="D573" s="340" t="s">
        <v>3691</v>
      </c>
    </row>
    <row r="574" spans="1:4" ht="17.25" customHeight="1" x14ac:dyDescent="0.35">
      <c r="A574" s="344">
        <v>2676</v>
      </c>
      <c r="B574" s="337" t="s">
        <v>3692</v>
      </c>
      <c r="C574" s="338">
        <v>322291</v>
      </c>
      <c r="D574" s="339" t="s">
        <v>3693</v>
      </c>
    </row>
    <row r="575" spans="1:4" ht="17.25" customHeight="1" x14ac:dyDescent="0.35">
      <c r="A575" s="345">
        <v>2677</v>
      </c>
      <c r="B575" s="333" t="s">
        <v>3694</v>
      </c>
      <c r="C575" s="334">
        <v>322230</v>
      </c>
      <c r="D575" s="335" t="s">
        <v>3690</v>
      </c>
    </row>
    <row r="576" spans="1:4" ht="17.25" customHeight="1" x14ac:dyDescent="0.35">
      <c r="A576" s="344">
        <v>2678</v>
      </c>
      <c r="B576" s="337" t="s">
        <v>3695</v>
      </c>
      <c r="C576" s="338">
        <v>322230</v>
      </c>
      <c r="D576" s="339" t="s">
        <v>3690</v>
      </c>
    </row>
    <row r="577" spans="1:4" ht="34.5" customHeight="1" x14ac:dyDescent="0.35">
      <c r="A577" s="344">
        <v>2679</v>
      </c>
      <c r="B577" s="337" t="s">
        <v>3696</v>
      </c>
      <c r="C577" s="338">
        <v>322211</v>
      </c>
      <c r="D577" s="339" t="s">
        <v>2255</v>
      </c>
    </row>
    <row r="578" spans="1:4" ht="34.5" customHeight="1" x14ac:dyDescent="0.35">
      <c r="A578" s="344">
        <v>2679</v>
      </c>
      <c r="B578" s="337" t="s">
        <v>3696</v>
      </c>
      <c r="C578" s="338">
        <v>322220</v>
      </c>
      <c r="D578" s="339" t="s">
        <v>2258</v>
      </c>
    </row>
    <row r="579" spans="1:4" ht="17.25" customHeight="1" x14ac:dyDescent="0.35">
      <c r="A579" s="345">
        <v>2679</v>
      </c>
      <c r="B579" s="333" t="s">
        <v>3696</v>
      </c>
      <c r="C579" s="334">
        <v>322230</v>
      </c>
      <c r="D579" s="335" t="s">
        <v>3690</v>
      </c>
    </row>
    <row r="580" spans="1:4" ht="34.5" customHeight="1" x14ac:dyDescent="0.35">
      <c r="A580" s="345">
        <v>2679</v>
      </c>
      <c r="B580" s="333" t="s">
        <v>3696</v>
      </c>
      <c r="C580" s="334">
        <v>322299</v>
      </c>
      <c r="D580" s="335" t="s">
        <v>2261</v>
      </c>
    </row>
    <row r="581" spans="1:4" ht="17.25" customHeight="1" x14ac:dyDescent="0.35">
      <c r="A581" s="344">
        <v>2711</v>
      </c>
      <c r="B581" s="337" t="s">
        <v>3697</v>
      </c>
      <c r="C581" s="338">
        <v>511110</v>
      </c>
      <c r="D581" s="339" t="s">
        <v>3698</v>
      </c>
    </row>
    <row r="582" spans="1:4" ht="34.5" customHeight="1" x14ac:dyDescent="0.35">
      <c r="A582" s="344">
        <v>2711</v>
      </c>
      <c r="B582" s="337" t="s">
        <v>3697</v>
      </c>
      <c r="C582" s="338">
        <v>519130</v>
      </c>
      <c r="D582" s="340" t="s">
        <v>3699</v>
      </c>
    </row>
    <row r="583" spans="1:4" ht="17.25" customHeight="1" x14ac:dyDescent="0.35">
      <c r="A583" s="345">
        <v>2721</v>
      </c>
      <c r="B583" s="333" t="s">
        <v>3700</v>
      </c>
      <c r="C583" s="334">
        <v>511120</v>
      </c>
      <c r="D583" s="335" t="s">
        <v>3701</v>
      </c>
    </row>
    <row r="584" spans="1:4" ht="34.5" customHeight="1" x14ac:dyDescent="0.35">
      <c r="A584" s="345">
        <v>2721</v>
      </c>
      <c r="B584" s="333" t="s">
        <v>3700</v>
      </c>
      <c r="C584" s="334">
        <v>519130</v>
      </c>
      <c r="D584" s="341" t="s">
        <v>3699</v>
      </c>
    </row>
    <row r="585" spans="1:4" ht="17.25" customHeight="1" x14ac:dyDescent="0.35">
      <c r="A585" s="345">
        <v>2731</v>
      </c>
      <c r="B585" s="333" t="s">
        <v>3702</v>
      </c>
      <c r="C585" s="334">
        <v>511130</v>
      </c>
      <c r="D585" s="335" t="s">
        <v>3703</v>
      </c>
    </row>
    <row r="586" spans="1:4" ht="17.25" customHeight="1" x14ac:dyDescent="0.35">
      <c r="A586" s="344">
        <v>2731</v>
      </c>
      <c r="B586" s="337" t="s">
        <v>3702</v>
      </c>
      <c r="C586" s="338">
        <v>512230</v>
      </c>
      <c r="D586" s="339" t="s">
        <v>3704</v>
      </c>
    </row>
    <row r="587" spans="1:4" ht="34.5" customHeight="1" x14ac:dyDescent="0.35">
      <c r="A587" s="344">
        <v>2731</v>
      </c>
      <c r="B587" s="337" t="s">
        <v>3702</v>
      </c>
      <c r="C587" s="338">
        <v>519130</v>
      </c>
      <c r="D587" s="340" t="s">
        <v>3699</v>
      </c>
    </row>
    <row r="588" spans="1:4" ht="17.25" customHeight="1" x14ac:dyDescent="0.35">
      <c r="A588" s="345">
        <v>2732</v>
      </c>
      <c r="B588" s="333" t="s">
        <v>3705</v>
      </c>
      <c r="C588" s="334">
        <v>323117</v>
      </c>
      <c r="D588" s="335" t="s">
        <v>3706</v>
      </c>
    </row>
    <row r="589" spans="1:4" ht="17.25" customHeight="1" x14ac:dyDescent="0.35">
      <c r="A589" s="344">
        <v>2741</v>
      </c>
      <c r="B589" s="337" t="s">
        <v>3707</v>
      </c>
      <c r="C589" s="338">
        <v>511120</v>
      </c>
      <c r="D589" s="339" t="s">
        <v>3701</v>
      </c>
    </row>
    <row r="590" spans="1:4" ht="17.25" customHeight="1" x14ac:dyDescent="0.35">
      <c r="A590" s="344">
        <v>2741</v>
      </c>
      <c r="B590" s="337" t="s">
        <v>3707</v>
      </c>
      <c r="C590" s="338">
        <v>511130</v>
      </c>
      <c r="D590" s="339" t="s">
        <v>3703</v>
      </c>
    </row>
    <row r="591" spans="1:4" ht="17.25" customHeight="1" x14ac:dyDescent="0.35">
      <c r="A591" s="345">
        <v>2741</v>
      </c>
      <c r="B591" s="333" t="s">
        <v>3707</v>
      </c>
      <c r="C591" s="334">
        <v>511140</v>
      </c>
      <c r="D591" s="335" t="s">
        <v>3708</v>
      </c>
    </row>
    <row r="592" spans="1:4" ht="17.25" customHeight="1" x14ac:dyDescent="0.35">
      <c r="A592" s="344">
        <v>2741</v>
      </c>
      <c r="B592" s="337" t="s">
        <v>3707</v>
      </c>
      <c r="C592" s="338">
        <v>511199</v>
      </c>
      <c r="D592" s="339" t="s">
        <v>3709</v>
      </c>
    </row>
    <row r="593" spans="1:4" ht="17.25" customHeight="1" x14ac:dyDescent="0.35">
      <c r="A593" s="345">
        <v>2741</v>
      </c>
      <c r="B593" s="333" t="s">
        <v>3707</v>
      </c>
      <c r="C593" s="334">
        <v>512230</v>
      </c>
      <c r="D593" s="335" t="s">
        <v>3704</v>
      </c>
    </row>
    <row r="594" spans="1:4" ht="34.5" customHeight="1" x14ac:dyDescent="0.35">
      <c r="A594" s="345">
        <v>2741</v>
      </c>
      <c r="B594" s="333" t="s">
        <v>3707</v>
      </c>
      <c r="C594" s="334">
        <v>519130</v>
      </c>
      <c r="D594" s="341" t="s">
        <v>3699</v>
      </c>
    </row>
    <row r="595" spans="1:4" ht="34.5" customHeight="1" x14ac:dyDescent="0.35">
      <c r="A595" s="344">
        <v>2752</v>
      </c>
      <c r="B595" s="337" t="s">
        <v>3710</v>
      </c>
      <c r="C595" s="338">
        <v>323111</v>
      </c>
      <c r="D595" s="340" t="s">
        <v>3711</v>
      </c>
    </row>
    <row r="596" spans="1:4" ht="34.5" customHeight="1" x14ac:dyDescent="0.35">
      <c r="A596" s="345">
        <v>2752</v>
      </c>
      <c r="B596" s="333" t="s">
        <v>3710</v>
      </c>
      <c r="C596" s="334">
        <v>323111</v>
      </c>
      <c r="D596" s="341" t="s">
        <v>3711</v>
      </c>
    </row>
    <row r="597" spans="1:4" ht="34.5" customHeight="1" x14ac:dyDescent="0.35">
      <c r="A597" s="344">
        <v>2754</v>
      </c>
      <c r="B597" s="337" t="s">
        <v>3712</v>
      </c>
      <c r="C597" s="338">
        <v>323111</v>
      </c>
      <c r="D597" s="340" t="s">
        <v>3711</v>
      </c>
    </row>
    <row r="598" spans="1:4" ht="34.5" customHeight="1" x14ac:dyDescent="0.35">
      <c r="A598" s="345">
        <v>2759</v>
      </c>
      <c r="B598" s="333" t="s">
        <v>3713</v>
      </c>
      <c r="C598" s="334">
        <v>323111</v>
      </c>
      <c r="D598" s="341" t="s">
        <v>3711</v>
      </c>
    </row>
    <row r="599" spans="1:4" ht="34.5" customHeight="1" x14ac:dyDescent="0.35">
      <c r="A599" s="344">
        <v>2759</v>
      </c>
      <c r="B599" s="337" t="s">
        <v>3713</v>
      </c>
      <c r="C599" s="338">
        <v>323111</v>
      </c>
      <c r="D599" s="340" t="s">
        <v>3711</v>
      </c>
    </row>
    <row r="600" spans="1:4" ht="34.5" customHeight="1" x14ac:dyDescent="0.35">
      <c r="A600" s="345">
        <v>2759</v>
      </c>
      <c r="B600" s="333" t="s">
        <v>3713</v>
      </c>
      <c r="C600" s="334">
        <v>323111</v>
      </c>
      <c r="D600" s="341" t="s">
        <v>3711</v>
      </c>
    </row>
    <row r="601" spans="1:4" ht="34.5" customHeight="1" x14ac:dyDescent="0.35">
      <c r="A601" s="344">
        <v>2759</v>
      </c>
      <c r="B601" s="337" t="s">
        <v>3713</v>
      </c>
      <c r="C601" s="338">
        <v>323111</v>
      </c>
      <c r="D601" s="340" t="s">
        <v>3711</v>
      </c>
    </row>
    <row r="602" spans="1:4" ht="17.25" customHeight="1" x14ac:dyDescent="0.35">
      <c r="A602" s="344">
        <v>2759</v>
      </c>
      <c r="B602" s="337" t="s">
        <v>3713</v>
      </c>
      <c r="C602" s="338">
        <v>323113</v>
      </c>
      <c r="D602" s="339" t="s">
        <v>3601</v>
      </c>
    </row>
    <row r="603" spans="1:4" ht="34.5" customHeight="1" x14ac:dyDescent="0.35">
      <c r="A603" s="345">
        <v>2761</v>
      </c>
      <c r="B603" s="333" t="s">
        <v>3714</v>
      </c>
      <c r="C603" s="334">
        <v>323111</v>
      </c>
      <c r="D603" s="341" t="s">
        <v>3711</v>
      </c>
    </row>
    <row r="604" spans="1:4" ht="34.5" customHeight="1" x14ac:dyDescent="0.35">
      <c r="A604" s="344">
        <v>2771</v>
      </c>
      <c r="B604" s="337" t="s">
        <v>3715</v>
      </c>
      <c r="C604" s="338">
        <v>323111</v>
      </c>
      <c r="D604" s="340" t="s">
        <v>3711</v>
      </c>
    </row>
    <row r="605" spans="1:4" ht="34.5" customHeight="1" x14ac:dyDescent="0.35">
      <c r="A605" s="345">
        <v>2771</v>
      </c>
      <c r="B605" s="333" t="s">
        <v>3715</v>
      </c>
      <c r="C605" s="334">
        <v>323111</v>
      </c>
      <c r="D605" s="341" t="s">
        <v>3711</v>
      </c>
    </row>
    <row r="606" spans="1:4" ht="34.5" customHeight="1" x14ac:dyDescent="0.35">
      <c r="A606" s="344">
        <v>2771</v>
      </c>
      <c r="B606" s="337" t="s">
        <v>3715</v>
      </c>
      <c r="C606" s="338">
        <v>323111</v>
      </c>
      <c r="D606" s="340" t="s">
        <v>3711</v>
      </c>
    </row>
    <row r="607" spans="1:4" ht="34.5" customHeight="1" x14ac:dyDescent="0.35">
      <c r="A607" s="345">
        <v>2771</v>
      </c>
      <c r="B607" s="333" t="s">
        <v>3715</v>
      </c>
      <c r="C607" s="334">
        <v>323111</v>
      </c>
      <c r="D607" s="341" t="s">
        <v>3711</v>
      </c>
    </row>
    <row r="608" spans="1:4" ht="17.25" customHeight="1" x14ac:dyDescent="0.35">
      <c r="A608" s="345">
        <v>2771</v>
      </c>
      <c r="B608" s="333" t="s">
        <v>3715</v>
      </c>
      <c r="C608" s="334">
        <v>323113</v>
      </c>
      <c r="D608" s="335" t="s">
        <v>3601</v>
      </c>
    </row>
    <row r="609" spans="1:4" ht="17.25" customHeight="1" x14ac:dyDescent="0.35">
      <c r="A609" s="345">
        <v>2771</v>
      </c>
      <c r="B609" s="333" t="s">
        <v>3715</v>
      </c>
      <c r="C609" s="334">
        <v>511191</v>
      </c>
      <c r="D609" s="335" t="s">
        <v>3716</v>
      </c>
    </row>
    <row r="610" spans="1:4" ht="34.5" customHeight="1" x14ac:dyDescent="0.35">
      <c r="A610" s="344">
        <v>2771</v>
      </c>
      <c r="B610" s="337" t="s">
        <v>3715</v>
      </c>
      <c r="C610" s="338">
        <v>519130</v>
      </c>
      <c r="D610" s="340" t="s">
        <v>3699</v>
      </c>
    </row>
    <row r="611" spans="1:4" ht="34.5" customHeight="1" x14ac:dyDescent="0.35">
      <c r="A611" s="344">
        <v>2782</v>
      </c>
      <c r="B611" s="337" t="s">
        <v>3717</v>
      </c>
      <c r="C611" s="338">
        <v>323111</v>
      </c>
      <c r="D611" s="340" t="s">
        <v>3711</v>
      </c>
    </row>
    <row r="612" spans="1:4" ht="34.5" customHeight="1" x14ac:dyDescent="0.35">
      <c r="A612" s="345">
        <v>2782</v>
      </c>
      <c r="B612" s="333" t="s">
        <v>3717</v>
      </c>
      <c r="C612" s="334">
        <v>323111</v>
      </c>
      <c r="D612" s="341" t="s">
        <v>3711</v>
      </c>
    </row>
    <row r="613" spans="1:4" ht="17.25" customHeight="1" x14ac:dyDescent="0.35">
      <c r="A613" s="344">
        <v>2789</v>
      </c>
      <c r="B613" s="337" t="s">
        <v>3718</v>
      </c>
      <c r="C613" s="338">
        <v>323120</v>
      </c>
      <c r="D613" s="339" t="s">
        <v>3719</v>
      </c>
    </row>
    <row r="614" spans="1:4" ht="17.25" customHeight="1" x14ac:dyDescent="0.35">
      <c r="A614" s="345">
        <v>2791</v>
      </c>
      <c r="B614" s="333" t="s">
        <v>3720</v>
      </c>
      <c r="C614" s="334">
        <v>323120</v>
      </c>
      <c r="D614" s="335" t="s">
        <v>3719</v>
      </c>
    </row>
    <row r="615" spans="1:4" ht="17.25" customHeight="1" x14ac:dyDescent="0.35">
      <c r="A615" s="344">
        <v>2796</v>
      </c>
      <c r="B615" s="337" t="s">
        <v>3721</v>
      </c>
      <c r="C615" s="338">
        <v>323120</v>
      </c>
      <c r="D615" s="339" t="s">
        <v>3719</v>
      </c>
    </row>
    <row r="616" spans="1:4" ht="34.5" customHeight="1" x14ac:dyDescent="0.35">
      <c r="A616" s="344">
        <v>2812</v>
      </c>
      <c r="B616" s="337" t="s">
        <v>3722</v>
      </c>
      <c r="C616" s="338">
        <v>325180</v>
      </c>
      <c r="D616" s="340" t="s">
        <v>3723</v>
      </c>
    </row>
    <row r="617" spans="1:4" ht="17.25" customHeight="1" x14ac:dyDescent="0.35">
      <c r="A617" s="345">
        <v>2813</v>
      </c>
      <c r="B617" s="333" t="s">
        <v>3724</v>
      </c>
      <c r="C617" s="334">
        <v>325120</v>
      </c>
      <c r="D617" s="335" t="s">
        <v>3725</v>
      </c>
    </row>
    <row r="618" spans="1:4" ht="17.25" customHeight="1" x14ac:dyDescent="0.35">
      <c r="A618" s="345">
        <v>2816</v>
      </c>
      <c r="B618" s="333" t="s">
        <v>3726</v>
      </c>
      <c r="C618" s="334">
        <v>325130</v>
      </c>
      <c r="D618" s="335" t="s">
        <v>3727</v>
      </c>
    </row>
    <row r="619" spans="1:4" ht="34.5" customHeight="1" x14ac:dyDescent="0.35">
      <c r="A619" s="345">
        <v>2816</v>
      </c>
      <c r="B619" s="333" t="s">
        <v>3726</v>
      </c>
      <c r="C619" s="334">
        <v>325180</v>
      </c>
      <c r="D619" s="341" t="s">
        <v>3723</v>
      </c>
    </row>
    <row r="620" spans="1:4" ht="17.25" customHeight="1" x14ac:dyDescent="0.35">
      <c r="A620" s="344">
        <v>2819</v>
      </c>
      <c r="B620" s="337" t="s">
        <v>3728</v>
      </c>
      <c r="C620" s="338">
        <v>211130</v>
      </c>
      <c r="D620" s="335" t="s">
        <v>3343</v>
      </c>
    </row>
    <row r="621" spans="1:4" ht="17.25" customHeight="1" x14ac:dyDescent="0.35">
      <c r="A621" s="344">
        <v>2819</v>
      </c>
      <c r="B621" s="337" t="s">
        <v>3728</v>
      </c>
      <c r="C621" s="338">
        <v>325130</v>
      </c>
      <c r="D621" s="339" t="s">
        <v>3727</v>
      </c>
    </row>
    <row r="622" spans="1:4" ht="34.5" customHeight="1" x14ac:dyDescent="0.35">
      <c r="A622" s="344">
        <v>2819</v>
      </c>
      <c r="B622" s="337" t="s">
        <v>3728</v>
      </c>
      <c r="C622" s="338">
        <v>325180</v>
      </c>
      <c r="D622" s="340" t="s">
        <v>3723</v>
      </c>
    </row>
    <row r="623" spans="1:4" ht="34.5" customHeight="1" x14ac:dyDescent="0.35">
      <c r="A623" s="344">
        <v>2819</v>
      </c>
      <c r="B623" s="337" t="s">
        <v>3728</v>
      </c>
      <c r="C623" s="338">
        <v>325998</v>
      </c>
      <c r="D623" s="340" t="s">
        <v>3729</v>
      </c>
    </row>
    <row r="624" spans="1:4" ht="34.5" customHeight="1" x14ac:dyDescent="0.35">
      <c r="A624" s="344">
        <v>2819</v>
      </c>
      <c r="B624" s="337" t="s">
        <v>3728</v>
      </c>
      <c r="C624" s="338">
        <v>331313</v>
      </c>
      <c r="D624" s="340" t="s">
        <v>3730</v>
      </c>
    </row>
    <row r="625" spans="1:4" ht="17.25" customHeight="1" x14ac:dyDescent="0.35">
      <c r="A625" s="345">
        <v>2821</v>
      </c>
      <c r="B625" s="333" t="s">
        <v>3731</v>
      </c>
      <c r="C625" s="334">
        <v>325211</v>
      </c>
      <c r="D625" s="335" t="s">
        <v>3732</v>
      </c>
    </row>
    <row r="626" spans="1:4" ht="17.25" customHeight="1" x14ac:dyDescent="0.35">
      <c r="A626" s="344">
        <v>2822</v>
      </c>
      <c r="B626" s="337" t="s">
        <v>3733</v>
      </c>
      <c r="C626" s="338">
        <v>325212</v>
      </c>
      <c r="D626" s="339" t="s">
        <v>3734</v>
      </c>
    </row>
    <row r="627" spans="1:4" ht="34.5" customHeight="1" x14ac:dyDescent="0.35">
      <c r="A627" s="345">
        <v>2823</v>
      </c>
      <c r="B627" s="333" t="s">
        <v>3735</v>
      </c>
      <c r="C627" s="334">
        <v>325220</v>
      </c>
      <c r="D627" s="341" t="s">
        <v>3736</v>
      </c>
    </row>
    <row r="628" spans="1:4" ht="34.5" customHeight="1" x14ac:dyDescent="0.35">
      <c r="A628" s="344">
        <v>2824</v>
      </c>
      <c r="B628" s="337" t="s">
        <v>3737</v>
      </c>
      <c r="C628" s="338">
        <v>325220</v>
      </c>
      <c r="D628" s="340" t="s">
        <v>3736</v>
      </c>
    </row>
    <row r="629" spans="1:4" ht="17.25" customHeight="1" x14ac:dyDescent="0.35">
      <c r="A629" s="345">
        <v>2833</v>
      </c>
      <c r="B629" s="333" t="s">
        <v>3738</v>
      </c>
      <c r="C629" s="334">
        <v>325411</v>
      </c>
      <c r="D629" s="335" t="s">
        <v>3739</v>
      </c>
    </row>
    <row r="630" spans="1:4" ht="28.75" customHeight="1" x14ac:dyDescent="0.35">
      <c r="A630" s="344">
        <v>2834</v>
      </c>
      <c r="B630" s="337" t="s">
        <v>3740</v>
      </c>
      <c r="C630" s="338">
        <v>325412</v>
      </c>
      <c r="D630" s="339" t="s">
        <v>3741</v>
      </c>
    </row>
    <row r="631" spans="1:4" ht="28.75" customHeight="1" x14ac:dyDescent="0.35">
      <c r="A631" s="345">
        <v>2835</v>
      </c>
      <c r="B631" s="333" t="s">
        <v>3742</v>
      </c>
      <c r="C631" s="334">
        <v>325412</v>
      </c>
      <c r="D631" s="335" t="s">
        <v>3741</v>
      </c>
    </row>
    <row r="632" spans="1:4" ht="34.5" customHeight="1" x14ac:dyDescent="0.35">
      <c r="A632" s="344">
        <v>2835</v>
      </c>
      <c r="B632" s="337" t="s">
        <v>3742</v>
      </c>
      <c r="C632" s="338">
        <v>325413</v>
      </c>
      <c r="D632" s="340" t="s">
        <v>3743</v>
      </c>
    </row>
    <row r="633" spans="1:4" ht="34.5" customHeight="1" x14ac:dyDescent="0.35">
      <c r="A633" s="345">
        <v>2836</v>
      </c>
      <c r="B633" s="333" t="s">
        <v>3744</v>
      </c>
      <c r="C633" s="334">
        <v>325414</v>
      </c>
      <c r="D633" s="341" t="s">
        <v>3745</v>
      </c>
    </row>
    <row r="634" spans="1:4" ht="17.25" customHeight="1" x14ac:dyDescent="0.35">
      <c r="A634" s="345">
        <v>2841</v>
      </c>
      <c r="B634" s="333" t="s">
        <v>3746</v>
      </c>
      <c r="C634" s="334">
        <v>325611</v>
      </c>
      <c r="D634" s="335" t="s">
        <v>3747</v>
      </c>
    </row>
    <row r="635" spans="1:4" ht="34.5" customHeight="1" x14ac:dyDescent="0.35">
      <c r="A635" s="345">
        <v>2842</v>
      </c>
      <c r="B635" s="333" t="s">
        <v>3748</v>
      </c>
      <c r="C635" s="334">
        <v>325612</v>
      </c>
      <c r="D635" s="341" t="s">
        <v>3749</v>
      </c>
    </row>
    <row r="636" spans="1:4" ht="17.25" customHeight="1" x14ac:dyDescent="0.35">
      <c r="A636" s="344">
        <v>2843</v>
      </c>
      <c r="B636" s="337" t="s">
        <v>3750</v>
      </c>
      <c r="C636" s="338">
        <v>325613</v>
      </c>
      <c r="D636" s="339" t="s">
        <v>3751</v>
      </c>
    </row>
    <row r="637" spans="1:4" ht="17.25" customHeight="1" x14ac:dyDescent="0.35">
      <c r="A637" s="344">
        <v>2844</v>
      </c>
      <c r="B637" s="337" t="s">
        <v>3752</v>
      </c>
      <c r="C637" s="338">
        <v>325611</v>
      </c>
      <c r="D637" s="339" t="s">
        <v>3747</v>
      </c>
    </row>
    <row r="638" spans="1:4" ht="17.25" customHeight="1" x14ac:dyDescent="0.35">
      <c r="A638" s="345">
        <v>2844</v>
      </c>
      <c r="B638" s="333" t="s">
        <v>3752</v>
      </c>
      <c r="C638" s="334">
        <v>325620</v>
      </c>
      <c r="D638" s="335" t="s">
        <v>3753</v>
      </c>
    </row>
    <row r="639" spans="1:4" ht="17.25" customHeight="1" x14ac:dyDescent="0.35">
      <c r="A639" s="344">
        <v>2851</v>
      </c>
      <c r="B639" s="337" t="s">
        <v>3754</v>
      </c>
      <c r="C639" s="338">
        <v>325510</v>
      </c>
      <c r="D639" s="339" t="s">
        <v>3755</v>
      </c>
    </row>
    <row r="640" spans="1:4" ht="34.5" customHeight="1" x14ac:dyDescent="0.35">
      <c r="A640" s="344">
        <v>2861</v>
      </c>
      <c r="B640" s="337" t="s">
        <v>3756</v>
      </c>
      <c r="C640" s="338">
        <v>325194</v>
      </c>
      <c r="D640" s="340" t="s">
        <v>3757</v>
      </c>
    </row>
    <row r="641" spans="1:4" ht="17.25" customHeight="1" x14ac:dyDescent="0.35">
      <c r="A641" s="345">
        <v>2865</v>
      </c>
      <c r="B641" s="333" t="s">
        <v>3758</v>
      </c>
      <c r="C641" s="334">
        <v>325110</v>
      </c>
      <c r="D641" s="335" t="s">
        <v>3759</v>
      </c>
    </row>
    <row r="642" spans="1:4" ht="17.25" customHeight="1" x14ac:dyDescent="0.35">
      <c r="A642" s="345">
        <v>2865</v>
      </c>
      <c r="B642" s="333" t="s">
        <v>3758</v>
      </c>
      <c r="C642" s="334">
        <v>325130</v>
      </c>
      <c r="D642" s="335" t="s">
        <v>3727</v>
      </c>
    </row>
    <row r="643" spans="1:4" ht="34.5" customHeight="1" x14ac:dyDescent="0.35">
      <c r="A643" s="345">
        <v>2865</v>
      </c>
      <c r="B643" s="333" t="s">
        <v>3758</v>
      </c>
      <c r="C643" s="334">
        <v>325194</v>
      </c>
      <c r="D643" s="341" t="s">
        <v>3757</v>
      </c>
    </row>
    <row r="644" spans="1:4" ht="17.25" customHeight="1" x14ac:dyDescent="0.35">
      <c r="A644" s="344">
        <v>2869</v>
      </c>
      <c r="B644" s="337" t="s">
        <v>3760</v>
      </c>
      <c r="C644" s="338">
        <v>325110</v>
      </c>
      <c r="D644" s="339" t="s">
        <v>3759</v>
      </c>
    </row>
    <row r="645" spans="1:4" ht="17.25" customHeight="1" x14ac:dyDescent="0.35">
      <c r="A645" s="344">
        <v>2869</v>
      </c>
      <c r="B645" s="337" t="s">
        <v>3760</v>
      </c>
      <c r="C645" s="338">
        <v>325120</v>
      </c>
      <c r="D645" s="339" t="s">
        <v>3725</v>
      </c>
    </row>
    <row r="646" spans="1:4" ht="34.5" customHeight="1" x14ac:dyDescent="0.35">
      <c r="A646" s="345">
        <v>2869</v>
      </c>
      <c r="B646" s="333" t="s">
        <v>3760</v>
      </c>
      <c r="C646" s="334">
        <v>325180</v>
      </c>
      <c r="D646" s="335" t="s">
        <v>1797</v>
      </c>
    </row>
    <row r="647" spans="1:4" ht="17.25" customHeight="1" x14ac:dyDescent="0.35">
      <c r="A647" s="345">
        <v>2869</v>
      </c>
      <c r="B647" s="333" t="s">
        <v>3760</v>
      </c>
      <c r="C647" s="334">
        <v>325193</v>
      </c>
      <c r="D647" s="335" t="s">
        <v>2272</v>
      </c>
    </row>
    <row r="648" spans="1:4" ht="34.5" customHeight="1" x14ac:dyDescent="0.35">
      <c r="A648" s="344">
        <v>2869</v>
      </c>
      <c r="B648" s="337" t="s">
        <v>3760</v>
      </c>
      <c r="C648" s="338">
        <v>325194</v>
      </c>
      <c r="D648" s="339" t="s">
        <v>2273</v>
      </c>
    </row>
    <row r="649" spans="1:4" ht="34.5" customHeight="1" x14ac:dyDescent="0.35">
      <c r="A649" s="345">
        <v>2869</v>
      </c>
      <c r="B649" s="333" t="s">
        <v>3760</v>
      </c>
      <c r="C649" s="334">
        <v>325199</v>
      </c>
      <c r="D649" s="335" t="s">
        <v>873</v>
      </c>
    </row>
    <row r="650" spans="1:4" ht="34.5" customHeight="1" x14ac:dyDescent="0.35">
      <c r="A650" s="345">
        <v>2869</v>
      </c>
      <c r="B650" s="333" t="s">
        <v>3760</v>
      </c>
      <c r="C650" s="334">
        <v>325998</v>
      </c>
      <c r="D650" s="335" t="s">
        <v>1794</v>
      </c>
    </row>
    <row r="651" spans="1:4" ht="17.25" customHeight="1" x14ac:dyDescent="0.35">
      <c r="A651" s="345">
        <v>2873</v>
      </c>
      <c r="B651" s="333" t="s">
        <v>3761</v>
      </c>
      <c r="C651" s="334">
        <v>325311</v>
      </c>
      <c r="D651" s="335" t="s">
        <v>3762</v>
      </c>
    </row>
    <row r="652" spans="1:4" ht="17.25" customHeight="1" x14ac:dyDescent="0.35">
      <c r="A652" s="344">
        <v>2874</v>
      </c>
      <c r="B652" s="337" t="s">
        <v>3763</v>
      </c>
      <c r="C652" s="338">
        <v>325312</v>
      </c>
      <c r="D652" s="339" t="s">
        <v>3764</v>
      </c>
    </row>
    <row r="653" spans="1:4" ht="17.25" customHeight="1" x14ac:dyDescent="0.35">
      <c r="A653" s="345">
        <v>2875</v>
      </c>
      <c r="B653" s="333" t="s">
        <v>3765</v>
      </c>
      <c r="C653" s="334">
        <v>325314</v>
      </c>
      <c r="D653" s="335" t="s">
        <v>3766</v>
      </c>
    </row>
    <row r="654" spans="1:4" ht="34.5" customHeight="1" x14ac:dyDescent="0.35">
      <c r="A654" s="344">
        <v>2879</v>
      </c>
      <c r="B654" s="337" t="s">
        <v>3767</v>
      </c>
      <c r="C654" s="338">
        <v>325320</v>
      </c>
      <c r="D654" s="340" t="s">
        <v>3768</v>
      </c>
    </row>
    <row r="655" spans="1:4" ht="17.25" customHeight="1" x14ac:dyDescent="0.35">
      <c r="A655" s="344">
        <v>2891</v>
      </c>
      <c r="B655" s="337" t="s">
        <v>3769</v>
      </c>
      <c r="C655" s="338">
        <v>325520</v>
      </c>
      <c r="D655" s="339" t="s">
        <v>3770</v>
      </c>
    </row>
    <row r="656" spans="1:4" ht="17.25" customHeight="1" x14ac:dyDescent="0.35">
      <c r="A656" s="345">
        <v>2892</v>
      </c>
      <c r="B656" s="333" t="s">
        <v>3771</v>
      </c>
      <c r="C656" s="334">
        <v>325920</v>
      </c>
      <c r="D656" s="335" t="s">
        <v>3772</v>
      </c>
    </row>
    <row r="657" spans="1:4" ht="17.25" customHeight="1" x14ac:dyDescent="0.35">
      <c r="A657" s="344">
        <v>2893</v>
      </c>
      <c r="B657" s="337" t="s">
        <v>3773</v>
      </c>
      <c r="C657" s="338">
        <v>325910</v>
      </c>
      <c r="D657" s="339" t="s">
        <v>3774</v>
      </c>
    </row>
    <row r="658" spans="1:4" ht="34.5" customHeight="1" x14ac:dyDescent="0.35">
      <c r="A658" s="344">
        <v>2895</v>
      </c>
      <c r="B658" s="337" t="s">
        <v>3775</v>
      </c>
      <c r="C658" s="338">
        <v>325180</v>
      </c>
      <c r="D658" s="340" t="s">
        <v>3723</v>
      </c>
    </row>
    <row r="659" spans="1:4" ht="17.25" customHeight="1" x14ac:dyDescent="0.35">
      <c r="A659" s="345">
        <v>2899</v>
      </c>
      <c r="B659" s="333" t="s">
        <v>3776</v>
      </c>
      <c r="C659" s="334">
        <v>311942</v>
      </c>
      <c r="D659" s="335" t="s">
        <v>3501</v>
      </c>
    </row>
    <row r="660" spans="1:4" ht="34.5" customHeight="1" x14ac:dyDescent="0.35">
      <c r="A660" s="344">
        <v>2899</v>
      </c>
      <c r="B660" s="337" t="s">
        <v>3776</v>
      </c>
      <c r="C660" s="338">
        <v>325199</v>
      </c>
      <c r="D660" s="340" t="s">
        <v>3777</v>
      </c>
    </row>
    <row r="661" spans="1:4" ht="17.25" customHeight="1" x14ac:dyDescent="0.35">
      <c r="A661" s="345">
        <v>2899</v>
      </c>
      <c r="B661" s="333" t="s">
        <v>3776</v>
      </c>
      <c r="C661" s="334">
        <v>325510</v>
      </c>
      <c r="D661" s="335" t="s">
        <v>3755</v>
      </c>
    </row>
    <row r="662" spans="1:4" ht="34.5" customHeight="1" x14ac:dyDescent="0.35">
      <c r="A662" s="344">
        <v>2899</v>
      </c>
      <c r="B662" s="337" t="s">
        <v>3776</v>
      </c>
      <c r="C662" s="338">
        <v>325998</v>
      </c>
      <c r="D662" s="339" t="s">
        <v>1794</v>
      </c>
    </row>
    <row r="663" spans="1:4" ht="17.25" customHeight="1" x14ac:dyDescent="0.35">
      <c r="A663" s="345">
        <v>2911</v>
      </c>
      <c r="B663" s="333" t="s">
        <v>3778</v>
      </c>
      <c r="C663" s="334">
        <v>324110</v>
      </c>
      <c r="D663" s="335" t="s">
        <v>3779</v>
      </c>
    </row>
    <row r="664" spans="1:4" ht="34.5" customHeight="1" x14ac:dyDescent="0.35">
      <c r="A664" s="344">
        <v>2951</v>
      </c>
      <c r="B664" s="337" t="s">
        <v>3780</v>
      </c>
      <c r="C664" s="338">
        <v>324121</v>
      </c>
      <c r="D664" s="340" t="s">
        <v>3781</v>
      </c>
    </row>
    <row r="665" spans="1:4" ht="34.5" customHeight="1" x14ac:dyDescent="0.35">
      <c r="A665" s="345">
        <v>2952</v>
      </c>
      <c r="B665" s="333" t="s">
        <v>3782</v>
      </c>
      <c r="C665" s="334">
        <v>324122</v>
      </c>
      <c r="D665" s="341" t="s">
        <v>3783</v>
      </c>
    </row>
    <row r="666" spans="1:4" ht="34.5" customHeight="1" x14ac:dyDescent="0.35">
      <c r="A666" s="344">
        <v>2992</v>
      </c>
      <c r="B666" s="337" t="s">
        <v>3784</v>
      </c>
      <c r="C666" s="338">
        <v>324191</v>
      </c>
      <c r="D666" s="340" t="s">
        <v>3785</v>
      </c>
    </row>
    <row r="667" spans="1:4" ht="34.5" customHeight="1" x14ac:dyDescent="0.35">
      <c r="A667" s="345">
        <v>2999</v>
      </c>
      <c r="B667" s="333" t="s">
        <v>3786</v>
      </c>
      <c r="C667" s="334">
        <v>324199</v>
      </c>
      <c r="D667" s="341" t="s">
        <v>3787</v>
      </c>
    </row>
    <row r="668" spans="1:4" ht="17.25" customHeight="1" x14ac:dyDescent="0.35">
      <c r="A668" s="344">
        <v>3011</v>
      </c>
      <c r="B668" s="337" t="s">
        <v>3788</v>
      </c>
      <c r="C668" s="338">
        <v>326211</v>
      </c>
      <c r="D668" s="339" t="s">
        <v>3789</v>
      </c>
    </row>
    <row r="669" spans="1:4" ht="17.25" customHeight="1" x14ac:dyDescent="0.35">
      <c r="A669" s="345">
        <v>3021</v>
      </c>
      <c r="B669" s="333" t="s">
        <v>3790</v>
      </c>
      <c r="C669" s="334">
        <v>316210</v>
      </c>
      <c r="D669" s="335" t="s">
        <v>3791</v>
      </c>
    </row>
    <row r="670" spans="1:4" ht="34.5" customHeight="1" x14ac:dyDescent="0.35">
      <c r="A670" s="344">
        <v>3052</v>
      </c>
      <c r="B670" s="337" t="s">
        <v>3792</v>
      </c>
      <c r="C670" s="338">
        <v>326220</v>
      </c>
      <c r="D670" s="340" t="s">
        <v>3793</v>
      </c>
    </row>
    <row r="671" spans="1:4" ht="34.5" customHeight="1" x14ac:dyDescent="0.35">
      <c r="A671" s="344">
        <v>3053</v>
      </c>
      <c r="B671" s="337" t="s">
        <v>3794</v>
      </c>
      <c r="C671" s="338">
        <v>339991</v>
      </c>
      <c r="D671" s="340" t="s">
        <v>3795</v>
      </c>
    </row>
    <row r="672" spans="1:4" ht="34.5" customHeight="1" x14ac:dyDescent="0.35">
      <c r="A672" s="345">
        <v>3061</v>
      </c>
      <c r="B672" s="333" t="s">
        <v>3796</v>
      </c>
      <c r="C672" s="334">
        <v>326291</v>
      </c>
      <c r="D672" s="341" t="s">
        <v>3797</v>
      </c>
    </row>
    <row r="673" spans="1:4" ht="17.25" customHeight="1" x14ac:dyDescent="0.35">
      <c r="A673" s="344">
        <v>3061</v>
      </c>
      <c r="B673" s="337" t="s">
        <v>3796</v>
      </c>
      <c r="C673" s="338">
        <v>326299</v>
      </c>
      <c r="D673" s="339" t="s">
        <v>3798</v>
      </c>
    </row>
    <row r="674" spans="1:4" ht="17.25" customHeight="1" x14ac:dyDescent="0.35">
      <c r="A674" s="345">
        <v>3069</v>
      </c>
      <c r="B674" s="333" t="s">
        <v>3799</v>
      </c>
      <c r="C674" s="334">
        <v>313320</v>
      </c>
      <c r="D674" s="335" t="s">
        <v>3556</v>
      </c>
    </row>
    <row r="675" spans="1:4" ht="17.25" customHeight="1" x14ac:dyDescent="0.35">
      <c r="A675" s="344">
        <v>3069</v>
      </c>
      <c r="B675" s="337" t="s">
        <v>3799</v>
      </c>
      <c r="C675" s="338">
        <v>314910</v>
      </c>
      <c r="D675" s="339" t="s">
        <v>3595</v>
      </c>
    </row>
    <row r="676" spans="1:4" ht="17.25" customHeight="1" x14ac:dyDescent="0.35">
      <c r="A676" s="345">
        <v>3069</v>
      </c>
      <c r="B676" s="333" t="s">
        <v>3799</v>
      </c>
      <c r="C676" s="334">
        <v>315280</v>
      </c>
      <c r="D676" s="335" t="s">
        <v>3574</v>
      </c>
    </row>
    <row r="677" spans="1:4" ht="34.5" customHeight="1" x14ac:dyDescent="0.35">
      <c r="A677" s="345">
        <v>3069</v>
      </c>
      <c r="B677" s="333" t="s">
        <v>3799</v>
      </c>
      <c r="C677" s="334">
        <v>315990</v>
      </c>
      <c r="D677" s="341" t="s">
        <v>3570</v>
      </c>
    </row>
    <row r="678" spans="1:4" ht="17.25" customHeight="1" x14ac:dyDescent="0.35">
      <c r="A678" s="344">
        <v>3069</v>
      </c>
      <c r="B678" s="337" t="s">
        <v>3799</v>
      </c>
      <c r="C678" s="338">
        <v>326199</v>
      </c>
      <c r="D678" s="339" t="s">
        <v>3800</v>
      </c>
    </row>
    <row r="679" spans="1:4" ht="17.25" customHeight="1" x14ac:dyDescent="0.35">
      <c r="A679" s="345">
        <v>3069</v>
      </c>
      <c r="B679" s="333" t="s">
        <v>3799</v>
      </c>
      <c r="C679" s="334">
        <v>326299</v>
      </c>
      <c r="D679" s="335" t="s">
        <v>3798</v>
      </c>
    </row>
    <row r="680" spans="1:4" ht="17.25" customHeight="1" x14ac:dyDescent="0.35">
      <c r="A680" s="345">
        <v>3069</v>
      </c>
      <c r="B680" s="333" t="s">
        <v>3799</v>
      </c>
      <c r="C680" s="334">
        <v>336612</v>
      </c>
      <c r="D680" s="335" t="s">
        <v>3801</v>
      </c>
    </row>
    <row r="681" spans="1:4" ht="34.5" customHeight="1" x14ac:dyDescent="0.35">
      <c r="A681" s="344">
        <v>3069</v>
      </c>
      <c r="B681" s="337" t="s">
        <v>3799</v>
      </c>
      <c r="C681" s="338">
        <v>339113</v>
      </c>
      <c r="D681" s="340" t="s">
        <v>3640</v>
      </c>
    </row>
    <row r="682" spans="1:4" ht="28.75" customHeight="1" x14ac:dyDescent="0.35">
      <c r="A682" s="345">
        <v>3069</v>
      </c>
      <c r="B682" s="333" t="s">
        <v>3799</v>
      </c>
      <c r="C682" s="334">
        <v>339920</v>
      </c>
      <c r="D682" s="335" t="s">
        <v>3802</v>
      </c>
    </row>
    <row r="683" spans="1:4" ht="17.25" customHeight="1" x14ac:dyDescent="0.35">
      <c r="A683" s="345">
        <v>3069</v>
      </c>
      <c r="B683" s="333" t="s">
        <v>3799</v>
      </c>
      <c r="C683" s="334">
        <v>339930</v>
      </c>
      <c r="D683" s="335" t="s">
        <v>3803</v>
      </c>
    </row>
    <row r="684" spans="1:4" ht="34.5" customHeight="1" x14ac:dyDescent="0.35">
      <c r="A684" s="344">
        <v>3081</v>
      </c>
      <c r="B684" s="337" t="s">
        <v>3804</v>
      </c>
      <c r="C684" s="338">
        <v>326113</v>
      </c>
      <c r="D684" s="340" t="s">
        <v>3805</v>
      </c>
    </row>
    <row r="685" spans="1:4" ht="34.5" customHeight="1" x14ac:dyDescent="0.35">
      <c r="A685" s="345">
        <v>3082</v>
      </c>
      <c r="B685" s="333" t="s">
        <v>3806</v>
      </c>
      <c r="C685" s="334">
        <v>326121</v>
      </c>
      <c r="D685" s="341" t="s">
        <v>3807</v>
      </c>
    </row>
    <row r="686" spans="1:4" ht="34.5" customHeight="1" x14ac:dyDescent="0.35">
      <c r="A686" s="345">
        <v>3083</v>
      </c>
      <c r="B686" s="333" t="s">
        <v>3808</v>
      </c>
      <c r="C686" s="334">
        <v>326130</v>
      </c>
      <c r="D686" s="341" t="s">
        <v>3809</v>
      </c>
    </row>
    <row r="687" spans="1:4" ht="34.5" customHeight="1" x14ac:dyDescent="0.35">
      <c r="A687" s="345">
        <v>3084</v>
      </c>
      <c r="B687" s="333" t="s">
        <v>3810</v>
      </c>
      <c r="C687" s="334">
        <v>326122</v>
      </c>
      <c r="D687" s="341" t="s">
        <v>3811</v>
      </c>
    </row>
    <row r="688" spans="1:4" ht="17.25" customHeight="1" x14ac:dyDescent="0.35">
      <c r="A688" s="344">
        <v>3085</v>
      </c>
      <c r="B688" s="337" t="s">
        <v>3812</v>
      </c>
      <c r="C688" s="338">
        <v>326160</v>
      </c>
      <c r="D688" s="339" t="s">
        <v>3813</v>
      </c>
    </row>
    <row r="689" spans="1:4" ht="17.25" customHeight="1" x14ac:dyDescent="0.35">
      <c r="A689" s="344">
        <v>3086</v>
      </c>
      <c r="B689" s="337" t="s">
        <v>3814</v>
      </c>
      <c r="C689" s="338">
        <v>326140</v>
      </c>
      <c r="D689" s="339" t="s">
        <v>3815</v>
      </c>
    </row>
    <row r="690" spans="1:4" ht="34.5" customHeight="1" x14ac:dyDescent="0.35">
      <c r="A690" s="345">
        <v>3086</v>
      </c>
      <c r="B690" s="333" t="s">
        <v>3814</v>
      </c>
      <c r="C690" s="334">
        <v>326150</v>
      </c>
      <c r="D690" s="341" t="s">
        <v>3816</v>
      </c>
    </row>
    <row r="691" spans="1:4" ht="34.5" customHeight="1" x14ac:dyDescent="0.35">
      <c r="A691" s="344">
        <v>3087</v>
      </c>
      <c r="B691" s="337" t="s">
        <v>3817</v>
      </c>
      <c r="C691" s="338">
        <v>325991</v>
      </c>
      <c r="D691" s="340" t="s">
        <v>3818</v>
      </c>
    </row>
    <row r="692" spans="1:4" ht="17.25" customHeight="1" x14ac:dyDescent="0.35">
      <c r="A692" s="345">
        <v>3088</v>
      </c>
      <c r="B692" s="333" t="s">
        <v>3819</v>
      </c>
      <c r="C692" s="334">
        <v>326191</v>
      </c>
      <c r="D692" s="335" t="s">
        <v>3820</v>
      </c>
    </row>
    <row r="693" spans="1:4" ht="34.5" customHeight="1" x14ac:dyDescent="0.35">
      <c r="A693" s="344">
        <v>3089</v>
      </c>
      <c r="B693" s="337" t="s">
        <v>3821</v>
      </c>
      <c r="C693" s="338">
        <v>326121</v>
      </c>
      <c r="D693" s="340" t="s">
        <v>3807</v>
      </c>
    </row>
    <row r="694" spans="1:4" ht="34.5" customHeight="1" x14ac:dyDescent="0.35">
      <c r="A694" s="344">
        <v>3089</v>
      </c>
      <c r="B694" s="337" t="s">
        <v>3821</v>
      </c>
      <c r="C694" s="338">
        <v>326122</v>
      </c>
      <c r="D694" s="340" t="s">
        <v>3811</v>
      </c>
    </row>
    <row r="695" spans="1:4" ht="17.25" customHeight="1" x14ac:dyDescent="0.35">
      <c r="A695" s="345">
        <v>3089</v>
      </c>
      <c r="B695" s="333" t="s">
        <v>3821</v>
      </c>
      <c r="C695" s="334">
        <v>326199</v>
      </c>
      <c r="D695" s="335" t="s">
        <v>3800</v>
      </c>
    </row>
    <row r="696" spans="1:4" ht="17.25" customHeight="1" x14ac:dyDescent="0.35">
      <c r="A696" s="344">
        <v>3089</v>
      </c>
      <c r="B696" s="337" t="s">
        <v>3821</v>
      </c>
      <c r="C696" s="338">
        <v>336612</v>
      </c>
      <c r="D696" s="339" t="s">
        <v>3801</v>
      </c>
    </row>
    <row r="697" spans="1:4" ht="34.5" customHeight="1" x14ac:dyDescent="0.35">
      <c r="A697" s="345">
        <v>3089</v>
      </c>
      <c r="B697" s="333" t="s">
        <v>3821</v>
      </c>
      <c r="C697" s="334">
        <v>337215</v>
      </c>
      <c r="D697" s="341" t="s">
        <v>3613</v>
      </c>
    </row>
    <row r="698" spans="1:4" ht="34.5" customHeight="1" x14ac:dyDescent="0.35">
      <c r="A698" s="345">
        <v>3089</v>
      </c>
      <c r="B698" s="333" t="s">
        <v>3821</v>
      </c>
      <c r="C698" s="334">
        <v>339113</v>
      </c>
      <c r="D698" s="341" t="s">
        <v>3640</v>
      </c>
    </row>
    <row r="699" spans="1:4" ht="17.25" customHeight="1" x14ac:dyDescent="0.35">
      <c r="A699" s="345">
        <v>3111</v>
      </c>
      <c r="B699" s="333" t="s">
        <v>3822</v>
      </c>
      <c r="C699" s="334">
        <v>316110</v>
      </c>
      <c r="D699" s="335" t="s">
        <v>3823</v>
      </c>
    </row>
    <row r="700" spans="1:4" ht="34.5" customHeight="1" x14ac:dyDescent="0.35">
      <c r="A700" s="345">
        <v>3131</v>
      </c>
      <c r="B700" s="333" t="s">
        <v>3824</v>
      </c>
      <c r="C700" s="334">
        <v>316998</v>
      </c>
      <c r="D700" s="341" t="s">
        <v>3825</v>
      </c>
    </row>
    <row r="701" spans="1:4" ht="34.5" customHeight="1" x14ac:dyDescent="0.35">
      <c r="A701" s="344">
        <v>3131</v>
      </c>
      <c r="B701" s="337" t="s">
        <v>3824</v>
      </c>
      <c r="C701" s="338">
        <v>321999</v>
      </c>
      <c r="D701" s="340" t="s">
        <v>3611</v>
      </c>
    </row>
    <row r="702" spans="1:4" ht="34.5" customHeight="1" x14ac:dyDescent="0.35">
      <c r="A702" s="344">
        <v>3131</v>
      </c>
      <c r="B702" s="337" t="s">
        <v>3824</v>
      </c>
      <c r="C702" s="338">
        <v>339993</v>
      </c>
      <c r="D702" s="340" t="s">
        <v>3826</v>
      </c>
    </row>
    <row r="703" spans="1:4" ht="17.25" customHeight="1" x14ac:dyDescent="0.35">
      <c r="A703" s="344">
        <v>3142</v>
      </c>
      <c r="B703" s="337" t="s">
        <v>3827</v>
      </c>
      <c r="C703" s="338">
        <v>316210</v>
      </c>
      <c r="D703" s="339" t="s">
        <v>3791</v>
      </c>
    </row>
    <row r="704" spans="1:4" ht="17.25" customHeight="1" x14ac:dyDescent="0.35">
      <c r="A704" s="345">
        <v>3143</v>
      </c>
      <c r="B704" s="333" t="s">
        <v>3828</v>
      </c>
      <c r="C704" s="334">
        <v>316210</v>
      </c>
      <c r="D704" s="335" t="s">
        <v>3791</v>
      </c>
    </row>
    <row r="705" spans="1:4" ht="17.25" customHeight="1" x14ac:dyDescent="0.35">
      <c r="A705" s="344">
        <v>3144</v>
      </c>
      <c r="B705" s="337" t="s">
        <v>3829</v>
      </c>
      <c r="C705" s="338">
        <v>316210</v>
      </c>
      <c r="D705" s="339" t="s">
        <v>3791</v>
      </c>
    </row>
    <row r="706" spans="1:4" ht="17.25" customHeight="1" x14ac:dyDescent="0.35">
      <c r="A706" s="345">
        <v>3149</v>
      </c>
      <c r="B706" s="333" t="s">
        <v>3830</v>
      </c>
      <c r="C706" s="334">
        <v>316210</v>
      </c>
      <c r="D706" s="335" t="s">
        <v>3791</v>
      </c>
    </row>
    <row r="707" spans="1:4" ht="34.5" customHeight="1" x14ac:dyDescent="0.35">
      <c r="A707" s="344">
        <v>3151</v>
      </c>
      <c r="B707" s="337" t="s">
        <v>3831</v>
      </c>
      <c r="C707" s="338">
        <v>314999</v>
      </c>
      <c r="D707" s="340" t="s">
        <v>3563</v>
      </c>
    </row>
    <row r="708" spans="1:4" ht="34.5" customHeight="1" x14ac:dyDescent="0.35">
      <c r="A708" s="345">
        <v>3151</v>
      </c>
      <c r="B708" s="333" t="s">
        <v>3831</v>
      </c>
      <c r="C708" s="334">
        <v>314999</v>
      </c>
      <c r="D708" s="341" t="s">
        <v>3563</v>
      </c>
    </row>
    <row r="709" spans="1:4" ht="17.25" customHeight="1" x14ac:dyDescent="0.35">
      <c r="A709" s="344">
        <v>3151</v>
      </c>
      <c r="B709" s="337" t="s">
        <v>3831</v>
      </c>
      <c r="C709" s="338">
        <v>315210</v>
      </c>
      <c r="D709" s="339" t="s">
        <v>3565</v>
      </c>
    </row>
    <row r="710" spans="1:4" ht="17.25" customHeight="1" x14ac:dyDescent="0.35">
      <c r="A710" s="345">
        <v>3151</v>
      </c>
      <c r="B710" s="333" t="s">
        <v>3831</v>
      </c>
      <c r="C710" s="334">
        <v>315210</v>
      </c>
      <c r="D710" s="335" t="s">
        <v>3565</v>
      </c>
    </row>
    <row r="711" spans="1:4" ht="34.5" customHeight="1" x14ac:dyDescent="0.35">
      <c r="A711" s="344">
        <v>3151</v>
      </c>
      <c r="B711" s="337" t="s">
        <v>3831</v>
      </c>
      <c r="C711" s="338">
        <v>315990</v>
      </c>
      <c r="D711" s="340" t="s">
        <v>3570</v>
      </c>
    </row>
    <row r="712" spans="1:4" ht="34.5" customHeight="1" x14ac:dyDescent="0.35">
      <c r="A712" s="344">
        <v>3161</v>
      </c>
      <c r="B712" s="337" t="s">
        <v>3832</v>
      </c>
      <c r="C712" s="338">
        <v>316998</v>
      </c>
      <c r="D712" s="340" t="s">
        <v>3825</v>
      </c>
    </row>
    <row r="713" spans="1:4" ht="34.5" customHeight="1" x14ac:dyDescent="0.35">
      <c r="A713" s="344">
        <v>3171</v>
      </c>
      <c r="B713" s="337" t="s">
        <v>3833</v>
      </c>
      <c r="C713" s="338">
        <v>316992</v>
      </c>
      <c r="D713" s="340" t="s">
        <v>3834</v>
      </c>
    </row>
    <row r="714" spans="1:4" ht="34.5" customHeight="1" x14ac:dyDescent="0.35">
      <c r="A714" s="345">
        <v>3172</v>
      </c>
      <c r="B714" s="333" t="s">
        <v>3835</v>
      </c>
      <c r="C714" s="334">
        <v>316998</v>
      </c>
      <c r="D714" s="341" t="s">
        <v>3825</v>
      </c>
    </row>
    <row r="715" spans="1:4" ht="17.25" customHeight="1" x14ac:dyDescent="0.35">
      <c r="A715" s="345">
        <v>3172</v>
      </c>
      <c r="B715" s="333" t="s">
        <v>3835</v>
      </c>
      <c r="C715" s="334">
        <v>339910</v>
      </c>
      <c r="D715" s="335" t="s">
        <v>3836</v>
      </c>
    </row>
    <row r="716" spans="1:4" ht="34.5" customHeight="1" x14ac:dyDescent="0.35">
      <c r="A716" s="344">
        <v>3199</v>
      </c>
      <c r="B716" s="337" t="s">
        <v>3837</v>
      </c>
      <c r="C716" s="338">
        <v>316998</v>
      </c>
      <c r="D716" s="340" t="s">
        <v>3825</v>
      </c>
    </row>
    <row r="717" spans="1:4" ht="17.25" customHeight="1" x14ac:dyDescent="0.35">
      <c r="A717" s="344">
        <v>3211</v>
      </c>
      <c r="B717" s="337" t="s">
        <v>3838</v>
      </c>
      <c r="C717" s="338">
        <v>327211</v>
      </c>
      <c r="D717" s="339" t="s">
        <v>3839</v>
      </c>
    </row>
    <row r="718" spans="1:4" ht="17.25" customHeight="1" x14ac:dyDescent="0.35">
      <c r="A718" s="344">
        <v>3221</v>
      </c>
      <c r="B718" s="337" t="s">
        <v>3840</v>
      </c>
      <c r="C718" s="338">
        <v>327213</v>
      </c>
      <c r="D718" s="339" t="s">
        <v>3841</v>
      </c>
    </row>
    <row r="719" spans="1:4" ht="34.5" customHeight="1" x14ac:dyDescent="0.35">
      <c r="A719" s="345">
        <v>3229</v>
      </c>
      <c r="B719" s="333" t="s">
        <v>3842</v>
      </c>
      <c r="C719" s="334">
        <v>327212</v>
      </c>
      <c r="D719" s="341" t="s">
        <v>3843</v>
      </c>
    </row>
    <row r="720" spans="1:4" ht="34.5" customHeight="1" x14ac:dyDescent="0.35">
      <c r="A720" s="345">
        <v>3231</v>
      </c>
      <c r="B720" s="333" t="s">
        <v>3844</v>
      </c>
      <c r="C720" s="334">
        <v>327215</v>
      </c>
      <c r="D720" s="341" t="s">
        <v>3845</v>
      </c>
    </row>
    <row r="721" spans="1:4" ht="17.25" customHeight="1" x14ac:dyDescent="0.35">
      <c r="A721" s="344">
        <v>3241</v>
      </c>
      <c r="B721" s="337" t="s">
        <v>3846</v>
      </c>
      <c r="C721" s="338">
        <v>327310</v>
      </c>
      <c r="D721" s="339" t="s">
        <v>3847</v>
      </c>
    </row>
    <row r="722" spans="1:4" ht="34.5" customHeight="1" x14ac:dyDescent="0.35">
      <c r="A722" s="345">
        <v>3251</v>
      </c>
      <c r="B722" s="333" t="s">
        <v>3848</v>
      </c>
      <c r="C722" s="334">
        <v>327120</v>
      </c>
      <c r="D722" s="341" t="s">
        <v>3849</v>
      </c>
    </row>
    <row r="723" spans="1:4" ht="17.25" customHeight="1" x14ac:dyDescent="0.35">
      <c r="A723" s="344">
        <v>3251</v>
      </c>
      <c r="B723" s="337" t="s">
        <v>3848</v>
      </c>
      <c r="C723" s="338">
        <v>327331</v>
      </c>
      <c r="D723" s="339" t="s">
        <v>3850</v>
      </c>
    </row>
    <row r="724" spans="1:4" ht="34.5" customHeight="1" x14ac:dyDescent="0.35">
      <c r="A724" s="344">
        <v>3253</v>
      </c>
      <c r="B724" s="337" t="s">
        <v>3851</v>
      </c>
      <c r="C724" s="338">
        <v>327120</v>
      </c>
      <c r="D724" s="340" t="s">
        <v>3849</v>
      </c>
    </row>
    <row r="725" spans="1:4" ht="34.5" customHeight="1" x14ac:dyDescent="0.35">
      <c r="A725" s="345">
        <v>3255</v>
      </c>
      <c r="B725" s="333" t="s">
        <v>3852</v>
      </c>
      <c r="C725" s="334">
        <v>327120</v>
      </c>
      <c r="D725" s="341" t="s">
        <v>3849</v>
      </c>
    </row>
    <row r="726" spans="1:4" ht="34.5" customHeight="1" x14ac:dyDescent="0.35">
      <c r="A726" s="344">
        <v>3259</v>
      </c>
      <c r="B726" s="337" t="s">
        <v>3853</v>
      </c>
      <c r="C726" s="338">
        <v>327120</v>
      </c>
      <c r="D726" s="340" t="s">
        <v>3849</v>
      </c>
    </row>
    <row r="727" spans="1:4" ht="34.5" customHeight="1" x14ac:dyDescent="0.35">
      <c r="A727" s="344">
        <v>3261</v>
      </c>
      <c r="B727" s="337" t="s">
        <v>3854</v>
      </c>
      <c r="C727" s="338">
        <v>327110</v>
      </c>
      <c r="D727" s="340" t="s">
        <v>3855</v>
      </c>
    </row>
    <row r="728" spans="1:4" ht="34.5" customHeight="1" x14ac:dyDescent="0.35">
      <c r="A728" s="345">
        <v>3262</v>
      </c>
      <c r="B728" s="333" t="s">
        <v>3856</v>
      </c>
      <c r="C728" s="334">
        <v>327110</v>
      </c>
      <c r="D728" s="341" t="s">
        <v>3855</v>
      </c>
    </row>
    <row r="729" spans="1:4" ht="34.5" customHeight="1" x14ac:dyDescent="0.35">
      <c r="A729" s="344">
        <v>3263</v>
      </c>
      <c r="B729" s="337" t="s">
        <v>3857</v>
      </c>
      <c r="C729" s="338">
        <v>327110</v>
      </c>
      <c r="D729" s="340" t="s">
        <v>3855</v>
      </c>
    </row>
    <row r="730" spans="1:4" ht="34.5" customHeight="1" x14ac:dyDescent="0.35">
      <c r="A730" s="345">
        <v>3264</v>
      </c>
      <c r="B730" s="333" t="s">
        <v>3858</v>
      </c>
      <c r="C730" s="334">
        <v>327110</v>
      </c>
      <c r="D730" s="341" t="s">
        <v>3855</v>
      </c>
    </row>
    <row r="731" spans="1:4" ht="34.5" customHeight="1" x14ac:dyDescent="0.35">
      <c r="A731" s="344">
        <v>3269</v>
      </c>
      <c r="B731" s="337" t="s">
        <v>3859</v>
      </c>
      <c r="C731" s="338">
        <v>327110</v>
      </c>
      <c r="D731" s="340" t="s">
        <v>3855</v>
      </c>
    </row>
    <row r="732" spans="1:4" ht="17.25" customHeight="1" x14ac:dyDescent="0.35">
      <c r="A732" s="345">
        <v>3271</v>
      </c>
      <c r="B732" s="333" t="s">
        <v>3860</v>
      </c>
      <c r="C732" s="334">
        <v>327331</v>
      </c>
      <c r="D732" s="335" t="s">
        <v>3850</v>
      </c>
    </row>
    <row r="733" spans="1:4" ht="17.25" customHeight="1" x14ac:dyDescent="0.35">
      <c r="A733" s="344">
        <v>3272</v>
      </c>
      <c r="B733" s="337" t="s">
        <v>3861</v>
      </c>
      <c r="C733" s="338">
        <v>327332</v>
      </c>
      <c r="D733" s="339" t="s">
        <v>3862</v>
      </c>
    </row>
    <row r="734" spans="1:4" ht="17.25" customHeight="1" x14ac:dyDescent="0.35">
      <c r="A734" s="345">
        <v>3272</v>
      </c>
      <c r="B734" s="333" t="s">
        <v>3861</v>
      </c>
      <c r="C734" s="334">
        <v>327390</v>
      </c>
      <c r="D734" s="335" t="s">
        <v>3863</v>
      </c>
    </row>
    <row r="735" spans="1:4" ht="34.5" customHeight="1" x14ac:dyDescent="0.35">
      <c r="A735" s="345">
        <v>3272</v>
      </c>
      <c r="B735" s="333" t="s">
        <v>3861</v>
      </c>
      <c r="C735" s="334">
        <v>327999</v>
      </c>
      <c r="D735" s="341" t="s">
        <v>3864</v>
      </c>
    </row>
    <row r="736" spans="1:4" ht="17.25" customHeight="1" x14ac:dyDescent="0.35">
      <c r="A736" s="345">
        <v>3273</v>
      </c>
      <c r="B736" s="333" t="s">
        <v>3865</v>
      </c>
      <c r="C736" s="334">
        <v>327320</v>
      </c>
      <c r="D736" s="335" t="s">
        <v>3866</v>
      </c>
    </row>
    <row r="737" spans="1:4" ht="17.25" customHeight="1" x14ac:dyDescent="0.35">
      <c r="A737" s="344">
        <v>3274</v>
      </c>
      <c r="B737" s="337" t="s">
        <v>3867</v>
      </c>
      <c r="C737" s="338">
        <v>327410</v>
      </c>
      <c r="D737" s="339" t="s">
        <v>3868</v>
      </c>
    </row>
    <row r="738" spans="1:4" ht="17.25" customHeight="1" x14ac:dyDescent="0.35">
      <c r="A738" s="345">
        <v>3275</v>
      </c>
      <c r="B738" s="333" t="s">
        <v>3869</v>
      </c>
      <c r="C738" s="334">
        <v>327420</v>
      </c>
      <c r="D738" s="335" t="s">
        <v>3870</v>
      </c>
    </row>
    <row r="739" spans="1:4" ht="34.5" customHeight="1" x14ac:dyDescent="0.35">
      <c r="A739" s="344">
        <v>3281</v>
      </c>
      <c r="B739" s="337" t="s">
        <v>3871</v>
      </c>
      <c r="C739" s="338">
        <v>327991</v>
      </c>
      <c r="D739" s="340" t="s">
        <v>3872</v>
      </c>
    </row>
    <row r="740" spans="1:4" ht="17.25" customHeight="1" x14ac:dyDescent="0.35">
      <c r="A740" s="345">
        <v>3291</v>
      </c>
      <c r="B740" s="333" t="s">
        <v>3873</v>
      </c>
      <c r="C740" s="334">
        <v>327910</v>
      </c>
      <c r="D740" s="335" t="s">
        <v>3874</v>
      </c>
    </row>
    <row r="741" spans="1:4" ht="34.5" customHeight="1" x14ac:dyDescent="0.35">
      <c r="A741" s="344">
        <v>3291</v>
      </c>
      <c r="B741" s="337" t="s">
        <v>3873</v>
      </c>
      <c r="C741" s="338">
        <v>332999</v>
      </c>
      <c r="D741" s="340" t="s">
        <v>3875</v>
      </c>
    </row>
    <row r="742" spans="1:4" ht="34.5" customHeight="1" x14ac:dyDescent="0.35">
      <c r="A742" s="344">
        <v>3292</v>
      </c>
      <c r="B742" s="337" t="s">
        <v>3876</v>
      </c>
      <c r="C742" s="338">
        <v>327999</v>
      </c>
      <c r="D742" s="340" t="s">
        <v>3864</v>
      </c>
    </row>
    <row r="743" spans="1:4" ht="34.5" customHeight="1" x14ac:dyDescent="0.35">
      <c r="A743" s="344">
        <v>3292</v>
      </c>
      <c r="B743" s="337" t="s">
        <v>3876</v>
      </c>
      <c r="C743" s="338">
        <v>336340</v>
      </c>
      <c r="D743" s="340" t="s">
        <v>3877</v>
      </c>
    </row>
    <row r="744" spans="1:4" ht="34.5" customHeight="1" x14ac:dyDescent="0.35">
      <c r="A744" s="344">
        <v>3292</v>
      </c>
      <c r="B744" s="337" t="s">
        <v>3876</v>
      </c>
      <c r="C744" s="338">
        <v>336350</v>
      </c>
      <c r="D744" s="340" t="s">
        <v>3878</v>
      </c>
    </row>
    <row r="745" spans="1:4" ht="17.25" customHeight="1" x14ac:dyDescent="0.35">
      <c r="A745" s="345">
        <v>3295</v>
      </c>
      <c r="B745" s="333" t="s">
        <v>3879</v>
      </c>
      <c r="C745" s="334">
        <v>212324</v>
      </c>
      <c r="D745" s="335" t="s">
        <v>3362</v>
      </c>
    </row>
    <row r="746" spans="1:4" ht="34.5" customHeight="1" x14ac:dyDescent="0.35">
      <c r="A746" s="345">
        <v>3295</v>
      </c>
      <c r="B746" s="333" t="s">
        <v>3879</v>
      </c>
      <c r="C746" s="334">
        <v>212325</v>
      </c>
      <c r="D746" s="341" t="s">
        <v>3364</v>
      </c>
    </row>
    <row r="747" spans="1:4" ht="34.5" customHeight="1" x14ac:dyDescent="0.35">
      <c r="A747" s="345">
        <v>3295</v>
      </c>
      <c r="B747" s="333" t="s">
        <v>3879</v>
      </c>
      <c r="C747" s="334">
        <v>212393</v>
      </c>
      <c r="D747" s="341" t="s">
        <v>3370</v>
      </c>
    </row>
    <row r="748" spans="1:4" ht="17.25" customHeight="1" x14ac:dyDescent="0.35">
      <c r="A748" s="345">
        <v>3295</v>
      </c>
      <c r="B748" s="333" t="s">
        <v>3879</v>
      </c>
      <c r="C748" s="334">
        <v>212399</v>
      </c>
      <c r="D748" s="335" t="s">
        <v>3374</v>
      </c>
    </row>
    <row r="749" spans="1:4" ht="34.5" customHeight="1" x14ac:dyDescent="0.35">
      <c r="A749" s="345">
        <v>3295</v>
      </c>
      <c r="B749" s="333" t="s">
        <v>3879</v>
      </c>
      <c r="C749" s="334">
        <v>327992</v>
      </c>
      <c r="D749" s="341" t="s">
        <v>3880</v>
      </c>
    </row>
    <row r="750" spans="1:4" ht="17.25" customHeight="1" x14ac:dyDescent="0.35">
      <c r="A750" s="344">
        <v>3296</v>
      </c>
      <c r="B750" s="337" t="s">
        <v>3881</v>
      </c>
      <c r="C750" s="338">
        <v>327993</v>
      </c>
      <c r="D750" s="339" t="s">
        <v>3882</v>
      </c>
    </row>
    <row r="751" spans="1:4" ht="34.5" customHeight="1" x14ac:dyDescent="0.35">
      <c r="A751" s="345">
        <v>3297</v>
      </c>
      <c r="B751" s="333" t="s">
        <v>3883</v>
      </c>
      <c r="C751" s="334">
        <v>327120</v>
      </c>
      <c r="D751" s="341" t="s">
        <v>3849</v>
      </c>
    </row>
    <row r="752" spans="1:4" ht="34.5" customHeight="1" x14ac:dyDescent="0.35">
      <c r="A752" s="345">
        <v>3299</v>
      </c>
      <c r="B752" s="333" t="s">
        <v>3884</v>
      </c>
      <c r="C752" s="334">
        <v>327110</v>
      </c>
      <c r="D752" s="341" t="s">
        <v>3855</v>
      </c>
    </row>
    <row r="753" spans="1:4" ht="17.25" customHeight="1" x14ac:dyDescent="0.35">
      <c r="A753" s="344">
        <v>3299</v>
      </c>
      <c r="B753" s="337" t="s">
        <v>3884</v>
      </c>
      <c r="C753" s="338">
        <v>327420</v>
      </c>
      <c r="D753" s="339" t="s">
        <v>3870</v>
      </c>
    </row>
    <row r="754" spans="1:4" ht="34.5" customHeight="1" x14ac:dyDescent="0.35">
      <c r="A754" s="345">
        <v>3299</v>
      </c>
      <c r="B754" s="333" t="s">
        <v>3884</v>
      </c>
      <c r="C754" s="334">
        <v>327999</v>
      </c>
      <c r="D754" s="341" t="s">
        <v>3864</v>
      </c>
    </row>
    <row r="755" spans="1:4" ht="34.5" customHeight="1" x14ac:dyDescent="0.35">
      <c r="A755" s="344">
        <v>3312</v>
      </c>
      <c r="B755" s="337" t="s">
        <v>3885</v>
      </c>
      <c r="C755" s="338">
        <v>324199</v>
      </c>
      <c r="D755" s="340" t="s">
        <v>3787</v>
      </c>
    </row>
    <row r="756" spans="1:4" ht="34.5" customHeight="1" x14ac:dyDescent="0.35">
      <c r="A756" s="344">
        <v>3312</v>
      </c>
      <c r="B756" s="337" t="s">
        <v>3885</v>
      </c>
      <c r="C756" s="338">
        <v>331110</v>
      </c>
      <c r="D756" s="340" t="s">
        <v>3886</v>
      </c>
    </row>
    <row r="757" spans="1:4" ht="17.25" customHeight="1" x14ac:dyDescent="0.35">
      <c r="A757" s="344">
        <v>3312</v>
      </c>
      <c r="B757" s="337" t="s">
        <v>3885</v>
      </c>
      <c r="C757" s="338">
        <v>331221</v>
      </c>
      <c r="D757" s="339" t="s">
        <v>3887</v>
      </c>
    </row>
    <row r="758" spans="1:4" ht="34.5" customHeight="1" x14ac:dyDescent="0.35">
      <c r="A758" s="345">
        <v>3313</v>
      </c>
      <c r="B758" s="333" t="s">
        <v>3888</v>
      </c>
      <c r="C758" s="334">
        <v>331110</v>
      </c>
      <c r="D758" s="341" t="s">
        <v>3886</v>
      </c>
    </row>
    <row r="759" spans="1:4" ht="17.25" customHeight="1" x14ac:dyDescent="0.35">
      <c r="A759" s="345">
        <v>3315</v>
      </c>
      <c r="B759" s="333" t="s">
        <v>3889</v>
      </c>
      <c r="C759" s="334">
        <v>331222</v>
      </c>
      <c r="D759" s="335" t="s">
        <v>3890</v>
      </c>
    </row>
    <row r="760" spans="1:4" ht="34.5" customHeight="1" x14ac:dyDescent="0.35">
      <c r="A760" s="344">
        <v>3315</v>
      </c>
      <c r="B760" s="337" t="s">
        <v>3889</v>
      </c>
      <c r="C760" s="338">
        <v>332618</v>
      </c>
      <c r="D760" s="340" t="s">
        <v>3891</v>
      </c>
    </row>
    <row r="761" spans="1:4" ht="17.25" customHeight="1" x14ac:dyDescent="0.35">
      <c r="A761" s="345">
        <v>3316</v>
      </c>
      <c r="B761" s="333" t="s">
        <v>3892</v>
      </c>
      <c r="C761" s="334">
        <v>331221</v>
      </c>
      <c r="D761" s="335" t="s">
        <v>3887</v>
      </c>
    </row>
    <row r="762" spans="1:4" ht="34.5" customHeight="1" x14ac:dyDescent="0.35">
      <c r="A762" s="345">
        <v>3317</v>
      </c>
      <c r="B762" s="333" t="s">
        <v>3893</v>
      </c>
      <c r="C762" s="334">
        <v>331210</v>
      </c>
      <c r="D762" s="341" t="s">
        <v>3894</v>
      </c>
    </row>
    <row r="763" spans="1:4" ht="17.25" customHeight="1" x14ac:dyDescent="0.35">
      <c r="A763" s="344">
        <v>3321</v>
      </c>
      <c r="B763" s="337" t="s">
        <v>3895</v>
      </c>
      <c r="C763" s="338">
        <v>331511</v>
      </c>
      <c r="D763" s="339" t="s">
        <v>3896</v>
      </c>
    </row>
    <row r="764" spans="1:4" ht="17.25" customHeight="1" x14ac:dyDescent="0.35">
      <c r="A764" s="345">
        <v>3322</v>
      </c>
      <c r="B764" s="333" t="s">
        <v>3897</v>
      </c>
      <c r="C764" s="334">
        <v>331511</v>
      </c>
      <c r="D764" s="335" t="s">
        <v>3896</v>
      </c>
    </row>
    <row r="765" spans="1:4" ht="17.25" customHeight="1" x14ac:dyDescent="0.35">
      <c r="A765" s="344">
        <v>3324</v>
      </c>
      <c r="B765" s="337" t="s">
        <v>3898</v>
      </c>
      <c r="C765" s="338">
        <v>331512</v>
      </c>
      <c r="D765" s="339" t="s">
        <v>3898</v>
      </c>
    </row>
    <row r="766" spans="1:4" ht="17.25" customHeight="1" x14ac:dyDescent="0.35">
      <c r="A766" s="345">
        <v>3325</v>
      </c>
      <c r="B766" s="333" t="s">
        <v>3899</v>
      </c>
      <c r="C766" s="334">
        <v>331513</v>
      </c>
      <c r="D766" s="335" t="s">
        <v>3900</v>
      </c>
    </row>
    <row r="767" spans="1:4" ht="34.5" customHeight="1" x14ac:dyDescent="0.35">
      <c r="A767" s="344">
        <v>3331</v>
      </c>
      <c r="B767" s="337" t="s">
        <v>3901</v>
      </c>
      <c r="C767" s="338">
        <v>331410</v>
      </c>
      <c r="D767" s="340" t="s">
        <v>3902</v>
      </c>
    </row>
    <row r="768" spans="1:4" ht="34.5" customHeight="1" x14ac:dyDescent="0.35">
      <c r="A768" s="345">
        <v>3334</v>
      </c>
      <c r="B768" s="333" t="s">
        <v>3903</v>
      </c>
      <c r="C768" s="334">
        <v>331313</v>
      </c>
      <c r="D768" s="341" t="s">
        <v>3730</v>
      </c>
    </row>
    <row r="769" spans="1:4" ht="34.5" customHeight="1" x14ac:dyDescent="0.35">
      <c r="A769" s="345">
        <v>3339</v>
      </c>
      <c r="B769" s="333" t="s">
        <v>3904</v>
      </c>
      <c r="C769" s="334">
        <v>331410</v>
      </c>
      <c r="D769" s="341" t="s">
        <v>3902</v>
      </c>
    </row>
    <row r="770" spans="1:4" ht="34.5" customHeight="1" x14ac:dyDescent="0.35">
      <c r="A770" s="344">
        <v>3341</v>
      </c>
      <c r="B770" s="337" t="s">
        <v>3905</v>
      </c>
      <c r="C770" s="338">
        <v>331314</v>
      </c>
      <c r="D770" s="340" t="s">
        <v>3906</v>
      </c>
    </row>
    <row r="771" spans="1:4" ht="34.5" customHeight="1" x14ac:dyDescent="0.35">
      <c r="A771" s="344">
        <v>3341</v>
      </c>
      <c r="B771" s="337" t="s">
        <v>3905</v>
      </c>
      <c r="C771" s="338">
        <v>331420</v>
      </c>
      <c r="D771" s="340" t="s">
        <v>3907</v>
      </c>
    </row>
    <row r="772" spans="1:4" ht="43.5" customHeight="1" x14ac:dyDescent="0.35">
      <c r="A772" s="344">
        <v>3341</v>
      </c>
      <c r="B772" s="337" t="s">
        <v>3905</v>
      </c>
      <c r="C772" s="338">
        <v>331492</v>
      </c>
      <c r="D772" s="340" t="s">
        <v>3908</v>
      </c>
    </row>
    <row r="773" spans="1:4" ht="34.5" customHeight="1" x14ac:dyDescent="0.35">
      <c r="A773" s="345">
        <v>3351</v>
      </c>
      <c r="B773" s="333" t="s">
        <v>3909</v>
      </c>
      <c r="C773" s="334">
        <v>331420</v>
      </c>
      <c r="D773" s="341" t="s">
        <v>3907</v>
      </c>
    </row>
    <row r="774" spans="1:4" ht="34.5" customHeight="1" x14ac:dyDescent="0.35">
      <c r="A774" s="344">
        <v>3353</v>
      </c>
      <c r="B774" s="337" t="s">
        <v>3910</v>
      </c>
      <c r="C774" s="338">
        <v>331315</v>
      </c>
      <c r="D774" s="340" t="s">
        <v>3911</v>
      </c>
    </row>
    <row r="775" spans="1:4" ht="34.5" customHeight="1" x14ac:dyDescent="0.35">
      <c r="A775" s="345">
        <v>3354</v>
      </c>
      <c r="B775" s="333" t="s">
        <v>3912</v>
      </c>
      <c r="C775" s="334">
        <v>331318</v>
      </c>
      <c r="D775" s="341" t="s">
        <v>3913</v>
      </c>
    </row>
    <row r="776" spans="1:4" ht="34.5" customHeight="1" x14ac:dyDescent="0.35">
      <c r="A776" s="344">
        <v>3355</v>
      </c>
      <c r="B776" s="337" t="s">
        <v>3914</v>
      </c>
      <c r="C776" s="338">
        <v>331318</v>
      </c>
      <c r="D776" s="340" t="s">
        <v>3913</v>
      </c>
    </row>
    <row r="777" spans="1:4" ht="43.5" customHeight="1" x14ac:dyDescent="0.35">
      <c r="A777" s="344">
        <v>3356</v>
      </c>
      <c r="B777" s="337" t="s">
        <v>3915</v>
      </c>
      <c r="C777" s="338">
        <v>331491</v>
      </c>
      <c r="D777" s="339" t="s">
        <v>3916</v>
      </c>
    </row>
    <row r="778" spans="1:4" ht="34.5" customHeight="1" x14ac:dyDescent="0.35">
      <c r="A778" s="345">
        <v>3357</v>
      </c>
      <c r="B778" s="333" t="s">
        <v>3917</v>
      </c>
      <c r="C778" s="334">
        <v>331318</v>
      </c>
      <c r="D778" s="341" t="s">
        <v>3913</v>
      </c>
    </row>
    <row r="779" spans="1:4" ht="34.5" customHeight="1" x14ac:dyDescent="0.35">
      <c r="A779" s="344">
        <v>3357</v>
      </c>
      <c r="B779" s="337" t="s">
        <v>3917</v>
      </c>
      <c r="C779" s="338">
        <v>331420</v>
      </c>
      <c r="D779" s="340" t="s">
        <v>3907</v>
      </c>
    </row>
    <row r="780" spans="1:4" ht="43.5" customHeight="1" x14ac:dyDescent="0.35">
      <c r="A780" s="345">
        <v>3357</v>
      </c>
      <c r="B780" s="333" t="s">
        <v>3917</v>
      </c>
      <c r="C780" s="334">
        <v>331491</v>
      </c>
      <c r="D780" s="335" t="s">
        <v>3916</v>
      </c>
    </row>
    <row r="781" spans="1:4" ht="17.25" customHeight="1" x14ac:dyDescent="0.35">
      <c r="A781" s="345">
        <v>3357</v>
      </c>
      <c r="B781" s="333" t="s">
        <v>3917</v>
      </c>
      <c r="C781" s="334">
        <v>335921</v>
      </c>
      <c r="D781" s="335" t="s">
        <v>3918</v>
      </c>
    </row>
    <row r="782" spans="1:4" ht="34.5" customHeight="1" x14ac:dyDescent="0.35">
      <c r="A782" s="344">
        <v>3357</v>
      </c>
      <c r="B782" s="337" t="s">
        <v>3917</v>
      </c>
      <c r="C782" s="338">
        <v>335929</v>
      </c>
      <c r="D782" s="340" t="s">
        <v>3919</v>
      </c>
    </row>
    <row r="783" spans="1:4" ht="17.25" customHeight="1" x14ac:dyDescent="0.35">
      <c r="A783" s="344">
        <v>3363</v>
      </c>
      <c r="B783" s="337" t="s">
        <v>3920</v>
      </c>
      <c r="C783" s="338">
        <v>331523</v>
      </c>
      <c r="D783" s="339" t="s">
        <v>3921</v>
      </c>
    </row>
    <row r="784" spans="1:4" ht="17.25" customHeight="1" x14ac:dyDescent="0.35">
      <c r="A784" s="345">
        <v>3364</v>
      </c>
      <c r="B784" s="333" t="s">
        <v>3922</v>
      </c>
      <c r="C784" s="334">
        <v>331523</v>
      </c>
      <c r="D784" s="335" t="s">
        <v>3921</v>
      </c>
    </row>
    <row r="785" spans="1:4" ht="17.25" customHeight="1" x14ac:dyDescent="0.35">
      <c r="A785" s="344">
        <v>3365</v>
      </c>
      <c r="B785" s="337" t="s">
        <v>3923</v>
      </c>
      <c r="C785" s="338">
        <v>331524</v>
      </c>
      <c r="D785" s="339" t="s">
        <v>3924</v>
      </c>
    </row>
    <row r="786" spans="1:4" ht="34.5" customHeight="1" x14ac:dyDescent="0.35">
      <c r="A786" s="345">
        <v>3366</v>
      </c>
      <c r="B786" s="333" t="s">
        <v>3925</v>
      </c>
      <c r="C786" s="334">
        <v>331529</v>
      </c>
      <c r="D786" s="341" t="s">
        <v>3926</v>
      </c>
    </row>
    <row r="787" spans="1:4" ht="34.5" customHeight="1" x14ac:dyDescent="0.35">
      <c r="A787" s="344">
        <v>3369</v>
      </c>
      <c r="B787" s="337" t="s">
        <v>3927</v>
      </c>
      <c r="C787" s="338">
        <v>331529</v>
      </c>
      <c r="D787" s="340" t="s">
        <v>3926</v>
      </c>
    </row>
    <row r="788" spans="1:4" ht="17.25" customHeight="1" x14ac:dyDescent="0.35">
      <c r="A788" s="345">
        <v>3398</v>
      </c>
      <c r="B788" s="333" t="s">
        <v>3928</v>
      </c>
      <c r="C788" s="334">
        <v>332811</v>
      </c>
      <c r="D788" s="335" t="s">
        <v>3928</v>
      </c>
    </row>
    <row r="789" spans="1:4" ht="34.5" customHeight="1" x14ac:dyDescent="0.35">
      <c r="A789" s="344">
        <v>3399</v>
      </c>
      <c r="B789" s="337" t="s">
        <v>3929</v>
      </c>
      <c r="C789" s="338">
        <v>331110</v>
      </c>
      <c r="D789" s="340" t="s">
        <v>3886</v>
      </c>
    </row>
    <row r="790" spans="1:4" ht="17.25" customHeight="1" x14ac:dyDescent="0.35">
      <c r="A790" s="344">
        <v>3399</v>
      </c>
      <c r="B790" s="337" t="s">
        <v>3929</v>
      </c>
      <c r="C790" s="338">
        <v>331221</v>
      </c>
      <c r="D790" s="339" t="s">
        <v>3887</v>
      </c>
    </row>
    <row r="791" spans="1:4" ht="34.5" customHeight="1" x14ac:dyDescent="0.35">
      <c r="A791" s="345">
        <v>3399</v>
      </c>
      <c r="B791" s="333" t="s">
        <v>3929</v>
      </c>
      <c r="C791" s="334">
        <v>331314</v>
      </c>
      <c r="D791" s="341" t="s">
        <v>3906</v>
      </c>
    </row>
    <row r="792" spans="1:4" ht="34.5" customHeight="1" x14ac:dyDescent="0.35">
      <c r="A792" s="345">
        <v>3399</v>
      </c>
      <c r="B792" s="333" t="s">
        <v>3929</v>
      </c>
      <c r="C792" s="334">
        <v>331420</v>
      </c>
      <c r="D792" s="341" t="s">
        <v>3907</v>
      </c>
    </row>
    <row r="793" spans="1:4" ht="43.5" customHeight="1" x14ac:dyDescent="0.35">
      <c r="A793" s="345">
        <v>3399</v>
      </c>
      <c r="B793" s="333" t="s">
        <v>3929</v>
      </c>
      <c r="C793" s="334">
        <v>331492</v>
      </c>
      <c r="D793" s="341" t="s">
        <v>3930</v>
      </c>
    </row>
    <row r="794" spans="1:4" ht="34.5" customHeight="1" x14ac:dyDescent="0.35">
      <c r="A794" s="345">
        <v>3399</v>
      </c>
      <c r="B794" s="333" t="s">
        <v>3929</v>
      </c>
      <c r="C794" s="334">
        <v>332618</v>
      </c>
      <c r="D794" s="341" t="s">
        <v>3891</v>
      </c>
    </row>
    <row r="795" spans="1:4" ht="34.5" customHeight="1" x14ac:dyDescent="0.35">
      <c r="A795" s="344">
        <v>3399</v>
      </c>
      <c r="B795" s="337" t="s">
        <v>3929</v>
      </c>
      <c r="C795" s="338">
        <v>332813</v>
      </c>
      <c r="D795" s="340" t="s">
        <v>3931</v>
      </c>
    </row>
    <row r="796" spans="1:4" ht="17.25" customHeight="1" x14ac:dyDescent="0.35">
      <c r="A796" s="345">
        <v>3411</v>
      </c>
      <c r="B796" s="333" t="s">
        <v>3932</v>
      </c>
      <c r="C796" s="334">
        <v>332431</v>
      </c>
      <c r="D796" s="335" t="s">
        <v>3933</v>
      </c>
    </row>
    <row r="797" spans="1:4" ht="17.25" customHeight="1" x14ac:dyDescent="0.35">
      <c r="A797" s="344">
        <v>3412</v>
      </c>
      <c r="B797" s="337" t="s">
        <v>3934</v>
      </c>
      <c r="C797" s="338">
        <v>332439</v>
      </c>
      <c r="D797" s="339" t="s">
        <v>3935</v>
      </c>
    </row>
    <row r="798" spans="1:4" ht="43.5" customHeight="1" x14ac:dyDescent="0.35">
      <c r="A798" s="345">
        <v>3421</v>
      </c>
      <c r="B798" s="333" t="s">
        <v>3936</v>
      </c>
      <c r="C798" s="334">
        <v>332215</v>
      </c>
      <c r="D798" s="341" t="s">
        <v>3937</v>
      </c>
    </row>
    <row r="799" spans="1:4" ht="17.25" customHeight="1" x14ac:dyDescent="0.35">
      <c r="A799" s="344">
        <v>3421</v>
      </c>
      <c r="B799" s="337" t="s">
        <v>3936</v>
      </c>
      <c r="C799" s="338">
        <v>332216</v>
      </c>
      <c r="D799" s="339" t="s">
        <v>3938</v>
      </c>
    </row>
    <row r="800" spans="1:4" ht="17.25" customHeight="1" x14ac:dyDescent="0.35">
      <c r="A800" s="345">
        <v>3423</v>
      </c>
      <c r="B800" s="333" t="s">
        <v>3939</v>
      </c>
      <c r="C800" s="334">
        <v>332216</v>
      </c>
      <c r="D800" s="335" t="s">
        <v>3938</v>
      </c>
    </row>
    <row r="801" spans="1:4" ht="17.25" customHeight="1" x14ac:dyDescent="0.35">
      <c r="A801" s="344">
        <v>3425</v>
      </c>
      <c r="B801" s="337" t="s">
        <v>3940</v>
      </c>
      <c r="C801" s="338">
        <v>332216</v>
      </c>
      <c r="D801" s="339" t="s">
        <v>3938</v>
      </c>
    </row>
    <row r="802" spans="1:4" ht="17.25" customHeight="1" x14ac:dyDescent="0.35">
      <c r="A802" s="345">
        <v>3429</v>
      </c>
      <c r="B802" s="333" t="s">
        <v>3941</v>
      </c>
      <c r="C802" s="334">
        <v>332439</v>
      </c>
      <c r="D802" s="335" t="s">
        <v>3935</v>
      </c>
    </row>
    <row r="803" spans="1:4" ht="17.25" customHeight="1" x14ac:dyDescent="0.35">
      <c r="A803" s="344">
        <v>3429</v>
      </c>
      <c r="B803" s="337" t="s">
        <v>3941</v>
      </c>
      <c r="C803" s="338">
        <v>332510</v>
      </c>
      <c r="D803" s="339" t="s">
        <v>3942</v>
      </c>
    </row>
    <row r="804" spans="1:4" ht="34.5" customHeight="1" x14ac:dyDescent="0.35">
      <c r="A804" s="345">
        <v>3429</v>
      </c>
      <c r="B804" s="333" t="s">
        <v>3941</v>
      </c>
      <c r="C804" s="334">
        <v>332722</v>
      </c>
      <c r="D804" s="341" t="s">
        <v>3943</v>
      </c>
    </row>
    <row r="805" spans="1:4" ht="34.5" customHeight="1" x14ac:dyDescent="0.35">
      <c r="A805" s="345">
        <v>3429</v>
      </c>
      <c r="B805" s="333" t="s">
        <v>3941</v>
      </c>
      <c r="C805" s="334">
        <v>332919</v>
      </c>
      <c r="D805" s="341" t="s">
        <v>3944</v>
      </c>
    </row>
    <row r="806" spans="1:4" ht="34.5" customHeight="1" x14ac:dyDescent="0.35">
      <c r="A806" s="345">
        <v>3429</v>
      </c>
      <c r="B806" s="333" t="s">
        <v>3941</v>
      </c>
      <c r="C806" s="334">
        <v>332999</v>
      </c>
      <c r="D806" s="341" t="s">
        <v>3875</v>
      </c>
    </row>
    <row r="807" spans="1:4" ht="34.5" customHeight="1" x14ac:dyDescent="0.35">
      <c r="A807" s="345">
        <v>3429</v>
      </c>
      <c r="B807" s="333" t="s">
        <v>3941</v>
      </c>
      <c r="C807" s="334">
        <v>333923</v>
      </c>
      <c r="D807" s="341" t="s">
        <v>3945</v>
      </c>
    </row>
    <row r="808" spans="1:4" ht="34.5" customHeight="1" x14ac:dyDescent="0.35">
      <c r="A808" s="344">
        <v>3429</v>
      </c>
      <c r="B808" s="337" t="s">
        <v>3941</v>
      </c>
      <c r="C808" s="338">
        <v>334519</v>
      </c>
      <c r="D808" s="340" t="s">
        <v>3946</v>
      </c>
    </row>
    <row r="809" spans="1:4" ht="17.25" customHeight="1" x14ac:dyDescent="0.35">
      <c r="A809" s="345">
        <v>3429</v>
      </c>
      <c r="B809" s="333" t="s">
        <v>3941</v>
      </c>
      <c r="C809" s="334">
        <v>336390</v>
      </c>
      <c r="D809" s="335" t="s">
        <v>3947</v>
      </c>
    </row>
    <row r="810" spans="1:4" ht="34.5" customHeight="1" x14ac:dyDescent="0.35">
      <c r="A810" s="344">
        <v>3429</v>
      </c>
      <c r="B810" s="337" t="s">
        <v>3941</v>
      </c>
      <c r="C810" s="338">
        <v>337215</v>
      </c>
      <c r="D810" s="340" t="s">
        <v>3613</v>
      </c>
    </row>
    <row r="811" spans="1:4" ht="34.5" customHeight="1" x14ac:dyDescent="0.35">
      <c r="A811" s="344">
        <v>3431</v>
      </c>
      <c r="B811" s="337" t="s">
        <v>3948</v>
      </c>
      <c r="C811" s="338">
        <v>332999</v>
      </c>
      <c r="D811" s="340" t="s">
        <v>3875</v>
      </c>
    </row>
    <row r="812" spans="1:4" ht="34.5" customHeight="1" x14ac:dyDescent="0.35">
      <c r="A812" s="344">
        <v>3432</v>
      </c>
      <c r="B812" s="337" t="s">
        <v>3949</v>
      </c>
      <c r="C812" s="338">
        <v>332913</v>
      </c>
      <c r="D812" s="340" t="s">
        <v>3950</v>
      </c>
    </row>
    <row r="813" spans="1:4" ht="34.5" customHeight="1" x14ac:dyDescent="0.35">
      <c r="A813" s="344">
        <v>3432</v>
      </c>
      <c r="B813" s="337" t="s">
        <v>3949</v>
      </c>
      <c r="C813" s="338">
        <v>332919</v>
      </c>
      <c r="D813" s="340" t="s">
        <v>3944</v>
      </c>
    </row>
    <row r="814" spans="1:4" ht="34.5" customHeight="1" x14ac:dyDescent="0.35">
      <c r="A814" s="345">
        <v>3432</v>
      </c>
      <c r="B814" s="333" t="s">
        <v>3949</v>
      </c>
      <c r="C814" s="334">
        <v>332999</v>
      </c>
      <c r="D814" s="341" t="s">
        <v>3875</v>
      </c>
    </row>
    <row r="815" spans="1:4" ht="34.5" customHeight="1" x14ac:dyDescent="0.35">
      <c r="A815" s="344">
        <v>3433</v>
      </c>
      <c r="B815" s="337" t="s">
        <v>3951</v>
      </c>
      <c r="C815" s="338">
        <v>333414</v>
      </c>
      <c r="D815" s="340" t="s">
        <v>3952</v>
      </c>
    </row>
    <row r="816" spans="1:4" ht="17.25" customHeight="1" x14ac:dyDescent="0.35">
      <c r="A816" s="345">
        <v>3441</v>
      </c>
      <c r="B816" s="333" t="s">
        <v>3953</v>
      </c>
      <c r="C816" s="334">
        <v>332312</v>
      </c>
      <c r="D816" s="335" t="s">
        <v>3954</v>
      </c>
    </row>
    <row r="817" spans="1:4" ht="17.25" customHeight="1" x14ac:dyDescent="0.35">
      <c r="A817" s="344">
        <v>3442</v>
      </c>
      <c r="B817" s="337" t="s">
        <v>3955</v>
      </c>
      <c r="C817" s="338">
        <v>332321</v>
      </c>
      <c r="D817" s="339" t="s">
        <v>3956</v>
      </c>
    </row>
    <row r="818" spans="1:4" ht="17.25" customHeight="1" x14ac:dyDescent="0.35">
      <c r="A818" s="345">
        <v>3443</v>
      </c>
      <c r="B818" s="333" t="s">
        <v>3957</v>
      </c>
      <c r="C818" s="334">
        <v>332313</v>
      </c>
      <c r="D818" s="335" t="s">
        <v>3958</v>
      </c>
    </row>
    <row r="819" spans="1:4" ht="34.5" customHeight="1" x14ac:dyDescent="0.35">
      <c r="A819" s="344">
        <v>3443</v>
      </c>
      <c r="B819" s="337" t="s">
        <v>3957</v>
      </c>
      <c r="C819" s="338">
        <v>332410</v>
      </c>
      <c r="D819" s="340" t="s">
        <v>3959</v>
      </c>
    </row>
    <row r="820" spans="1:4" ht="17.25" customHeight="1" x14ac:dyDescent="0.35">
      <c r="A820" s="344">
        <v>3443</v>
      </c>
      <c r="B820" s="337" t="s">
        <v>3957</v>
      </c>
      <c r="C820" s="338">
        <v>332420</v>
      </c>
      <c r="D820" s="339" t="s">
        <v>3960</v>
      </c>
    </row>
    <row r="821" spans="1:4" ht="43.5" customHeight="1" x14ac:dyDescent="0.35">
      <c r="A821" s="345">
        <v>3443</v>
      </c>
      <c r="B821" s="333" t="s">
        <v>3957</v>
      </c>
      <c r="C821" s="334">
        <v>333415</v>
      </c>
      <c r="D821" s="341" t="s">
        <v>3961</v>
      </c>
    </row>
    <row r="822" spans="1:4" ht="17.25" customHeight="1" x14ac:dyDescent="0.35">
      <c r="A822" s="345">
        <v>3444</v>
      </c>
      <c r="B822" s="333" t="s">
        <v>3962</v>
      </c>
      <c r="C822" s="334">
        <v>332321</v>
      </c>
      <c r="D822" s="335" t="s">
        <v>3956</v>
      </c>
    </row>
    <row r="823" spans="1:4" ht="17.25" customHeight="1" x14ac:dyDescent="0.35">
      <c r="A823" s="344">
        <v>3444</v>
      </c>
      <c r="B823" s="337" t="s">
        <v>3962</v>
      </c>
      <c r="C823" s="338">
        <v>332322</v>
      </c>
      <c r="D823" s="339" t="s">
        <v>3963</v>
      </c>
    </row>
    <row r="824" spans="1:4" ht="17.25" customHeight="1" x14ac:dyDescent="0.35">
      <c r="A824" s="344">
        <v>3444</v>
      </c>
      <c r="B824" s="337" t="s">
        <v>3962</v>
      </c>
      <c r="C824" s="338">
        <v>332439</v>
      </c>
      <c r="D824" s="339" t="s">
        <v>3935</v>
      </c>
    </row>
    <row r="825" spans="1:4" ht="43.5" customHeight="1" x14ac:dyDescent="0.35">
      <c r="A825" s="344">
        <v>3444</v>
      </c>
      <c r="B825" s="337" t="s">
        <v>3962</v>
      </c>
      <c r="C825" s="338">
        <v>333415</v>
      </c>
      <c r="D825" s="340" t="s">
        <v>3638</v>
      </c>
    </row>
    <row r="826" spans="1:4" ht="34.5" customHeight="1" x14ac:dyDescent="0.35">
      <c r="A826" s="345">
        <v>3446</v>
      </c>
      <c r="B826" s="333" t="s">
        <v>3964</v>
      </c>
      <c r="C826" s="334">
        <v>332323</v>
      </c>
      <c r="D826" s="341" t="s">
        <v>3965</v>
      </c>
    </row>
    <row r="827" spans="1:4" ht="34.5" customHeight="1" x14ac:dyDescent="0.35">
      <c r="A827" s="344">
        <v>3448</v>
      </c>
      <c r="B827" s="337" t="s">
        <v>3966</v>
      </c>
      <c r="C827" s="338">
        <v>332311</v>
      </c>
      <c r="D827" s="340" t="s">
        <v>3967</v>
      </c>
    </row>
    <row r="828" spans="1:4" ht="17.25" customHeight="1" x14ac:dyDescent="0.35">
      <c r="A828" s="345">
        <v>3449</v>
      </c>
      <c r="B828" s="333" t="s">
        <v>3968</v>
      </c>
      <c r="C828" s="334">
        <v>332114</v>
      </c>
      <c r="D828" s="335" t="s">
        <v>3969</v>
      </c>
    </row>
    <row r="829" spans="1:4" ht="17.25" customHeight="1" x14ac:dyDescent="0.35">
      <c r="A829" s="344">
        <v>3449</v>
      </c>
      <c r="B829" s="337" t="s">
        <v>3968</v>
      </c>
      <c r="C829" s="338">
        <v>332312</v>
      </c>
      <c r="D829" s="339" t="s">
        <v>3954</v>
      </c>
    </row>
    <row r="830" spans="1:4" ht="34.5" customHeight="1" x14ac:dyDescent="0.35">
      <c r="A830" s="344">
        <v>3449</v>
      </c>
      <c r="B830" s="337" t="s">
        <v>3968</v>
      </c>
      <c r="C830" s="338">
        <v>332323</v>
      </c>
      <c r="D830" s="340" t="s">
        <v>3965</v>
      </c>
    </row>
    <row r="831" spans="1:4" ht="17.25" customHeight="1" x14ac:dyDescent="0.35">
      <c r="A831" s="344">
        <v>3451</v>
      </c>
      <c r="B831" s="337" t="s">
        <v>3970</v>
      </c>
      <c r="C831" s="338">
        <v>332721</v>
      </c>
      <c r="D831" s="339" t="s">
        <v>3971</v>
      </c>
    </row>
    <row r="832" spans="1:4" ht="34.5" customHeight="1" x14ac:dyDescent="0.35">
      <c r="A832" s="344">
        <v>3452</v>
      </c>
      <c r="B832" s="337" t="s">
        <v>3972</v>
      </c>
      <c r="C832" s="338">
        <v>332722</v>
      </c>
      <c r="D832" s="340" t="s">
        <v>3943</v>
      </c>
    </row>
    <row r="833" spans="1:4" ht="17.25" customHeight="1" x14ac:dyDescent="0.35">
      <c r="A833" s="345">
        <v>3462</v>
      </c>
      <c r="B833" s="333" t="s">
        <v>3973</v>
      </c>
      <c r="C833" s="334">
        <v>332111</v>
      </c>
      <c r="D833" s="335" t="s">
        <v>3974</v>
      </c>
    </row>
    <row r="834" spans="1:4" ht="17.25" customHeight="1" x14ac:dyDescent="0.35">
      <c r="A834" s="344">
        <v>3463</v>
      </c>
      <c r="B834" s="337" t="s">
        <v>3975</v>
      </c>
      <c r="C834" s="338">
        <v>332112</v>
      </c>
      <c r="D834" s="339" t="s">
        <v>3976</v>
      </c>
    </row>
    <row r="835" spans="1:4" ht="17.25" customHeight="1" x14ac:dyDescent="0.35">
      <c r="A835" s="344">
        <v>3465</v>
      </c>
      <c r="B835" s="337" t="s">
        <v>3977</v>
      </c>
      <c r="C835" s="338">
        <v>336370</v>
      </c>
      <c r="D835" s="339" t="s">
        <v>3978</v>
      </c>
    </row>
    <row r="836" spans="1:4" ht="34.5" customHeight="1" x14ac:dyDescent="0.35">
      <c r="A836" s="345">
        <v>3466</v>
      </c>
      <c r="B836" s="333" t="s">
        <v>3979</v>
      </c>
      <c r="C836" s="334">
        <v>332119</v>
      </c>
      <c r="D836" s="341" t="s">
        <v>3980</v>
      </c>
    </row>
    <row r="837" spans="1:4" ht="34.5" customHeight="1" x14ac:dyDescent="0.35">
      <c r="A837" s="344">
        <v>3469</v>
      </c>
      <c r="B837" s="337" t="s">
        <v>3981</v>
      </c>
      <c r="C837" s="338">
        <v>332119</v>
      </c>
      <c r="D837" s="340" t="s">
        <v>3980</v>
      </c>
    </row>
    <row r="838" spans="1:4" ht="43.5" customHeight="1" x14ac:dyDescent="0.35">
      <c r="A838" s="344">
        <v>3469</v>
      </c>
      <c r="B838" s="337" t="s">
        <v>3981</v>
      </c>
      <c r="C838" s="338">
        <v>332215</v>
      </c>
      <c r="D838" s="340" t="s">
        <v>3937</v>
      </c>
    </row>
    <row r="839" spans="1:4" ht="17.25" customHeight="1" x14ac:dyDescent="0.35">
      <c r="A839" s="345">
        <v>3469</v>
      </c>
      <c r="B839" s="333" t="s">
        <v>3981</v>
      </c>
      <c r="C839" s="334">
        <v>332439</v>
      </c>
      <c r="D839" s="335" t="s">
        <v>3935</v>
      </c>
    </row>
    <row r="840" spans="1:4" ht="34.5" customHeight="1" x14ac:dyDescent="0.35">
      <c r="A840" s="345">
        <v>3471</v>
      </c>
      <c r="B840" s="333" t="s">
        <v>3982</v>
      </c>
      <c r="C840" s="334">
        <v>332813</v>
      </c>
      <c r="D840" s="341" t="s">
        <v>3931</v>
      </c>
    </row>
    <row r="841" spans="1:4" ht="43.5" customHeight="1" x14ac:dyDescent="0.35">
      <c r="A841" s="344">
        <v>3479</v>
      </c>
      <c r="B841" s="337" t="s">
        <v>3983</v>
      </c>
      <c r="C841" s="338">
        <v>332812</v>
      </c>
      <c r="D841" s="340" t="s">
        <v>3984</v>
      </c>
    </row>
    <row r="842" spans="1:4" ht="17.25" customHeight="1" x14ac:dyDescent="0.35">
      <c r="A842" s="344">
        <v>3479</v>
      </c>
      <c r="B842" s="337" t="s">
        <v>3983</v>
      </c>
      <c r="C842" s="338">
        <v>339910</v>
      </c>
      <c r="D842" s="339" t="s">
        <v>3836</v>
      </c>
    </row>
    <row r="843" spans="1:4" ht="17.25" customHeight="1" x14ac:dyDescent="0.35">
      <c r="A843" s="345">
        <v>3479</v>
      </c>
      <c r="B843" s="333" t="s">
        <v>3983</v>
      </c>
      <c r="C843" s="334">
        <v>339910</v>
      </c>
      <c r="D843" s="335" t="s">
        <v>3836</v>
      </c>
    </row>
    <row r="844" spans="1:4" ht="17.25" customHeight="1" x14ac:dyDescent="0.35">
      <c r="A844" s="344">
        <v>3479</v>
      </c>
      <c r="B844" s="337" t="s">
        <v>3983</v>
      </c>
      <c r="C844" s="338">
        <v>339910</v>
      </c>
      <c r="D844" s="339" t="s">
        <v>3836</v>
      </c>
    </row>
    <row r="845" spans="1:4" ht="17.25" customHeight="1" x14ac:dyDescent="0.35">
      <c r="A845" s="344">
        <v>3482</v>
      </c>
      <c r="B845" s="337" t="s">
        <v>3985</v>
      </c>
      <c r="C845" s="338">
        <v>332992</v>
      </c>
      <c r="D845" s="339" t="s">
        <v>3986</v>
      </c>
    </row>
    <row r="846" spans="1:4" ht="34.5" customHeight="1" x14ac:dyDescent="0.35">
      <c r="A846" s="345">
        <v>3483</v>
      </c>
      <c r="B846" s="333" t="s">
        <v>3987</v>
      </c>
      <c r="C846" s="334">
        <v>332993</v>
      </c>
      <c r="D846" s="341" t="s">
        <v>3988</v>
      </c>
    </row>
    <row r="847" spans="1:4" ht="34.5" customHeight="1" x14ac:dyDescent="0.35">
      <c r="A847" s="344">
        <v>3484</v>
      </c>
      <c r="B847" s="337" t="s">
        <v>3989</v>
      </c>
      <c r="C847" s="338">
        <v>332994</v>
      </c>
      <c r="D847" s="340" t="s">
        <v>3990</v>
      </c>
    </row>
    <row r="848" spans="1:4" ht="34.5" customHeight="1" x14ac:dyDescent="0.35">
      <c r="A848" s="345">
        <v>3489</v>
      </c>
      <c r="B848" s="333" t="s">
        <v>3991</v>
      </c>
      <c r="C848" s="334">
        <v>332994</v>
      </c>
      <c r="D848" s="341" t="s">
        <v>3990</v>
      </c>
    </row>
    <row r="849" spans="1:4" ht="17.25" customHeight="1" x14ac:dyDescent="0.35">
      <c r="A849" s="345">
        <v>3491</v>
      </c>
      <c r="B849" s="333" t="s">
        <v>3992</v>
      </c>
      <c r="C849" s="334">
        <v>332911</v>
      </c>
      <c r="D849" s="335" t="s">
        <v>3993</v>
      </c>
    </row>
    <row r="850" spans="1:4" ht="34.5" customHeight="1" x14ac:dyDescent="0.35">
      <c r="A850" s="344">
        <v>3492</v>
      </c>
      <c r="B850" s="337" t="s">
        <v>3994</v>
      </c>
      <c r="C850" s="338">
        <v>332912</v>
      </c>
      <c r="D850" s="340" t="s">
        <v>3995</v>
      </c>
    </row>
    <row r="851" spans="1:4" ht="17.25" customHeight="1" x14ac:dyDescent="0.35">
      <c r="A851" s="344">
        <v>3493</v>
      </c>
      <c r="B851" s="337" t="s">
        <v>3996</v>
      </c>
      <c r="C851" s="338">
        <v>332613</v>
      </c>
      <c r="D851" s="339" t="s">
        <v>3997</v>
      </c>
    </row>
    <row r="852" spans="1:4" ht="34.5" customHeight="1" x14ac:dyDescent="0.35">
      <c r="A852" s="345">
        <v>3494</v>
      </c>
      <c r="B852" s="333" t="s">
        <v>3998</v>
      </c>
      <c r="C852" s="334">
        <v>332919</v>
      </c>
      <c r="D852" s="341" t="s">
        <v>3944</v>
      </c>
    </row>
    <row r="853" spans="1:4" ht="34.5" customHeight="1" x14ac:dyDescent="0.35">
      <c r="A853" s="344">
        <v>3494</v>
      </c>
      <c r="B853" s="337" t="s">
        <v>3998</v>
      </c>
      <c r="C853" s="338">
        <v>332999</v>
      </c>
      <c r="D853" s="340" t="s">
        <v>3875</v>
      </c>
    </row>
    <row r="854" spans="1:4" ht="17.25" customHeight="1" x14ac:dyDescent="0.35">
      <c r="A854" s="345">
        <v>3495</v>
      </c>
      <c r="B854" s="333" t="s">
        <v>3999</v>
      </c>
      <c r="C854" s="334">
        <v>332613</v>
      </c>
      <c r="D854" s="335" t="s">
        <v>3997</v>
      </c>
    </row>
    <row r="855" spans="1:4" ht="34.5" customHeight="1" x14ac:dyDescent="0.35">
      <c r="A855" s="345">
        <v>3495</v>
      </c>
      <c r="B855" s="333" t="s">
        <v>3999</v>
      </c>
      <c r="C855" s="334">
        <v>334519</v>
      </c>
      <c r="D855" s="341" t="s">
        <v>3946</v>
      </c>
    </row>
    <row r="856" spans="1:4" ht="43.5" customHeight="1" x14ac:dyDescent="0.35">
      <c r="A856" s="345">
        <v>3496</v>
      </c>
      <c r="B856" s="333" t="s">
        <v>4000</v>
      </c>
      <c r="C856" s="334">
        <v>332215</v>
      </c>
      <c r="D856" s="341" t="s">
        <v>4001</v>
      </c>
    </row>
    <row r="857" spans="1:4" ht="34.5" customHeight="1" x14ac:dyDescent="0.35">
      <c r="A857" s="344">
        <v>3496</v>
      </c>
      <c r="B857" s="337" t="s">
        <v>4000</v>
      </c>
      <c r="C857" s="338">
        <v>332618</v>
      </c>
      <c r="D857" s="340" t="s">
        <v>3891</v>
      </c>
    </row>
    <row r="858" spans="1:4" ht="34.5" customHeight="1" x14ac:dyDescent="0.35">
      <c r="A858" s="344">
        <v>3496</v>
      </c>
      <c r="B858" s="337" t="s">
        <v>4000</v>
      </c>
      <c r="C858" s="338">
        <v>333924</v>
      </c>
      <c r="D858" s="340" t="s">
        <v>4002</v>
      </c>
    </row>
    <row r="859" spans="1:4" ht="34.5" customHeight="1" x14ac:dyDescent="0.35">
      <c r="A859" s="345">
        <v>3497</v>
      </c>
      <c r="B859" s="333" t="s">
        <v>4003</v>
      </c>
      <c r="C859" s="334">
        <v>322220</v>
      </c>
      <c r="D859" s="341" t="s">
        <v>3683</v>
      </c>
    </row>
    <row r="860" spans="1:4" ht="34.5" customHeight="1" x14ac:dyDescent="0.35">
      <c r="A860" s="345">
        <v>3497</v>
      </c>
      <c r="B860" s="333" t="s">
        <v>4003</v>
      </c>
      <c r="C860" s="334">
        <v>332999</v>
      </c>
      <c r="D860" s="341" t="s">
        <v>3875</v>
      </c>
    </row>
    <row r="861" spans="1:4" ht="34.5" customHeight="1" x14ac:dyDescent="0.35">
      <c r="A861" s="345">
        <v>3498</v>
      </c>
      <c r="B861" s="333" t="s">
        <v>4004</v>
      </c>
      <c r="C861" s="334">
        <v>332996</v>
      </c>
      <c r="D861" s="341" t="s">
        <v>4005</v>
      </c>
    </row>
    <row r="862" spans="1:4" ht="17.25" customHeight="1" x14ac:dyDescent="0.35">
      <c r="A862" s="344">
        <v>3499</v>
      </c>
      <c r="B862" s="337" t="s">
        <v>4006</v>
      </c>
      <c r="C862" s="338">
        <v>332117</v>
      </c>
      <c r="D862" s="339" t="s">
        <v>4007</v>
      </c>
    </row>
    <row r="863" spans="1:4" ht="17.25" customHeight="1" x14ac:dyDescent="0.35">
      <c r="A863" s="344">
        <v>3499</v>
      </c>
      <c r="B863" s="337" t="s">
        <v>4006</v>
      </c>
      <c r="C863" s="338">
        <v>332439</v>
      </c>
      <c r="D863" s="339" t="s">
        <v>3935</v>
      </c>
    </row>
    <row r="864" spans="1:4" ht="17.25" customHeight="1" x14ac:dyDescent="0.35">
      <c r="A864" s="345">
        <v>3499</v>
      </c>
      <c r="B864" s="333" t="s">
        <v>4006</v>
      </c>
      <c r="C864" s="334">
        <v>332510</v>
      </c>
      <c r="D864" s="335" t="s">
        <v>3942</v>
      </c>
    </row>
    <row r="865" spans="1:4" ht="34.5" customHeight="1" x14ac:dyDescent="0.35">
      <c r="A865" s="344">
        <v>3499</v>
      </c>
      <c r="B865" s="337" t="s">
        <v>4006</v>
      </c>
      <c r="C865" s="338">
        <v>332919</v>
      </c>
      <c r="D865" s="340" t="s">
        <v>3944</v>
      </c>
    </row>
    <row r="866" spans="1:4" ht="34.5" customHeight="1" x14ac:dyDescent="0.35">
      <c r="A866" s="344">
        <v>3499</v>
      </c>
      <c r="B866" s="337" t="s">
        <v>4006</v>
      </c>
      <c r="C866" s="338">
        <v>332999</v>
      </c>
      <c r="D866" s="340" t="s">
        <v>3875</v>
      </c>
    </row>
    <row r="867" spans="1:4" ht="34.5" customHeight="1" x14ac:dyDescent="0.35">
      <c r="A867" s="345">
        <v>3499</v>
      </c>
      <c r="B867" s="333" t="s">
        <v>4006</v>
      </c>
      <c r="C867" s="334">
        <v>336360</v>
      </c>
      <c r="D867" s="341" t="s">
        <v>3602</v>
      </c>
    </row>
    <row r="868" spans="1:4" ht="34.5" customHeight="1" x14ac:dyDescent="0.35">
      <c r="A868" s="345">
        <v>3499</v>
      </c>
      <c r="B868" s="333" t="s">
        <v>4006</v>
      </c>
      <c r="C868" s="334">
        <v>337215</v>
      </c>
      <c r="D868" s="341" t="s">
        <v>3613</v>
      </c>
    </row>
    <row r="869" spans="1:4" ht="34.5" customHeight="1" x14ac:dyDescent="0.35">
      <c r="A869" s="345">
        <v>3511</v>
      </c>
      <c r="B869" s="333" t="s">
        <v>4008</v>
      </c>
      <c r="C869" s="334">
        <v>333611</v>
      </c>
      <c r="D869" s="341" t="s">
        <v>4009</v>
      </c>
    </row>
    <row r="870" spans="1:4" ht="17.25" customHeight="1" x14ac:dyDescent="0.35">
      <c r="A870" s="344">
        <v>3519</v>
      </c>
      <c r="B870" s="337" t="s">
        <v>4010</v>
      </c>
      <c r="C870" s="338">
        <v>333618</v>
      </c>
      <c r="D870" s="339" t="s">
        <v>4011</v>
      </c>
    </row>
    <row r="871" spans="1:4" ht="17.25" customHeight="1" x14ac:dyDescent="0.35">
      <c r="A871" s="344">
        <v>3519</v>
      </c>
      <c r="B871" s="337" t="s">
        <v>4010</v>
      </c>
      <c r="C871" s="338">
        <v>336390</v>
      </c>
      <c r="D871" s="339" t="s">
        <v>3947</v>
      </c>
    </row>
    <row r="872" spans="1:4" ht="17.25" customHeight="1" x14ac:dyDescent="0.35">
      <c r="A872" s="345">
        <v>3523</v>
      </c>
      <c r="B872" s="333" t="s">
        <v>4012</v>
      </c>
      <c r="C872" s="334">
        <v>332216</v>
      </c>
      <c r="D872" s="335" t="s">
        <v>3938</v>
      </c>
    </row>
    <row r="873" spans="1:4" ht="34.5" customHeight="1" x14ac:dyDescent="0.35">
      <c r="A873" s="345">
        <v>3523</v>
      </c>
      <c r="B873" s="333" t="s">
        <v>4012</v>
      </c>
      <c r="C873" s="334">
        <v>332323</v>
      </c>
      <c r="D873" s="341" t="s">
        <v>3965</v>
      </c>
    </row>
    <row r="874" spans="1:4" ht="34.5" customHeight="1" x14ac:dyDescent="0.35">
      <c r="A874" s="344">
        <v>3523</v>
      </c>
      <c r="B874" s="337" t="s">
        <v>4012</v>
      </c>
      <c r="C874" s="338">
        <v>333111</v>
      </c>
      <c r="D874" s="340" t="s">
        <v>4013</v>
      </c>
    </row>
    <row r="875" spans="1:4" ht="34.5" customHeight="1" x14ac:dyDescent="0.35">
      <c r="A875" s="345">
        <v>3523</v>
      </c>
      <c r="B875" s="333" t="s">
        <v>4012</v>
      </c>
      <c r="C875" s="334">
        <v>333922</v>
      </c>
      <c r="D875" s="341" t="s">
        <v>4014</v>
      </c>
    </row>
    <row r="876" spans="1:4" ht="17.25" customHeight="1" x14ac:dyDescent="0.35">
      <c r="A876" s="344">
        <v>3524</v>
      </c>
      <c r="B876" s="337" t="s">
        <v>4015</v>
      </c>
      <c r="C876" s="338">
        <v>332216</v>
      </c>
      <c r="D876" s="339" t="s">
        <v>3938</v>
      </c>
    </row>
    <row r="877" spans="1:4" ht="43.5" customHeight="1" x14ac:dyDescent="0.35">
      <c r="A877" s="344">
        <v>3524</v>
      </c>
      <c r="B877" s="337" t="s">
        <v>4015</v>
      </c>
      <c r="C877" s="338">
        <v>333112</v>
      </c>
      <c r="D877" s="339" t="s">
        <v>4016</v>
      </c>
    </row>
    <row r="878" spans="1:4" ht="17.25" customHeight="1" x14ac:dyDescent="0.35">
      <c r="A878" s="345">
        <v>3531</v>
      </c>
      <c r="B878" s="333" t="s">
        <v>4017</v>
      </c>
      <c r="C878" s="334">
        <v>333120</v>
      </c>
      <c r="D878" s="335" t="s">
        <v>4018</v>
      </c>
    </row>
    <row r="879" spans="1:4" ht="34.5" customHeight="1" x14ac:dyDescent="0.35">
      <c r="A879" s="344">
        <v>3531</v>
      </c>
      <c r="B879" s="337" t="s">
        <v>4017</v>
      </c>
      <c r="C879" s="338">
        <v>333923</v>
      </c>
      <c r="D879" s="340" t="s">
        <v>3945</v>
      </c>
    </row>
    <row r="880" spans="1:4" ht="17.25" customHeight="1" x14ac:dyDescent="0.35">
      <c r="A880" s="344">
        <v>3531</v>
      </c>
      <c r="B880" s="337" t="s">
        <v>4017</v>
      </c>
      <c r="C880" s="338">
        <v>336510</v>
      </c>
      <c r="D880" s="339" t="s">
        <v>4019</v>
      </c>
    </row>
    <row r="881" spans="1:4" ht="34.5" customHeight="1" x14ac:dyDescent="0.35">
      <c r="A881" s="344">
        <v>3532</v>
      </c>
      <c r="B881" s="337" t="s">
        <v>4020</v>
      </c>
      <c r="C881" s="338">
        <v>333131</v>
      </c>
      <c r="D881" s="340" t="s">
        <v>4021</v>
      </c>
    </row>
    <row r="882" spans="1:4" ht="34.5" customHeight="1" x14ac:dyDescent="0.35">
      <c r="A882" s="345">
        <v>3533</v>
      </c>
      <c r="B882" s="333" t="s">
        <v>4022</v>
      </c>
      <c r="C882" s="334">
        <v>333132</v>
      </c>
      <c r="D882" s="341" t="s">
        <v>4023</v>
      </c>
    </row>
    <row r="883" spans="1:4" ht="34.5" customHeight="1" x14ac:dyDescent="0.35">
      <c r="A883" s="344">
        <v>3534</v>
      </c>
      <c r="B883" s="337" t="s">
        <v>4024</v>
      </c>
      <c r="C883" s="338">
        <v>333921</v>
      </c>
      <c r="D883" s="340" t="s">
        <v>4025</v>
      </c>
    </row>
    <row r="884" spans="1:4" ht="34.5" customHeight="1" x14ac:dyDescent="0.35">
      <c r="A884" s="344">
        <v>3535</v>
      </c>
      <c r="B884" s="337" t="s">
        <v>4026</v>
      </c>
      <c r="C884" s="338">
        <v>333922</v>
      </c>
      <c r="D884" s="340" t="s">
        <v>4014</v>
      </c>
    </row>
    <row r="885" spans="1:4" ht="34.5" customHeight="1" x14ac:dyDescent="0.35">
      <c r="A885" s="345">
        <v>3536</v>
      </c>
      <c r="B885" s="333" t="s">
        <v>4027</v>
      </c>
      <c r="C885" s="334">
        <v>333923</v>
      </c>
      <c r="D885" s="341" t="s">
        <v>3945</v>
      </c>
    </row>
    <row r="886" spans="1:4" ht="17.25" customHeight="1" x14ac:dyDescent="0.35">
      <c r="A886" s="345">
        <v>3537</v>
      </c>
      <c r="B886" s="333" t="s">
        <v>4028</v>
      </c>
      <c r="C886" s="334">
        <v>332439</v>
      </c>
      <c r="D886" s="335" t="s">
        <v>3935</v>
      </c>
    </row>
    <row r="887" spans="1:4" ht="34.5" customHeight="1" x14ac:dyDescent="0.35">
      <c r="A887" s="345">
        <v>3537</v>
      </c>
      <c r="B887" s="333" t="s">
        <v>4028</v>
      </c>
      <c r="C887" s="334">
        <v>332999</v>
      </c>
      <c r="D887" s="341" t="s">
        <v>3875</v>
      </c>
    </row>
    <row r="888" spans="1:4" ht="34.5" customHeight="1" x14ac:dyDescent="0.35">
      <c r="A888" s="345">
        <v>3537</v>
      </c>
      <c r="B888" s="333" t="s">
        <v>4028</v>
      </c>
      <c r="C888" s="334">
        <v>333924</v>
      </c>
      <c r="D888" s="341" t="s">
        <v>4002</v>
      </c>
    </row>
    <row r="889" spans="1:4" ht="17.25" customHeight="1" x14ac:dyDescent="0.35">
      <c r="A889" s="345">
        <v>3541</v>
      </c>
      <c r="B889" s="333" t="s">
        <v>4029</v>
      </c>
      <c r="C889" s="334">
        <v>333517</v>
      </c>
      <c r="D889" s="335" t="s">
        <v>4030</v>
      </c>
    </row>
    <row r="890" spans="1:4" ht="17.25" customHeight="1" x14ac:dyDescent="0.35">
      <c r="A890" s="344">
        <v>3542</v>
      </c>
      <c r="B890" s="337" t="s">
        <v>4031</v>
      </c>
      <c r="C890" s="338">
        <v>333517</v>
      </c>
      <c r="D890" s="339" t="s">
        <v>4030</v>
      </c>
    </row>
    <row r="891" spans="1:4" ht="34.5" customHeight="1" x14ac:dyDescent="0.35">
      <c r="A891" s="344">
        <v>3543</v>
      </c>
      <c r="B891" s="337" t="s">
        <v>4032</v>
      </c>
      <c r="C891" s="338">
        <v>332999</v>
      </c>
      <c r="D891" s="340" t="s">
        <v>3875</v>
      </c>
    </row>
    <row r="892" spans="1:4" ht="17.25" customHeight="1" x14ac:dyDescent="0.35">
      <c r="A892" s="344">
        <v>3544</v>
      </c>
      <c r="B892" s="337" t="s">
        <v>4033</v>
      </c>
      <c r="C892" s="338">
        <v>333511</v>
      </c>
      <c r="D892" s="339" t="s">
        <v>4034</v>
      </c>
    </row>
    <row r="893" spans="1:4" ht="34.5" customHeight="1" x14ac:dyDescent="0.35">
      <c r="A893" s="345">
        <v>3544</v>
      </c>
      <c r="B893" s="333" t="s">
        <v>4033</v>
      </c>
      <c r="C893" s="334">
        <v>333514</v>
      </c>
      <c r="D893" s="341" t="s">
        <v>4035</v>
      </c>
    </row>
    <row r="894" spans="1:4" ht="17.25" customHeight="1" x14ac:dyDescent="0.35">
      <c r="A894" s="345">
        <v>3545</v>
      </c>
      <c r="B894" s="333" t="s">
        <v>4036</v>
      </c>
      <c r="C894" s="334">
        <v>332216</v>
      </c>
      <c r="D894" s="335" t="s">
        <v>3938</v>
      </c>
    </row>
    <row r="895" spans="1:4" ht="34.5" customHeight="1" x14ac:dyDescent="0.35">
      <c r="A895" s="344">
        <v>3545</v>
      </c>
      <c r="B895" s="337" t="s">
        <v>4036</v>
      </c>
      <c r="C895" s="338">
        <v>333515</v>
      </c>
      <c r="D895" s="340" t="s">
        <v>4037</v>
      </c>
    </row>
    <row r="896" spans="1:4" ht="17.25" customHeight="1" x14ac:dyDescent="0.35">
      <c r="A896" s="345">
        <v>3546</v>
      </c>
      <c r="B896" s="333" t="s">
        <v>4038</v>
      </c>
      <c r="C896" s="334">
        <v>333991</v>
      </c>
      <c r="D896" s="335" t="s">
        <v>4039</v>
      </c>
    </row>
    <row r="897" spans="1:4" ht="34.5" customHeight="1" x14ac:dyDescent="0.35">
      <c r="A897" s="345">
        <v>3547</v>
      </c>
      <c r="B897" s="333" t="s">
        <v>4040</v>
      </c>
      <c r="C897" s="334">
        <v>333519</v>
      </c>
      <c r="D897" s="341" t="s">
        <v>4041</v>
      </c>
    </row>
    <row r="898" spans="1:4" ht="34.5" customHeight="1" x14ac:dyDescent="0.35">
      <c r="A898" s="344">
        <v>3548</v>
      </c>
      <c r="B898" s="337" t="s">
        <v>4042</v>
      </c>
      <c r="C898" s="338">
        <v>333992</v>
      </c>
      <c r="D898" s="340" t="s">
        <v>4043</v>
      </c>
    </row>
    <row r="899" spans="1:4" ht="34.5" customHeight="1" x14ac:dyDescent="0.35">
      <c r="A899" s="345">
        <v>3548</v>
      </c>
      <c r="B899" s="333" t="s">
        <v>4042</v>
      </c>
      <c r="C899" s="334">
        <v>335311</v>
      </c>
      <c r="D899" s="341" t="s">
        <v>4044</v>
      </c>
    </row>
    <row r="900" spans="1:4" ht="34.5" customHeight="1" x14ac:dyDescent="0.35">
      <c r="A900" s="344">
        <v>3549</v>
      </c>
      <c r="B900" s="337" t="s">
        <v>4045</v>
      </c>
      <c r="C900" s="338">
        <v>333519</v>
      </c>
      <c r="D900" s="340" t="s">
        <v>4041</v>
      </c>
    </row>
    <row r="901" spans="1:4" ht="17.25" customHeight="1" x14ac:dyDescent="0.35">
      <c r="A901" s="344">
        <v>3552</v>
      </c>
      <c r="B901" s="337" t="s">
        <v>4046</v>
      </c>
      <c r="C901" s="338">
        <v>333249</v>
      </c>
      <c r="D901" s="339" t="s">
        <v>3665</v>
      </c>
    </row>
    <row r="902" spans="1:4" ht="34.5" customHeight="1" x14ac:dyDescent="0.35">
      <c r="A902" s="344">
        <v>3553</v>
      </c>
      <c r="B902" s="337" t="s">
        <v>4047</v>
      </c>
      <c r="C902" s="338">
        <v>333243</v>
      </c>
      <c r="D902" s="340" t="s">
        <v>4048</v>
      </c>
    </row>
    <row r="903" spans="1:4" ht="34.5" customHeight="1" x14ac:dyDescent="0.35">
      <c r="A903" s="345">
        <v>3554</v>
      </c>
      <c r="B903" s="333" t="s">
        <v>4049</v>
      </c>
      <c r="C903" s="334">
        <v>333243</v>
      </c>
      <c r="D903" s="341" t="s">
        <v>4048</v>
      </c>
    </row>
    <row r="904" spans="1:4" ht="34.5" customHeight="1" x14ac:dyDescent="0.35">
      <c r="A904" s="344">
        <v>3555</v>
      </c>
      <c r="B904" s="337" t="s">
        <v>4050</v>
      </c>
      <c r="C904" s="338">
        <v>333244</v>
      </c>
      <c r="D904" s="340" t="s">
        <v>4051</v>
      </c>
    </row>
    <row r="905" spans="1:4" ht="17.25" customHeight="1" x14ac:dyDescent="0.35">
      <c r="A905" s="344">
        <v>3556</v>
      </c>
      <c r="B905" s="337" t="s">
        <v>4052</v>
      </c>
      <c r="C905" s="338">
        <v>333241</v>
      </c>
      <c r="D905" s="339" t="s">
        <v>4053</v>
      </c>
    </row>
    <row r="906" spans="1:4" ht="34.5" customHeight="1" x14ac:dyDescent="0.35">
      <c r="A906" s="345">
        <v>3559</v>
      </c>
      <c r="B906" s="333" t="s">
        <v>4054</v>
      </c>
      <c r="C906" s="334">
        <v>332410</v>
      </c>
      <c r="D906" s="341" t="s">
        <v>3959</v>
      </c>
    </row>
    <row r="907" spans="1:4" ht="34.5" customHeight="1" x14ac:dyDescent="0.35">
      <c r="A907" s="345">
        <v>3559</v>
      </c>
      <c r="B907" s="333" t="s">
        <v>4054</v>
      </c>
      <c r="C907" s="334">
        <v>333111</v>
      </c>
      <c r="D907" s="341" t="s">
        <v>4013</v>
      </c>
    </row>
    <row r="908" spans="1:4" ht="17.25" customHeight="1" x14ac:dyDescent="0.35">
      <c r="A908" s="345">
        <v>3559</v>
      </c>
      <c r="B908" s="333" t="s">
        <v>4054</v>
      </c>
      <c r="C908" s="334">
        <v>333242</v>
      </c>
      <c r="D908" s="335" t="s">
        <v>4055</v>
      </c>
    </row>
    <row r="909" spans="1:4" ht="17.25" customHeight="1" x14ac:dyDescent="0.35">
      <c r="A909" s="345">
        <v>3559</v>
      </c>
      <c r="B909" s="333" t="s">
        <v>4054</v>
      </c>
      <c r="C909" s="334">
        <v>333249</v>
      </c>
      <c r="D909" s="335" t="s">
        <v>3665</v>
      </c>
    </row>
    <row r="910" spans="1:4" ht="17.25" customHeight="1" x14ac:dyDescent="0.35">
      <c r="A910" s="344">
        <v>3559</v>
      </c>
      <c r="B910" s="337" t="s">
        <v>4054</v>
      </c>
      <c r="C910" s="338">
        <v>333249</v>
      </c>
      <c r="D910" s="339" t="s">
        <v>3665</v>
      </c>
    </row>
    <row r="911" spans="1:4" ht="34.5" customHeight="1" x14ac:dyDescent="0.35">
      <c r="A911" s="344">
        <v>3559</v>
      </c>
      <c r="B911" s="337" t="s">
        <v>4054</v>
      </c>
      <c r="C911" s="338">
        <v>333318</v>
      </c>
      <c r="D911" s="340" t="s">
        <v>4056</v>
      </c>
    </row>
    <row r="912" spans="1:4" ht="34.5" customHeight="1" x14ac:dyDescent="0.35">
      <c r="A912" s="344">
        <v>3561</v>
      </c>
      <c r="B912" s="337" t="s">
        <v>4057</v>
      </c>
      <c r="C912" s="338">
        <v>333914</v>
      </c>
      <c r="D912" s="340" t="s">
        <v>4058</v>
      </c>
    </row>
    <row r="913" spans="1:4" ht="17.25" customHeight="1" x14ac:dyDescent="0.35">
      <c r="A913" s="345">
        <v>3562</v>
      </c>
      <c r="B913" s="333" t="s">
        <v>4059</v>
      </c>
      <c r="C913" s="334">
        <v>332991</v>
      </c>
      <c r="D913" s="335" t="s">
        <v>4060</v>
      </c>
    </row>
    <row r="914" spans="1:4" ht="17.25" customHeight="1" x14ac:dyDescent="0.35">
      <c r="A914" s="344">
        <v>3563</v>
      </c>
      <c r="B914" s="337" t="s">
        <v>4061</v>
      </c>
      <c r="C914" s="338">
        <v>333912</v>
      </c>
      <c r="D914" s="339" t="s">
        <v>4062</v>
      </c>
    </row>
    <row r="915" spans="1:4" ht="43.5" customHeight="1" x14ac:dyDescent="0.35">
      <c r="A915" s="344">
        <v>3564</v>
      </c>
      <c r="B915" s="337" t="s">
        <v>4063</v>
      </c>
      <c r="C915" s="338">
        <v>333413</v>
      </c>
      <c r="D915" s="340" t="s">
        <v>4064</v>
      </c>
    </row>
    <row r="916" spans="1:4" ht="42.75" customHeight="1" x14ac:dyDescent="0.35">
      <c r="A916" s="345">
        <v>3564</v>
      </c>
      <c r="B916" s="333" t="s">
        <v>4063</v>
      </c>
      <c r="C916" s="334">
        <v>333413</v>
      </c>
      <c r="D916" s="341" t="s">
        <v>4065</v>
      </c>
    </row>
    <row r="917" spans="1:4" ht="17.25" customHeight="1" x14ac:dyDescent="0.35">
      <c r="A917" s="344">
        <v>3565</v>
      </c>
      <c r="B917" s="337" t="s">
        <v>4066</v>
      </c>
      <c r="C917" s="338">
        <v>333993</v>
      </c>
      <c r="D917" s="339" t="s">
        <v>4067</v>
      </c>
    </row>
    <row r="918" spans="1:4" ht="34.5" customHeight="1" x14ac:dyDescent="0.35">
      <c r="A918" s="344">
        <v>3566</v>
      </c>
      <c r="B918" s="337" t="s">
        <v>4068</v>
      </c>
      <c r="C918" s="338">
        <v>333612</v>
      </c>
      <c r="D918" s="340" t="s">
        <v>4069</v>
      </c>
    </row>
    <row r="919" spans="1:4" ht="34.5" customHeight="1" x14ac:dyDescent="0.35">
      <c r="A919" s="344">
        <v>3567</v>
      </c>
      <c r="B919" s="337" t="s">
        <v>4070</v>
      </c>
      <c r="C919" s="338">
        <v>333994</v>
      </c>
      <c r="D919" s="340" t="s">
        <v>3666</v>
      </c>
    </row>
    <row r="920" spans="1:4" ht="34.5" customHeight="1" x14ac:dyDescent="0.35">
      <c r="A920" s="345">
        <v>3568</v>
      </c>
      <c r="B920" s="333" t="s">
        <v>4071</v>
      </c>
      <c r="C920" s="334">
        <v>333613</v>
      </c>
      <c r="D920" s="341" t="s">
        <v>4072</v>
      </c>
    </row>
    <row r="921" spans="1:4" ht="34.5" customHeight="1" x14ac:dyDescent="0.35">
      <c r="A921" s="344">
        <v>3569</v>
      </c>
      <c r="B921" s="337" t="s">
        <v>4073</v>
      </c>
      <c r="C921" s="338">
        <v>314999</v>
      </c>
      <c r="D921" s="340" t="s">
        <v>3563</v>
      </c>
    </row>
    <row r="922" spans="1:4" ht="34.5" customHeight="1" x14ac:dyDescent="0.35">
      <c r="A922" s="345">
        <v>3569</v>
      </c>
      <c r="B922" s="333" t="s">
        <v>4073</v>
      </c>
      <c r="C922" s="334">
        <v>333414</v>
      </c>
      <c r="D922" s="341" t="s">
        <v>3952</v>
      </c>
    </row>
    <row r="923" spans="1:4" ht="34.5" customHeight="1" x14ac:dyDescent="0.35">
      <c r="A923" s="344">
        <v>3569</v>
      </c>
      <c r="B923" s="337" t="s">
        <v>4073</v>
      </c>
      <c r="C923" s="338">
        <v>333999</v>
      </c>
      <c r="D923" s="340" t="s">
        <v>3668</v>
      </c>
    </row>
    <row r="924" spans="1:4" ht="17.25" customHeight="1" x14ac:dyDescent="0.35">
      <c r="A924" s="344">
        <v>3571</v>
      </c>
      <c r="B924" s="337" t="s">
        <v>4074</v>
      </c>
      <c r="C924" s="338">
        <v>334111</v>
      </c>
      <c r="D924" s="339" t="s">
        <v>4075</v>
      </c>
    </row>
    <row r="925" spans="1:4" ht="17.25" customHeight="1" x14ac:dyDescent="0.35">
      <c r="A925" s="345">
        <v>3572</v>
      </c>
      <c r="B925" s="333" t="s">
        <v>4076</v>
      </c>
      <c r="C925" s="334">
        <v>334112</v>
      </c>
      <c r="D925" s="335" t="s">
        <v>4077</v>
      </c>
    </row>
    <row r="926" spans="1:4" ht="34.5" customHeight="1" x14ac:dyDescent="0.35">
      <c r="A926" s="344">
        <v>3575</v>
      </c>
      <c r="B926" s="337" t="s">
        <v>4078</v>
      </c>
      <c r="C926" s="338">
        <v>334118</v>
      </c>
      <c r="D926" s="340" t="s">
        <v>4079</v>
      </c>
    </row>
    <row r="927" spans="1:4" ht="34.5" customHeight="1" x14ac:dyDescent="0.35">
      <c r="A927" s="345">
        <v>3577</v>
      </c>
      <c r="B927" s="333" t="s">
        <v>4080</v>
      </c>
      <c r="C927" s="334">
        <v>333316</v>
      </c>
      <c r="D927" s="341" t="s">
        <v>4081</v>
      </c>
    </row>
    <row r="928" spans="1:4" ht="34.5" customHeight="1" x14ac:dyDescent="0.35">
      <c r="A928" s="345">
        <v>3577</v>
      </c>
      <c r="B928" s="333" t="s">
        <v>4080</v>
      </c>
      <c r="C928" s="334">
        <v>334118</v>
      </c>
      <c r="D928" s="341" t="s">
        <v>4079</v>
      </c>
    </row>
    <row r="929" spans="1:4" ht="34.5" customHeight="1" x14ac:dyDescent="0.35">
      <c r="A929" s="345">
        <v>3577</v>
      </c>
      <c r="B929" s="333" t="s">
        <v>4080</v>
      </c>
      <c r="C929" s="334">
        <v>334418</v>
      </c>
      <c r="D929" s="341" t="s">
        <v>4082</v>
      </c>
    </row>
    <row r="930" spans="1:4" ht="34.5" customHeight="1" x14ac:dyDescent="0.35">
      <c r="A930" s="344">
        <v>3577</v>
      </c>
      <c r="B930" s="337" t="s">
        <v>4080</v>
      </c>
      <c r="C930" s="338">
        <v>334613</v>
      </c>
      <c r="D930" s="340" t="s">
        <v>4083</v>
      </c>
    </row>
    <row r="931" spans="1:4" ht="34.5" customHeight="1" x14ac:dyDescent="0.35">
      <c r="A931" s="344">
        <v>3578</v>
      </c>
      <c r="B931" s="337" t="s">
        <v>4084</v>
      </c>
      <c r="C931" s="338">
        <v>333316</v>
      </c>
      <c r="D931" s="340" t="s">
        <v>4081</v>
      </c>
    </row>
    <row r="932" spans="1:4" ht="34.5" customHeight="1" x14ac:dyDescent="0.35">
      <c r="A932" s="345">
        <v>3578</v>
      </c>
      <c r="B932" s="333" t="s">
        <v>4084</v>
      </c>
      <c r="C932" s="334">
        <v>333318</v>
      </c>
      <c r="D932" s="341" t="s">
        <v>4056</v>
      </c>
    </row>
    <row r="933" spans="1:4" ht="34.5" customHeight="1" x14ac:dyDescent="0.35">
      <c r="A933" s="344">
        <v>3578</v>
      </c>
      <c r="B933" s="337" t="s">
        <v>4084</v>
      </c>
      <c r="C933" s="338">
        <v>333318</v>
      </c>
      <c r="D933" s="340" t="s">
        <v>4056</v>
      </c>
    </row>
    <row r="934" spans="1:4" ht="34.5" customHeight="1" x14ac:dyDescent="0.35">
      <c r="A934" s="344">
        <v>3578</v>
      </c>
      <c r="B934" s="337" t="s">
        <v>4084</v>
      </c>
      <c r="C934" s="338">
        <v>334118</v>
      </c>
      <c r="D934" s="340" t="s">
        <v>4079</v>
      </c>
    </row>
    <row r="935" spans="1:4" ht="34.5" customHeight="1" x14ac:dyDescent="0.35">
      <c r="A935" s="345">
        <v>3579</v>
      </c>
      <c r="B935" s="333" t="s">
        <v>4085</v>
      </c>
      <c r="C935" s="334">
        <v>333318</v>
      </c>
      <c r="D935" s="341" t="s">
        <v>4056</v>
      </c>
    </row>
    <row r="936" spans="1:4" ht="34.5" customHeight="1" x14ac:dyDescent="0.35">
      <c r="A936" s="344">
        <v>3579</v>
      </c>
      <c r="B936" s="337" t="s">
        <v>4085</v>
      </c>
      <c r="C936" s="338">
        <v>334519</v>
      </c>
      <c r="D936" s="340" t="s">
        <v>3946</v>
      </c>
    </row>
    <row r="937" spans="1:4" ht="34.5" customHeight="1" x14ac:dyDescent="0.35">
      <c r="A937" s="344">
        <v>3579</v>
      </c>
      <c r="B937" s="337" t="s">
        <v>4085</v>
      </c>
      <c r="C937" s="338">
        <v>339940</v>
      </c>
      <c r="D937" s="340" t="s">
        <v>3658</v>
      </c>
    </row>
    <row r="938" spans="1:4" ht="34.5" customHeight="1" x14ac:dyDescent="0.35">
      <c r="A938" s="344">
        <v>3581</v>
      </c>
      <c r="B938" s="337" t="s">
        <v>4086</v>
      </c>
      <c r="C938" s="338">
        <v>333318</v>
      </c>
      <c r="D938" s="340" t="s">
        <v>4056</v>
      </c>
    </row>
    <row r="939" spans="1:4" ht="34.5" customHeight="1" x14ac:dyDescent="0.35">
      <c r="A939" s="345">
        <v>3582</v>
      </c>
      <c r="B939" s="333" t="s">
        <v>4087</v>
      </c>
      <c r="C939" s="334">
        <v>333318</v>
      </c>
      <c r="D939" s="341" t="s">
        <v>4056</v>
      </c>
    </row>
    <row r="940" spans="1:4" ht="43.5" customHeight="1" x14ac:dyDescent="0.35">
      <c r="A940" s="345">
        <v>3585</v>
      </c>
      <c r="B940" s="333" t="s">
        <v>4088</v>
      </c>
      <c r="C940" s="334">
        <v>333415</v>
      </c>
      <c r="D940" s="341" t="s">
        <v>3638</v>
      </c>
    </row>
    <row r="941" spans="1:4" ht="17.25" customHeight="1" x14ac:dyDescent="0.35">
      <c r="A941" s="345">
        <v>3585</v>
      </c>
      <c r="B941" s="333" t="s">
        <v>4088</v>
      </c>
      <c r="C941" s="334">
        <v>336390</v>
      </c>
      <c r="D941" s="335" t="s">
        <v>3947</v>
      </c>
    </row>
    <row r="942" spans="1:4" ht="34.5" customHeight="1" x14ac:dyDescent="0.35">
      <c r="A942" s="345">
        <v>3586</v>
      </c>
      <c r="B942" s="333" t="s">
        <v>4089</v>
      </c>
      <c r="C942" s="334">
        <v>333914</v>
      </c>
      <c r="D942" s="341" t="s">
        <v>4058</v>
      </c>
    </row>
    <row r="943" spans="1:4" ht="34.5" customHeight="1" x14ac:dyDescent="0.35">
      <c r="A943" s="344">
        <v>3589</v>
      </c>
      <c r="B943" s="337" t="s">
        <v>4090</v>
      </c>
      <c r="C943" s="338">
        <v>333318</v>
      </c>
      <c r="D943" s="340" t="s">
        <v>4056</v>
      </c>
    </row>
    <row r="944" spans="1:4" ht="34.5" customHeight="1" x14ac:dyDescent="0.35">
      <c r="A944" s="344">
        <v>3592</v>
      </c>
      <c r="B944" s="337" t="s">
        <v>4091</v>
      </c>
      <c r="C944" s="338">
        <v>336310</v>
      </c>
      <c r="D944" s="340" t="s">
        <v>4092</v>
      </c>
    </row>
    <row r="945" spans="1:4" ht="34.5" customHeight="1" x14ac:dyDescent="0.35">
      <c r="A945" s="345">
        <v>3593</v>
      </c>
      <c r="B945" s="333" t="s">
        <v>4093</v>
      </c>
      <c r="C945" s="334">
        <v>333995</v>
      </c>
      <c r="D945" s="341" t="s">
        <v>4094</v>
      </c>
    </row>
    <row r="946" spans="1:4" ht="34.5" customHeight="1" x14ac:dyDescent="0.35">
      <c r="A946" s="344">
        <v>3594</v>
      </c>
      <c r="B946" s="337" t="s">
        <v>4095</v>
      </c>
      <c r="C946" s="338">
        <v>333996</v>
      </c>
      <c r="D946" s="340" t="s">
        <v>4096</v>
      </c>
    </row>
    <row r="947" spans="1:4" ht="17.25" customHeight="1" x14ac:dyDescent="0.35">
      <c r="A947" s="344">
        <v>3596</v>
      </c>
      <c r="B947" s="337" t="s">
        <v>4097</v>
      </c>
      <c r="C947" s="338">
        <v>333997</v>
      </c>
      <c r="D947" s="339" t="s">
        <v>3667</v>
      </c>
    </row>
    <row r="948" spans="1:4" ht="17.25" customHeight="1" x14ac:dyDescent="0.35">
      <c r="A948" s="345">
        <v>3599</v>
      </c>
      <c r="B948" s="333" t="s">
        <v>4098</v>
      </c>
      <c r="C948" s="334">
        <v>332710</v>
      </c>
      <c r="D948" s="335" t="s">
        <v>4099</v>
      </c>
    </row>
    <row r="949" spans="1:4" ht="34.5" customHeight="1" x14ac:dyDescent="0.35">
      <c r="A949" s="344">
        <v>3599</v>
      </c>
      <c r="B949" s="337" t="s">
        <v>4098</v>
      </c>
      <c r="C949" s="338">
        <v>332813</v>
      </c>
      <c r="D949" s="340" t="s">
        <v>3931</v>
      </c>
    </row>
    <row r="950" spans="1:4" ht="34.5" customHeight="1" x14ac:dyDescent="0.35">
      <c r="A950" s="345">
        <v>3599</v>
      </c>
      <c r="B950" s="333" t="s">
        <v>4098</v>
      </c>
      <c r="C950" s="334">
        <v>332999</v>
      </c>
      <c r="D950" s="341" t="s">
        <v>3875</v>
      </c>
    </row>
    <row r="951" spans="1:4" ht="34.5" customHeight="1" x14ac:dyDescent="0.35">
      <c r="A951" s="345">
        <v>3599</v>
      </c>
      <c r="B951" s="333" t="s">
        <v>4098</v>
      </c>
      <c r="C951" s="334">
        <v>333318</v>
      </c>
      <c r="D951" s="341" t="s">
        <v>4056</v>
      </c>
    </row>
    <row r="952" spans="1:4" ht="34.5" customHeight="1" x14ac:dyDescent="0.35">
      <c r="A952" s="345">
        <v>3599</v>
      </c>
      <c r="B952" s="333" t="s">
        <v>4098</v>
      </c>
      <c r="C952" s="334">
        <v>333999</v>
      </c>
      <c r="D952" s="341" t="s">
        <v>3668</v>
      </c>
    </row>
    <row r="953" spans="1:4" ht="34.5" customHeight="1" x14ac:dyDescent="0.35">
      <c r="A953" s="345">
        <v>3599</v>
      </c>
      <c r="B953" s="333" t="s">
        <v>4098</v>
      </c>
      <c r="C953" s="334">
        <v>334519</v>
      </c>
      <c r="D953" s="341" t="s">
        <v>3946</v>
      </c>
    </row>
    <row r="954" spans="1:4" ht="17.25" customHeight="1" x14ac:dyDescent="0.35">
      <c r="A954" s="344">
        <v>3599</v>
      </c>
      <c r="B954" s="337" t="s">
        <v>4098</v>
      </c>
      <c r="C954" s="338">
        <v>336390</v>
      </c>
      <c r="D954" s="339" t="s">
        <v>3947</v>
      </c>
    </row>
    <row r="955" spans="1:4" ht="34.5" customHeight="1" x14ac:dyDescent="0.35">
      <c r="A955" s="344">
        <v>3612</v>
      </c>
      <c r="B955" s="346" t="s">
        <v>4100</v>
      </c>
      <c r="C955" s="338">
        <v>335311</v>
      </c>
      <c r="D955" s="340" t="s">
        <v>4044</v>
      </c>
    </row>
    <row r="956" spans="1:4" ht="34.5" customHeight="1" x14ac:dyDescent="0.35">
      <c r="A956" s="345">
        <v>3613</v>
      </c>
      <c r="B956" s="333" t="s">
        <v>4101</v>
      </c>
      <c r="C956" s="334">
        <v>335313</v>
      </c>
      <c r="D956" s="341" t="s">
        <v>4102</v>
      </c>
    </row>
    <row r="957" spans="1:4" ht="17.25" customHeight="1" x14ac:dyDescent="0.35">
      <c r="A957" s="345">
        <v>3621</v>
      </c>
      <c r="B957" s="333" t="s">
        <v>4103</v>
      </c>
      <c r="C957" s="334">
        <v>335312</v>
      </c>
      <c r="D957" s="335" t="s">
        <v>4104</v>
      </c>
    </row>
    <row r="958" spans="1:4" ht="34.5" customHeight="1" x14ac:dyDescent="0.35">
      <c r="A958" s="345">
        <v>3624</v>
      </c>
      <c r="B958" s="333" t="s">
        <v>4105</v>
      </c>
      <c r="C958" s="334">
        <v>335991</v>
      </c>
      <c r="D958" s="341" t="s">
        <v>4106</v>
      </c>
    </row>
    <row r="959" spans="1:4" ht="17.25" customHeight="1" x14ac:dyDescent="0.35">
      <c r="A959" s="344">
        <v>3625</v>
      </c>
      <c r="B959" s="337" t="s">
        <v>4107</v>
      </c>
      <c r="C959" s="338">
        <v>335314</v>
      </c>
      <c r="D959" s="339" t="s">
        <v>4108</v>
      </c>
    </row>
    <row r="960" spans="1:4" ht="34.5" customHeight="1" x14ac:dyDescent="0.35">
      <c r="A960" s="344">
        <v>3629</v>
      </c>
      <c r="B960" s="337" t="s">
        <v>4109</v>
      </c>
      <c r="C960" s="338">
        <v>335999</v>
      </c>
      <c r="D960" s="340" t="s">
        <v>4110</v>
      </c>
    </row>
    <row r="961" spans="1:4" ht="17.25" customHeight="1" x14ac:dyDescent="0.35">
      <c r="A961" s="345">
        <v>3631</v>
      </c>
      <c r="B961" s="333" t="s">
        <v>4111</v>
      </c>
      <c r="C961" s="334">
        <v>335220</v>
      </c>
      <c r="D961" s="335" t="s">
        <v>4112</v>
      </c>
    </row>
    <row r="962" spans="1:4" ht="17.25" customHeight="1" x14ac:dyDescent="0.35">
      <c r="A962" s="344">
        <v>3632</v>
      </c>
      <c r="B962" s="337" t="s">
        <v>4113</v>
      </c>
      <c r="C962" s="338">
        <v>335220</v>
      </c>
      <c r="D962" s="339" t="s">
        <v>4112</v>
      </c>
    </row>
    <row r="963" spans="1:4" ht="17.25" customHeight="1" x14ac:dyDescent="0.35">
      <c r="A963" s="345">
        <v>3633</v>
      </c>
      <c r="B963" s="333" t="s">
        <v>4114</v>
      </c>
      <c r="C963" s="334">
        <v>335220</v>
      </c>
      <c r="D963" s="335" t="s">
        <v>4112</v>
      </c>
    </row>
    <row r="964" spans="1:4" ht="34.5" customHeight="1" x14ac:dyDescent="0.35">
      <c r="A964" s="344">
        <v>3634</v>
      </c>
      <c r="B964" s="337" t="s">
        <v>4115</v>
      </c>
      <c r="C964" s="338">
        <v>333414</v>
      </c>
      <c r="D964" s="340" t="s">
        <v>3952</v>
      </c>
    </row>
    <row r="965" spans="1:4" ht="17.25" customHeight="1" x14ac:dyDescent="0.35">
      <c r="A965" s="345">
        <v>3634</v>
      </c>
      <c r="B965" s="333" t="s">
        <v>4115</v>
      </c>
      <c r="C965" s="334">
        <v>335210</v>
      </c>
      <c r="D965" s="335" t="s">
        <v>4116</v>
      </c>
    </row>
    <row r="966" spans="1:4" ht="17.25" customHeight="1" x14ac:dyDescent="0.35">
      <c r="A966" s="345">
        <v>3634</v>
      </c>
      <c r="B966" s="333" t="s">
        <v>4115</v>
      </c>
      <c r="C966" s="334">
        <v>339999</v>
      </c>
      <c r="D966" s="335" t="s">
        <v>3641</v>
      </c>
    </row>
    <row r="967" spans="1:4" ht="17.25" customHeight="1" x14ac:dyDescent="0.35">
      <c r="A967" s="344">
        <v>3635</v>
      </c>
      <c r="B967" s="337" t="s">
        <v>4117</v>
      </c>
      <c r="C967" s="338">
        <v>335210</v>
      </c>
      <c r="D967" s="339" t="s">
        <v>4116</v>
      </c>
    </row>
    <row r="968" spans="1:4" ht="17.25" customHeight="1" x14ac:dyDescent="0.35">
      <c r="A968" s="345">
        <v>3639</v>
      </c>
      <c r="B968" s="333" t="s">
        <v>4118</v>
      </c>
      <c r="C968" s="334">
        <v>333249</v>
      </c>
      <c r="D968" s="335" t="s">
        <v>3665</v>
      </c>
    </row>
    <row r="969" spans="1:4" ht="17.25" customHeight="1" x14ac:dyDescent="0.35">
      <c r="A969" s="345">
        <v>3639</v>
      </c>
      <c r="B969" s="333" t="s">
        <v>4118</v>
      </c>
      <c r="C969" s="334">
        <v>335210</v>
      </c>
      <c r="D969" s="335" t="s">
        <v>4116</v>
      </c>
    </row>
    <row r="970" spans="1:4" ht="17.25" customHeight="1" x14ac:dyDescent="0.35">
      <c r="A970" s="344">
        <v>3639</v>
      </c>
      <c r="B970" s="337" t="s">
        <v>4118</v>
      </c>
      <c r="C970" s="338">
        <v>335220</v>
      </c>
      <c r="D970" s="339" t="s">
        <v>4112</v>
      </c>
    </row>
    <row r="971" spans="1:4" ht="28.75" customHeight="1" x14ac:dyDescent="0.35">
      <c r="A971" s="345">
        <v>3641</v>
      </c>
      <c r="B971" s="333" t="s">
        <v>4119</v>
      </c>
      <c r="C971" s="334">
        <v>335110</v>
      </c>
      <c r="D971" s="335" t="s">
        <v>4120</v>
      </c>
    </row>
    <row r="972" spans="1:4" ht="34.5" customHeight="1" x14ac:dyDescent="0.35">
      <c r="A972" s="345">
        <v>3643</v>
      </c>
      <c r="B972" s="333" t="s">
        <v>4121</v>
      </c>
      <c r="C972" s="334">
        <v>335931</v>
      </c>
      <c r="D972" s="341" t="s">
        <v>4122</v>
      </c>
    </row>
    <row r="973" spans="1:4" ht="17.25" customHeight="1" x14ac:dyDescent="0.35">
      <c r="A973" s="344">
        <v>3644</v>
      </c>
      <c r="B973" s="337" t="s">
        <v>4123</v>
      </c>
      <c r="C973" s="338">
        <v>332216</v>
      </c>
      <c r="D973" s="339" t="s">
        <v>3938</v>
      </c>
    </row>
    <row r="974" spans="1:4" ht="34.5" customHeight="1" x14ac:dyDescent="0.35">
      <c r="A974" s="344">
        <v>3644</v>
      </c>
      <c r="B974" s="337" t="s">
        <v>4123</v>
      </c>
      <c r="C974" s="338">
        <v>335932</v>
      </c>
      <c r="D974" s="340" t="s">
        <v>4124</v>
      </c>
    </row>
    <row r="975" spans="1:4" ht="34.5" customHeight="1" x14ac:dyDescent="0.35">
      <c r="A975" s="344">
        <v>3645</v>
      </c>
      <c r="B975" s="337" t="s">
        <v>4125</v>
      </c>
      <c r="C975" s="338">
        <v>335121</v>
      </c>
      <c r="D975" s="340" t="s">
        <v>4126</v>
      </c>
    </row>
    <row r="976" spans="1:4" ht="34.5" customHeight="1" x14ac:dyDescent="0.35">
      <c r="A976" s="344">
        <v>3646</v>
      </c>
      <c r="B976" s="337" t="s">
        <v>4127</v>
      </c>
      <c r="C976" s="338">
        <v>335122</v>
      </c>
      <c r="D976" s="340" t="s">
        <v>4128</v>
      </c>
    </row>
    <row r="977" spans="1:4" ht="34.5" customHeight="1" x14ac:dyDescent="0.35">
      <c r="A977" s="344">
        <v>3647</v>
      </c>
      <c r="B977" s="337" t="s">
        <v>4129</v>
      </c>
      <c r="C977" s="338">
        <v>336320</v>
      </c>
      <c r="D977" s="340" t="s">
        <v>4130</v>
      </c>
    </row>
    <row r="978" spans="1:4" ht="17.25" customHeight="1" x14ac:dyDescent="0.35">
      <c r="A978" s="345">
        <v>3648</v>
      </c>
      <c r="B978" s="333" t="s">
        <v>4131</v>
      </c>
      <c r="C978" s="334">
        <v>335129</v>
      </c>
      <c r="D978" s="335" t="s">
        <v>4132</v>
      </c>
    </row>
    <row r="979" spans="1:4" ht="28.75" customHeight="1" x14ac:dyDescent="0.35">
      <c r="A979" s="345">
        <v>3651</v>
      </c>
      <c r="B979" s="333" t="s">
        <v>4133</v>
      </c>
      <c r="C979" s="334">
        <v>334310</v>
      </c>
      <c r="D979" s="335" t="s">
        <v>4134</v>
      </c>
    </row>
    <row r="980" spans="1:4" ht="43.5" customHeight="1" x14ac:dyDescent="0.35">
      <c r="A980" s="344">
        <v>3652</v>
      </c>
      <c r="B980" s="337" t="s">
        <v>4135</v>
      </c>
      <c r="C980" s="338">
        <v>334614</v>
      </c>
      <c r="D980" s="339" t="s">
        <v>4136</v>
      </c>
    </row>
    <row r="981" spans="1:4" ht="17.25" customHeight="1" x14ac:dyDescent="0.35">
      <c r="A981" s="345">
        <v>3652</v>
      </c>
      <c r="B981" s="333" t="s">
        <v>4135</v>
      </c>
      <c r="C981" s="334">
        <v>512250</v>
      </c>
      <c r="D981" s="335" t="s">
        <v>4137</v>
      </c>
    </row>
    <row r="982" spans="1:4" ht="17.25" customHeight="1" x14ac:dyDescent="0.35">
      <c r="A982" s="345">
        <v>3661</v>
      </c>
      <c r="B982" s="333" t="s">
        <v>4138</v>
      </c>
      <c r="C982" s="334">
        <v>334210</v>
      </c>
      <c r="D982" s="335" t="s">
        <v>4139</v>
      </c>
    </row>
    <row r="983" spans="1:4" ht="34.5" customHeight="1" x14ac:dyDescent="0.35">
      <c r="A983" s="344">
        <v>3661</v>
      </c>
      <c r="B983" s="337" t="s">
        <v>4138</v>
      </c>
      <c r="C983" s="338">
        <v>334418</v>
      </c>
      <c r="D983" s="340" t="s">
        <v>4082</v>
      </c>
    </row>
    <row r="984" spans="1:4" ht="43.5" customHeight="1" x14ac:dyDescent="0.35">
      <c r="A984" s="344">
        <v>3663</v>
      </c>
      <c r="B984" s="337" t="s">
        <v>4140</v>
      </c>
      <c r="C984" s="338">
        <v>334220</v>
      </c>
      <c r="D984" s="340" t="s">
        <v>4141</v>
      </c>
    </row>
    <row r="985" spans="1:4" ht="42.75" customHeight="1" x14ac:dyDescent="0.35">
      <c r="A985" s="344">
        <v>3663</v>
      </c>
      <c r="B985" s="337" t="s">
        <v>4140</v>
      </c>
      <c r="C985" s="338">
        <v>334515</v>
      </c>
      <c r="D985" s="340" t="s">
        <v>4142</v>
      </c>
    </row>
    <row r="986" spans="1:4" ht="34.5" customHeight="1" x14ac:dyDescent="0.35">
      <c r="A986" s="344">
        <v>3669</v>
      </c>
      <c r="B986" s="337" t="s">
        <v>4143</v>
      </c>
      <c r="C986" s="338">
        <v>334290</v>
      </c>
      <c r="D986" s="340" t="s">
        <v>4144</v>
      </c>
    </row>
    <row r="987" spans="1:4" ht="34.5" customHeight="1" x14ac:dyDescent="0.35">
      <c r="A987" s="344">
        <v>3671</v>
      </c>
      <c r="B987" s="337" t="s">
        <v>4145</v>
      </c>
      <c r="C987" s="338">
        <v>334419</v>
      </c>
      <c r="D987" s="340" t="s">
        <v>4146</v>
      </c>
    </row>
    <row r="988" spans="1:4" ht="17.25" customHeight="1" x14ac:dyDescent="0.35">
      <c r="A988" s="345">
        <v>3672</v>
      </c>
      <c r="B988" s="333" t="s">
        <v>4147</v>
      </c>
      <c r="C988" s="334">
        <v>334412</v>
      </c>
      <c r="D988" s="335" t="s">
        <v>4148</v>
      </c>
    </row>
    <row r="989" spans="1:4" ht="34.5" customHeight="1" x14ac:dyDescent="0.35">
      <c r="A989" s="344">
        <v>3674</v>
      </c>
      <c r="B989" s="337" t="s">
        <v>4149</v>
      </c>
      <c r="C989" s="338">
        <v>334413</v>
      </c>
      <c r="D989" s="340" t="s">
        <v>4150</v>
      </c>
    </row>
    <row r="990" spans="1:4" ht="34.5" customHeight="1" x14ac:dyDescent="0.35">
      <c r="A990" s="345">
        <v>3675</v>
      </c>
      <c r="B990" s="333" t="s">
        <v>4151</v>
      </c>
      <c r="C990" s="334">
        <v>334416</v>
      </c>
      <c r="D990" s="341" t="s">
        <v>4152</v>
      </c>
    </row>
    <row r="991" spans="1:4" ht="34.5" customHeight="1" x14ac:dyDescent="0.35">
      <c r="A991" s="344">
        <v>3676</v>
      </c>
      <c r="B991" s="337" t="s">
        <v>4153</v>
      </c>
      <c r="C991" s="338">
        <v>334416</v>
      </c>
      <c r="D991" s="340" t="s">
        <v>4152</v>
      </c>
    </row>
    <row r="992" spans="1:4" ht="34.5" customHeight="1" x14ac:dyDescent="0.35">
      <c r="A992" s="345">
        <v>3677</v>
      </c>
      <c r="B992" s="333" t="s">
        <v>4154</v>
      </c>
      <c r="C992" s="334">
        <v>334416</v>
      </c>
      <c r="D992" s="341" t="s">
        <v>4152</v>
      </c>
    </row>
    <row r="993" spans="1:4" ht="17.25" customHeight="1" x14ac:dyDescent="0.35">
      <c r="A993" s="344">
        <v>3678</v>
      </c>
      <c r="B993" s="337" t="s">
        <v>4155</v>
      </c>
      <c r="C993" s="338">
        <v>334417</v>
      </c>
      <c r="D993" s="339" t="s">
        <v>4156</v>
      </c>
    </row>
    <row r="994" spans="1:4" ht="43.5" customHeight="1" x14ac:dyDescent="0.35">
      <c r="A994" s="345">
        <v>3679</v>
      </c>
      <c r="B994" s="333" t="s">
        <v>4157</v>
      </c>
      <c r="C994" s="334">
        <v>334220</v>
      </c>
      <c r="D994" s="341" t="s">
        <v>4141</v>
      </c>
    </row>
    <row r="995" spans="1:4" ht="28" customHeight="1" x14ac:dyDescent="0.35">
      <c r="A995" s="344">
        <v>3679</v>
      </c>
      <c r="B995" s="337" t="s">
        <v>4157</v>
      </c>
      <c r="C995" s="338">
        <v>334310</v>
      </c>
      <c r="D995" s="339" t="s">
        <v>4134</v>
      </c>
    </row>
    <row r="996" spans="1:4" ht="34.5" customHeight="1" x14ac:dyDescent="0.35">
      <c r="A996" s="345">
        <v>3679</v>
      </c>
      <c r="B996" s="333" t="s">
        <v>4157</v>
      </c>
      <c r="C996" s="334">
        <v>334418</v>
      </c>
      <c r="D996" s="341" t="s">
        <v>4082</v>
      </c>
    </row>
    <row r="997" spans="1:4" ht="34.5" customHeight="1" x14ac:dyDescent="0.35">
      <c r="A997" s="345">
        <v>3679</v>
      </c>
      <c r="B997" s="333" t="s">
        <v>4157</v>
      </c>
      <c r="C997" s="334">
        <v>334419</v>
      </c>
      <c r="D997" s="341" t="s">
        <v>4146</v>
      </c>
    </row>
    <row r="998" spans="1:4" ht="43.5" customHeight="1" x14ac:dyDescent="0.35">
      <c r="A998" s="345">
        <v>3679</v>
      </c>
      <c r="B998" s="333" t="s">
        <v>4157</v>
      </c>
      <c r="C998" s="334">
        <v>334515</v>
      </c>
      <c r="D998" s="341" t="s">
        <v>4142</v>
      </c>
    </row>
    <row r="999" spans="1:4" ht="17.25" customHeight="1" x14ac:dyDescent="0.35">
      <c r="A999" s="345">
        <v>3691</v>
      </c>
      <c r="B999" s="333" t="s">
        <v>4158</v>
      </c>
      <c r="C999" s="334">
        <v>335911</v>
      </c>
      <c r="D999" s="335" t="s">
        <v>4159</v>
      </c>
    </row>
    <row r="1000" spans="1:4" ht="17.25" customHeight="1" x14ac:dyDescent="0.35">
      <c r="A1000" s="344">
        <v>3692</v>
      </c>
      <c r="B1000" s="337" t="s">
        <v>4160</v>
      </c>
      <c r="C1000" s="338">
        <v>335912</v>
      </c>
      <c r="D1000" s="339" t="s">
        <v>4161</v>
      </c>
    </row>
    <row r="1001" spans="1:4" ht="34.5" customHeight="1" x14ac:dyDescent="0.35">
      <c r="A1001" s="345">
        <v>3694</v>
      </c>
      <c r="B1001" s="333" t="s">
        <v>4162</v>
      </c>
      <c r="C1001" s="334">
        <v>336320</v>
      </c>
      <c r="D1001" s="341" t="s">
        <v>4130</v>
      </c>
    </row>
    <row r="1002" spans="1:4" ht="34.5" customHeight="1" x14ac:dyDescent="0.35">
      <c r="A1002" s="345">
        <v>3695</v>
      </c>
      <c r="B1002" s="333" t="s">
        <v>4163</v>
      </c>
      <c r="C1002" s="334">
        <v>334613</v>
      </c>
      <c r="D1002" s="341" t="s">
        <v>4083</v>
      </c>
    </row>
    <row r="1003" spans="1:4" ht="34.5" customHeight="1" x14ac:dyDescent="0.35">
      <c r="A1003" s="344">
        <v>3699</v>
      </c>
      <c r="B1003" s="337" t="s">
        <v>4164</v>
      </c>
      <c r="C1003" s="338">
        <v>333318</v>
      </c>
      <c r="D1003" s="340" t="s">
        <v>4056</v>
      </c>
    </row>
    <row r="1004" spans="1:4" ht="17.25" customHeight="1" x14ac:dyDescent="0.35">
      <c r="A1004" s="345">
        <v>3699</v>
      </c>
      <c r="B1004" s="333" t="s">
        <v>4164</v>
      </c>
      <c r="C1004" s="334">
        <v>333618</v>
      </c>
      <c r="D1004" s="335" t="s">
        <v>4011</v>
      </c>
    </row>
    <row r="1005" spans="1:4" ht="34.5" customHeight="1" x14ac:dyDescent="0.35">
      <c r="A1005" s="345">
        <v>3699</v>
      </c>
      <c r="B1005" s="333" t="s">
        <v>4164</v>
      </c>
      <c r="C1005" s="334">
        <v>333992</v>
      </c>
      <c r="D1005" s="341" t="s">
        <v>4043</v>
      </c>
    </row>
    <row r="1006" spans="1:4" ht="17.25" customHeight="1" x14ac:dyDescent="0.35">
      <c r="A1006" s="344">
        <v>3699</v>
      </c>
      <c r="B1006" s="337" t="s">
        <v>4164</v>
      </c>
      <c r="C1006" s="338">
        <v>335129</v>
      </c>
      <c r="D1006" s="339" t="s">
        <v>4132</v>
      </c>
    </row>
    <row r="1007" spans="1:4" ht="34.5" customHeight="1" x14ac:dyDescent="0.35">
      <c r="A1007" s="345">
        <v>3699</v>
      </c>
      <c r="B1007" s="333" t="s">
        <v>4164</v>
      </c>
      <c r="C1007" s="334">
        <v>335999</v>
      </c>
      <c r="D1007" s="341" t="s">
        <v>4110</v>
      </c>
    </row>
    <row r="1008" spans="1:4" ht="17.25" customHeight="1" x14ac:dyDescent="0.35">
      <c r="A1008" s="344">
        <v>3711</v>
      </c>
      <c r="B1008" s="337" t="s">
        <v>4165</v>
      </c>
      <c r="C1008" s="338">
        <v>336111</v>
      </c>
      <c r="D1008" s="339" t="s">
        <v>4166</v>
      </c>
    </row>
    <row r="1009" spans="1:4" ht="34.5" customHeight="1" x14ac:dyDescent="0.35">
      <c r="A1009" s="345">
        <v>3711</v>
      </c>
      <c r="B1009" s="333" t="s">
        <v>4165</v>
      </c>
      <c r="C1009" s="334">
        <v>336112</v>
      </c>
      <c r="D1009" s="341" t="s">
        <v>4167</v>
      </c>
    </row>
    <row r="1010" spans="1:4" ht="17.25" customHeight="1" x14ac:dyDescent="0.35">
      <c r="A1010" s="344">
        <v>3711</v>
      </c>
      <c r="B1010" s="337" t="s">
        <v>4165</v>
      </c>
      <c r="C1010" s="338">
        <v>336120</v>
      </c>
      <c r="D1010" s="339" t="s">
        <v>4168</v>
      </c>
    </row>
    <row r="1011" spans="1:4" ht="17.25" customHeight="1" x14ac:dyDescent="0.35">
      <c r="A1011" s="345">
        <v>3711</v>
      </c>
      <c r="B1011" s="333" t="s">
        <v>4165</v>
      </c>
      <c r="C1011" s="334">
        <v>336211</v>
      </c>
      <c r="D1011" s="335" t="s">
        <v>4169</v>
      </c>
    </row>
    <row r="1012" spans="1:4" ht="34.5" customHeight="1" x14ac:dyDescent="0.35">
      <c r="A1012" s="345">
        <v>3711</v>
      </c>
      <c r="B1012" s="333" t="s">
        <v>4165</v>
      </c>
      <c r="C1012" s="334">
        <v>336992</v>
      </c>
      <c r="D1012" s="341" t="s">
        <v>4170</v>
      </c>
    </row>
    <row r="1013" spans="1:4" ht="17.25" customHeight="1" x14ac:dyDescent="0.35">
      <c r="A1013" s="344">
        <v>3713</v>
      </c>
      <c r="B1013" s="337" t="s">
        <v>4171</v>
      </c>
      <c r="C1013" s="338">
        <v>336211</v>
      </c>
      <c r="D1013" s="339" t="s">
        <v>4169</v>
      </c>
    </row>
    <row r="1014" spans="1:4" ht="17.25" customHeight="1" x14ac:dyDescent="0.35">
      <c r="A1014" s="345">
        <v>3714</v>
      </c>
      <c r="B1014" s="333" t="s">
        <v>4172</v>
      </c>
      <c r="C1014" s="334">
        <v>336211</v>
      </c>
      <c r="D1014" s="335" t="s">
        <v>4169</v>
      </c>
    </row>
    <row r="1015" spans="1:4" ht="34.5" customHeight="1" x14ac:dyDescent="0.35">
      <c r="A1015" s="345">
        <v>3714</v>
      </c>
      <c r="B1015" s="333" t="s">
        <v>4172</v>
      </c>
      <c r="C1015" s="334">
        <v>336310</v>
      </c>
      <c r="D1015" s="341" t="s">
        <v>4092</v>
      </c>
    </row>
    <row r="1016" spans="1:4" ht="34.5" customHeight="1" x14ac:dyDescent="0.35">
      <c r="A1016" s="344">
        <v>3714</v>
      </c>
      <c r="B1016" s="337" t="s">
        <v>4172</v>
      </c>
      <c r="C1016" s="338">
        <v>336320</v>
      </c>
      <c r="D1016" s="340" t="s">
        <v>4130</v>
      </c>
    </row>
    <row r="1017" spans="1:4" ht="43.5" customHeight="1" x14ac:dyDescent="0.35">
      <c r="A1017" s="345">
        <v>3714</v>
      </c>
      <c r="B1017" s="333" t="s">
        <v>4172</v>
      </c>
      <c r="C1017" s="334">
        <v>336330</v>
      </c>
      <c r="D1017" s="341" t="s">
        <v>4173</v>
      </c>
    </row>
    <row r="1018" spans="1:4" ht="34.5" customHeight="1" x14ac:dyDescent="0.35">
      <c r="A1018" s="345">
        <v>3714</v>
      </c>
      <c r="B1018" s="333" t="s">
        <v>4172</v>
      </c>
      <c r="C1018" s="334">
        <v>336340</v>
      </c>
      <c r="D1018" s="341" t="s">
        <v>3877</v>
      </c>
    </row>
    <row r="1019" spans="1:4" ht="34.5" customHeight="1" x14ac:dyDescent="0.35">
      <c r="A1019" s="345">
        <v>3714</v>
      </c>
      <c r="B1019" s="333" t="s">
        <v>4172</v>
      </c>
      <c r="C1019" s="334">
        <v>336350</v>
      </c>
      <c r="D1019" s="341" t="s">
        <v>3878</v>
      </c>
    </row>
    <row r="1020" spans="1:4" ht="17.25" customHeight="1" x14ac:dyDescent="0.35">
      <c r="A1020" s="345">
        <v>3714</v>
      </c>
      <c r="B1020" s="333" t="s">
        <v>4172</v>
      </c>
      <c r="C1020" s="334">
        <v>336390</v>
      </c>
      <c r="D1020" s="335" t="s">
        <v>3947</v>
      </c>
    </row>
    <row r="1021" spans="1:4" ht="17.25" customHeight="1" x14ac:dyDescent="0.35">
      <c r="A1021" s="344">
        <v>3715</v>
      </c>
      <c r="B1021" s="337" t="s">
        <v>4174</v>
      </c>
      <c r="C1021" s="338">
        <v>336212</v>
      </c>
      <c r="D1021" s="339" t="s">
        <v>4175</v>
      </c>
    </row>
    <row r="1022" spans="1:4" ht="17.25" customHeight="1" x14ac:dyDescent="0.35">
      <c r="A1022" s="345">
        <v>3716</v>
      </c>
      <c r="B1022" s="333" t="s">
        <v>4176</v>
      </c>
      <c r="C1022" s="334">
        <v>336213</v>
      </c>
      <c r="D1022" s="335" t="s">
        <v>4177</v>
      </c>
    </row>
    <row r="1023" spans="1:4" ht="17.25" customHeight="1" x14ac:dyDescent="0.35">
      <c r="A1023" s="345">
        <v>3721</v>
      </c>
      <c r="B1023" s="333" t="s">
        <v>4178</v>
      </c>
      <c r="C1023" s="334">
        <v>336411</v>
      </c>
      <c r="D1023" s="335" t="s">
        <v>4179</v>
      </c>
    </row>
    <row r="1024" spans="1:4" ht="34.5" customHeight="1" x14ac:dyDescent="0.35">
      <c r="A1024" s="344">
        <v>3721</v>
      </c>
      <c r="B1024" s="346" t="s">
        <v>4180</v>
      </c>
      <c r="C1024" s="338">
        <v>541713</v>
      </c>
      <c r="D1024" s="340" t="s">
        <v>4181</v>
      </c>
    </row>
    <row r="1025" spans="1:4" ht="34.5" customHeight="1" x14ac:dyDescent="0.35">
      <c r="A1025" s="345">
        <v>3724</v>
      </c>
      <c r="B1025" s="333" t="s">
        <v>4182</v>
      </c>
      <c r="C1025" s="334">
        <v>336412</v>
      </c>
      <c r="D1025" s="341" t="s">
        <v>4183</v>
      </c>
    </row>
    <row r="1026" spans="1:4" ht="43.5" customHeight="1" x14ac:dyDescent="0.35">
      <c r="A1026" s="345">
        <v>3724</v>
      </c>
      <c r="B1026" s="347" t="s">
        <v>4184</v>
      </c>
      <c r="C1026" s="334">
        <v>541713</v>
      </c>
      <c r="D1026" s="335" t="s">
        <v>4185</v>
      </c>
    </row>
    <row r="1027" spans="1:4" ht="34.5" customHeight="1" x14ac:dyDescent="0.35">
      <c r="A1027" s="345">
        <v>3728</v>
      </c>
      <c r="B1027" s="333" t="s">
        <v>4186</v>
      </c>
      <c r="C1027" s="334">
        <v>332912</v>
      </c>
      <c r="D1027" s="341" t="s">
        <v>3995</v>
      </c>
    </row>
    <row r="1028" spans="1:4" ht="17.25" customHeight="1" x14ac:dyDescent="0.35">
      <c r="A1028" s="344">
        <v>3728</v>
      </c>
      <c r="B1028" s="337" t="s">
        <v>4186</v>
      </c>
      <c r="C1028" s="338">
        <v>336411</v>
      </c>
      <c r="D1028" s="339" t="s">
        <v>4179</v>
      </c>
    </row>
    <row r="1029" spans="1:4" ht="34.5" customHeight="1" x14ac:dyDescent="0.35">
      <c r="A1029" s="344">
        <v>3728</v>
      </c>
      <c r="B1029" s="337" t="s">
        <v>4186</v>
      </c>
      <c r="C1029" s="338">
        <v>336413</v>
      </c>
      <c r="D1029" s="340" t="s">
        <v>4187</v>
      </c>
    </row>
    <row r="1030" spans="1:4" ht="43.5" customHeight="1" x14ac:dyDescent="0.35">
      <c r="A1030" s="344">
        <v>3728</v>
      </c>
      <c r="B1030" s="346" t="s">
        <v>4188</v>
      </c>
      <c r="C1030" s="338">
        <v>541713</v>
      </c>
      <c r="D1030" s="339" t="s">
        <v>4185</v>
      </c>
    </row>
    <row r="1031" spans="1:4" ht="17.25" customHeight="1" x14ac:dyDescent="0.35">
      <c r="A1031" s="344">
        <v>3731</v>
      </c>
      <c r="B1031" s="337" t="s">
        <v>4189</v>
      </c>
      <c r="C1031" s="338">
        <v>336611</v>
      </c>
      <c r="D1031" s="339" t="s">
        <v>4190</v>
      </c>
    </row>
    <row r="1032" spans="1:4" ht="34.5" customHeight="1" x14ac:dyDescent="0.35">
      <c r="A1032" s="345">
        <v>3731</v>
      </c>
      <c r="B1032" s="333" t="s">
        <v>4189</v>
      </c>
      <c r="C1032" s="334">
        <v>488390</v>
      </c>
      <c r="D1032" s="341" t="s">
        <v>4191</v>
      </c>
    </row>
    <row r="1033" spans="1:4" ht="17.25" customHeight="1" x14ac:dyDescent="0.35">
      <c r="A1033" s="345">
        <v>3732</v>
      </c>
      <c r="B1033" s="333" t="s">
        <v>4192</v>
      </c>
      <c r="C1033" s="334">
        <v>336612</v>
      </c>
      <c r="D1033" s="335" t="s">
        <v>3801</v>
      </c>
    </row>
    <row r="1034" spans="1:4" ht="34.5" customHeight="1" x14ac:dyDescent="0.35">
      <c r="A1034" s="344">
        <v>3732</v>
      </c>
      <c r="B1034" s="337" t="s">
        <v>4192</v>
      </c>
      <c r="C1034" s="338">
        <v>811490</v>
      </c>
      <c r="D1034" s="340" t="s">
        <v>4193</v>
      </c>
    </row>
    <row r="1035" spans="1:4" ht="34.5" customHeight="1" x14ac:dyDescent="0.35">
      <c r="A1035" s="345">
        <v>3743</v>
      </c>
      <c r="B1035" s="333" t="s">
        <v>4194</v>
      </c>
      <c r="C1035" s="334">
        <v>333914</v>
      </c>
      <c r="D1035" s="341" t="s">
        <v>4058</v>
      </c>
    </row>
    <row r="1036" spans="1:4" ht="17.25" customHeight="1" x14ac:dyDescent="0.35">
      <c r="A1036" s="345">
        <v>3743</v>
      </c>
      <c r="B1036" s="333" t="s">
        <v>4194</v>
      </c>
      <c r="C1036" s="334">
        <v>336510</v>
      </c>
      <c r="D1036" s="335" t="s">
        <v>4019</v>
      </c>
    </row>
    <row r="1037" spans="1:4" ht="34.5" customHeight="1" x14ac:dyDescent="0.35">
      <c r="A1037" s="345">
        <v>3751</v>
      </c>
      <c r="B1037" s="333" t="s">
        <v>4195</v>
      </c>
      <c r="C1037" s="334">
        <v>336991</v>
      </c>
      <c r="D1037" s="341" t="s">
        <v>4196</v>
      </c>
    </row>
    <row r="1038" spans="1:4" ht="34.5" customHeight="1" x14ac:dyDescent="0.35">
      <c r="A1038" s="345">
        <v>3761</v>
      </c>
      <c r="B1038" s="333" t="s">
        <v>4197</v>
      </c>
      <c r="C1038" s="334">
        <v>336414</v>
      </c>
      <c r="D1038" s="341" t="s">
        <v>4198</v>
      </c>
    </row>
    <row r="1039" spans="1:4" ht="43.5" customHeight="1" x14ac:dyDescent="0.35">
      <c r="A1039" s="345">
        <v>3761</v>
      </c>
      <c r="B1039" s="347" t="s">
        <v>4199</v>
      </c>
      <c r="C1039" s="334">
        <v>541713</v>
      </c>
      <c r="D1039" s="335" t="s">
        <v>4185</v>
      </c>
    </row>
    <row r="1040" spans="1:4" ht="42.75" customHeight="1" x14ac:dyDescent="0.35">
      <c r="A1040" s="344">
        <v>3764</v>
      </c>
      <c r="B1040" s="337" t="s">
        <v>4200</v>
      </c>
      <c r="C1040" s="338">
        <v>336415</v>
      </c>
      <c r="D1040" s="340" t="s">
        <v>4201</v>
      </c>
    </row>
    <row r="1041" spans="1:4" ht="43.5" customHeight="1" x14ac:dyDescent="0.35">
      <c r="A1041" s="344">
        <v>3764</v>
      </c>
      <c r="B1041" s="346" t="s">
        <v>4202</v>
      </c>
      <c r="C1041" s="338">
        <v>541713</v>
      </c>
      <c r="D1041" s="339" t="s">
        <v>4185</v>
      </c>
    </row>
    <row r="1042" spans="1:4" ht="42.75" customHeight="1" x14ac:dyDescent="0.35">
      <c r="A1042" s="345">
        <v>3769</v>
      </c>
      <c r="B1042" s="333" t="s">
        <v>4203</v>
      </c>
      <c r="C1042" s="334">
        <v>336419</v>
      </c>
      <c r="D1042" s="341" t="s">
        <v>4204</v>
      </c>
    </row>
    <row r="1043" spans="1:4" ht="43.5" customHeight="1" x14ac:dyDescent="0.35">
      <c r="A1043" s="345">
        <v>3769</v>
      </c>
      <c r="B1043" s="333" t="s">
        <v>4205</v>
      </c>
      <c r="C1043" s="334">
        <v>541713</v>
      </c>
      <c r="D1043" s="335" t="s">
        <v>4185</v>
      </c>
    </row>
    <row r="1044" spans="1:4" ht="17.25" customHeight="1" x14ac:dyDescent="0.35">
      <c r="A1044" s="344">
        <v>3792</v>
      </c>
      <c r="B1044" s="337" t="s">
        <v>4206</v>
      </c>
      <c r="C1044" s="338">
        <v>336214</v>
      </c>
      <c r="D1044" s="339" t="s">
        <v>4207</v>
      </c>
    </row>
    <row r="1045" spans="1:4" ht="34.5" customHeight="1" x14ac:dyDescent="0.35">
      <c r="A1045" s="344">
        <v>3795</v>
      </c>
      <c r="B1045" s="337" t="s">
        <v>4208</v>
      </c>
      <c r="C1045" s="338">
        <v>336992</v>
      </c>
      <c r="D1045" s="340" t="s">
        <v>4170</v>
      </c>
    </row>
    <row r="1046" spans="1:4" ht="34.5" customHeight="1" x14ac:dyDescent="0.35">
      <c r="A1046" s="344">
        <v>3799</v>
      </c>
      <c r="B1046" s="337" t="s">
        <v>4209</v>
      </c>
      <c r="C1046" s="338">
        <v>333924</v>
      </c>
      <c r="D1046" s="340" t="s">
        <v>4002</v>
      </c>
    </row>
    <row r="1047" spans="1:4" ht="17.25" customHeight="1" x14ac:dyDescent="0.35">
      <c r="A1047" s="345">
        <v>3799</v>
      </c>
      <c r="B1047" s="333" t="s">
        <v>4209</v>
      </c>
      <c r="C1047" s="334">
        <v>336214</v>
      </c>
      <c r="D1047" s="335" t="s">
        <v>4207</v>
      </c>
    </row>
    <row r="1048" spans="1:4" ht="17.25" customHeight="1" x14ac:dyDescent="0.35">
      <c r="A1048" s="344">
        <v>3799</v>
      </c>
      <c r="B1048" s="337" t="s">
        <v>4209</v>
      </c>
      <c r="C1048" s="338">
        <v>336390</v>
      </c>
      <c r="D1048" s="339" t="s">
        <v>3947</v>
      </c>
    </row>
    <row r="1049" spans="1:4" ht="34.5" customHeight="1" x14ac:dyDescent="0.35">
      <c r="A1049" s="345">
        <v>3799</v>
      </c>
      <c r="B1049" s="333" t="s">
        <v>4209</v>
      </c>
      <c r="C1049" s="334">
        <v>336999</v>
      </c>
      <c r="D1049" s="341" t="s">
        <v>4210</v>
      </c>
    </row>
    <row r="1050" spans="1:4" ht="43.5" customHeight="1" x14ac:dyDescent="0.35">
      <c r="A1050" s="344">
        <v>3812</v>
      </c>
      <c r="B1050" s="337" t="s">
        <v>4211</v>
      </c>
      <c r="C1050" s="338">
        <v>334511</v>
      </c>
      <c r="D1050" s="340" t="s">
        <v>4212</v>
      </c>
    </row>
    <row r="1051" spans="1:4" ht="17.25" customHeight="1" x14ac:dyDescent="0.35">
      <c r="A1051" s="344">
        <v>3821</v>
      </c>
      <c r="B1051" s="337" t="s">
        <v>4213</v>
      </c>
      <c r="C1051" s="338">
        <v>333249</v>
      </c>
      <c r="D1051" s="339" t="s">
        <v>3665</v>
      </c>
    </row>
    <row r="1052" spans="1:4" ht="43.5" customHeight="1" x14ac:dyDescent="0.35">
      <c r="A1052" s="344">
        <v>3821</v>
      </c>
      <c r="B1052" s="337" t="s">
        <v>4213</v>
      </c>
      <c r="C1052" s="338">
        <v>333415</v>
      </c>
      <c r="D1052" s="340" t="s">
        <v>3638</v>
      </c>
    </row>
    <row r="1053" spans="1:4" ht="34.5" customHeight="1" x14ac:dyDescent="0.35">
      <c r="A1053" s="345">
        <v>3821</v>
      </c>
      <c r="B1053" s="333" t="s">
        <v>4213</v>
      </c>
      <c r="C1053" s="334">
        <v>333994</v>
      </c>
      <c r="D1053" s="341" t="s">
        <v>3666</v>
      </c>
    </row>
    <row r="1054" spans="1:4" ht="17.25" customHeight="1" x14ac:dyDescent="0.35">
      <c r="A1054" s="345">
        <v>3821</v>
      </c>
      <c r="B1054" s="333" t="s">
        <v>4213</v>
      </c>
      <c r="C1054" s="334">
        <v>333997</v>
      </c>
      <c r="D1054" s="335" t="s">
        <v>3667</v>
      </c>
    </row>
    <row r="1055" spans="1:4" ht="34.5" customHeight="1" x14ac:dyDescent="0.35">
      <c r="A1055" s="344">
        <v>3821</v>
      </c>
      <c r="B1055" s="337" t="s">
        <v>4213</v>
      </c>
      <c r="C1055" s="338">
        <v>333999</v>
      </c>
      <c r="D1055" s="340" t="s">
        <v>3668</v>
      </c>
    </row>
    <row r="1056" spans="1:4" ht="17.25" customHeight="1" x14ac:dyDescent="0.35">
      <c r="A1056" s="345">
        <v>3821</v>
      </c>
      <c r="B1056" s="333" t="s">
        <v>4213</v>
      </c>
      <c r="C1056" s="334">
        <v>337127</v>
      </c>
      <c r="D1056" s="335" t="s">
        <v>3657</v>
      </c>
    </row>
    <row r="1057" spans="1:4" ht="34.5" customHeight="1" x14ac:dyDescent="0.35">
      <c r="A1057" s="344">
        <v>3821</v>
      </c>
      <c r="B1057" s="337" t="s">
        <v>4213</v>
      </c>
      <c r="C1057" s="338">
        <v>339113</v>
      </c>
      <c r="D1057" s="340" t="s">
        <v>3640</v>
      </c>
    </row>
    <row r="1058" spans="1:4" ht="43.5" customHeight="1" x14ac:dyDescent="0.35">
      <c r="A1058" s="345">
        <v>3822</v>
      </c>
      <c r="B1058" s="333" t="s">
        <v>4214</v>
      </c>
      <c r="C1058" s="334">
        <v>334512</v>
      </c>
      <c r="D1058" s="341" t="s">
        <v>4215</v>
      </c>
    </row>
    <row r="1059" spans="1:4" ht="57.75" customHeight="1" x14ac:dyDescent="0.35">
      <c r="A1059" s="344">
        <v>3823</v>
      </c>
      <c r="B1059" s="337" t="s">
        <v>4216</v>
      </c>
      <c r="C1059" s="338">
        <v>334513</v>
      </c>
      <c r="D1059" s="340" t="s">
        <v>4217</v>
      </c>
    </row>
    <row r="1060" spans="1:4" ht="34.5" customHeight="1" x14ac:dyDescent="0.35">
      <c r="A1060" s="345">
        <v>3824</v>
      </c>
      <c r="B1060" s="333" t="s">
        <v>4218</v>
      </c>
      <c r="C1060" s="334">
        <v>334514</v>
      </c>
      <c r="D1060" s="341" t="s">
        <v>4219</v>
      </c>
    </row>
    <row r="1061" spans="1:4" ht="34.5" customHeight="1" x14ac:dyDescent="0.35">
      <c r="A1061" s="344">
        <v>3825</v>
      </c>
      <c r="B1061" s="337" t="s">
        <v>4220</v>
      </c>
      <c r="C1061" s="338">
        <v>334514</v>
      </c>
      <c r="D1061" s="340" t="s">
        <v>4219</v>
      </c>
    </row>
    <row r="1062" spans="1:4" ht="43.5" customHeight="1" x14ac:dyDescent="0.35">
      <c r="A1062" s="344">
        <v>3825</v>
      </c>
      <c r="B1062" s="337" t="s">
        <v>4220</v>
      </c>
      <c r="C1062" s="338">
        <v>334515</v>
      </c>
      <c r="D1062" s="340" t="s">
        <v>4221</v>
      </c>
    </row>
    <row r="1063" spans="1:4" ht="34.5" customHeight="1" x14ac:dyDescent="0.35">
      <c r="A1063" s="345">
        <v>3826</v>
      </c>
      <c r="B1063" s="333" t="s">
        <v>4222</v>
      </c>
      <c r="C1063" s="334">
        <v>334516</v>
      </c>
      <c r="D1063" s="341" t="s">
        <v>4223</v>
      </c>
    </row>
    <row r="1064" spans="1:4" ht="17.25" customHeight="1" x14ac:dyDescent="0.35">
      <c r="A1064" s="344">
        <v>3827</v>
      </c>
      <c r="B1064" s="337" t="s">
        <v>4224</v>
      </c>
      <c r="C1064" s="338">
        <v>333314</v>
      </c>
      <c r="D1064" s="339" t="s">
        <v>4225</v>
      </c>
    </row>
    <row r="1065" spans="1:4" ht="34.5" customHeight="1" x14ac:dyDescent="0.35">
      <c r="A1065" s="345">
        <v>3829</v>
      </c>
      <c r="B1065" s="333" t="s">
        <v>4226</v>
      </c>
      <c r="C1065" s="334">
        <v>334514</v>
      </c>
      <c r="D1065" s="341" t="s">
        <v>4219</v>
      </c>
    </row>
    <row r="1066" spans="1:4" ht="34.5" customHeight="1" x14ac:dyDescent="0.35">
      <c r="A1066" s="344">
        <v>3829</v>
      </c>
      <c r="B1066" s="337" t="s">
        <v>4226</v>
      </c>
      <c r="C1066" s="338">
        <v>334519</v>
      </c>
      <c r="D1066" s="340" t="s">
        <v>3946</v>
      </c>
    </row>
    <row r="1067" spans="1:4" ht="34.5" customHeight="1" x14ac:dyDescent="0.35">
      <c r="A1067" s="345">
        <v>3829</v>
      </c>
      <c r="B1067" s="333" t="s">
        <v>4226</v>
      </c>
      <c r="C1067" s="334">
        <v>334519</v>
      </c>
      <c r="D1067" s="341" t="s">
        <v>3946</v>
      </c>
    </row>
    <row r="1068" spans="1:4" ht="34.5" customHeight="1" x14ac:dyDescent="0.35">
      <c r="A1068" s="344">
        <v>3829</v>
      </c>
      <c r="B1068" s="337" t="s">
        <v>4226</v>
      </c>
      <c r="C1068" s="338">
        <v>339112</v>
      </c>
      <c r="D1068" s="340" t="s">
        <v>4227</v>
      </c>
    </row>
    <row r="1069" spans="1:4" ht="34.5" customHeight="1" x14ac:dyDescent="0.35">
      <c r="A1069" s="344">
        <v>3841</v>
      </c>
      <c r="B1069" s="337" t="s">
        <v>4228</v>
      </c>
      <c r="C1069" s="338">
        <v>332994</v>
      </c>
      <c r="D1069" s="340" t="s">
        <v>3990</v>
      </c>
    </row>
    <row r="1070" spans="1:4" ht="17.25" customHeight="1" x14ac:dyDescent="0.35">
      <c r="A1070" s="345">
        <v>3841</v>
      </c>
      <c r="B1070" s="333" t="s">
        <v>4228</v>
      </c>
      <c r="C1070" s="334">
        <v>333249</v>
      </c>
      <c r="D1070" s="335" t="s">
        <v>3665</v>
      </c>
    </row>
    <row r="1071" spans="1:4" ht="43.5" customHeight="1" x14ac:dyDescent="0.35">
      <c r="A1071" s="345">
        <v>3841</v>
      </c>
      <c r="B1071" s="333" t="s">
        <v>4228</v>
      </c>
      <c r="C1071" s="334">
        <v>333415</v>
      </c>
      <c r="D1071" s="341" t="s">
        <v>3961</v>
      </c>
    </row>
    <row r="1072" spans="1:4" ht="34.5" customHeight="1" x14ac:dyDescent="0.35">
      <c r="A1072" s="344">
        <v>3841</v>
      </c>
      <c r="B1072" s="337" t="s">
        <v>4228</v>
      </c>
      <c r="C1072" s="338">
        <v>333994</v>
      </c>
      <c r="D1072" s="340" t="s">
        <v>3666</v>
      </c>
    </row>
    <row r="1073" spans="1:4" ht="17.25" customHeight="1" x14ac:dyDescent="0.35">
      <c r="A1073" s="344">
        <v>3841</v>
      </c>
      <c r="B1073" s="337" t="s">
        <v>4228</v>
      </c>
      <c r="C1073" s="338">
        <v>333997</v>
      </c>
      <c r="D1073" s="339" t="s">
        <v>3667</v>
      </c>
    </row>
    <row r="1074" spans="1:4" ht="34.5" customHeight="1" x14ac:dyDescent="0.35">
      <c r="A1074" s="345">
        <v>3841</v>
      </c>
      <c r="B1074" s="333" t="s">
        <v>4228</v>
      </c>
      <c r="C1074" s="334">
        <v>333999</v>
      </c>
      <c r="D1074" s="341" t="s">
        <v>3668</v>
      </c>
    </row>
    <row r="1075" spans="1:4" ht="17.25" customHeight="1" x14ac:dyDescent="0.35">
      <c r="A1075" s="344">
        <v>3841</v>
      </c>
      <c r="B1075" s="337" t="s">
        <v>4228</v>
      </c>
      <c r="C1075" s="338">
        <v>337127</v>
      </c>
      <c r="D1075" s="339" t="s">
        <v>3657</v>
      </c>
    </row>
    <row r="1076" spans="1:4" ht="34.5" customHeight="1" x14ac:dyDescent="0.35">
      <c r="A1076" s="345">
        <v>3841</v>
      </c>
      <c r="B1076" s="333" t="s">
        <v>4228</v>
      </c>
      <c r="C1076" s="334">
        <v>339112</v>
      </c>
      <c r="D1076" s="341" t="s">
        <v>4227</v>
      </c>
    </row>
    <row r="1077" spans="1:4" ht="34.5" customHeight="1" x14ac:dyDescent="0.35">
      <c r="A1077" s="345">
        <v>3841</v>
      </c>
      <c r="B1077" s="333" t="s">
        <v>4228</v>
      </c>
      <c r="C1077" s="334">
        <v>339113</v>
      </c>
      <c r="D1077" s="341" t="s">
        <v>3640</v>
      </c>
    </row>
    <row r="1078" spans="1:4" ht="17.25" customHeight="1" x14ac:dyDescent="0.35">
      <c r="A1078" s="345">
        <v>3842</v>
      </c>
      <c r="B1078" s="333" t="s">
        <v>4229</v>
      </c>
      <c r="C1078" s="334">
        <v>322291</v>
      </c>
      <c r="D1078" s="335" t="s">
        <v>3693</v>
      </c>
    </row>
    <row r="1079" spans="1:4" ht="34.5" customHeight="1" x14ac:dyDescent="0.35">
      <c r="A1079" s="344">
        <v>3842</v>
      </c>
      <c r="B1079" s="337" t="s">
        <v>4229</v>
      </c>
      <c r="C1079" s="338">
        <v>334510</v>
      </c>
      <c r="D1079" s="340" t="s">
        <v>4230</v>
      </c>
    </row>
    <row r="1080" spans="1:4" ht="34.5" customHeight="1" x14ac:dyDescent="0.35">
      <c r="A1080" s="344">
        <v>3842</v>
      </c>
      <c r="B1080" s="337" t="s">
        <v>4229</v>
      </c>
      <c r="C1080" s="338">
        <v>339113</v>
      </c>
      <c r="D1080" s="340" t="s">
        <v>3640</v>
      </c>
    </row>
    <row r="1081" spans="1:4" ht="17.25" customHeight="1" x14ac:dyDescent="0.35">
      <c r="A1081" s="344">
        <v>3842</v>
      </c>
      <c r="B1081" s="337" t="s">
        <v>4229</v>
      </c>
      <c r="C1081" s="338">
        <v>339999</v>
      </c>
      <c r="D1081" s="339" t="s">
        <v>3641</v>
      </c>
    </row>
    <row r="1082" spans="1:4" ht="34.5" customHeight="1" x14ac:dyDescent="0.35">
      <c r="A1082" s="345">
        <v>3843</v>
      </c>
      <c r="B1082" s="333" t="s">
        <v>4231</v>
      </c>
      <c r="C1082" s="334">
        <v>339114</v>
      </c>
      <c r="D1082" s="341" t="s">
        <v>4232</v>
      </c>
    </row>
    <row r="1083" spans="1:4" ht="17.25" customHeight="1" x14ac:dyDescent="0.35">
      <c r="A1083" s="344">
        <v>3844</v>
      </c>
      <c r="B1083" s="337" t="s">
        <v>4233</v>
      </c>
      <c r="C1083" s="338">
        <v>334517</v>
      </c>
      <c r="D1083" s="339" t="s">
        <v>4234</v>
      </c>
    </row>
    <row r="1084" spans="1:4" ht="34.5" customHeight="1" x14ac:dyDescent="0.35">
      <c r="A1084" s="345">
        <v>3845</v>
      </c>
      <c r="B1084" s="333" t="s">
        <v>4235</v>
      </c>
      <c r="C1084" s="334">
        <v>334510</v>
      </c>
      <c r="D1084" s="341" t="s">
        <v>4230</v>
      </c>
    </row>
    <row r="1085" spans="1:4" ht="17.25" customHeight="1" x14ac:dyDescent="0.35">
      <c r="A1085" s="345">
        <v>3845</v>
      </c>
      <c r="B1085" s="333" t="s">
        <v>4235</v>
      </c>
      <c r="C1085" s="334">
        <v>334517</v>
      </c>
      <c r="D1085" s="335" t="s">
        <v>4234</v>
      </c>
    </row>
    <row r="1086" spans="1:4" ht="34.5" customHeight="1" x14ac:dyDescent="0.35">
      <c r="A1086" s="345">
        <v>3851</v>
      </c>
      <c r="B1086" s="333" t="s">
        <v>4236</v>
      </c>
      <c r="C1086" s="334">
        <v>339113</v>
      </c>
      <c r="D1086" s="341" t="s">
        <v>3640</v>
      </c>
    </row>
    <row r="1087" spans="1:4" ht="17.25" customHeight="1" x14ac:dyDescent="0.35">
      <c r="A1087" s="344">
        <v>3851</v>
      </c>
      <c r="B1087" s="337" t="s">
        <v>4236</v>
      </c>
      <c r="C1087" s="338">
        <v>339115</v>
      </c>
      <c r="D1087" s="339" t="s">
        <v>4237</v>
      </c>
    </row>
    <row r="1088" spans="1:4" ht="34.5" customHeight="1" x14ac:dyDescent="0.35">
      <c r="A1088" s="345">
        <v>3861</v>
      </c>
      <c r="B1088" s="333" t="s">
        <v>4238</v>
      </c>
      <c r="C1088" s="334">
        <v>325992</v>
      </c>
      <c r="D1088" s="341" t="s">
        <v>4239</v>
      </c>
    </row>
    <row r="1089" spans="1:4" ht="34.5" customHeight="1" x14ac:dyDescent="0.35">
      <c r="A1089" s="345">
        <v>3861</v>
      </c>
      <c r="B1089" s="333" t="s">
        <v>4238</v>
      </c>
      <c r="C1089" s="334">
        <v>333316</v>
      </c>
      <c r="D1089" s="341" t="s">
        <v>4081</v>
      </c>
    </row>
    <row r="1090" spans="1:4" ht="34.5" customHeight="1" x14ac:dyDescent="0.35">
      <c r="A1090" s="344">
        <v>3873</v>
      </c>
      <c r="B1090" s="337" t="s">
        <v>4240</v>
      </c>
      <c r="C1090" s="338">
        <v>334519</v>
      </c>
      <c r="D1090" s="340" t="s">
        <v>3946</v>
      </c>
    </row>
    <row r="1091" spans="1:4" ht="17.25" customHeight="1" x14ac:dyDescent="0.35">
      <c r="A1091" s="345">
        <v>3911</v>
      </c>
      <c r="B1091" s="333" t="s">
        <v>4241</v>
      </c>
      <c r="C1091" s="334">
        <v>339910</v>
      </c>
      <c r="D1091" s="335" t="s">
        <v>3836</v>
      </c>
    </row>
    <row r="1092" spans="1:4" ht="42.75" customHeight="1" x14ac:dyDescent="0.35">
      <c r="A1092" s="344">
        <v>3914</v>
      </c>
      <c r="B1092" s="337" t="s">
        <v>4242</v>
      </c>
      <c r="C1092" s="338">
        <v>332215</v>
      </c>
      <c r="D1092" s="340" t="s">
        <v>4001</v>
      </c>
    </row>
    <row r="1093" spans="1:4" ht="34.5" customHeight="1" x14ac:dyDescent="0.35">
      <c r="A1093" s="344">
        <v>3914</v>
      </c>
      <c r="B1093" s="337" t="s">
        <v>4242</v>
      </c>
      <c r="C1093" s="338">
        <v>332999</v>
      </c>
      <c r="D1093" s="340" t="s">
        <v>3875</v>
      </c>
    </row>
    <row r="1094" spans="1:4" ht="17.25" customHeight="1" x14ac:dyDescent="0.35">
      <c r="A1094" s="344">
        <v>3914</v>
      </c>
      <c r="B1094" s="337" t="s">
        <v>4242</v>
      </c>
      <c r="C1094" s="338">
        <v>339910</v>
      </c>
      <c r="D1094" s="339" t="s">
        <v>3836</v>
      </c>
    </row>
    <row r="1095" spans="1:4" ht="34.5" customHeight="1" x14ac:dyDescent="0.35">
      <c r="A1095" s="345">
        <v>3915</v>
      </c>
      <c r="B1095" s="333" t="s">
        <v>4243</v>
      </c>
      <c r="C1095" s="334">
        <v>334519</v>
      </c>
      <c r="D1095" s="341" t="s">
        <v>3946</v>
      </c>
    </row>
    <row r="1096" spans="1:4" ht="17.25" customHeight="1" x14ac:dyDescent="0.35">
      <c r="A1096" s="345">
        <v>3915</v>
      </c>
      <c r="B1096" s="333" t="s">
        <v>4243</v>
      </c>
      <c r="C1096" s="334">
        <v>339910</v>
      </c>
      <c r="D1096" s="335" t="s">
        <v>3836</v>
      </c>
    </row>
    <row r="1097" spans="1:4" ht="17.25" customHeight="1" x14ac:dyDescent="0.35">
      <c r="A1097" s="345">
        <v>3931</v>
      </c>
      <c r="B1097" s="333" t="s">
        <v>4244</v>
      </c>
      <c r="C1097" s="334">
        <v>339992</v>
      </c>
      <c r="D1097" s="335" t="s">
        <v>4245</v>
      </c>
    </row>
    <row r="1098" spans="1:4" ht="17.25" customHeight="1" x14ac:dyDescent="0.35">
      <c r="A1098" s="344">
        <v>3942</v>
      </c>
      <c r="B1098" s="337" t="s">
        <v>4246</v>
      </c>
      <c r="C1098" s="338">
        <v>339930</v>
      </c>
      <c r="D1098" s="339" t="s">
        <v>3803</v>
      </c>
    </row>
    <row r="1099" spans="1:4" ht="34.5" customHeight="1" x14ac:dyDescent="0.35">
      <c r="A1099" s="344">
        <v>3944</v>
      </c>
      <c r="B1099" s="337" t="s">
        <v>4247</v>
      </c>
      <c r="C1099" s="338">
        <v>336991</v>
      </c>
      <c r="D1099" s="340" t="s">
        <v>4196</v>
      </c>
    </row>
    <row r="1100" spans="1:4" ht="17.25" customHeight="1" x14ac:dyDescent="0.35">
      <c r="A1100" s="345">
        <v>3944</v>
      </c>
      <c r="B1100" s="333" t="s">
        <v>4247</v>
      </c>
      <c r="C1100" s="334">
        <v>339930</v>
      </c>
      <c r="D1100" s="335" t="s">
        <v>3803</v>
      </c>
    </row>
    <row r="1101" spans="1:4" ht="28.75" customHeight="1" x14ac:dyDescent="0.35">
      <c r="A1101" s="344">
        <v>3949</v>
      </c>
      <c r="B1101" s="337" t="s">
        <v>4248</v>
      </c>
      <c r="C1101" s="338">
        <v>339920</v>
      </c>
      <c r="D1101" s="339" t="s">
        <v>3802</v>
      </c>
    </row>
    <row r="1102" spans="1:4" ht="34.5" customHeight="1" x14ac:dyDescent="0.35">
      <c r="A1102" s="345">
        <v>3951</v>
      </c>
      <c r="B1102" s="333" t="s">
        <v>4249</v>
      </c>
      <c r="C1102" s="334">
        <v>339940</v>
      </c>
      <c r="D1102" s="341" t="s">
        <v>3658</v>
      </c>
    </row>
    <row r="1103" spans="1:4" ht="34.5" customHeight="1" x14ac:dyDescent="0.35">
      <c r="A1103" s="345">
        <v>3952</v>
      </c>
      <c r="B1103" s="333" t="s">
        <v>4250</v>
      </c>
      <c r="C1103" s="334">
        <v>325998</v>
      </c>
      <c r="D1103" s="341" t="s">
        <v>3729</v>
      </c>
    </row>
    <row r="1104" spans="1:4" ht="17.25" customHeight="1" x14ac:dyDescent="0.35">
      <c r="A1104" s="345">
        <v>3952</v>
      </c>
      <c r="B1104" s="333" t="s">
        <v>4250</v>
      </c>
      <c r="C1104" s="334">
        <v>337127</v>
      </c>
      <c r="D1104" s="335" t="s">
        <v>3657</v>
      </c>
    </row>
    <row r="1105" spans="1:4" ht="34.5" customHeight="1" x14ac:dyDescent="0.35">
      <c r="A1105" s="344">
        <v>3952</v>
      </c>
      <c r="B1105" s="337" t="s">
        <v>4250</v>
      </c>
      <c r="C1105" s="338">
        <v>339940</v>
      </c>
      <c r="D1105" s="340" t="s">
        <v>3658</v>
      </c>
    </row>
    <row r="1106" spans="1:4" ht="34.5" customHeight="1" x14ac:dyDescent="0.35">
      <c r="A1106" s="345">
        <v>3953</v>
      </c>
      <c r="B1106" s="333" t="s">
        <v>4251</v>
      </c>
      <c r="C1106" s="334">
        <v>339940</v>
      </c>
      <c r="D1106" s="341" t="s">
        <v>3658</v>
      </c>
    </row>
    <row r="1107" spans="1:4" ht="34.5" customHeight="1" x14ac:dyDescent="0.35">
      <c r="A1107" s="344">
        <v>3955</v>
      </c>
      <c r="B1107" s="337" t="s">
        <v>4252</v>
      </c>
      <c r="C1107" s="338">
        <v>339940</v>
      </c>
      <c r="D1107" s="340" t="s">
        <v>3658</v>
      </c>
    </row>
    <row r="1108" spans="1:4" ht="17.25" customHeight="1" x14ac:dyDescent="0.35">
      <c r="A1108" s="344">
        <v>3961</v>
      </c>
      <c r="B1108" s="337" t="s">
        <v>4253</v>
      </c>
      <c r="C1108" s="338">
        <v>339910</v>
      </c>
      <c r="D1108" s="339" t="s">
        <v>3836</v>
      </c>
    </row>
    <row r="1109" spans="1:4" ht="34.5" customHeight="1" x14ac:dyDescent="0.35">
      <c r="A1109" s="345">
        <v>3961</v>
      </c>
      <c r="B1109" s="333" t="s">
        <v>4253</v>
      </c>
      <c r="C1109" s="334">
        <v>339993</v>
      </c>
      <c r="D1109" s="341" t="s">
        <v>3826</v>
      </c>
    </row>
    <row r="1110" spans="1:4" ht="34.5" customHeight="1" x14ac:dyDescent="0.35">
      <c r="A1110" s="344">
        <v>3965</v>
      </c>
      <c r="B1110" s="337" t="s">
        <v>4254</v>
      </c>
      <c r="C1110" s="338">
        <v>339993</v>
      </c>
      <c r="D1110" s="340" t="s">
        <v>3826</v>
      </c>
    </row>
    <row r="1111" spans="1:4" ht="17.25" customHeight="1" x14ac:dyDescent="0.35">
      <c r="A1111" s="344">
        <v>3991</v>
      </c>
      <c r="B1111" s="337" t="s">
        <v>4255</v>
      </c>
      <c r="C1111" s="338">
        <v>339994</v>
      </c>
      <c r="D1111" s="339" t="s">
        <v>3596</v>
      </c>
    </row>
    <row r="1112" spans="1:4" ht="17.25" customHeight="1" x14ac:dyDescent="0.35">
      <c r="A1112" s="344">
        <v>3993</v>
      </c>
      <c r="B1112" s="337" t="s">
        <v>4256</v>
      </c>
      <c r="C1112" s="338">
        <v>323113</v>
      </c>
      <c r="D1112" s="339" t="s">
        <v>3601</v>
      </c>
    </row>
    <row r="1113" spans="1:4" ht="17.25" customHeight="1" x14ac:dyDescent="0.35">
      <c r="A1113" s="345">
        <v>3993</v>
      </c>
      <c r="B1113" s="333" t="s">
        <v>4256</v>
      </c>
      <c r="C1113" s="334">
        <v>339950</v>
      </c>
      <c r="D1113" s="335" t="s">
        <v>4257</v>
      </c>
    </row>
    <row r="1114" spans="1:4" ht="17.25" customHeight="1" x14ac:dyDescent="0.35">
      <c r="A1114" s="345">
        <v>3995</v>
      </c>
      <c r="B1114" s="333" t="s">
        <v>4258</v>
      </c>
      <c r="C1114" s="334">
        <v>339995</v>
      </c>
      <c r="D1114" s="335" t="s">
        <v>4259</v>
      </c>
    </row>
    <row r="1115" spans="1:4" ht="17.25" customHeight="1" x14ac:dyDescent="0.35">
      <c r="A1115" s="344">
        <v>3996</v>
      </c>
      <c r="B1115" s="337" t="s">
        <v>4260</v>
      </c>
      <c r="C1115" s="338">
        <v>326199</v>
      </c>
      <c r="D1115" s="339" t="s">
        <v>3800</v>
      </c>
    </row>
    <row r="1116" spans="1:4" ht="17.25" customHeight="1" x14ac:dyDescent="0.35">
      <c r="A1116" s="344">
        <v>3999</v>
      </c>
      <c r="B1116" s="337" t="s">
        <v>4261</v>
      </c>
      <c r="C1116" s="338">
        <v>316110</v>
      </c>
      <c r="D1116" s="339" t="s">
        <v>3823</v>
      </c>
    </row>
    <row r="1117" spans="1:4" ht="34.5" customHeight="1" x14ac:dyDescent="0.35">
      <c r="A1117" s="345">
        <v>3999</v>
      </c>
      <c r="B1117" s="333" t="s">
        <v>4261</v>
      </c>
      <c r="C1117" s="334">
        <v>321999</v>
      </c>
      <c r="D1117" s="341" t="s">
        <v>3611</v>
      </c>
    </row>
    <row r="1118" spans="1:4" ht="34.5" customHeight="1" x14ac:dyDescent="0.35">
      <c r="A1118" s="344">
        <v>3999</v>
      </c>
      <c r="B1118" s="337" t="s">
        <v>4261</v>
      </c>
      <c r="C1118" s="338">
        <v>325998</v>
      </c>
      <c r="D1118" s="340" t="s">
        <v>3729</v>
      </c>
    </row>
    <row r="1119" spans="1:4" ht="17.25" customHeight="1" x14ac:dyDescent="0.35">
      <c r="A1119" s="345">
        <v>3999</v>
      </c>
      <c r="B1119" s="333" t="s">
        <v>4261</v>
      </c>
      <c r="C1119" s="334">
        <v>326199</v>
      </c>
      <c r="D1119" s="335" t="s">
        <v>3800</v>
      </c>
    </row>
    <row r="1120" spans="1:4" ht="43.5" customHeight="1" x14ac:dyDescent="0.35">
      <c r="A1120" s="345">
        <v>3999</v>
      </c>
      <c r="B1120" s="333" t="s">
        <v>4261</v>
      </c>
      <c r="C1120" s="334">
        <v>332215</v>
      </c>
      <c r="D1120" s="341" t="s">
        <v>4001</v>
      </c>
    </row>
    <row r="1121" spans="1:4" ht="17.25" customHeight="1" x14ac:dyDescent="0.35">
      <c r="A1121" s="345">
        <v>3999</v>
      </c>
      <c r="B1121" s="333" t="s">
        <v>4261</v>
      </c>
      <c r="C1121" s="334">
        <v>332216</v>
      </c>
      <c r="D1121" s="335" t="s">
        <v>3938</v>
      </c>
    </row>
    <row r="1122" spans="1:4" ht="43.5" customHeight="1" x14ac:dyDescent="0.35">
      <c r="A1122" s="345">
        <v>3999</v>
      </c>
      <c r="B1122" s="333" t="s">
        <v>4261</v>
      </c>
      <c r="C1122" s="334">
        <v>332812</v>
      </c>
      <c r="D1122" s="341" t="s">
        <v>3984</v>
      </c>
    </row>
    <row r="1123" spans="1:4" ht="34.5" customHeight="1" x14ac:dyDescent="0.35">
      <c r="A1123" s="345">
        <v>3999</v>
      </c>
      <c r="B1123" s="333" t="s">
        <v>4261</v>
      </c>
      <c r="C1123" s="334">
        <v>332999</v>
      </c>
      <c r="D1123" s="341" t="s">
        <v>3875</v>
      </c>
    </row>
    <row r="1124" spans="1:4" ht="34.5" customHeight="1" x14ac:dyDescent="0.35">
      <c r="A1124" s="345">
        <v>3999</v>
      </c>
      <c r="B1124" s="333" t="s">
        <v>4261</v>
      </c>
      <c r="C1124" s="334">
        <v>333318</v>
      </c>
      <c r="D1124" s="341" t="s">
        <v>4056</v>
      </c>
    </row>
    <row r="1125" spans="1:4" ht="34.5" customHeight="1" x14ac:dyDescent="0.35">
      <c r="A1125" s="345">
        <v>3999</v>
      </c>
      <c r="B1125" s="333" t="s">
        <v>4261</v>
      </c>
      <c r="C1125" s="334">
        <v>335121</v>
      </c>
      <c r="D1125" s="341" t="s">
        <v>4126</v>
      </c>
    </row>
    <row r="1126" spans="1:4" ht="17.25" customHeight="1" x14ac:dyDescent="0.35">
      <c r="A1126" s="344">
        <v>3999</v>
      </c>
      <c r="B1126" s="337" t="s">
        <v>4261</v>
      </c>
      <c r="C1126" s="338">
        <v>335210</v>
      </c>
      <c r="D1126" s="339" t="s">
        <v>4116</v>
      </c>
    </row>
    <row r="1127" spans="1:4" ht="17.25" customHeight="1" x14ac:dyDescent="0.35">
      <c r="A1127" s="344">
        <v>3999</v>
      </c>
      <c r="B1127" s="337" t="s">
        <v>4261</v>
      </c>
      <c r="C1127" s="338">
        <v>336612</v>
      </c>
      <c r="D1127" s="339" t="s">
        <v>3801</v>
      </c>
    </row>
    <row r="1128" spans="1:4" ht="17.25" customHeight="1" x14ac:dyDescent="0.35">
      <c r="A1128" s="344">
        <v>3999</v>
      </c>
      <c r="B1128" s="337" t="s">
        <v>4261</v>
      </c>
      <c r="C1128" s="338">
        <v>337127</v>
      </c>
      <c r="D1128" s="339" t="s">
        <v>3657</v>
      </c>
    </row>
    <row r="1129" spans="1:4" ht="17.25" customHeight="1" x14ac:dyDescent="0.35">
      <c r="A1129" s="344">
        <v>3999</v>
      </c>
      <c r="B1129" s="337" t="s">
        <v>4261</v>
      </c>
      <c r="C1129" s="338">
        <v>339930</v>
      </c>
      <c r="D1129" s="339" t="s">
        <v>3803</v>
      </c>
    </row>
    <row r="1130" spans="1:4" ht="17.25" customHeight="1" x14ac:dyDescent="0.35">
      <c r="A1130" s="345">
        <v>3999</v>
      </c>
      <c r="B1130" s="333" t="s">
        <v>4261</v>
      </c>
      <c r="C1130" s="334">
        <v>339999</v>
      </c>
      <c r="D1130" s="335" t="s">
        <v>3641</v>
      </c>
    </row>
    <row r="1131" spans="1:4" ht="17.25" customHeight="1" x14ac:dyDescent="0.35">
      <c r="A1131" s="344">
        <v>4011</v>
      </c>
      <c r="B1131" s="337" t="s">
        <v>4262</v>
      </c>
      <c r="C1131" s="338">
        <v>482111</v>
      </c>
      <c r="D1131" s="339" t="s">
        <v>4263</v>
      </c>
    </row>
    <row r="1132" spans="1:4" ht="17.25" customHeight="1" x14ac:dyDescent="0.35">
      <c r="A1132" s="345">
        <v>4013</v>
      </c>
      <c r="B1132" s="333" t="s">
        <v>4264</v>
      </c>
      <c r="C1132" s="334">
        <v>482112</v>
      </c>
      <c r="D1132" s="335" t="s">
        <v>4265</v>
      </c>
    </row>
    <row r="1133" spans="1:4" ht="17.25" customHeight="1" x14ac:dyDescent="0.35">
      <c r="A1133" s="345">
        <v>4013</v>
      </c>
      <c r="B1133" s="333" t="s">
        <v>4264</v>
      </c>
      <c r="C1133" s="334">
        <v>488210</v>
      </c>
      <c r="D1133" s="335" t="s">
        <v>4266</v>
      </c>
    </row>
    <row r="1134" spans="1:4" ht="17.25" customHeight="1" x14ac:dyDescent="0.35">
      <c r="A1134" s="344">
        <v>4111</v>
      </c>
      <c r="B1134" s="337" t="s">
        <v>4267</v>
      </c>
      <c r="C1134" s="338">
        <v>485111</v>
      </c>
      <c r="D1134" s="339" t="s">
        <v>4268</v>
      </c>
    </row>
    <row r="1135" spans="1:4" ht="17.25" customHeight="1" x14ac:dyDescent="0.35">
      <c r="A1135" s="345">
        <v>4111</v>
      </c>
      <c r="B1135" s="333" t="s">
        <v>4267</v>
      </c>
      <c r="C1135" s="334">
        <v>485112</v>
      </c>
      <c r="D1135" s="335" t="s">
        <v>4269</v>
      </c>
    </row>
    <row r="1136" spans="1:4" ht="34.5" customHeight="1" x14ac:dyDescent="0.35">
      <c r="A1136" s="344">
        <v>4111</v>
      </c>
      <c r="B1136" s="337" t="s">
        <v>4267</v>
      </c>
      <c r="C1136" s="338">
        <v>485113</v>
      </c>
      <c r="D1136" s="340" t="s">
        <v>4270</v>
      </c>
    </row>
    <row r="1137" spans="1:4" ht="17.25" customHeight="1" x14ac:dyDescent="0.35">
      <c r="A1137" s="345">
        <v>4111</v>
      </c>
      <c r="B1137" s="333" t="s">
        <v>4267</v>
      </c>
      <c r="C1137" s="334">
        <v>485119</v>
      </c>
      <c r="D1137" s="335" t="s">
        <v>4271</v>
      </c>
    </row>
    <row r="1138" spans="1:4" ht="34.5" customHeight="1" x14ac:dyDescent="0.35">
      <c r="A1138" s="345">
        <v>4111</v>
      </c>
      <c r="B1138" s="333" t="s">
        <v>4267</v>
      </c>
      <c r="C1138" s="334">
        <v>485999</v>
      </c>
      <c r="D1138" s="341" t="s">
        <v>4272</v>
      </c>
    </row>
    <row r="1139" spans="1:4" ht="17.25" customHeight="1" x14ac:dyDescent="0.35">
      <c r="A1139" s="345">
        <v>4119</v>
      </c>
      <c r="B1139" s="333" t="s">
        <v>4273</v>
      </c>
      <c r="C1139" s="334">
        <v>485320</v>
      </c>
      <c r="D1139" s="335" t="s">
        <v>4274</v>
      </c>
    </row>
    <row r="1140" spans="1:4" ht="17.25" customHeight="1" x14ac:dyDescent="0.35">
      <c r="A1140" s="344">
        <v>4119</v>
      </c>
      <c r="B1140" s="337" t="s">
        <v>4273</v>
      </c>
      <c r="C1140" s="338">
        <v>485410</v>
      </c>
      <c r="D1140" s="339" t="s">
        <v>4275</v>
      </c>
    </row>
    <row r="1141" spans="1:4" ht="17.25" customHeight="1" x14ac:dyDescent="0.35">
      <c r="A1141" s="344">
        <v>4119</v>
      </c>
      <c r="B1141" s="337" t="s">
        <v>4273</v>
      </c>
      <c r="C1141" s="338">
        <v>485991</v>
      </c>
      <c r="D1141" s="339" t="s">
        <v>4276</v>
      </c>
    </row>
    <row r="1142" spans="1:4" ht="34.5" customHeight="1" x14ac:dyDescent="0.35">
      <c r="A1142" s="344">
        <v>4119</v>
      </c>
      <c r="B1142" s="337" t="s">
        <v>4273</v>
      </c>
      <c r="C1142" s="338">
        <v>485999</v>
      </c>
      <c r="D1142" s="340" t="s">
        <v>4272</v>
      </c>
    </row>
    <row r="1143" spans="1:4" ht="34.5" customHeight="1" x14ac:dyDescent="0.35">
      <c r="A1143" s="344">
        <v>4119</v>
      </c>
      <c r="B1143" s="337" t="s">
        <v>4273</v>
      </c>
      <c r="C1143" s="338">
        <v>487110</v>
      </c>
      <c r="D1143" s="340" t="s">
        <v>4277</v>
      </c>
    </row>
    <row r="1144" spans="1:4" ht="17.25" customHeight="1" x14ac:dyDescent="0.35">
      <c r="A1144" s="344">
        <v>4119</v>
      </c>
      <c r="B1144" s="337" t="s">
        <v>4273</v>
      </c>
      <c r="C1144" s="338">
        <v>621910</v>
      </c>
      <c r="D1144" s="339" t="s">
        <v>4278</v>
      </c>
    </row>
    <row r="1145" spans="1:4" ht="17.25" customHeight="1" x14ac:dyDescent="0.35">
      <c r="A1145" s="345">
        <v>4121</v>
      </c>
      <c r="B1145" s="333" t="s">
        <v>4279</v>
      </c>
      <c r="C1145" s="334">
        <v>485310</v>
      </c>
      <c r="D1145" s="335" t="s">
        <v>4280</v>
      </c>
    </row>
    <row r="1146" spans="1:4" ht="17.25" customHeight="1" x14ac:dyDescent="0.35">
      <c r="A1146" s="344">
        <v>4131</v>
      </c>
      <c r="B1146" s="337" t="s">
        <v>4281</v>
      </c>
      <c r="C1146" s="338">
        <v>485210</v>
      </c>
      <c r="D1146" s="339" t="s">
        <v>4282</v>
      </c>
    </row>
    <row r="1147" spans="1:4" ht="17.25" customHeight="1" x14ac:dyDescent="0.35">
      <c r="A1147" s="344">
        <v>4141</v>
      </c>
      <c r="B1147" s="337" t="s">
        <v>4283</v>
      </c>
      <c r="C1147" s="338">
        <v>485510</v>
      </c>
      <c r="D1147" s="339" t="s">
        <v>4284</v>
      </c>
    </row>
    <row r="1148" spans="1:4" ht="17.25" customHeight="1" x14ac:dyDescent="0.35">
      <c r="A1148" s="345">
        <v>4142</v>
      </c>
      <c r="B1148" s="333" t="s">
        <v>4285</v>
      </c>
      <c r="C1148" s="334">
        <v>485510</v>
      </c>
      <c r="D1148" s="335" t="s">
        <v>4284</v>
      </c>
    </row>
    <row r="1149" spans="1:4" ht="17.25" customHeight="1" x14ac:dyDescent="0.35">
      <c r="A1149" s="345">
        <v>4151</v>
      </c>
      <c r="B1149" s="333" t="s">
        <v>4286</v>
      </c>
      <c r="C1149" s="334">
        <v>485410</v>
      </c>
      <c r="D1149" s="335" t="s">
        <v>4275</v>
      </c>
    </row>
    <row r="1150" spans="1:4" ht="34.5" customHeight="1" x14ac:dyDescent="0.35">
      <c r="A1150" s="344">
        <v>4173</v>
      </c>
      <c r="B1150" s="337" t="s">
        <v>4287</v>
      </c>
      <c r="C1150" s="338">
        <v>488490</v>
      </c>
      <c r="D1150" s="340" t="s">
        <v>4288</v>
      </c>
    </row>
    <row r="1151" spans="1:4" ht="17.25" customHeight="1" x14ac:dyDescent="0.35">
      <c r="A1151" s="344">
        <v>4212</v>
      </c>
      <c r="B1151" s="337" t="s">
        <v>4289</v>
      </c>
      <c r="C1151" s="338">
        <v>484110</v>
      </c>
      <c r="D1151" s="339" t="s">
        <v>4290</v>
      </c>
    </row>
    <row r="1152" spans="1:4" ht="28.75" customHeight="1" x14ac:dyDescent="0.35">
      <c r="A1152" s="344">
        <v>4212</v>
      </c>
      <c r="B1152" s="337" t="s">
        <v>4289</v>
      </c>
      <c r="C1152" s="338">
        <v>484210</v>
      </c>
      <c r="D1152" s="339" t="s">
        <v>4291</v>
      </c>
    </row>
    <row r="1153" spans="1:4" ht="34.5" customHeight="1" x14ac:dyDescent="0.35">
      <c r="A1153" s="345">
        <v>4212</v>
      </c>
      <c r="B1153" s="333" t="s">
        <v>4289</v>
      </c>
      <c r="C1153" s="334">
        <v>484220</v>
      </c>
      <c r="D1153" s="341" t="s">
        <v>4292</v>
      </c>
    </row>
    <row r="1154" spans="1:4" ht="17.25" customHeight="1" x14ac:dyDescent="0.35">
      <c r="A1154" s="345">
        <v>4212</v>
      </c>
      <c r="B1154" s="333" t="s">
        <v>4289</v>
      </c>
      <c r="C1154" s="334">
        <v>562111</v>
      </c>
      <c r="D1154" s="335" t="s">
        <v>4293</v>
      </c>
    </row>
    <row r="1155" spans="1:4" ht="17.25" customHeight="1" x14ac:dyDescent="0.35">
      <c r="A1155" s="344">
        <v>4212</v>
      </c>
      <c r="B1155" s="337" t="s">
        <v>4289</v>
      </c>
      <c r="C1155" s="338">
        <v>562112</v>
      </c>
      <c r="D1155" s="339" t="s">
        <v>4294</v>
      </c>
    </row>
    <row r="1156" spans="1:4" ht="17.25" customHeight="1" x14ac:dyDescent="0.35">
      <c r="A1156" s="345">
        <v>4212</v>
      </c>
      <c r="B1156" s="333" t="s">
        <v>4289</v>
      </c>
      <c r="C1156" s="334">
        <v>562119</v>
      </c>
      <c r="D1156" s="335" t="s">
        <v>4295</v>
      </c>
    </row>
    <row r="1157" spans="1:4" ht="34.5" customHeight="1" x14ac:dyDescent="0.35">
      <c r="A1157" s="344">
        <v>4213</v>
      </c>
      <c r="B1157" s="337" t="s">
        <v>4296</v>
      </c>
      <c r="C1157" s="338">
        <v>484121</v>
      </c>
      <c r="D1157" s="340" t="s">
        <v>4297</v>
      </c>
    </row>
    <row r="1158" spans="1:4" ht="34.5" customHeight="1" x14ac:dyDescent="0.35">
      <c r="A1158" s="345">
        <v>4213</v>
      </c>
      <c r="B1158" s="333" t="s">
        <v>4296</v>
      </c>
      <c r="C1158" s="334">
        <v>484122</v>
      </c>
      <c r="D1158" s="341" t="s">
        <v>4298</v>
      </c>
    </row>
    <row r="1159" spans="1:4" ht="28.75" customHeight="1" x14ac:dyDescent="0.35">
      <c r="A1159" s="345">
        <v>4213</v>
      </c>
      <c r="B1159" s="333" t="s">
        <v>4296</v>
      </c>
      <c r="C1159" s="334">
        <v>484210</v>
      </c>
      <c r="D1159" s="335" t="s">
        <v>4291</v>
      </c>
    </row>
    <row r="1160" spans="1:4" ht="34.5" customHeight="1" x14ac:dyDescent="0.35">
      <c r="A1160" s="345">
        <v>4213</v>
      </c>
      <c r="B1160" s="333" t="s">
        <v>4296</v>
      </c>
      <c r="C1160" s="334">
        <v>484230</v>
      </c>
      <c r="D1160" s="341" t="s">
        <v>4299</v>
      </c>
    </row>
    <row r="1161" spans="1:4" ht="17.25" customHeight="1" x14ac:dyDescent="0.35">
      <c r="A1161" s="345">
        <v>4214</v>
      </c>
      <c r="B1161" s="333" t="s">
        <v>4300</v>
      </c>
      <c r="C1161" s="334">
        <v>484110</v>
      </c>
      <c r="D1161" s="335" t="s">
        <v>4290</v>
      </c>
    </row>
    <row r="1162" spans="1:4" ht="28.5" customHeight="1" x14ac:dyDescent="0.35">
      <c r="A1162" s="344">
        <v>4214</v>
      </c>
      <c r="B1162" s="337" t="s">
        <v>4300</v>
      </c>
      <c r="C1162" s="338">
        <v>484210</v>
      </c>
      <c r="D1162" s="339" t="s">
        <v>4291</v>
      </c>
    </row>
    <row r="1163" spans="1:4" ht="34.5" customHeight="1" x14ac:dyDescent="0.35">
      <c r="A1163" s="344">
        <v>4214</v>
      </c>
      <c r="B1163" s="337" t="s">
        <v>4300</v>
      </c>
      <c r="C1163" s="338">
        <v>484220</v>
      </c>
      <c r="D1163" s="340" t="s">
        <v>4292</v>
      </c>
    </row>
    <row r="1164" spans="1:4" ht="17.25" customHeight="1" x14ac:dyDescent="0.35">
      <c r="A1164" s="345">
        <v>4215</v>
      </c>
      <c r="B1164" s="333" t="s">
        <v>4301</v>
      </c>
      <c r="C1164" s="334">
        <v>492110</v>
      </c>
      <c r="D1164" s="335" t="s">
        <v>4302</v>
      </c>
    </row>
    <row r="1165" spans="1:4" ht="17.25" customHeight="1" x14ac:dyDescent="0.35">
      <c r="A1165" s="345">
        <v>4215</v>
      </c>
      <c r="B1165" s="333" t="s">
        <v>4301</v>
      </c>
      <c r="C1165" s="334">
        <v>492210</v>
      </c>
      <c r="D1165" s="335" t="s">
        <v>4303</v>
      </c>
    </row>
    <row r="1166" spans="1:4" ht="17.25" customHeight="1" x14ac:dyDescent="0.35">
      <c r="A1166" s="344">
        <v>4221</v>
      </c>
      <c r="B1166" s="337" t="s">
        <v>4304</v>
      </c>
      <c r="C1166" s="338">
        <v>493130</v>
      </c>
      <c r="D1166" s="339" t="s">
        <v>4304</v>
      </c>
    </row>
    <row r="1167" spans="1:4" ht="17.25" customHeight="1" x14ac:dyDescent="0.35">
      <c r="A1167" s="344">
        <v>4222</v>
      </c>
      <c r="B1167" s="337" t="s">
        <v>4305</v>
      </c>
      <c r="C1167" s="338">
        <v>493120</v>
      </c>
      <c r="D1167" s="339" t="s">
        <v>4305</v>
      </c>
    </row>
    <row r="1168" spans="1:4" ht="17.25" customHeight="1" x14ac:dyDescent="0.35">
      <c r="A1168" s="344">
        <v>4225</v>
      </c>
      <c r="B1168" s="337" t="s">
        <v>4306</v>
      </c>
      <c r="C1168" s="338">
        <v>493110</v>
      </c>
      <c r="D1168" s="339" t="s">
        <v>4306</v>
      </c>
    </row>
    <row r="1169" spans="1:4" ht="34.5" customHeight="1" x14ac:dyDescent="0.35">
      <c r="A1169" s="344">
        <v>4225</v>
      </c>
      <c r="B1169" s="337" t="s">
        <v>4306</v>
      </c>
      <c r="C1169" s="338">
        <v>531130</v>
      </c>
      <c r="D1169" s="340" t="s">
        <v>4307</v>
      </c>
    </row>
    <row r="1170" spans="1:4" ht="17.25" customHeight="1" x14ac:dyDescent="0.35">
      <c r="A1170" s="345">
        <v>4226</v>
      </c>
      <c r="B1170" s="333" t="s">
        <v>4308</v>
      </c>
      <c r="C1170" s="334">
        <v>493110</v>
      </c>
      <c r="D1170" s="335" t="s">
        <v>4306</v>
      </c>
    </row>
    <row r="1171" spans="1:4" ht="17.25" customHeight="1" x14ac:dyDescent="0.35">
      <c r="A1171" s="345">
        <v>4226</v>
      </c>
      <c r="B1171" s="333" t="s">
        <v>4308</v>
      </c>
      <c r="C1171" s="334">
        <v>493120</v>
      </c>
      <c r="D1171" s="335" t="s">
        <v>4305</v>
      </c>
    </row>
    <row r="1172" spans="1:4" ht="17.25" customHeight="1" x14ac:dyDescent="0.35">
      <c r="A1172" s="345">
        <v>4226</v>
      </c>
      <c r="B1172" s="333" t="s">
        <v>4308</v>
      </c>
      <c r="C1172" s="334">
        <v>493190</v>
      </c>
      <c r="D1172" s="335" t="s">
        <v>4309</v>
      </c>
    </row>
    <row r="1173" spans="1:4" ht="34.5" customHeight="1" x14ac:dyDescent="0.35">
      <c r="A1173" s="345">
        <v>4231</v>
      </c>
      <c r="B1173" s="333" t="s">
        <v>4310</v>
      </c>
      <c r="C1173" s="334">
        <v>488490</v>
      </c>
      <c r="D1173" s="341" t="s">
        <v>4288</v>
      </c>
    </row>
    <row r="1174" spans="1:4" ht="17.25" customHeight="1" x14ac:dyDescent="0.35">
      <c r="A1174" s="345">
        <v>4311</v>
      </c>
      <c r="B1174" s="333" t="s">
        <v>4311</v>
      </c>
      <c r="C1174" s="334">
        <v>491110</v>
      </c>
      <c r="D1174" s="335" t="s">
        <v>4312</v>
      </c>
    </row>
    <row r="1175" spans="1:4" ht="28.5" customHeight="1" x14ac:dyDescent="0.35">
      <c r="A1175" s="344">
        <v>4412</v>
      </c>
      <c r="B1175" s="337" t="s">
        <v>4313</v>
      </c>
      <c r="C1175" s="338">
        <v>483111</v>
      </c>
      <c r="D1175" s="339" t="s">
        <v>4314</v>
      </c>
    </row>
    <row r="1176" spans="1:4" ht="34.5" customHeight="1" x14ac:dyDescent="0.35">
      <c r="A1176" s="344">
        <v>4424</v>
      </c>
      <c r="B1176" s="346" t="s">
        <v>4315</v>
      </c>
      <c r="C1176" s="338">
        <v>483113</v>
      </c>
      <c r="D1176" s="340" t="s">
        <v>4316</v>
      </c>
    </row>
    <row r="1177" spans="1:4" ht="34.5" customHeight="1" x14ac:dyDescent="0.35">
      <c r="A1177" s="345">
        <v>4432</v>
      </c>
      <c r="B1177" s="333" t="s">
        <v>4317</v>
      </c>
      <c r="C1177" s="334">
        <v>483113</v>
      </c>
      <c r="D1177" s="341" t="s">
        <v>4316</v>
      </c>
    </row>
    <row r="1178" spans="1:4" ht="17.25" customHeight="1" x14ac:dyDescent="0.35">
      <c r="A1178" s="344">
        <v>4449</v>
      </c>
      <c r="B1178" s="337" t="s">
        <v>4318</v>
      </c>
      <c r="C1178" s="338">
        <v>483211</v>
      </c>
      <c r="D1178" s="339" t="s">
        <v>4319</v>
      </c>
    </row>
    <row r="1179" spans="1:4" ht="34.5" customHeight="1" x14ac:dyDescent="0.35">
      <c r="A1179" s="345">
        <v>4481</v>
      </c>
      <c r="B1179" s="347" t="s">
        <v>4320</v>
      </c>
      <c r="C1179" s="334">
        <v>483112</v>
      </c>
      <c r="D1179" s="335" t="s">
        <v>4321</v>
      </c>
    </row>
    <row r="1180" spans="1:4" ht="34.5" customHeight="1" x14ac:dyDescent="0.35">
      <c r="A1180" s="344">
        <v>4481</v>
      </c>
      <c r="B1180" s="346" t="s">
        <v>4320</v>
      </c>
      <c r="C1180" s="338">
        <v>483114</v>
      </c>
      <c r="D1180" s="340" t="s">
        <v>4322</v>
      </c>
    </row>
    <row r="1181" spans="1:4" ht="34.5" customHeight="1" x14ac:dyDescent="0.35">
      <c r="A1181" s="345">
        <v>4482</v>
      </c>
      <c r="B1181" s="333" t="s">
        <v>4323</v>
      </c>
      <c r="C1181" s="334">
        <v>483114</v>
      </c>
      <c r="D1181" s="341" t="s">
        <v>4322</v>
      </c>
    </row>
    <row r="1182" spans="1:4" ht="17.25" customHeight="1" x14ac:dyDescent="0.35">
      <c r="A1182" s="344">
        <v>4482</v>
      </c>
      <c r="B1182" s="337" t="s">
        <v>4323</v>
      </c>
      <c r="C1182" s="338">
        <v>483212</v>
      </c>
      <c r="D1182" s="339" t="s">
        <v>4324</v>
      </c>
    </row>
    <row r="1183" spans="1:4" ht="17.25" customHeight="1" x14ac:dyDescent="0.35">
      <c r="A1183" s="345">
        <v>4489</v>
      </c>
      <c r="B1183" s="333" t="s">
        <v>4325</v>
      </c>
      <c r="C1183" s="334">
        <v>483212</v>
      </c>
      <c r="D1183" s="335" t="s">
        <v>4324</v>
      </c>
    </row>
    <row r="1184" spans="1:4" ht="34.5" customHeight="1" x14ac:dyDescent="0.35">
      <c r="A1184" s="345">
        <v>4489</v>
      </c>
      <c r="B1184" s="333" t="s">
        <v>4325</v>
      </c>
      <c r="C1184" s="334">
        <v>487210</v>
      </c>
      <c r="D1184" s="341" t="s">
        <v>4326</v>
      </c>
    </row>
    <row r="1185" spans="1:4" ht="17.25" customHeight="1" x14ac:dyDescent="0.35">
      <c r="A1185" s="344">
        <v>4491</v>
      </c>
      <c r="B1185" s="337" t="s">
        <v>4327</v>
      </c>
      <c r="C1185" s="338">
        <v>488310</v>
      </c>
      <c r="D1185" s="339" t="s">
        <v>4328</v>
      </c>
    </row>
    <row r="1186" spans="1:4" ht="17.25" customHeight="1" x14ac:dyDescent="0.35">
      <c r="A1186" s="344">
        <v>4491</v>
      </c>
      <c r="B1186" s="337" t="s">
        <v>4327</v>
      </c>
      <c r="C1186" s="338">
        <v>488320</v>
      </c>
      <c r="D1186" s="339" t="s">
        <v>4327</v>
      </c>
    </row>
    <row r="1187" spans="1:4" ht="17.25" customHeight="1" x14ac:dyDescent="0.35">
      <c r="A1187" s="345">
        <v>4492</v>
      </c>
      <c r="B1187" s="333" t="s">
        <v>4329</v>
      </c>
      <c r="C1187" s="334">
        <v>488330</v>
      </c>
      <c r="D1187" s="335" t="s">
        <v>4330</v>
      </c>
    </row>
    <row r="1188" spans="1:4" ht="17.25" customHeight="1" x14ac:dyDescent="0.35">
      <c r="A1188" s="344">
        <v>4493</v>
      </c>
      <c r="B1188" s="337" t="s">
        <v>4331</v>
      </c>
      <c r="C1188" s="338">
        <v>713930</v>
      </c>
      <c r="D1188" s="339" t="s">
        <v>4331</v>
      </c>
    </row>
    <row r="1189" spans="1:4" ht="17.25" customHeight="1" x14ac:dyDescent="0.35">
      <c r="A1189" s="345">
        <v>4499</v>
      </c>
      <c r="B1189" s="333" t="s">
        <v>4332</v>
      </c>
      <c r="C1189" s="334">
        <v>483211</v>
      </c>
      <c r="D1189" s="335" t="s">
        <v>4319</v>
      </c>
    </row>
    <row r="1190" spans="1:4" ht="17.25" customHeight="1" x14ac:dyDescent="0.35">
      <c r="A1190" s="345">
        <v>4499</v>
      </c>
      <c r="B1190" s="333" t="s">
        <v>4332</v>
      </c>
      <c r="C1190" s="334">
        <v>488310</v>
      </c>
      <c r="D1190" s="335" t="s">
        <v>4328</v>
      </c>
    </row>
    <row r="1191" spans="1:4" ht="17.25" customHeight="1" x14ac:dyDescent="0.35">
      <c r="A1191" s="344">
        <v>4499</v>
      </c>
      <c r="B1191" s="337" t="s">
        <v>4332</v>
      </c>
      <c r="C1191" s="338">
        <v>488330</v>
      </c>
      <c r="D1191" s="339" t="s">
        <v>4330</v>
      </c>
    </row>
    <row r="1192" spans="1:4" ht="34.5" customHeight="1" x14ac:dyDescent="0.35">
      <c r="A1192" s="344">
        <v>4499</v>
      </c>
      <c r="B1192" s="337" t="s">
        <v>4332</v>
      </c>
      <c r="C1192" s="338">
        <v>488390</v>
      </c>
      <c r="D1192" s="340" t="s">
        <v>4191</v>
      </c>
    </row>
    <row r="1193" spans="1:4" ht="43.5" customHeight="1" x14ac:dyDescent="0.35">
      <c r="A1193" s="345">
        <v>4499</v>
      </c>
      <c r="B1193" s="333" t="s">
        <v>4332</v>
      </c>
      <c r="C1193" s="334">
        <v>532411</v>
      </c>
      <c r="D1193" s="341" t="s">
        <v>4333</v>
      </c>
    </row>
    <row r="1194" spans="1:4" ht="34.5" customHeight="1" x14ac:dyDescent="0.35">
      <c r="A1194" s="344">
        <v>4499</v>
      </c>
      <c r="B1194" s="337" t="s">
        <v>4332</v>
      </c>
      <c r="C1194" s="338">
        <v>541990</v>
      </c>
      <c r="D1194" s="340" t="s">
        <v>4334</v>
      </c>
    </row>
    <row r="1195" spans="1:4" ht="17.25" customHeight="1" x14ac:dyDescent="0.35">
      <c r="A1195" s="344">
        <v>4512</v>
      </c>
      <c r="B1195" s="337" t="s">
        <v>4335</v>
      </c>
      <c r="C1195" s="338">
        <v>481111</v>
      </c>
      <c r="D1195" s="339" t="s">
        <v>4336</v>
      </c>
    </row>
    <row r="1196" spans="1:4" ht="17.25" customHeight="1" x14ac:dyDescent="0.35">
      <c r="A1196" s="345">
        <v>4512</v>
      </c>
      <c r="B1196" s="333" t="s">
        <v>4335</v>
      </c>
      <c r="C1196" s="334">
        <v>481112</v>
      </c>
      <c r="D1196" s="335" t="s">
        <v>4337</v>
      </c>
    </row>
    <row r="1197" spans="1:4" ht="17.25" customHeight="1" x14ac:dyDescent="0.35">
      <c r="A1197" s="344">
        <v>4513</v>
      </c>
      <c r="B1197" s="337" t="s">
        <v>4338</v>
      </c>
      <c r="C1197" s="338">
        <v>492110</v>
      </c>
      <c r="D1197" s="339" t="s">
        <v>4302</v>
      </c>
    </row>
    <row r="1198" spans="1:4" ht="34.5" customHeight="1" x14ac:dyDescent="0.35">
      <c r="A1198" s="344">
        <v>4522</v>
      </c>
      <c r="B1198" s="337" t="s">
        <v>4339</v>
      </c>
      <c r="C1198" s="338">
        <v>481211</v>
      </c>
      <c r="D1198" s="340" t="s">
        <v>4340</v>
      </c>
    </row>
    <row r="1199" spans="1:4" ht="34.5" customHeight="1" x14ac:dyDescent="0.35">
      <c r="A1199" s="345">
        <v>4522</v>
      </c>
      <c r="B1199" s="333" t="s">
        <v>4339</v>
      </c>
      <c r="C1199" s="334">
        <v>481212</v>
      </c>
      <c r="D1199" s="341" t="s">
        <v>4341</v>
      </c>
    </row>
    <row r="1200" spans="1:4" ht="17.25" customHeight="1" x14ac:dyDescent="0.35">
      <c r="A1200" s="344">
        <v>4522</v>
      </c>
      <c r="B1200" s="337" t="s">
        <v>4339</v>
      </c>
      <c r="C1200" s="338">
        <v>481219</v>
      </c>
      <c r="D1200" s="339" t="s">
        <v>4342</v>
      </c>
    </row>
    <row r="1201" spans="1:4" ht="34.5" customHeight="1" x14ac:dyDescent="0.35">
      <c r="A1201" s="345">
        <v>4522</v>
      </c>
      <c r="B1201" s="333" t="s">
        <v>4339</v>
      </c>
      <c r="C1201" s="334">
        <v>487990</v>
      </c>
      <c r="D1201" s="341" t="s">
        <v>4343</v>
      </c>
    </row>
    <row r="1202" spans="1:4" ht="17.25" customHeight="1" x14ac:dyDescent="0.35">
      <c r="A1202" s="345">
        <v>4522</v>
      </c>
      <c r="B1202" s="333" t="s">
        <v>4339</v>
      </c>
      <c r="C1202" s="334">
        <v>621910</v>
      </c>
      <c r="D1202" s="335" t="s">
        <v>4278</v>
      </c>
    </row>
    <row r="1203" spans="1:4" ht="17.25" customHeight="1" x14ac:dyDescent="0.35">
      <c r="A1203" s="345">
        <v>4581</v>
      </c>
      <c r="B1203" s="333" t="s">
        <v>4344</v>
      </c>
      <c r="C1203" s="334">
        <v>488111</v>
      </c>
      <c r="D1203" s="335" t="s">
        <v>4345</v>
      </c>
    </row>
    <row r="1204" spans="1:4" ht="17.25" customHeight="1" x14ac:dyDescent="0.35">
      <c r="A1204" s="345">
        <v>4581</v>
      </c>
      <c r="B1204" s="333" t="s">
        <v>4344</v>
      </c>
      <c r="C1204" s="334">
        <v>488119</v>
      </c>
      <c r="D1204" s="335" t="s">
        <v>4346</v>
      </c>
    </row>
    <row r="1205" spans="1:4" ht="34.5" customHeight="1" x14ac:dyDescent="0.35">
      <c r="A1205" s="344">
        <v>4581</v>
      </c>
      <c r="B1205" s="337" t="s">
        <v>4344</v>
      </c>
      <c r="C1205" s="338">
        <v>488190</v>
      </c>
      <c r="D1205" s="340" t="s">
        <v>4347</v>
      </c>
    </row>
    <row r="1206" spans="1:4" ht="17.25" customHeight="1" x14ac:dyDescent="0.35">
      <c r="A1206" s="344">
        <v>4581</v>
      </c>
      <c r="B1206" s="337" t="s">
        <v>4344</v>
      </c>
      <c r="C1206" s="338">
        <v>561720</v>
      </c>
      <c r="D1206" s="339" t="s">
        <v>4348</v>
      </c>
    </row>
    <row r="1207" spans="1:4" ht="17.25" customHeight="1" x14ac:dyDescent="0.35">
      <c r="A1207" s="344">
        <v>4581</v>
      </c>
      <c r="B1207" s="337" t="s">
        <v>4344</v>
      </c>
      <c r="C1207" s="338">
        <v>811420</v>
      </c>
      <c r="D1207" s="339" t="s">
        <v>4349</v>
      </c>
    </row>
    <row r="1208" spans="1:4" ht="17.25" customHeight="1" x14ac:dyDescent="0.35">
      <c r="A1208" s="345">
        <v>4612</v>
      </c>
      <c r="B1208" s="333" t="s">
        <v>4350</v>
      </c>
      <c r="C1208" s="334">
        <v>486110</v>
      </c>
      <c r="D1208" s="335" t="s">
        <v>4351</v>
      </c>
    </row>
    <row r="1209" spans="1:4" ht="34.5" customHeight="1" x14ac:dyDescent="0.35">
      <c r="A1209" s="344">
        <v>4613</v>
      </c>
      <c r="B1209" s="337" t="s">
        <v>4352</v>
      </c>
      <c r="C1209" s="338">
        <v>486910</v>
      </c>
      <c r="D1209" s="340" t="s">
        <v>4353</v>
      </c>
    </row>
    <row r="1210" spans="1:4" ht="17.25" customHeight="1" x14ac:dyDescent="0.35">
      <c r="A1210" s="345">
        <v>4619</v>
      </c>
      <c r="B1210" s="333" t="s">
        <v>4354</v>
      </c>
      <c r="C1210" s="334">
        <v>486990</v>
      </c>
      <c r="D1210" s="335" t="s">
        <v>4355</v>
      </c>
    </row>
    <row r="1211" spans="1:4" ht="17.25" customHeight="1" x14ac:dyDescent="0.35">
      <c r="A1211" s="345">
        <v>4724</v>
      </c>
      <c r="B1211" s="333" t="s">
        <v>4356</v>
      </c>
      <c r="C1211" s="334">
        <v>561510</v>
      </c>
      <c r="D1211" s="335" t="s">
        <v>4356</v>
      </c>
    </row>
    <row r="1212" spans="1:4" ht="17.25" customHeight="1" x14ac:dyDescent="0.35">
      <c r="A1212" s="344">
        <v>4725</v>
      </c>
      <c r="B1212" s="337" t="s">
        <v>4357</v>
      </c>
      <c r="C1212" s="338">
        <v>561520</v>
      </c>
      <c r="D1212" s="339" t="s">
        <v>4357</v>
      </c>
    </row>
    <row r="1213" spans="1:4" ht="34.5" customHeight="1" x14ac:dyDescent="0.35">
      <c r="A1213" s="345">
        <v>4729</v>
      </c>
      <c r="B1213" s="333" t="s">
        <v>4358</v>
      </c>
      <c r="C1213" s="334">
        <v>488999</v>
      </c>
      <c r="D1213" s="341" t="s">
        <v>4359</v>
      </c>
    </row>
    <row r="1214" spans="1:4" ht="34.5" customHeight="1" x14ac:dyDescent="0.35">
      <c r="A1214" s="344">
        <v>4729</v>
      </c>
      <c r="B1214" s="337" t="s">
        <v>4358</v>
      </c>
      <c r="C1214" s="338">
        <v>561599</v>
      </c>
      <c r="D1214" s="340" t="s">
        <v>4360</v>
      </c>
    </row>
    <row r="1215" spans="1:4" ht="17.25" customHeight="1" x14ac:dyDescent="0.35">
      <c r="A1215" s="345">
        <v>4731</v>
      </c>
      <c r="B1215" s="333" t="s">
        <v>4361</v>
      </c>
      <c r="C1215" s="334">
        <v>488510</v>
      </c>
      <c r="D1215" s="335" t="s">
        <v>4361</v>
      </c>
    </row>
    <row r="1216" spans="1:4" ht="34.5" customHeight="1" x14ac:dyDescent="0.35">
      <c r="A1216" s="344">
        <v>4731</v>
      </c>
      <c r="B1216" s="337" t="s">
        <v>4361</v>
      </c>
      <c r="C1216" s="338">
        <v>541614</v>
      </c>
      <c r="D1216" s="340" t="s">
        <v>4362</v>
      </c>
    </row>
    <row r="1217" spans="1:4" ht="17.25" customHeight="1" x14ac:dyDescent="0.35">
      <c r="A1217" s="344">
        <v>4741</v>
      </c>
      <c r="B1217" s="337" t="s">
        <v>4363</v>
      </c>
      <c r="C1217" s="338">
        <v>488210</v>
      </c>
      <c r="D1217" s="339" t="s">
        <v>4266</v>
      </c>
    </row>
    <row r="1218" spans="1:4" ht="43.5" customHeight="1" x14ac:dyDescent="0.35">
      <c r="A1218" s="344">
        <v>4741</v>
      </c>
      <c r="B1218" s="337" t="s">
        <v>4363</v>
      </c>
      <c r="C1218" s="338">
        <v>532411</v>
      </c>
      <c r="D1218" s="340" t="s">
        <v>4333</v>
      </c>
    </row>
    <row r="1219" spans="1:4" ht="17.25" customHeight="1" x14ac:dyDescent="0.35">
      <c r="A1219" s="344">
        <v>4783</v>
      </c>
      <c r="B1219" s="337" t="s">
        <v>4364</v>
      </c>
      <c r="C1219" s="338">
        <v>488991</v>
      </c>
      <c r="D1219" s="339" t="s">
        <v>4364</v>
      </c>
    </row>
    <row r="1220" spans="1:4" ht="34.5" customHeight="1" x14ac:dyDescent="0.35">
      <c r="A1220" s="345">
        <v>4785</v>
      </c>
      <c r="B1220" s="333" t="s">
        <v>4365</v>
      </c>
      <c r="C1220" s="334">
        <v>488390</v>
      </c>
      <c r="D1220" s="341" t="s">
        <v>4191</v>
      </c>
    </row>
    <row r="1221" spans="1:4" ht="34.5" customHeight="1" x14ac:dyDescent="0.35">
      <c r="A1221" s="344">
        <v>4785</v>
      </c>
      <c r="B1221" s="337" t="s">
        <v>4365</v>
      </c>
      <c r="C1221" s="338">
        <v>488490</v>
      </c>
      <c r="D1221" s="340" t="s">
        <v>4288</v>
      </c>
    </row>
    <row r="1222" spans="1:4" ht="34.5" customHeight="1" x14ac:dyDescent="0.35">
      <c r="A1222" s="345">
        <v>4789</v>
      </c>
      <c r="B1222" s="333" t="s">
        <v>4366</v>
      </c>
      <c r="C1222" s="334">
        <v>487110</v>
      </c>
      <c r="D1222" s="341" t="s">
        <v>4277</v>
      </c>
    </row>
    <row r="1223" spans="1:4" ht="17.25" customHeight="1" x14ac:dyDescent="0.35">
      <c r="A1223" s="345">
        <v>4789</v>
      </c>
      <c r="B1223" s="333" t="s">
        <v>4366</v>
      </c>
      <c r="C1223" s="334">
        <v>488210</v>
      </c>
      <c r="D1223" s="335" t="s">
        <v>4266</v>
      </c>
    </row>
    <row r="1224" spans="1:4" ht="34.5" customHeight="1" x14ac:dyDescent="0.35">
      <c r="A1224" s="344">
        <v>4789</v>
      </c>
      <c r="B1224" s="337" t="s">
        <v>4366</v>
      </c>
      <c r="C1224" s="338">
        <v>488999</v>
      </c>
      <c r="D1224" s="340" t="s">
        <v>4359</v>
      </c>
    </row>
    <row r="1225" spans="1:4" ht="17.25" customHeight="1" x14ac:dyDescent="0.35">
      <c r="A1225" s="344">
        <v>4789</v>
      </c>
      <c r="B1225" s="337" t="s">
        <v>4366</v>
      </c>
      <c r="C1225" s="338">
        <v>722310</v>
      </c>
      <c r="D1225" s="339" t="s">
        <v>4367</v>
      </c>
    </row>
    <row r="1226" spans="1:4" ht="34.5" customHeight="1" x14ac:dyDescent="0.35">
      <c r="A1226" s="344">
        <v>4812</v>
      </c>
      <c r="B1226" s="337" t="s">
        <v>4368</v>
      </c>
      <c r="C1226" s="338">
        <v>517312</v>
      </c>
      <c r="D1226" s="340" t="s">
        <v>4369</v>
      </c>
    </row>
    <row r="1227" spans="1:4" ht="17.25" customHeight="1" x14ac:dyDescent="0.35">
      <c r="A1227" s="344">
        <v>4812</v>
      </c>
      <c r="B1227" s="337" t="s">
        <v>4368</v>
      </c>
      <c r="C1227" s="338">
        <v>517911</v>
      </c>
      <c r="D1227" s="339" t="s">
        <v>4370</v>
      </c>
    </row>
    <row r="1228" spans="1:4" ht="17.25" customHeight="1" x14ac:dyDescent="0.35">
      <c r="A1228" s="344">
        <v>4813</v>
      </c>
      <c r="B1228" s="337" t="s">
        <v>4371</v>
      </c>
      <c r="C1228" s="338">
        <v>517311</v>
      </c>
      <c r="D1228" s="339" t="s">
        <v>4372</v>
      </c>
    </row>
    <row r="1229" spans="1:4" ht="17.25" customHeight="1" x14ac:dyDescent="0.35">
      <c r="A1229" s="345">
        <v>4813</v>
      </c>
      <c r="B1229" s="333" t="s">
        <v>4371</v>
      </c>
      <c r="C1229" s="334">
        <v>517911</v>
      </c>
      <c r="D1229" s="335" t="s">
        <v>4370</v>
      </c>
    </row>
    <row r="1230" spans="1:4" ht="17.25" customHeight="1" x14ac:dyDescent="0.35">
      <c r="A1230" s="345">
        <v>4822</v>
      </c>
      <c r="B1230" s="333" t="s">
        <v>4373</v>
      </c>
      <c r="C1230" s="334">
        <v>517311</v>
      </c>
      <c r="D1230" s="335" t="s">
        <v>4372</v>
      </c>
    </row>
    <row r="1231" spans="1:4" ht="17.25" customHeight="1" x14ac:dyDescent="0.35">
      <c r="A1231" s="344">
        <v>4832</v>
      </c>
      <c r="B1231" s="337" t="s">
        <v>4374</v>
      </c>
      <c r="C1231" s="338">
        <v>515111</v>
      </c>
      <c r="D1231" s="339" t="s">
        <v>4375</v>
      </c>
    </row>
    <row r="1232" spans="1:4" ht="17.25" customHeight="1" x14ac:dyDescent="0.35">
      <c r="A1232" s="345">
        <v>4832</v>
      </c>
      <c r="B1232" s="333" t="s">
        <v>4374</v>
      </c>
      <c r="C1232" s="334">
        <v>515112</v>
      </c>
      <c r="D1232" s="335" t="s">
        <v>4376</v>
      </c>
    </row>
    <row r="1233" spans="1:4" ht="17.25" customHeight="1" x14ac:dyDescent="0.35">
      <c r="A1233" s="344">
        <v>4833</v>
      </c>
      <c r="B1233" s="337" t="s">
        <v>4377</v>
      </c>
      <c r="C1233" s="338">
        <v>515120</v>
      </c>
      <c r="D1233" s="339" t="s">
        <v>4378</v>
      </c>
    </row>
    <row r="1234" spans="1:4" ht="34.5" customHeight="1" x14ac:dyDescent="0.35">
      <c r="A1234" s="345">
        <v>4841</v>
      </c>
      <c r="B1234" s="333" t="s">
        <v>4379</v>
      </c>
      <c r="C1234" s="334">
        <v>515210</v>
      </c>
      <c r="D1234" s="341" t="s">
        <v>4380</v>
      </c>
    </row>
    <row r="1235" spans="1:4" ht="17.25" customHeight="1" x14ac:dyDescent="0.35">
      <c r="A1235" s="344">
        <v>4841</v>
      </c>
      <c r="B1235" s="337" t="s">
        <v>4379</v>
      </c>
      <c r="C1235" s="338">
        <v>517311</v>
      </c>
      <c r="D1235" s="339" t="s">
        <v>4372</v>
      </c>
    </row>
    <row r="1236" spans="1:4" ht="17.25" customHeight="1" x14ac:dyDescent="0.35">
      <c r="A1236" s="344">
        <v>4899</v>
      </c>
      <c r="B1236" s="337" t="s">
        <v>4381</v>
      </c>
      <c r="C1236" s="338">
        <v>485310</v>
      </c>
      <c r="D1236" s="339" t="s">
        <v>4280</v>
      </c>
    </row>
    <row r="1237" spans="1:4" ht="34.5" customHeight="1" x14ac:dyDescent="0.35">
      <c r="A1237" s="344">
        <v>4899</v>
      </c>
      <c r="B1237" s="337" t="s">
        <v>4381</v>
      </c>
      <c r="C1237" s="338">
        <v>517312</v>
      </c>
      <c r="D1237" s="340" t="s">
        <v>4369</v>
      </c>
    </row>
    <row r="1238" spans="1:4" ht="17.25" customHeight="1" x14ac:dyDescent="0.35">
      <c r="A1238" s="345">
        <v>4899</v>
      </c>
      <c r="B1238" s="333" t="s">
        <v>4381</v>
      </c>
      <c r="C1238" s="334">
        <v>517410</v>
      </c>
      <c r="D1238" s="335" t="s">
        <v>4382</v>
      </c>
    </row>
    <row r="1239" spans="1:4" ht="17.25" customHeight="1" x14ac:dyDescent="0.35">
      <c r="A1239" s="344">
        <v>4899</v>
      </c>
      <c r="B1239" s="337" t="s">
        <v>4381</v>
      </c>
      <c r="C1239" s="338">
        <v>517919</v>
      </c>
      <c r="D1239" s="339" t="s">
        <v>4383</v>
      </c>
    </row>
    <row r="1240" spans="1:4" ht="17.25" customHeight="1" x14ac:dyDescent="0.35">
      <c r="A1240" s="344">
        <v>4899</v>
      </c>
      <c r="B1240" s="337" t="s">
        <v>4381</v>
      </c>
      <c r="C1240" s="338">
        <v>812990</v>
      </c>
      <c r="D1240" s="339" t="s">
        <v>4384</v>
      </c>
    </row>
    <row r="1241" spans="1:4" ht="17.25" customHeight="1" x14ac:dyDescent="0.35">
      <c r="A1241" s="344">
        <v>4911</v>
      </c>
      <c r="B1241" s="337" t="s">
        <v>4385</v>
      </c>
      <c r="C1241" s="338">
        <v>221111</v>
      </c>
      <c r="D1241" s="339" t="s">
        <v>4386</v>
      </c>
    </row>
    <row r="1242" spans="1:4" ht="17.25" customHeight="1" x14ac:dyDescent="0.35">
      <c r="A1242" s="345">
        <v>4911</v>
      </c>
      <c r="B1242" s="333" t="s">
        <v>4385</v>
      </c>
      <c r="C1242" s="334">
        <v>221112</v>
      </c>
      <c r="D1242" s="335" t="s">
        <v>4387</v>
      </c>
    </row>
    <row r="1243" spans="1:4" ht="17.25" customHeight="1" x14ac:dyDescent="0.35">
      <c r="A1243" s="344">
        <v>4911</v>
      </c>
      <c r="B1243" s="337" t="s">
        <v>4385</v>
      </c>
      <c r="C1243" s="338">
        <v>221113</v>
      </c>
      <c r="D1243" s="339" t="s">
        <v>4388</v>
      </c>
    </row>
    <row r="1244" spans="1:4" ht="17.25" customHeight="1" x14ac:dyDescent="0.35">
      <c r="A1244" s="345">
        <v>4911</v>
      </c>
      <c r="B1244" s="333" t="s">
        <v>4385</v>
      </c>
      <c r="C1244" s="334">
        <v>221114</v>
      </c>
      <c r="D1244" s="335" t="s">
        <v>4389</v>
      </c>
    </row>
    <row r="1245" spans="1:4" ht="17.25" customHeight="1" x14ac:dyDescent="0.35">
      <c r="A1245" s="344">
        <v>4911</v>
      </c>
      <c r="B1245" s="337" t="s">
        <v>4385</v>
      </c>
      <c r="C1245" s="338">
        <v>221115</v>
      </c>
      <c r="D1245" s="339" t="s">
        <v>4390</v>
      </c>
    </row>
    <row r="1246" spans="1:4" ht="17.25" customHeight="1" x14ac:dyDescent="0.35">
      <c r="A1246" s="345">
        <v>4911</v>
      </c>
      <c r="B1246" s="333" t="s">
        <v>4385</v>
      </c>
      <c r="C1246" s="334">
        <v>221116</v>
      </c>
      <c r="D1246" s="335" t="s">
        <v>4391</v>
      </c>
    </row>
    <row r="1247" spans="1:4" ht="17.25" customHeight="1" x14ac:dyDescent="0.35">
      <c r="A1247" s="344">
        <v>4911</v>
      </c>
      <c r="B1247" s="337" t="s">
        <v>4385</v>
      </c>
      <c r="C1247" s="338">
        <v>221117</v>
      </c>
      <c r="D1247" s="339" t="s">
        <v>4392</v>
      </c>
    </row>
    <row r="1248" spans="1:4" ht="17.25" customHeight="1" x14ac:dyDescent="0.35">
      <c r="A1248" s="345">
        <v>4911</v>
      </c>
      <c r="B1248" s="333" t="s">
        <v>4385</v>
      </c>
      <c r="C1248" s="334">
        <v>221118</v>
      </c>
      <c r="D1248" s="335" t="s">
        <v>4393</v>
      </c>
    </row>
    <row r="1249" spans="1:4" ht="34.5" customHeight="1" x14ac:dyDescent="0.35">
      <c r="A1249" s="344">
        <v>4911</v>
      </c>
      <c r="B1249" s="337" t="s">
        <v>4385</v>
      </c>
      <c r="C1249" s="338">
        <v>221121</v>
      </c>
      <c r="D1249" s="340" t="s">
        <v>4394</v>
      </c>
    </row>
    <row r="1250" spans="1:4" ht="17.25" customHeight="1" x14ac:dyDescent="0.35">
      <c r="A1250" s="345">
        <v>4911</v>
      </c>
      <c r="B1250" s="333" t="s">
        <v>4385</v>
      </c>
      <c r="C1250" s="334">
        <v>221122</v>
      </c>
      <c r="D1250" s="335" t="s">
        <v>4395</v>
      </c>
    </row>
    <row r="1251" spans="1:4" ht="17.25" customHeight="1" x14ac:dyDescent="0.35">
      <c r="A1251" s="344">
        <v>4922</v>
      </c>
      <c r="B1251" s="337" t="s">
        <v>4396</v>
      </c>
      <c r="C1251" s="338">
        <v>486210</v>
      </c>
      <c r="D1251" s="339" t="s">
        <v>4397</v>
      </c>
    </row>
    <row r="1252" spans="1:4" ht="17.25" customHeight="1" x14ac:dyDescent="0.35">
      <c r="A1252" s="344">
        <v>4923</v>
      </c>
      <c r="B1252" s="337" t="s">
        <v>4398</v>
      </c>
      <c r="C1252" s="338">
        <v>221210</v>
      </c>
      <c r="D1252" s="339" t="s">
        <v>4399</v>
      </c>
    </row>
    <row r="1253" spans="1:4" ht="17.25" customHeight="1" x14ac:dyDescent="0.35">
      <c r="A1253" s="345">
        <v>4923</v>
      </c>
      <c r="B1253" s="333" t="s">
        <v>4398</v>
      </c>
      <c r="C1253" s="334">
        <v>486210</v>
      </c>
      <c r="D1253" s="335" t="s">
        <v>4397</v>
      </c>
    </row>
    <row r="1254" spans="1:4" ht="17.25" customHeight="1" x14ac:dyDescent="0.35">
      <c r="A1254" s="345">
        <v>4924</v>
      </c>
      <c r="B1254" s="333" t="s">
        <v>4399</v>
      </c>
      <c r="C1254" s="334">
        <v>221210</v>
      </c>
      <c r="D1254" s="335" t="s">
        <v>4399</v>
      </c>
    </row>
    <row r="1255" spans="1:4" ht="17.25" customHeight="1" x14ac:dyDescent="0.35">
      <c r="A1255" s="344">
        <v>4925</v>
      </c>
      <c r="B1255" s="337" t="s">
        <v>4400</v>
      </c>
      <c r="C1255" s="338">
        <v>221210</v>
      </c>
      <c r="D1255" s="339" t="s">
        <v>4399</v>
      </c>
    </row>
    <row r="1256" spans="1:4" ht="17.25" customHeight="1" x14ac:dyDescent="0.35">
      <c r="A1256" s="345">
        <v>4931</v>
      </c>
      <c r="B1256" s="333" t="s">
        <v>4401</v>
      </c>
      <c r="C1256" s="334">
        <v>221111</v>
      </c>
      <c r="D1256" s="335" t="s">
        <v>4386</v>
      </c>
    </row>
    <row r="1257" spans="1:4" ht="17.25" customHeight="1" x14ac:dyDescent="0.35">
      <c r="A1257" s="344">
        <v>4931</v>
      </c>
      <c r="B1257" s="337" t="s">
        <v>4401</v>
      </c>
      <c r="C1257" s="338">
        <v>221112</v>
      </c>
      <c r="D1257" s="339" t="s">
        <v>4387</v>
      </c>
    </row>
    <row r="1258" spans="1:4" ht="17.25" customHeight="1" x14ac:dyDescent="0.35">
      <c r="A1258" s="345">
        <v>4931</v>
      </c>
      <c r="B1258" s="333" t="s">
        <v>4401</v>
      </c>
      <c r="C1258" s="334">
        <v>221113</v>
      </c>
      <c r="D1258" s="335" t="s">
        <v>4388</v>
      </c>
    </row>
    <row r="1259" spans="1:4" ht="17.25" customHeight="1" x14ac:dyDescent="0.35">
      <c r="A1259" s="344">
        <v>4931</v>
      </c>
      <c r="B1259" s="337" t="s">
        <v>4401</v>
      </c>
      <c r="C1259" s="338">
        <v>221114</v>
      </c>
      <c r="D1259" s="339" t="s">
        <v>4389</v>
      </c>
    </row>
    <row r="1260" spans="1:4" ht="17.25" customHeight="1" x14ac:dyDescent="0.35">
      <c r="A1260" s="345">
        <v>4931</v>
      </c>
      <c r="B1260" s="333" t="s">
        <v>4401</v>
      </c>
      <c r="C1260" s="334">
        <v>221115</v>
      </c>
      <c r="D1260" s="335" t="s">
        <v>4390</v>
      </c>
    </row>
    <row r="1261" spans="1:4" ht="17.25" customHeight="1" x14ac:dyDescent="0.35">
      <c r="A1261" s="344">
        <v>4931</v>
      </c>
      <c r="B1261" s="337" t="s">
        <v>4401</v>
      </c>
      <c r="C1261" s="338">
        <v>221116</v>
      </c>
      <c r="D1261" s="339" t="s">
        <v>4391</v>
      </c>
    </row>
    <row r="1262" spans="1:4" ht="17.25" customHeight="1" x14ac:dyDescent="0.35">
      <c r="A1262" s="345">
        <v>4931</v>
      </c>
      <c r="B1262" s="333" t="s">
        <v>4401</v>
      </c>
      <c r="C1262" s="334">
        <v>221117</v>
      </c>
      <c r="D1262" s="335" t="s">
        <v>4392</v>
      </c>
    </row>
    <row r="1263" spans="1:4" ht="17.25" customHeight="1" x14ac:dyDescent="0.35">
      <c r="A1263" s="344">
        <v>4931</v>
      </c>
      <c r="B1263" s="337" t="s">
        <v>4401</v>
      </c>
      <c r="C1263" s="338">
        <v>221118</v>
      </c>
      <c r="D1263" s="339" t="s">
        <v>4393</v>
      </c>
    </row>
    <row r="1264" spans="1:4" ht="34.5" customHeight="1" x14ac:dyDescent="0.35">
      <c r="A1264" s="345">
        <v>4931</v>
      </c>
      <c r="B1264" s="333" t="s">
        <v>4401</v>
      </c>
      <c r="C1264" s="334">
        <v>221121</v>
      </c>
      <c r="D1264" s="341" t="s">
        <v>4394</v>
      </c>
    </row>
    <row r="1265" spans="1:4" ht="17.25" customHeight="1" x14ac:dyDescent="0.35">
      <c r="A1265" s="344">
        <v>4931</v>
      </c>
      <c r="B1265" s="337" t="s">
        <v>4401</v>
      </c>
      <c r="C1265" s="338">
        <v>221122</v>
      </c>
      <c r="D1265" s="339" t="s">
        <v>4395</v>
      </c>
    </row>
    <row r="1266" spans="1:4" ht="17.25" customHeight="1" x14ac:dyDescent="0.35">
      <c r="A1266" s="345">
        <v>4931</v>
      </c>
      <c r="B1266" s="333" t="s">
        <v>4401</v>
      </c>
      <c r="C1266" s="334">
        <v>221210</v>
      </c>
      <c r="D1266" s="335" t="s">
        <v>4399</v>
      </c>
    </row>
    <row r="1267" spans="1:4" ht="17.25" customHeight="1" x14ac:dyDescent="0.35">
      <c r="A1267" s="344">
        <v>4932</v>
      </c>
      <c r="B1267" s="337" t="s">
        <v>4402</v>
      </c>
      <c r="C1267" s="338">
        <v>221210</v>
      </c>
      <c r="D1267" s="339" t="s">
        <v>4399</v>
      </c>
    </row>
    <row r="1268" spans="1:4" ht="17.25" customHeight="1" x14ac:dyDescent="0.35">
      <c r="A1268" s="344">
        <v>4939</v>
      </c>
      <c r="B1268" s="337" t="s">
        <v>4403</v>
      </c>
      <c r="C1268" s="338">
        <v>221111</v>
      </c>
      <c r="D1268" s="339" t="s">
        <v>4386</v>
      </c>
    </row>
    <row r="1269" spans="1:4" ht="17.25" customHeight="1" x14ac:dyDescent="0.35">
      <c r="A1269" s="345">
        <v>4939</v>
      </c>
      <c r="B1269" s="333" t="s">
        <v>4403</v>
      </c>
      <c r="C1269" s="334">
        <v>221112</v>
      </c>
      <c r="D1269" s="335" t="s">
        <v>4387</v>
      </c>
    </row>
    <row r="1270" spans="1:4" ht="17.25" customHeight="1" x14ac:dyDescent="0.35">
      <c r="A1270" s="344">
        <v>4939</v>
      </c>
      <c r="B1270" s="337" t="s">
        <v>4403</v>
      </c>
      <c r="C1270" s="338">
        <v>221113</v>
      </c>
      <c r="D1270" s="339" t="s">
        <v>4388</v>
      </c>
    </row>
    <row r="1271" spans="1:4" ht="17.25" customHeight="1" x14ac:dyDescent="0.35">
      <c r="A1271" s="345">
        <v>4939</v>
      </c>
      <c r="B1271" s="333" t="s">
        <v>4403</v>
      </c>
      <c r="C1271" s="334">
        <v>221114</v>
      </c>
      <c r="D1271" s="335" t="s">
        <v>4389</v>
      </c>
    </row>
    <row r="1272" spans="1:4" ht="17.25" customHeight="1" x14ac:dyDescent="0.35">
      <c r="A1272" s="344">
        <v>4939</v>
      </c>
      <c r="B1272" s="337" t="s">
        <v>4403</v>
      </c>
      <c r="C1272" s="338">
        <v>221115</v>
      </c>
      <c r="D1272" s="339" t="s">
        <v>4390</v>
      </c>
    </row>
    <row r="1273" spans="1:4" ht="17.25" customHeight="1" x14ac:dyDescent="0.35">
      <c r="A1273" s="345">
        <v>4939</v>
      </c>
      <c r="B1273" s="333" t="s">
        <v>4403</v>
      </c>
      <c r="C1273" s="334">
        <v>221116</v>
      </c>
      <c r="D1273" s="335" t="s">
        <v>4391</v>
      </c>
    </row>
    <row r="1274" spans="1:4" ht="17.25" customHeight="1" x14ac:dyDescent="0.35">
      <c r="A1274" s="344">
        <v>4939</v>
      </c>
      <c r="B1274" s="337" t="s">
        <v>4403</v>
      </c>
      <c r="C1274" s="338">
        <v>221117</v>
      </c>
      <c r="D1274" s="339" t="s">
        <v>4392</v>
      </c>
    </row>
    <row r="1275" spans="1:4" ht="17.25" customHeight="1" x14ac:dyDescent="0.35">
      <c r="A1275" s="345">
        <v>4939</v>
      </c>
      <c r="B1275" s="333" t="s">
        <v>4403</v>
      </c>
      <c r="C1275" s="334">
        <v>221118</v>
      </c>
      <c r="D1275" s="335" t="s">
        <v>4393</v>
      </c>
    </row>
    <row r="1276" spans="1:4" ht="34.5" customHeight="1" x14ac:dyDescent="0.35">
      <c r="A1276" s="344">
        <v>4939</v>
      </c>
      <c r="B1276" s="337" t="s">
        <v>4403</v>
      </c>
      <c r="C1276" s="338">
        <v>221121</v>
      </c>
      <c r="D1276" s="340" t="s">
        <v>4394</v>
      </c>
    </row>
    <row r="1277" spans="1:4" ht="17.25" customHeight="1" x14ac:dyDescent="0.35">
      <c r="A1277" s="345">
        <v>4939</v>
      </c>
      <c r="B1277" s="333" t="s">
        <v>4403</v>
      </c>
      <c r="C1277" s="334">
        <v>221122</v>
      </c>
      <c r="D1277" s="335" t="s">
        <v>4395</v>
      </c>
    </row>
    <row r="1278" spans="1:4" ht="17.25" customHeight="1" x14ac:dyDescent="0.35">
      <c r="A1278" s="345">
        <v>4939</v>
      </c>
      <c r="B1278" s="333" t="s">
        <v>4403</v>
      </c>
      <c r="C1278" s="334">
        <v>221210</v>
      </c>
      <c r="D1278" s="335" t="s">
        <v>4399</v>
      </c>
    </row>
    <row r="1279" spans="1:4" ht="17.25" customHeight="1" x14ac:dyDescent="0.35">
      <c r="A1279" s="344">
        <v>4941</v>
      </c>
      <c r="B1279" s="337" t="s">
        <v>4404</v>
      </c>
      <c r="C1279" s="338">
        <v>221310</v>
      </c>
      <c r="D1279" s="339" t="s">
        <v>4405</v>
      </c>
    </row>
    <row r="1280" spans="1:4" ht="17.25" customHeight="1" x14ac:dyDescent="0.35">
      <c r="A1280" s="344">
        <v>4952</v>
      </c>
      <c r="B1280" s="337" t="s">
        <v>4406</v>
      </c>
      <c r="C1280" s="338">
        <v>221320</v>
      </c>
      <c r="D1280" s="339" t="s">
        <v>4407</v>
      </c>
    </row>
    <row r="1281" spans="1:4" ht="29.25" customHeight="1" x14ac:dyDescent="0.35">
      <c r="A1281" s="344">
        <v>4953</v>
      </c>
      <c r="B1281" s="337" t="s">
        <v>4408</v>
      </c>
      <c r="C1281" s="338">
        <v>562211</v>
      </c>
      <c r="D1281" s="339" t="s">
        <v>4409</v>
      </c>
    </row>
    <row r="1282" spans="1:4" ht="17.25" customHeight="1" x14ac:dyDescent="0.35">
      <c r="A1282" s="345">
        <v>4953</v>
      </c>
      <c r="B1282" s="333" t="s">
        <v>4408</v>
      </c>
      <c r="C1282" s="334">
        <v>562212</v>
      </c>
      <c r="D1282" s="335" t="s">
        <v>4410</v>
      </c>
    </row>
    <row r="1283" spans="1:4" ht="17.25" customHeight="1" x14ac:dyDescent="0.35">
      <c r="A1283" s="344">
        <v>4953</v>
      </c>
      <c r="B1283" s="337" t="s">
        <v>4408</v>
      </c>
      <c r="C1283" s="338">
        <v>562213</v>
      </c>
      <c r="D1283" s="339" t="s">
        <v>4411</v>
      </c>
    </row>
    <row r="1284" spans="1:4" ht="34.5" customHeight="1" x14ac:dyDescent="0.35">
      <c r="A1284" s="345">
        <v>4953</v>
      </c>
      <c r="B1284" s="333" t="s">
        <v>4408</v>
      </c>
      <c r="C1284" s="334">
        <v>562219</v>
      </c>
      <c r="D1284" s="341" t="s">
        <v>4412</v>
      </c>
    </row>
    <row r="1285" spans="1:4" ht="17.25" customHeight="1" x14ac:dyDescent="0.35">
      <c r="A1285" s="344">
        <v>4953</v>
      </c>
      <c r="B1285" s="337" t="s">
        <v>4408</v>
      </c>
      <c r="C1285" s="338">
        <v>562920</v>
      </c>
      <c r="D1285" s="339" t="s">
        <v>4413</v>
      </c>
    </row>
    <row r="1286" spans="1:4" ht="17.25" customHeight="1" x14ac:dyDescent="0.35">
      <c r="A1286" s="344">
        <v>4959</v>
      </c>
      <c r="B1286" s="337" t="s">
        <v>4414</v>
      </c>
      <c r="C1286" s="338">
        <v>488119</v>
      </c>
      <c r="D1286" s="339" t="s">
        <v>4346</v>
      </c>
    </row>
    <row r="1287" spans="1:4" ht="34.5" customHeight="1" x14ac:dyDescent="0.35">
      <c r="A1287" s="345">
        <v>4959</v>
      </c>
      <c r="B1287" s="333" t="s">
        <v>4414</v>
      </c>
      <c r="C1287" s="334">
        <v>488490</v>
      </c>
      <c r="D1287" s="341" t="s">
        <v>4288</v>
      </c>
    </row>
    <row r="1288" spans="1:4" ht="17.25" customHeight="1" x14ac:dyDescent="0.35">
      <c r="A1288" s="344">
        <v>4959</v>
      </c>
      <c r="B1288" s="337" t="s">
        <v>4414</v>
      </c>
      <c r="C1288" s="338">
        <v>561710</v>
      </c>
      <c r="D1288" s="339" t="s">
        <v>4415</v>
      </c>
    </row>
    <row r="1289" spans="1:4" ht="17.25" customHeight="1" x14ac:dyDescent="0.35">
      <c r="A1289" s="345">
        <v>4959</v>
      </c>
      <c r="B1289" s="333" t="s">
        <v>4414</v>
      </c>
      <c r="C1289" s="334">
        <v>561790</v>
      </c>
      <c r="D1289" s="335" t="s">
        <v>3429</v>
      </c>
    </row>
    <row r="1290" spans="1:4" ht="17.25" customHeight="1" x14ac:dyDescent="0.35">
      <c r="A1290" s="345">
        <v>4959</v>
      </c>
      <c r="B1290" s="333" t="s">
        <v>4414</v>
      </c>
      <c r="C1290" s="334">
        <v>562910</v>
      </c>
      <c r="D1290" s="335" t="s">
        <v>3430</v>
      </c>
    </row>
    <row r="1291" spans="1:4" ht="34.5" customHeight="1" x14ac:dyDescent="0.35">
      <c r="A1291" s="345">
        <v>4959</v>
      </c>
      <c r="B1291" s="333" t="s">
        <v>4414</v>
      </c>
      <c r="C1291" s="334">
        <v>562998</v>
      </c>
      <c r="D1291" s="341" t="s">
        <v>4416</v>
      </c>
    </row>
    <row r="1292" spans="1:4" ht="17.25" customHeight="1" x14ac:dyDescent="0.35">
      <c r="A1292" s="345">
        <v>4961</v>
      </c>
      <c r="B1292" s="333" t="s">
        <v>4417</v>
      </c>
      <c r="C1292" s="334">
        <v>221330</v>
      </c>
      <c r="D1292" s="335" t="s">
        <v>4418</v>
      </c>
    </row>
    <row r="1293" spans="1:4" ht="17.25" customHeight="1" x14ac:dyDescent="0.35">
      <c r="A1293" s="345">
        <v>4971</v>
      </c>
      <c r="B1293" s="333" t="s">
        <v>4419</v>
      </c>
      <c r="C1293" s="334">
        <v>221310</v>
      </c>
      <c r="D1293" s="335" t="s">
        <v>4405</v>
      </c>
    </row>
    <row r="1294" spans="1:4" ht="34.5" customHeight="1" x14ac:dyDescent="0.35">
      <c r="A1294" s="344">
        <v>5012</v>
      </c>
      <c r="B1294" s="337" t="s">
        <v>4420</v>
      </c>
      <c r="C1294" s="338">
        <v>423110</v>
      </c>
      <c r="D1294" s="340" t="s">
        <v>4421</v>
      </c>
    </row>
    <row r="1295" spans="1:4" ht="17.25" customHeight="1" x14ac:dyDescent="0.35">
      <c r="A1295" s="345">
        <v>5012</v>
      </c>
      <c r="B1295" s="333" t="s">
        <v>4420</v>
      </c>
      <c r="C1295" s="334">
        <v>425110</v>
      </c>
      <c r="D1295" s="335" t="s">
        <v>4422</v>
      </c>
    </row>
    <row r="1296" spans="1:4" ht="17.25" customHeight="1" x14ac:dyDescent="0.35">
      <c r="A1296" s="345">
        <v>5012</v>
      </c>
      <c r="B1296" s="333" t="s">
        <v>4420</v>
      </c>
      <c r="C1296" s="334">
        <v>425120</v>
      </c>
      <c r="D1296" s="335" t="s">
        <v>4423</v>
      </c>
    </row>
    <row r="1297" spans="1:4" ht="34.5" customHeight="1" x14ac:dyDescent="0.35">
      <c r="A1297" s="345">
        <v>5013</v>
      </c>
      <c r="B1297" s="333" t="s">
        <v>4424</v>
      </c>
      <c r="C1297" s="334">
        <v>423120</v>
      </c>
      <c r="D1297" s="341" t="s">
        <v>4425</v>
      </c>
    </row>
    <row r="1298" spans="1:4" ht="17.25" customHeight="1" x14ac:dyDescent="0.35">
      <c r="A1298" s="344">
        <v>5013</v>
      </c>
      <c r="B1298" s="337" t="s">
        <v>4424</v>
      </c>
      <c r="C1298" s="338">
        <v>425110</v>
      </c>
      <c r="D1298" s="339" t="s">
        <v>4422</v>
      </c>
    </row>
    <row r="1299" spans="1:4" ht="17.25" customHeight="1" x14ac:dyDescent="0.35">
      <c r="A1299" s="344">
        <v>5013</v>
      </c>
      <c r="B1299" s="337" t="s">
        <v>4424</v>
      </c>
      <c r="C1299" s="338">
        <v>425120</v>
      </c>
      <c r="D1299" s="339" t="s">
        <v>4423</v>
      </c>
    </row>
    <row r="1300" spans="1:4" ht="17.25" customHeight="1" x14ac:dyDescent="0.35">
      <c r="A1300" s="344">
        <v>5013</v>
      </c>
      <c r="B1300" s="337" t="s">
        <v>4424</v>
      </c>
      <c r="C1300" s="338">
        <v>441310</v>
      </c>
      <c r="D1300" s="339" t="s">
        <v>4426</v>
      </c>
    </row>
    <row r="1301" spans="1:4" ht="17.25" customHeight="1" x14ac:dyDescent="0.35">
      <c r="A1301" s="344">
        <v>5014</v>
      </c>
      <c r="B1301" s="337" t="s">
        <v>4427</v>
      </c>
      <c r="C1301" s="338">
        <v>423130</v>
      </c>
      <c r="D1301" s="339" t="s">
        <v>4428</v>
      </c>
    </row>
    <row r="1302" spans="1:4" ht="17.25" customHeight="1" x14ac:dyDescent="0.35">
      <c r="A1302" s="345">
        <v>5014</v>
      </c>
      <c r="B1302" s="333" t="s">
        <v>4427</v>
      </c>
      <c r="C1302" s="334">
        <v>425110</v>
      </c>
      <c r="D1302" s="335" t="s">
        <v>4422</v>
      </c>
    </row>
    <row r="1303" spans="1:4" ht="17.25" customHeight="1" x14ac:dyDescent="0.35">
      <c r="A1303" s="345">
        <v>5014</v>
      </c>
      <c r="B1303" s="333" t="s">
        <v>4427</v>
      </c>
      <c r="C1303" s="334">
        <v>425120</v>
      </c>
      <c r="D1303" s="335" t="s">
        <v>4423</v>
      </c>
    </row>
    <row r="1304" spans="1:4" ht="17.25" customHeight="1" x14ac:dyDescent="0.35">
      <c r="A1304" s="344">
        <v>5014</v>
      </c>
      <c r="B1304" s="337" t="s">
        <v>4427</v>
      </c>
      <c r="C1304" s="338">
        <v>441320</v>
      </c>
      <c r="D1304" s="339" t="s">
        <v>4429</v>
      </c>
    </row>
    <row r="1305" spans="1:4" ht="34.5" customHeight="1" x14ac:dyDescent="0.35">
      <c r="A1305" s="345">
        <v>5015</v>
      </c>
      <c r="B1305" s="333" t="s">
        <v>4430</v>
      </c>
      <c r="C1305" s="334">
        <v>423140</v>
      </c>
      <c r="D1305" s="341" t="s">
        <v>4431</v>
      </c>
    </row>
    <row r="1306" spans="1:4" ht="17.25" customHeight="1" x14ac:dyDescent="0.35">
      <c r="A1306" s="344">
        <v>5015</v>
      </c>
      <c r="B1306" s="337" t="s">
        <v>4430</v>
      </c>
      <c r="C1306" s="338">
        <v>425110</v>
      </c>
      <c r="D1306" s="339" t="s">
        <v>4422</v>
      </c>
    </row>
    <row r="1307" spans="1:4" ht="17.25" customHeight="1" x14ac:dyDescent="0.35">
      <c r="A1307" s="344">
        <v>5015</v>
      </c>
      <c r="B1307" s="337" t="s">
        <v>4430</v>
      </c>
      <c r="C1307" s="338">
        <v>425120</v>
      </c>
      <c r="D1307" s="339" t="s">
        <v>4423</v>
      </c>
    </row>
    <row r="1308" spans="1:4" ht="17.25" customHeight="1" x14ac:dyDescent="0.35">
      <c r="A1308" s="345">
        <v>5015</v>
      </c>
      <c r="B1308" s="333" t="s">
        <v>4430</v>
      </c>
      <c r="C1308" s="334">
        <v>441310</v>
      </c>
      <c r="D1308" s="335" t="s">
        <v>4426</v>
      </c>
    </row>
    <row r="1309" spans="1:4" ht="17.25" customHeight="1" x14ac:dyDescent="0.35">
      <c r="A1309" s="344">
        <v>5021</v>
      </c>
      <c r="B1309" s="337" t="s">
        <v>4432</v>
      </c>
      <c r="C1309" s="338">
        <v>423210</v>
      </c>
      <c r="D1309" s="339" t="s">
        <v>4433</v>
      </c>
    </row>
    <row r="1310" spans="1:4" ht="17.25" customHeight="1" x14ac:dyDescent="0.35">
      <c r="A1310" s="345">
        <v>5021</v>
      </c>
      <c r="B1310" s="333" t="s">
        <v>4432</v>
      </c>
      <c r="C1310" s="334">
        <v>425110</v>
      </c>
      <c r="D1310" s="335" t="s">
        <v>4422</v>
      </c>
    </row>
    <row r="1311" spans="1:4" ht="17.25" customHeight="1" x14ac:dyDescent="0.35">
      <c r="A1311" s="345">
        <v>5021</v>
      </c>
      <c r="B1311" s="333" t="s">
        <v>4432</v>
      </c>
      <c r="C1311" s="334">
        <v>425120</v>
      </c>
      <c r="D1311" s="335" t="s">
        <v>4423</v>
      </c>
    </row>
    <row r="1312" spans="1:4" ht="17.25" customHeight="1" x14ac:dyDescent="0.35">
      <c r="A1312" s="344">
        <v>5021</v>
      </c>
      <c r="B1312" s="337" t="s">
        <v>4432</v>
      </c>
      <c r="C1312" s="338">
        <v>442110</v>
      </c>
      <c r="D1312" s="339" t="s">
        <v>4434</v>
      </c>
    </row>
    <row r="1313" spans="1:4" ht="17.25" customHeight="1" x14ac:dyDescent="0.35">
      <c r="A1313" s="345">
        <v>5023</v>
      </c>
      <c r="B1313" s="333" t="s">
        <v>4435</v>
      </c>
      <c r="C1313" s="334">
        <v>423220</v>
      </c>
      <c r="D1313" s="335" t="s">
        <v>4436</v>
      </c>
    </row>
    <row r="1314" spans="1:4" ht="17.25" customHeight="1" x14ac:dyDescent="0.35">
      <c r="A1314" s="344">
        <v>5023</v>
      </c>
      <c r="B1314" s="337" t="s">
        <v>4435</v>
      </c>
      <c r="C1314" s="338">
        <v>425110</v>
      </c>
      <c r="D1314" s="339" t="s">
        <v>4422</v>
      </c>
    </row>
    <row r="1315" spans="1:4" ht="17.25" customHeight="1" x14ac:dyDescent="0.35">
      <c r="A1315" s="344">
        <v>5023</v>
      </c>
      <c r="B1315" s="337" t="s">
        <v>4435</v>
      </c>
      <c r="C1315" s="338">
        <v>425120</v>
      </c>
      <c r="D1315" s="339" t="s">
        <v>4423</v>
      </c>
    </row>
    <row r="1316" spans="1:4" ht="17.25" customHeight="1" x14ac:dyDescent="0.35">
      <c r="A1316" s="344">
        <v>5023</v>
      </c>
      <c r="B1316" s="337" t="s">
        <v>4435</v>
      </c>
      <c r="C1316" s="338">
        <v>442210</v>
      </c>
      <c r="D1316" s="339" t="s">
        <v>4437</v>
      </c>
    </row>
    <row r="1317" spans="1:4" ht="34.5" customHeight="1" x14ac:dyDescent="0.35">
      <c r="A1317" s="344">
        <v>5031</v>
      </c>
      <c r="B1317" s="337" t="s">
        <v>4438</v>
      </c>
      <c r="C1317" s="338">
        <v>423310</v>
      </c>
      <c r="D1317" s="340" t="s">
        <v>4439</v>
      </c>
    </row>
    <row r="1318" spans="1:4" ht="17.25" customHeight="1" x14ac:dyDescent="0.35">
      <c r="A1318" s="345">
        <v>5031</v>
      </c>
      <c r="B1318" s="333" t="s">
        <v>4438</v>
      </c>
      <c r="C1318" s="334">
        <v>425110</v>
      </c>
      <c r="D1318" s="335" t="s">
        <v>4422</v>
      </c>
    </row>
    <row r="1319" spans="1:4" ht="17.25" customHeight="1" x14ac:dyDescent="0.35">
      <c r="A1319" s="345">
        <v>5031</v>
      </c>
      <c r="B1319" s="333" t="s">
        <v>4438</v>
      </c>
      <c r="C1319" s="334">
        <v>425120</v>
      </c>
      <c r="D1319" s="335" t="s">
        <v>4423</v>
      </c>
    </row>
    <row r="1320" spans="1:4" ht="17.25" customHeight="1" x14ac:dyDescent="0.35">
      <c r="A1320" s="344">
        <v>5031</v>
      </c>
      <c r="B1320" s="337" t="s">
        <v>4438</v>
      </c>
      <c r="C1320" s="338">
        <v>444110</v>
      </c>
      <c r="D1320" s="339" t="s">
        <v>4440</v>
      </c>
    </row>
    <row r="1321" spans="1:4" ht="34.5" customHeight="1" x14ac:dyDescent="0.35">
      <c r="A1321" s="344">
        <v>5032</v>
      </c>
      <c r="B1321" s="337" t="s">
        <v>4441</v>
      </c>
      <c r="C1321" s="338">
        <v>423320</v>
      </c>
      <c r="D1321" s="340" t="s">
        <v>4442</v>
      </c>
    </row>
    <row r="1322" spans="1:4" ht="17.25" customHeight="1" x14ac:dyDescent="0.35">
      <c r="A1322" s="344">
        <v>5032</v>
      </c>
      <c r="B1322" s="337" t="s">
        <v>4441</v>
      </c>
      <c r="C1322" s="338">
        <v>425110</v>
      </c>
      <c r="D1322" s="339" t="s">
        <v>4422</v>
      </c>
    </row>
    <row r="1323" spans="1:4" ht="17.25" customHeight="1" x14ac:dyDescent="0.35">
      <c r="A1323" s="344">
        <v>5032</v>
      </c>
      <c r="B1323" s="337" t="s">
        <v>4441</v>
      </c>
      <c r="C1323" s="338">
        <v>425120</v>
      </c>
      <c r="D1323" s="339" t="s">
        <v>4423</v>
      </c>
    </row>
    <row r="1324" spans="1:4" ht="17.25" customHeight="1" x14ac:dyDescent="0.35">
      <c r="A1324" s="344">
        <v>5032</v>
      </c>
      <c r="B1324" s="337" t="s">
        <v>4441</v>
      </c>
      <c r="C1324" s="338">
        <v>444190</v>
      </c>
      <c r="D1324" s="339" t="s">
        <v>4443</v>
      </c>
    </row>
    <row r="1325" spans="1:4" ht="34.5" customHeight="1" x14ac:dyDescent="0.35">
      <c r="A1325" s="345">
        <v>5033</v>
      </c>
      <c r="B1325" s="333" t="s">
        <v>4444</v>
      </c>
      <c r="C1325" s="334">
        <v>423330</v>
      </c>
      <c r="D1325" s="341" t="s">
        <v>4445</v>
      </c>
    </row>
    <row r="1326" spans="1:4" ht="17.25" customHeight="1" x14ac:dyDescent="0.35">
      <c r="A1326" s="345">
        <v>5033</v>
      </c>
      <c r="B1326" s="333" t="s">
        <v>4444</v>
      </c>
      <c r="C1326" s="334">
        <v>425110</v>
      </c>
      <c r="D1326" s="335" t="s">
        <v>4422</v>
      </c>
    </row>
    <row r="1327" spans="1:4" ht="17.25" customHeight="1" x14ac:dyDescent="0.35">
      <c r="A1327" s="345">
        <v>5033</v>
      </c>
      <c r="B1327" s="333" t="s">
        <v>4444</v>
      </c>
      <c r="C1327" s="334">
        <v>425120</v>
      </c>
      <c r="D1327" s="335" t="s">
        <v>4423</v>
      </c>
    </row>
    <row r="1328" spans="1:4" ht="17.25" customHeight="1" x14ac:dyDescent="0.35">
      <c r="A1328" s="345">
        <v>5033</v>
      </c>
      <c r="B1328" s="333" t="s">
        <v>4444</v>
      </c>
      <c r="C1328" s="334">
        <v>444190</v>
      </c>
      <c r="D1328" s="335" t="s">
        <v>4443</v>
      </c>
    </row>
    <row r="1329" spans="1:4" ht="34.5" customHeight="1" x14ac:dyDescent="0.35">
      <c r="A1329" s="345">
        <v>5039</v>
      </c>
      <c r="B1329" s="333" t="s">
        <v>4446</v>
      </c>
      <c r="C1329" s="334">
        <v>423310</v>
      </c>
      <c r="D1329" s="341" t="s">
        <v>4439</v>
      </c>
    </row>
    <row r="1330" spans="1:4" ht="34.5" customHeight="1" x14ac:dyDescent="0.35">
      <c r="A1330" s="344">
        <v>5039</v>
      </c>
      <c r="B1330" s="337" t="s">
        <v>4446</v>
      </c>
      <c r="C1330" s="338">
        <v>423390</v>
      </c>
      <c r="D1330" s="340" t="s">
        <v>4447</v>
      </c>
    </row>
    <row r="1331" spans="1:4" ht="17.25" customHeight="1" x14ac:dyDescent="0.35">
      <c r="A1331" s="344">
        <v>5039</v>
      </c>
      <c r="B1331" s="337" t="s">
        <v>4446</v>
      </c>
      <c r="C1331" s="338">
        <v>425110</v>
      </c>
      <c r="D1331" s="339" t="s">
        <v>4422</v>
      </c>
    </row>
    <row r="1332" spans="1:4" ht="17.25" customHeight="1" x14ac:dyDescent="0.35">
      <c r="A1332" s="344">
        <v>5039</v>
      </c>
      <c r="B1332" s="337" t="s">
        <v>4446</v>
      </c>
      <c r="C1332" s="338">
        <v>425120</v>
      </c>
      <c r="D1332" s="339" t="s">
        <v>4423</v>
      </c>
    </row>
    <row r="1333" spans="1:4" ht="17.25" customHeight="1" x14ac:dyDescent="0.35">
      <c r="A1333" s="344">
        <v>5039</v>
      </c>
      <c r="B1333" s="337" t="s">
        <v>4446</v>
      </c>
      <c r="C1333" s="338">
        <v>444190</v>
      </c>
      <c r="D1333" s="339" t="s">
        <v>4443</v>
      </c>
    </row>
    <row r="1334" spans="1:4" ht="34.5" customHeight="1" x14ac:dyDescent="0.35">
      <c r="A1334" s="345">
        <v>5043</v>
      </c>
      <c r="B1334" s="333" t="s">
        <v>4238</v>
      </c>
      <c r="C1334" s="334">
        <v>423410</v>
      </c>
      <c r="D1334" s="341" t="s">
        <v>4448</v>
      </c>
    </row>
    <row r="1335" spans="1:4" ht="17.25" customHeight="1" x14ac:dyDescent="0.35">
      <c r="A1335" s="345">
        <v>5043</v>
      </c>
      <c r="B1335" s="333" t="s">
        <v>4238</v>
      </c>
      <c r="C1335" s="334">
        <v>425110</v>
      </c>
      <c r="D1335" s="335" t="s">
        <v>4422</v>
      </c>
    </row>
    <row r="1336" spans="1:4" ht="17.25" customHeight="1" x14ac:dyDescent="0.35">
      <c r="A1336" s="345">
        <v>5043</v>
      </c>
      <c r="B1336" s="333" t="s">
        <v>4238</v>
      </c>
      <c r="C1336" s="334">
        <v>425120</v>
      </c>
      <c r="D1336" s="335" t="s">
        <v>4423</v>
      </c>
    </row>
    <row r="1337" spans="1:4" ht="17.25" customHeight="1" x14ac:dyDescent="0.35">
      <c r="A1337" s="344">
        <v>5044</v>
      </c>
      <c r="B1337" s="337" t="s">
        <v>4449</v>
      </c>
      <c r="C1337" s="338">
        <v>423420</v>
      </c>
      <c r="D1337" s="339" t="s">
        <v>4450</v>
      </c>
    </row>
    <row r="1338" spans="1:4" ht="17.25" customHeight="1" x14ac:dyDescent="0.35">
      <c r="A1338" s="344">
        <v>5044</v>
      </c>
      <c r="B1338" s="337" t="s">
        <v>4449</v>
      </c>
      <c r="C1338" s="338">
        <v>425110</v>
      </c>
      <c r="D1338" s="339" t="s">
        <v>4422</v>
      </c>
    </row>
    <row r="1339" spans="1:4" ht="17.25" customHeight="1" x14ac:dyDescent="0.35">
      <c r="A1339" s="344">
        <v>5044</v>
      </c>
      <c r="B1339" s="337" t="s">
        <v>4449</v>
      </c>
      <c r="C1339" s="338">
        <v>425120</v>
      </c>
      <c r="D1339" s="339" t="s">
        <v>4423</v>
      </c>
    </row>
    <row r="1340" spans="1:4" ht="17.25" customHeight="1" x14ac:dyDescent="0.35">
      <c r="A1340" s="344">
        <v>5044</v>
      </c>
      <c r="B1340" s="337" t="s">
        <v>4449</v>
      </c>
      <c r="C1340" s="338">
        <v>453210</v>
      </c>
      <c r="D1340" s="339" t="s">
        <v>4451</v>
      </c>
    </row>
    <row r="1341" spans="1:4" ht="43.5" customHeight="1" x14ac:dyDescent="0.35">
      <c r="A1341" s="345">
        <v>5045</v>
      </c>
      <c r="B1341" s="333" t="s">
        <v>4452</v>
      </c>
      <c r="C1341" s="334">
        <v>423430</v>
      </c>
      <c r="D1341" s="341" t="s">
        <v>4453</v>
      </c>
    </row>
    <row r="1342" spans="1:4" ht="17.25" customHeight="1" x14ac:dyDescent="0.35">
      <c r="A1342" s="345">
        <v>5045</v>
      </c>
      <c r="B1342" s="333" t="s">
        <v>4452</v>
      </c>
      <c r="C1342" s="334">
        <v>425110</v>
      </c>
      <c r="D1342" s="335" t="s">
        <v>4422</v>
      </c>
    </row>
    <row r="1343" spans="1:4" ht="17.25" customHeight="1" x14ac:dyDescent="0.35">
      <c r="A1343" s="345">
        <v>5045</v>
      </c>
      <c r="B1343" s="333" t="s">
        <v>4452</v>
      </c>
      <c r="C1343" s="334">
        <v>425120</v>
      </c>
      <c r="D1343" s="335" t="s">
        <v>4423</v>
      </c>
    </row>
    <row r="1344" spans="1:4" ht="17.25" customHeight="1" x14ac:dyDescent="0.35">
      <c r="A1344" s="344">
        <v>5045</v>
      </c>
      <c r="B1344" s="337" t="s">
        <v>4452</v>
      </c>
      <c r="C1344" s="338">
        <v>443142</v>
      </c>
      <c r="D1344" s="339" t="s">
        <v>4454</v>
      </c>
    </row>
    <row r="1345" spans="1:4" ht="34.5" customHeight="1" x14ac:dyDescent="0.35">
      <c r="A1345" s="344">
        <v>5046</v>
      </c>
      <c r="B1345" s="337" t="s">
        <v>4455</v>
      </c>
      <c r="C1345" s="338">
        <v>423440</v>
      </c>
      <c r="D1345" s="340" t="s">
        <v>4456</v>
      </c>
    </row>
    <row r="1346" spans="1:4" ht="17.25" customHeight="1" x14ac:dyDescent="0.35">
      <c r="A1346" s="344">
        <v>5046</v>
      </c>
      <c r="B1346" s="337" t="s">
        <v>4455</v>
      </c>
      <c r="C1346" s="338">
        <v>425110</v>
      </c>
      <c r="D1346" s="339" t="s">
        <v>4422</v>
      </c>
    </row>
    <row r="1347" spans="1:4" ht="17.25" customHeight="1" x14ac:dyDescent="0.35">
      <c r="A1347" s="344">
        <v>5046</v>
      </c>
      <c r="B1347" s="337" t="s">
        <v>4455</v>
      </c>
      <c r="C1347" s="338">
        <v>425120</v>
      </c>
      <c r="D1347" s="339" t="s">
        <v>4423</v>
      </c>
    </row>
    <row r="1348" spans="1:4" ht="34.5" customHeight="1" x14ac:dyDescent="0.35">
      <c r="A1348" s="345">
        <v>5047</v>
      </c>
      <c r="B1348" s="333" t="s">
        <v>4457</v>
      </c>
      <c r="C1348" s="334">
        <v>423450</v>
      </c>
      <c r="D1348" s="341" t="s">
        <v>4458</v>
      </c>
    </row>
    <row r="1349" spans="1:4" ht="17.25" customHeight="1" x14ac:dyDescent="0.35">
      <c r="A1349" s="345">
        <v>5047</v>
      </c>
      <c r="B1349" s="333" t="s">
        <v>4457</v>
      </c>
      <c r="C1349" s="334">
        <v>425110</v>
      </c>
      <c r="D1349" s="335" t="s">
        <v>4422</v>
      </c>
    </row>
    <row r="1350" spans="1:4" ht="17.25" customHeight="1" x14ac:dyDescent="0.35">
      <c r="A1350" s="345">
        <v>5047</v>
      </c>
      <c r="B1350" s="333" t="s">
        <v>4457</v>
      </c>
      <c r="C1350" s="334">
        <v>425120</v>
      </c>
      <c r="D1350" s="335" t="s">
        <v>4423</v>
      </c>
    </row>
    <row r="1351" spans="1:4" ht="17.25" customHeight="1" x14ac:dyDescent="0.35">
      <c r="A1351" s="344">
        <v>5047</v>
      </c>
      <c r="B1351" s="337" t="s">
        <v>4457</v>
      </c>
      <c r="C1351" s="338">
        <v>446199</v>
      </c>
      <c r="D1351" s="339" t="s">
        <v>4459</v>
      </c>
    </row>
    <row r="1352" spans="1:4" ht="17.25" customHeight="1" x14ac:dyDescent="0.35">
      <c r="A1352" s="344">
        <v>5048</v>
      </c>
      <c r="B1352" s="337" t="s">
        <v>4236</v>
      </c>
      <c r="C1352" s="338">
        <v>423460</v>
      </c>
      <c r="D1352" s="339" t="s">
        <v>4460</v>
      </c>
    </row>
    <row r="1353" spans="1:4" ht="17.25" customHeight="1" x14ac:dyDescent="0.35">
      <c r="A1353" s="344">
        <v>5048</v>
      </c>
      <c r="B1353" s="337" t="s">
        <v>4236</v>
      </c>
      <c r="C1353" s="338">
        <v>425110</v>
      </c>
      <c r="D1353" s="339" t="s">
        <v>4422</v>
      </c>
    </row>
    <row r="1354" spans="1:4" ht="17.25" customHeight="1" x14ac:dyDescent="0.35">
      <c r="A1354" s="344">
        <v>5048</v>
      </c>
      <c r="B1354" s="337" t="s">
        <v>4236</v>
      </c>
      <c r="C1354" s="338">
        <v>425120</v>
      </c>
      <c r="D1354" s="339" t="s">
        <v>4423</v>
      </c>
    </row>
    <row r="1355" spans="1:4" ht="34.5" customHeight="1" x14ac:dyDescent="0.35">
      <c r="A1355" s="345">
        <v>5049</v>
      </c>
      <c r="B1355" s="333" t="s">
        <v>4461</v>
      </c>
      <c r="C1355" s="334">
        <v>423490</v>
      </c>
      <c r="D1355" s="341" t="s">
        <v>4462</v>
      </c>
    </row>
    <row r="1356" spans="1:4" ht="17.25" customHeight="1" x14ac:dyDescent="0.35">
      <c r="A1356" s="345">
        <v>5049</v>
      </c>
      <c r="B1356" s="333" t="s">
        <v>4461</v>
      </c>
      <c r="C1356" s="334">
        <v>425110</v>
      </c>
      <c r="D1356" s="335" t="s">
        <v>4422</v>
      </c>
    </row>
    <row r="1357" spans="1:4" ht="17.25" customHeight="1" x14ac:dyDescent="0.35">
      <c r="A1357" s="345">
        <v>5049</v>
      </c>
      <c r="B1357" s="333" t="s">
        <v>4461</v>
      </c>
      <c r="C1357" s="334">
        <v>425120</v>
      </c>
      <c r="D1357" s="335" t="s">
        <v>4423</v>
      </c>
    </row>
    <row r="1358" spans="1:4" ht="17.25" customHeight="1" x14ac:dyDescent="0.35">
      <c r="A1358" s="345">
        <v>5049</v>
      </c>
      <c r="B1358" s="333" t="s">
        <v>4461</v>
      </c>
      <c r="C1358" s="334">
        <v>453210</v>
      </c>
      <c r="D1358" s="335" t="s">
        <v>4451</v>
      </c>
    </row>
    <row r="1359" spans="1:4" ht="34.5" customHeight="1" x14ac:dyDescent="0.35">
      <c r="A1359" s="344">
        <v>5051</v>
      </c>
      <c r="B1359" s="337" t="s">
        <v>4463</v>
      </c>
      <c r="C1359" s="338">
        <v>423510</v>
      </c>
      <c r="D1359" s="340" t="s">
        <v>4464</v>
      </c>
    </row>
    <row r="1360" spans="1:4" ht="17.25" customHeight="1" x14ac:dyDescent="0.35">
      <c r="A1360" s="344">
        <v>5051</v>
      </c>
      <c r="B1360" s="337" t="s">
        <v>4463</v>
      </c>
      <c r="C1360" s="338">
        <v>425110</v>
      </c>
      <c r="D1360" s="339" t="s">
        <v>4422</v>
      </c>
    </row>
    <row r="1361" spans="1:4" ht="17.25" customHeight="1" x14ac:dyDescent="0.35">
      <c r="A1361" s="344">
        <v>5051</v>
      </c>
      <c r="B1361" s="337" t="s">
        <v>4463</v>
      </c>
      <c r="C1361" s="338">
        <v>425120</v>
      </c>
      <c r="D1361" s="339" t="s">
        <v>4423</v>
      </c>
    </row>
    <row r="1362" spans="1:4" ht="34.5" customHeight="1" x14ac:dyDescent="0.35">
      <c r="A1362" s="345">
        <v>5052</v>
      </c>
      <c r="B1362" s="333" t="s">
        <v>4465</v>
      </c>
      <c r="C1362" s="334">
        <v>423520</v>
      </c>
      <c r="D1362" s="341" t="s">
        <v>4466</v>
      </c>
    </row>
    <row r="1363" spans="1:4" ht="17.25" customHeight="1" x14ac:dyDescent="0.35">
      <c r="A1363" s="345">
        <v>5052</v>
      </c>
      <c r="B1363" s="333" t="s">
        <v>4465</v>
      </c>
      <c r="C1363" s="334">
        <v>425110</v>
      </c>
      <c r="D1363" s="335" t="s">
        <v>4422</v>
      </c>
    </row>
    <row r="1364" spans="1:4" ht="17.25" customHeight="1" x14ac:dyDescent="0.35">
      <c r="A1364" s="345">
        <v>5052</v>
      </c>
      <c r="B1364" s="333" t="s">
        <v>4465</v>
      </c>
      <c r="C1364" s="334">
        <v>425120</v>
      </c>
      <c r="D1364" s="335" t="s">
        <v>4423</v>
      </c>
    </row>
    <row r="1365" spans="1:4" ht="43.5" customHeight="1" x14ac:dyDescent="0.35">
      <c r="A1365" s="344">
        <v>5063</v>
      </c>
      <c r="B1365" s="337" t="s">
        <v>4467</v>
      </c>
      <c r="C1365" s="338">
        <v>423610</v>
      </c>
      <c r="D1365" s="340" t="s">
        <v>4468</v>
      </c>
    </row>
    <row r="1366" spans="1:4" ht="17.25" customHeight="1" x14ac:dyDescent="0.35">
      <c r="A1366" s="344">
        <v>5063</v>
      </c>
      <c r="B1366" s="337" t="s">
        <v>4467</v>
      </c>
      <c r="C1366" s="338">
        <v>425110</v>
      </c>
      <c r="D1366" s="339" t="s">
        <v>4422</v>
      </c>
    </row>
    <row r="1367" spans="1:4" ht="17.25" customHeight="1" x14ac:dyDescent="0.35">
      <c r="A1367" s="344">
        <v>5063</v>
      </c>
      <c r="B1367" s="337" t="s">
        <v>4467</v>
      </c>
      <c r="C1367" s="338">
        <v>425120</v>
      </c>
      <c r="D1367" s="339" t="s">
        <v>4423</v>
      </c>
    </row>
    <row r="1368" spans="1:4" ht="17.25" customHeight="1" x14ac:dyDescent="0.35">
      <c r="A1368" s="345">
        <v>5063</v>
      </c>
      <c r="B1368" s="333" t="s">
        <v>4467</v>
      </c>
      <c r="C1368" s="334">
        <v>444190</v>
      </c>
      <c r="D1368" s="335" t="s">
        <v>4443</v>
      </c>
    </row>
    <row r="1369" spans="1:4" ht="43.5" customHeight="1" x14ac:dyDescent="0.35">
      <c r="A1369" s="345">
        <v>5064</v>
      </c>
      <c r="B1369" s="333" t="s">
        <v>4469</v>
      </c>
      <c r="C1369" s="334">
        <v>423620</v>
      </c>
      <c r="D1369" s="341" t="s">
        <v>4470</v>
      </c>
    </row>
    <row r="1370" spans="1:4" ht="42.75" customHeight="1" x14ac:dyDescent="0.35">
      <c r="A1370" s="345">
        <v>5064</v>
      </c>
      <c r="B1370" s="333" t="s">
        <v>4469</v>
      </c>
      <c r="C1370" s="334">
        <v>423720</v>
      </c>
      <c r="D1370" s="341" t="s">
        <v>4471</v>
      </c>
    </row>
    <row r="1371" spans="1:4" ht="28" customHeight="1" x14ac:dyDescent="0.35">
      <c r="A1371" s="345">
        <v>5064</v>
      </c>
      <c r="B1371" s="333" t="s">
        <v>4469</v>
      </c>
      <c r="C1371" s="334">
        <v>425110</v>
      </c>
      <c r="D1371" s="335" t="s">
        <v>4422</v>
      </c>
    </row>
    <row r="1372" spans="1:4" ht="28.75" customHeight="1" x14ac:dyDescent="0.35">
      <c r="A1372" s="345">
        <v>5064</v>
      </c>
      <c r="B1372" s="333" t="s">
        <v>4469</v>
      </c>
      <c r="C1372" s="334">
        <v>425120</v>
      </c>
      <c r="D1372" s="335" t="s">
        <v>4423</v>
      </c>
    </row>
    <row r="1373" spans="1:4" ht="28.75" customHeight="1" x14ac:dyDescent="0.35">
      <c r="A1373" s="344">
        <v>5064</v>
      </c>
      <c r="B1373" s="337" t="s">
        <v>4469</v>
      </c>
      <c r="C1373" s="338">
        <v>443141</v>
      </c>
      <c r="D1373" s="339" t="s">
        <v>4472</v>
      </c>
    </row>
    <row r="1374" spans="1:4" ht="28.75" customHeight="1" x14ac:dyDescent="0.35">
      <c r="A1374" s="345">
        <v>5064</v>
      </c>
      <c r="B1374" s="333" t="s">
        <v>4469</v>
      </c>
      <c r="C1374" s="334">
        <v>443142</v>
      </c>
      <c r="D1374" s="335" t="s">
        <v>4454</v>
      </c>
    </row>
    <row r="1375" spans="1:4" ht="28.75" customHeight="1" x14ac:dyDescent="0.35">
      <c r="A1375" s="344">
        <v>5064</v>
      </c>
      <c r="B1375" s="337" t="s">
        <v>4469</v>
      </c>
      <c r="C1375" s="338">
        <v>444190</v>
      </c>
      <c r="D1375" s="339" t="s">
        <v>4443</v>
      </c>
    </row>
    <row r="1376" spans="1:4" ht="34.5" customHeight="1" x14ac:dyDescent="0.35">
      <c r="A1376" s="345">
        <v>5065</v>
      </c>
      <c r="B1376" s="333" t="s">
        <v>4473</v>
      </c>
      <c r="C1376" s="334">
        <v>423690</v>
      </c>
      <c r="D1376" s="341" t="s">
        <v>4474</v>
      </c>
    </row>
    <row r="1377" spans="1:4" ht="17.25" customHeight="1" x14ac:dyDescent="0.35">
      <c r="A1377" s="344">
        <v>5065</v>
      </c>
      <c r="B1377" s="337" t="s">
        <v>4473</v>
      </c>
      <c r="C1377" s="338">
        <v>425110</v>
      </c>
      <c r="D1377" s="339" t="s">
        <v>4422</v>
      </c>
    </row>
    <row r="1378" spans="1:4" ht="17.25" customHeight="1" x14ac:dyDescent="0.35">
      <c r="A1378" s="344">
        <v>5065</v>
      </c>
      <c r="B1378" s="337" t="s">
        <v>4473</v>
      </c>
      <c r="C1378" s="338">
        <v>425120</v>
      </c>
      <c r="D1378" s="339" t="s">
        <v>4423</v>
      </c>
    </row>
    <row r="1379" spans="1:4" ht="17.25" customHeight="1" x14ac:dyDescent="0.35">
      <c r="A1379" s="344">
        <v>5065</v>
      </c>
      <c r="B1379" s="337" t="s">
        <v>4473</v>
      </c>
      <c r="C1379" s="338">
        <v>443142</v>
      </c>
      <c r="D1379" s="339" t="s">
        <v>4454</v>
      </c>
    </row>
    <row r="1380" spans="1:4" ht="17.25" customHeight="1" x14ac:dyDescent="0.35">
      <c r="A1380" s="345">
        <v>5065</v>
      </c>
      <c r="B1380" s="333" t="s">
        <v>4473</v>
      </c>
      <c r="C1380" s="334">
        <v>443142</v>
      </c>
      <c r="D1380" s="335" t="s">
        <v>4454</v>
      </c>
    </row>
    <row r="1381" spans="1:4" ht="17.25" customHeight="1" x14ac:dyDescent="0.35">
      <c r="A1381" s="344">
        <v>5072</v>
      </c>
      <c r="B1381" s="337" t="s">
        <v>4475</v>
      </c>
      <c r="C1381" s="338">
        <v>423710</v>
      </c>
      <c r="D1381" s="339" t="s">
        <v>4476</v>
      </c>
    </row>
    <row r="1382" spans="1:4" ht="17.25" customHeight="1" x14ac:dyDescent="0.35">
      <c r="A1382" s="345">
        <v>5072</v>
      </c>
      <c r="B1382" s="333" t="s">
        <v>4475</v>
      </c>
      <c r="C1382" s="334">
        <v>425110</v>
      </c>
      <c r="D1382" s="335" t="s">
        <v>4422</v>
      </c>
    </row>
    <row r="1383" spans="1:4" ht="17.25" customHeight="1" x14ac:dyDescent="0.35">
      <c r="A1383" s="345">
        <v>5072</v>
      </c>
      <c r="B1383" s="333" t="s">
        <v>4475</v>
      </c>
      <c r="C1383" s="334">
        <v>425120</v>
      </c>
      <c r="D1383" s="335" t="s">
        <v>4423</v>
      </c>
    </row>
    <row r="1384" spans="1:4" ht="17.25" customHeight="1" x14ac:dyDescent="0.35">
      <c r="A1384" s="345">
        <v>5072</v>
      </c>
      <c r="B1384" s="333" t="s">
        <v>4475</v>
      </c>
      <c r="C1384" s="334">
        <v>444130</v>
      </c>
      <c r="D1384" s="335" t="s">
        <v>4477</v>
      </c>
    </row>
    <row r="1385" spans="1:4" ht="43.5" customHeight="1" x14ac:dyDescent="0.35">
      <c r="A1385" s="344">
        <v>5074</v>
      </c>
      <c r="B1385" s="337" t="s">
        <v>4478</v>
      </c>
      <c r="C1385" s="338">
        <v>423620</v>
      </c>
      <c r="D1385" s="340" t="s">
        <v>4479</v>
      </c>
    </row>
    <row r="1386" spans="1:4" ht="43.5" customHeight="1" x14ac:dyDescent="0.35">
      <c r="A1386" s="344">
        <v>5074</v>
      </c>
      <c r="B1386" s="337" t="s">
        <v>4478</v>
      </c>
      <c r="C1386" s="338">
        <v>423720</v>
      </c>
      <c r="D1386" s="340" t="s">
        <v>4480</v>
      </c>
    </row>
    <row r="1387" spans="1:4" ht="17.25" customHeight="1" x14ac:dyDescent="0.35">
      <c r="A1387" s="344">
        <v>5074</v>
      </c>
      <c r="B1387" s="337" t="s">
        <v>4478</v>
      </c>
      <c r="C1387" s="338">
        <v>425110</v>
      </c>
      <c r="D1387" s="339" t="s">
        <v>4422</v>
      </c>
    </row>
    <row r="1388" spans="1:4" ht="17.25" customHeight="1" x14ac:dyDescent="0.35">
      <c r="A1388" s="344">
        <v>5074</v>
      </c>
      <c r="B1388" s="337" t="s">
        <v>4478</v>
      </c>
      <c r="C1388" s="338">
        <v>425120</v>
      </c>
      <c r="D1388" s="339" t="s">
        <v>4423</v>
      </c>
    </row>
    <row r="1389" spans="1:4" ht="17.25" customHeight="1" x14ac:dyDescent="0.35">
      <c r="A1389" s="345">
        <v>5074</v>
      </c>
      <c r="B1389" s="333" t="s">
        <v>4478</v>
      </c>
      <c r="C1389" s="334">
        <v>444190</v>
      </c>
      <c r="D1389" s="335" t="s">
        <v>4443</v>
      </c>
    </row>
    <row r="1390" spans="1:4" ht="43.5" customHeight="1" x14ac:dyDescent="0.35">
      <c r="A1390" s="345">
        <v>5075</v>
      </c>
      <c r="B1390" s="333" t="s">
        <v>4481</v>
      </c>
      <c r="C1390" s="334">
        <v>423730</v>
      </c>
      <c r="D1390" s="341" t="s">
        <v>4482</v>
      </c>
    </row>
    <row r="1391" spans="1:4" ht="17.25" customHeight="1" x14ac:dyDescent="0.35">
      <c r="A1391" s="345">
        <v>5075</v>
      </c>
      <c r="B1391" s="333" t="s">
        <v>4481</v>
      </c>
      <c r="C1391" s="334">
        <v>425110</v>
      </c>
      <c r="D1391" s="335" t="s">
        <v>4422</v>
      </c>
    </row>
    <row r="1392" spans="1:4" ht="17.25" customHeight="1" x14ac:dyDescent="0.35">
      <c r="A1392" s="345">
        <v>5075</v>
      </c>
      <c r="B1392" s="333" t="s">
        <v>4481</v>
      </c>
      <c r="C1392" s="334">
        <v>425120</v>
      </c>
      <c r="D1392" s="335" t="s">
        <v>4423</v>
      </c>
    </row>
    <row r="1393" spans="1:4" ht="34.5" customHeight="1" x14ac:dyDescent="0.35">
      <c r="A1393" s="344">
        <v>5078</v>
      </c>
      <c r="B1393" s="337" t="s">
        <v>4483</v>
      </c>
      <c r="C1393" s="338">
        <v>423740</v>
      </c>
      <c r="D1393" s="340" t="s">
        <v>4484</v>
      </c>
    </row>
    <row r="1394" spans="1:4" ht="17.25" customHeight="1" x14ac:dyDescent="0.35">
      <c r="A1394" s="344">
        <v>5078</v>
      </c>
      <c r="B1394" s="337" t="s">
        <v>4483</v>
      </c>
      <c r="C1394" s="338">
        <v>425110</v>
      </c>
      <c r="D1394" s="339" t="s">
        <v>4422</v>
      </c>
    </row>
    <row r="1395" spans="1:4" ht="17.25" customHeight="1" x14ac:dyDescent="0.35">
      <c r="A1395" s="344">
        <v>5078</v>
      </c>
      <c r="B1395" s="337" t="s">
        <v>4483</v>
      </c>
      <c r="C1395" s="338">
        <v>425120</v>
      </c>
      <c r="D1395" s="339" t="s">
        <v>4423</v>
      </c>
    </row>
    <row r="1396" spans="1:4" ht="43.5" customHeight="1" x14ac:dyDescent="0.35">
      <c r="A1396" s="345">
        <v>5082</v>
      </c>
      <c r="B1396" s="333" t="s">
        <v>4485</v>
      </c>
      <c r="C1396" s="334">
        <v>423810</v>
      </c>
      <c r="D1396" s="341" t="s">
        <v>4486</v>
      </c>
    </row>
    <row r="1397" spans="1:4" ht="17.25" customHeight="1" x14ac:dyDescent="0.35">
      <c r="A1397" s="345">
        <v>5082</v>
      </c>
      <c r="B1397" s="333" t="s">
        <v>4485</v>
      </c>
      <c r="C1397" s="334">
        <v>425110</v>
      </c>
      <c r="D1397" s="335" t="s">
        <v>4422</v>
      </c>
    </row>
    <row r="1398" spans="1:4" ht="17.25" customHeight="1" x14ac:dyDescent="0.35">
      <c r="A1398" s="345">
        <v>5082</v>
      </c>
      <c r="B1398" s="333" t="s">
        <v>4485</v>
      </c>
      <c r="C1398" s="334">
        <v>425120</v>
      </c>
      <c r="D1398" s="335" t="s">
        <v>4423</v>
      </c>
    </row>
    <row r="1399" spans="1:4" ht="34.5" customHeight="1" x14ac:dyDescent="0.35">
      <c r="A1399" s="344">
        <v>5083</v>
      </c>
      <c r="B1399" s="337" t="s">
        <v>4487</v>
      </c>
      <c r="C1399" s="338">
        <v>423820</v>
      </c>
      <c r="D1399" s="340" t="s">
        <v>4488</v>
      </c>
    </row>
    <row r="1400" spans="1:4" ht="17.25" customHeight="1" x14ac:dyDescent="0.35">
      <c r="A1400" s="344">
        <v>5083</v>
      </c>
      <c r="B1400" s="337" t="s">
        <v>4487</v>
      </c>
      <c r="C1400" s="338">
        <v>425110</v>
      </c>
      <c r="D1400" s="339" t="s">
        <v>4422</v>
      </c>
    </row>
    <row r="1401" spans="1:4" ht="17.25" customHeight="1" x14ac:dyDescent="0.35">
      <c r="A1401" s="344">
        <v>5083</v>
      </c>
      <c r="B1401" s="337" t="s">
        <v>4487</v>
      </c>
      <c r="C1401" s="338">
        <v>425120</v>
      </c>
      <c r="D1401" s="339" t="s">
        <v>4423</v>
      </c>
    </row>
    <row r="1402" spans="1:4" ht="17.25" customHeight="1" x14ac:dyDescent="0.35">
      <c r="A1402" s="345">
        <v>5083</v>
      </c>
      <c r="B1402" s="333" t="s">
        <v>4487</v>
      </c>
      <c r="C1402" s="334">
        <v>444210</v>
      </c>
      <c r="D1402" s="335" t="s">
        <v>4489</v>
      </c>
    </row>
    <row r="1403" spans="1:4" ht="34.5" customHeight="1" x14ac:dyDescent="0.35">
      <c r="A1403" s="345">
        <v>5084</v>
      </c>
      <c r="B1403" s="333" t="s">
        <v>4490</v>
      </c>
      <c r="C1403" s="334">
        <v>423830</v>
      </c>
      <c r="D1403" s="341" t="s">
        <v>4491</v>
      </c>
    </row>
    <row r="1404" spans="1:4" ht="17.25" customHeight="1" x14ac:dyDescent="0.35">
      <c r="A1404" s="345">
        <v>5084</v>
      </c>
      <c r="B1404" s="333" t="s">
        <v>4490</v>
      </c>
      <c r="C1404" s="334">
        <v>425110</v>
      </c>
      <c r="D1404" s="335" t="s">
        <v>4422</v>
      </c>
    </row>
    <row r="1405" spans="1:4" ht="17.25" customHeight="1" x14ac:dyDescent="0.35">
      <c r="A1405" s="345">
        <v>5084</v>
      </c>
      <c r="B1405" s="333" t="s">
        <v>4490</v>
      </c>
      <c r="C1405" s="334">
        <v>425120</v>
      </c>
      <c r="D1405" s="335" t="s">
        <v>4423</v>
      </c>
    </row>
    <row r="1406" spans="1:4" ht="34.5" customHeight="1" x14ac:dyDescent="0.35">
      <c r="A1406" s="344">
        <v>5085</v>
      </c>
      <c r="B1406" s="337" t="s">
        <v>4492</v>
      </c>
      <c r="C1406" s="338">
        <v>423830</v>
      </c>
      <c r="D1406" s="340" t="s">
        <v>4491</v>
      </c>
    </row>
    <row r="1407" spans="1:4" ht="17.25" customHeight="1" x14ac:dyDescent="0.35">
      <c r="A1407" s="345">
        <v>5085</v>
      </c>
      <c r="B1407" s="333" t="s">
        <v>4492</v>
      </c>
      <c r="C1407" s="334">
        <v>423840</v>
      </c>
      <c r="D1407" s="335" t="s">
        <v>4493</v>
      </c>
    </row>
    <row r="1408" spans="1:4" ht="17.25" customHeight="1" x14ac:dyDescent="0.35">
      <c r="A1408" s="344">
        <v>5085</v>
      </c>
      <c r="B1408" s="337" t="s">
        <v>4492</v>
      </c>
      <c r="C1408" s="338">
        <v>425110</v>
      </c>
      <c r="D1408" s="339" t="s">
        <v>4422</v>
      </c>
    </row>
    <row r="1409" spans="1:4" ht="17.25" customHeight="1" x14ac:dyDescent="0.35">
      <c r="A1409" s="344">
        <v>5085</v>
      </c>
      <c r="B1409" s="337" t="s">
        <v>4492</v>
      </c>
      <c r="C1409" s="338">
        <v>425120</v>
      </c>
      <c r="D1409" s="339" t="s">
        <v>4423</v>
      </c>
    </row>
    <row r="1410" spans="1:4" ht="34.5" customHeight="1" x14ac:dyDescent="0.35">
      <c r="A1410" s="344">
        <v>5085</v>
      </c>
      <c r="B1410" s="337" t="s">
        <v>4492</v>
      </c>
      <c r="C1410" s="338">
        <v>453998</v>
      </c>
      <c r="D1410" s="340" t="s">
        <v>4494</v>
      </c>
    </row>
    <row r="1411" spans="1:4" ht="34.5" customHeight="1" x14ac:dyDescent="0.35">
      <c r="A1411" s="344">
        <v>5087</v>
      </c>
      <c r="B1411" s="337" t="s">
        <v>4495</v>
      </c>
      <c r="C1411" s="338">
        <v>423850</v>
      </c>
      <c r="D1411" s="340" t="s">
        <v>4496</v>
      </c>
    </row>
    <row r="1412" spans="1:4" ht="17.25" customHeight="1" x14ac:dyDescent="0.35">
      <c r="A1412" s="345">
        <v>5087</v>
      </c>
      <c r="B1412" s="333" t="s">
        <v>4495</v>
      </c>
      <c r="C1412" s="334">
        <v>425110</v>
      </c>
      <c r="D1412" s="335" t="s">
        <v>4422</v>
      </c>
    </row>
    <row r="1413" spans="1:4" ht="17.25" customHeight="1" x14ac:dyDescent="0.35">
      <c r="A1413" s="345">
        <v>5087</v>
      </c>
      <c r="B1413" s="333" t="s">
        <v>4495</v>
      </c>
      <c r="C1413" s="334">
        <v>425120</v>
      </c>
      <c r="D1413" s="335" t="s">
        <v>4423</v>
      </c>
    </row>
    <row r="1414" spans="1:4" ht="34.5" customHeight="1" x14ac:dyDescent="0.35">
      <c r="A1414" s="344">
        <v>5087</v>
      </c>
      <c r="B1414" s="337" t="s">
        <v>4495</v>
      </c>
      <c r="C1414" s="338">
        <v>446120</v>
      </c>
      <c r="D1414" s="340" t="s">
        <v>4497</v>
      </c>
    </row>
    <row r="1415" spans="1:4" ht="43.5" customHeight="1" x14ac:dyDescent="0.35">
      <c r="A1415" s="345">
        <v>5088</v>
      </c>
      <c r="B1415" s="333" t="s">
        <v>4498</v>
      </c>
      <c r="C1415" s="334">
        <v>423860</v>
      </c>
      <c r="D1415" s="341" t="s">
        <v>4499</v>
      </c>
    </row>
    <row r="1416" spans="1:4" ht="17.25" customHeight="1" x14ac:dyDescent="0.35">
      <c r="A1416" s="344">
        <v>5088</v>
      </c>
      <c r="B1416" s="337" t="s">
        <v>4498</v>
      </c>
      <c r="C1416" s="338">
        <v>425110</v>
      </c>
      <c r="D1416" s="339" t="s">
        <v>4422</v>
      </c>
    </row>
    <row r="1417" spans="1:4" ht="17.25" customHeight="1" x14ac:dyDescent="0.35">
      <c r="A1417" s="344">
        <v>5088</v>
      </c>
      <c r="B1417" s="337" t="s">
        <v>4498</v>
      </c>
      <c r="C1417" s="338">
        <v>425120</v>
      </c>
      <c r="D1417" s="339" t="s">
        <v>4423</v>
      </c>
    </row>
    <row r="1418" spans="1:4" ht="34.5" customHeight="1" x14ac:dyDescent="0.35">
      <c r="A1418" s="344">
        <v>5091</v>
      </c>
      <c r="B1418" s="337" t="s">
        <v>4500</v>
      </c>
      <c r="C1418" s="338">
        <v>423910</v>
      </c>
      <c r="D1418" s="340" t="s">
        <v>4501</v>
      </c>
    </row>
    <row r="1419" spans="1:4" ht="17.25" customHeight="1" x14ac:dyDescent="0.35">
      <c r="A1419" s="345">
        <v>5091</v>
      </c>
      <c r="B1419" s="333" t="s">
        <v>4500</v>
      </c>
      <c r="C1419" s="334">
        <v>425110</v>
      </c>
      <c r="D1419" s="335" t="s">
        <v>4422</v>
      </c>
    </row>
    <row r="1420" spans="1:4" ht="17.25" customHeight="1" x14ac:dyDescent="0.35">
      <c r="A1420" s="345">
        <v>5091</v>
      </c>
      <c r="B1420" s="333" t="s">
        <v>4500</v>
      </c>
      <c r="C1420" s="334">
        <v>425120</v>
      </c>
      <c r="D1420" s="335" t="s">
        <v>4423</v>
      </c>
    </row>
    <row r="1421" spans="1:4" ht="17.25" customHeight="1" x14ac:dyDescent="0.35">
      <c r="A1421" s="344">
        <v>5091</v>
      </c>
      <c r="B1421" s="337" t="s">
        <v>4500</v>
      </c>
      <c r="C1421" s="338">
        <v>451110</v>
      </c>
      <c r="D1421" s="339" t="s">
        <v>4502</v>
      </c>
    </row>
    <row r="1422" spans="1:4" ht="34.5" customHeight="1" x14ac:dyDescent="0.35">
      <c r="A1422" s="345">
        <v>5092</v>
      </c>
      <c r="B1422" s="333" t="s">
        <v>4503</v>
      </c>
      <c r="C1422" s="334">
        <v>423920</v>
      </c>
      <c r="D1422" s="341" t="s">
        <v>4504</v>
      </c>
    </row>
    <row r="1423" spans="1:4" ht="17.25" customHeight="1" x14ac:dyDescent="0.35">
      <c r="A1423" s="344">
        <v>5092</v>
      </c>
      <c r="B1423" s="337" t="s">
        <v>4503</v>
      </c>
      <c r="C1423" s="338">
        <v>425110</v>
      </c>
      <c r="D1423" s="339" t="s">
        <v>4422</v>
      </c>
    </row>
    <row r="1424" spans="1:4" ht="17.25" customHeight="1" x14ac:dyDescent="0.35">
      <c r="A1424" s="344">
        <v>5092</v>
      </c>
      <c r="B1424" s="337" t="s">
        <v>4503</v>
      </c>
      <c r="C1424" s="338">
        <v>425120</v>
      </c>
      <c r="D1424" s="339" t="s">
        <v>4423</v>
      </c>
    </row>
    <row r="1425" spans="1:4" ht="17.25" customHeight="1" x14ac:dyDescent="0.35">
      <c r="A1425" s="344">
        <v>5092</v>
      </c>
      <c r="B1425" s="337" t="s">
        <v>4503</v>
      </c>
      <c r="C1425" s="338">
        <v>451120</v>
      </c>
      <c r="D1425" s="339" t="s">
        <v>4505</v>
      </c>
    </row>
    <row r="1426" spans="1:4" ht="28.75" customHeight="1" x14ac:dyDescent="0.35">
      <c r="A1426" s="344">
        <v>5093</v>
      </c>
      <c r="B1426" s="337" t="s">
        <v>4506</v>
      </c>
      <c r="C1426" s="338">
        <v>423930</v>
      </c>
      <c r="D1426" s="339" t="s">
        <v>4507</v>
      </c>
    </row>
    <row r="1427" spans="1:4" ht="17.25" customHeight="1" x14ac:dyDescent="0.35">
      <c r="A1427" s="345">
        <v>5093</v>
      </c>
      <c r="B1427" s="333" t="s">
        <v>4506</v>
      </c>
      <c r="C1427" s="334">
        <v>425110</v>
      </c>
      <c r="D1427" s="335" t="s">
        <v>4422</v>
      </c>
    </row>
    <row r="1428" spans="1:4" ht="17.25" customHeight="1" x14ac:dyDescent="0.35">
      <c r="A1428" s="345">
        <v>5093</v>
      </c>
      <c r="B1428" s="333" t="s">
        <v>4506</v>
      </c>
      <c r="C1428" s="334">
        <v>425120</v>
      </c>
      <c r="D1428" s="335" t="s">
        <v>4423</v>
      </c>
    </row>
    <row r="1429" spans="1:4" ht="34.5" customHeight="1" x14ac:dyDescent="0.35">
      <c r="A1429" s="345">
        <v>5094</v>
      </c>
      <c r="B1429" s="333" t="s">
        <v>4508</v>
      </c>
      <c r="C1429" s="334">
        <v>423940</v>
      </c>
      <c r="D1429" s="341" t="s">
        <v>4509</v>
      </c>
    </row>
    <row r="1430" spans="1:4" ht="17.25" customHeight="1" x14ac:dyDescent="0.35">
      <c r="A1430" s="344">
        <v>5094</v>
      </c>
      <c r="B1430" s="337" t="s">
        <v>4508</v>
      </c>
      <c r="C1430" s="338">
        <v>425110</v>
      </c>
      <c r="D1430" s="339" t="s">
        <v>4422</v>
      </c>
    </row>
    <row r="1431" spans="1:4" ht="17.25" customHeight="1" x14ac:dyDescent="0.35">
      <c r="A1431" s="344">
        <v>5094</v>
      </c>
      <c r="B1431" s="337" t="s">
        <v>4508</v>
      </c>
      <c r="C1431" s="338">
        <v>425120</v>
      </c>
      <c r="D1431" s="339" t="s">
        <v>4423</v>
      </c>
    </row>
    <row r="1432" spans="1:4" ht="17.25" customHeight="1" x14ac:dyDescent="0.35">
      <c r="A1432" s="344">
        <v>5094</v>
      </c>
      <c r="B1432" s="337" t="s">
        <v>4508</v>
      </c>
      <c r="C1432" s="338">
        <v>448310</v>
      </c>
      <c r="D1432" s="339" t="s">
        <v>4510</v>
      </c>
    </row>
    <row r="1433" spans="1:4" ht="34.5" customHeight="1" x14ac:dyDescent="0.35">
      <c r="A1433" s="344">
        <v>5099</v>
      </c>
      <c r="B1433" s="337" t="s">
        <v>4511</v>
      </c>
      <c r="C1433" s="338">
        <v>423990</v>
      </c>
      <c r="D1433" s="340" t="s">
        <v>4512</v>
      </c>
    </row>
    <row r="1434" spans="1:4" ht="17.25" customHeight="1" x14ac:dyDescent="0.35">
      <c r="A1434" s="345">
        <v>5099</v>
      </c>
      <c r="B1434" s="333" t="s">
        <v>4511</v>
      </c>
      <c r="C1434" s="334">
        <v>425110</v>
      </c>
      <c r="D1434" s="335" t="s">
        <v>4422</v>
      </c>
    </row>
    <row r="1435" spans="1:4" ht="17.25" customHeight="1" x14ac:dyDescent="0.35">
      <c r="A1435" s="345">
        <v>5099</v>
      </c>
      <c r="B1435" s="333" t="s">
        <v>4511</v>
      </c>
      <c r="C1435" s="334">
        <v>425120</v>
      </c>
      <c r="D1435" s="335" t="s">
        <v>4423</v>
      </c>
    </row>
    <row r="1436" spans="1:4" ht="17.25" customHeight="1" x14ac:dyDescent="0.35">
      <c r="A1436" s="344">
        <v>5099</v>
      </c>
      <c r="B1436" s="337" t="s">
        <v>4511</v>
      </c>
      <c r="C1436" s="338">
        <v>443142</v>
      </c>
      <c r="D1436" s="339" t="s">
        <v>4454</v>
      </c>
    </row>
    <row r="1437" spans="1:4" ht="17.25" customHeight="1" x14ac:dyDescent="0.35">
      <c r="A1437" s="344">
        <v>5099</v>
      </c>
      <c r="B1437" s="337" t="s">
        <v>4511</v>
      </c>
      <c r="C1437" s="338">
        <v>444190</v>
      </c>
      <c r="D1437" s="339" t="s">
        <v>4443</v>
      </c>
    </row>
    <row r="1438" spans="1:4" ht="17.25" customHeight="1" x14ac:dyDescent="0.35">
      <c r="A1438" s="345">
        <v>5099</v>
      </c>
      <c r="B1438" s="333" t="s">
        <v>4511</v>
      </c>
      <c r="C1438" s="334">
        <v>451110</v>
      </c>
      <c r="D1438" s="335" t="s">
        <v>4502</v>
      </c>
    </row>
    <row r="1439" spans="1:4" ht="17.25" customHeight="1" x14ac:dyDescent="0.35">
      <c r="A1439" s="345">
        <v>5099</v>
      </c>
      <c r="B1439" s="333" t="s">
        <v>4511</v>
      </c>
      <c r="C1439" s="334">
        <v>451120</v>
      </c>
      <c r="D1439" s="335" t="s">
        <v>4505</v>
      </c>
    </row>
    <row r="1440" spans="1:4" ht="34.5" customHeight="1" x14ac:dyDescent="0.35">
      <c r="A1440" s="344">
        <v>5111</v>
      </c>
      <c r="B1440" s="337" t="s">
        <v>4513</v>
      </c>
      <c r="C1440" s="338">
        <v>424110</v>
      </c>
      <c r="D1440" s="340" t="s">
        <v>4514</v>
      </c>
    </row>
    <row r="1441" spans="1:4" ht="17.25" customHeight="1" x14ac:dyDescent="0.35">
      <c r="A1441" s="344">
        <v>5111</v>
      </c>
      <c r="B1441" s="337" t="s">
        <v>4513</v>
      </c>
      <c r="C1441" s="338">
        <v>425110</v>
      </c>
      <c r="D1441" s="339" t="s">
        <v>4422</v>
      </c>
    </row>
    <row r="1442" spans="1:4" ht="17.25" customHeight="1" x14ac:dyDescent="0.35">
      <c r="A1442" s="344">
        <v>5111</v>
      </c>
      <c r="B1442" s="337" t="s">
        <v>4513</v>
      </c>
      <c r="C1442" s="338">
        <v>425120</v>
      </c>
      <c r="D1442" s="339" t="s">
        <v>4423</v>
      </c>
    </row>
    <row r="1443" spans="1:4" ht="17.25" customHeight="1" x14ac:dyDescent="0.35">
      <c r="A1443" s="344">
        <v>5111</v>
      </c>
      <c r="B1443" s="337" t="s">
        <v>4513</v>
      </c>
      <c r="C1443" s="338">
        <v>453210</v>
      </c>
      <c r="D1443" s="339" t="s">
        <v>4451</v>
      </c>
    </row>
    <row r="1444" spans="1:4" ht="34.5" customHeight="1" x14ac:dyDescent="0.35">
      <c r="A1444" s="345">
        <v>5112</v>
      </c>
      <c r="B1444" s="333" t="s">
        <v>4515</v>
      </c>
      <c r="C1444" s="334">
        <v>424120</v>
      </c>
      <c r="D1444" s="341" t="s">
        <v>4516</v>
      </c>
    </row>
    <row r="1445" spans="1:4" ht="17.25" customHeight="1" x14ac:dyDescent="0.35">
      <c r="A1445" s="345">
        <v>5112</v>
      </c>
      <c r="B1445" s="333" t="s">
        <v>4515</v>
      </c>
      <c r="C1445" s="334">
        <v>425110</v>
      </c>
      <c r="D1445" s="335" t="s">
        <v>4422</v>
      </c>
    </row>
    <row r="1446" spans="1:4" ht="17.25" customHeight="1" x14ac:dyDescent="0.35">
      <c r="A1446" s="345">
        <v>5112</v>
      </c>
      <c r="B1446" s="333" t="s">
        <v>4515</v>
      </c>
      <c r="C1446" s="334">
        <v>425120</v>
      </c>
      <c r="D1446" s="335" t="s">
        <v>4423</v>
      </c>
    </row>
    <row r="1447" spans="1:4" ht="17.25" customHeight="1" x14ac:dyDescent="0.35">
      <c r="A1447" s="345">
        <v>5112</v>
      </c>
      <c r="B1447" s="333" t="s">
        <v>4515</v>
      </c>
      <c r="C1447" s="334">
        <v>453210</v>
      </c>
      <c r="D1447" s="335" t="s">
        <v>4451</v>
      </c>
    </row>
    <row r="1448" spans="1:4" ht="34.5" customHeight="1" x14ac:dyDescent="0.35">
      <c r="A1448" s="344">
        <v>5113</v>
      </c>
      <c r="B1448" s="337" t="s">
        <v>4517</v>
      </c>
      <c r="C1448" s="338">
        <v>424130</v>
      </c>
      <c r="D1448" s="340" t="s">
        <v>4518</v>
      </c>
    </row>
    <row r="1449" spans="1:4" ht="17.25" customHeight="1" x14ac:dyDescent="0.35">
      <c r="A1449" s="344">
        <v>5113</v>
      </c>
      <c r="B1449" s="337" t="s">
        <v>4517</v>
      </c>
      <c r="C1449" s="338">
        <v>425110</v>
      </c>
      <c r="D1449" s="339" t="s">
        <v>4422</v>
      </c>
    </row>
    <row r="1450" spans="1:4" ht="17.25" customHeight="1" x14ac:dyDescent="0.35">
      <c r="A1450" s="344">
        <v>5113</v>
      </c>
      <c r="B1450" s="337" t="s">
        <v>4517</v>
      </c>
      <c r="C1450" s="338">
        <v>425120</v>
      </c>
      <c r="D1450" s="339" t="s">
        <v>4423</v>
      </c>
    </row>
    <row r="1451" spans="1:4" ht="34.5" customHeight="1" x14ac:dyDescent="0.35">
      <c r="A1451" s="345">
        <v>5113</v>
      </c>
      <c r="B1451" s="333" t="s">
        <v>4517</v>
      </c>
      <c r="C1451" s="334">
        <v>453998</v>
      </c>
      <c r="D1451" s="341" t="s">
        <v>4494</v>
      </c>
    </row>
    <row r="1452" spans="1:4" ht="34.5" customHeight="1" x14ac:dyDescent="0.35">
      <c r="A1452" s="345">
        <v>5122</v>
      </c>
      <c r="B1452" s="333" t="s">
        <v>4519</v>
      </c>
      <c r="C1452" s="334">
        <v>424210</v>
      </c>
      <c r="D1452" s="341" t="s">
        <v>4520</v>
      </c>
    </row>
    <row r="1453" spans="1:4" ht="17.25" customHeight="1" x14ac:dyDescent="0.35">
      <c r="A1453" s="345">
        <v>5122</v>
      </c>
      <c r="B1453" s="333" t="s">
        <v>4519</v>
      </c>
      <c r="C1453" s="334">
        <v>425110</v>
      </c>
      <c r="D1453" s="335" t="s">
        <v>4422</v>
      </c>
    </row>
    <row r="1454" spans="1:4" ht="17.25" customHeight="1" x14ac:dyDescent="0.35">
      <c r="A1454" s="345">
        <v>5122</v>
      </c>
      <c r="B1454" s="333" t="s">
        <v>4519</v>
      </c>
      <c r="C1454" s="334">
        <v>425120</v>
      </c>
      <c r="D1454" s="335" t="s">
        <v>4423</v>
      </c>
    </row>
    <row r="1455" spans="1:4" ht="17.25" customHeight="1" x14ac:dyDescent="0.35">
      <c r="A1455" s="344">
        <v>5122</v>
      </c>
      <c r="B1455" s="337" t="s">
        <v>4519</v>
      </c>
      <c r="C1455" s="338">
        <v>446110</v>
      </c>
      <c r="D1455" s="339" t="s">
        <v>4521</v>
      </c>
    </row>
    <row r="1456" spans="1:4" ht="34.5" customHeight="1" x14ac:dyDescent="0.35">
      <c r="A1456" s="345">
        <v>5122</v>
      </c>
      <c r="B1456" s="333" t="s">
        <v>4519</v>
      </c>
      <c r="C1456" s="334">
        <v>446120</v>
      </c>
      <c r="D1456" s="341" t="s">
        <v>4497</v>
      </c>
    </row>
    <row r="1457" spans="1:4" ht="17.25" customHeight="1" x14ac:dyDescent="0.35">
      <c r="A1457" s="344">
        <v>5122</v>
      </c>
      <c r="B1457" s="337" t="s">
        <v>4519</v>
      </c>
      <c r="C1457" s="338">
        <v>446191</v>
      </c>
      <c r="D1457" s="339" t="s">
        <v>4522</v>
      </c>
    </row>
    <row r="1458" spans="1:4" ht="17.25" customHeight="1" x14ac:dyDescent="0.35">
      <c r="A1458" s="345">
        <v>5131</v>
      </c>
      <c r="B1458" s="333" t="s">
        <v>4523</v>
      </c>
      <c r="C1458" s="334">
        <v>313310</v>
      </c>
      <c r="D1458" s="335" t="s">
        <v>3533</v>
      </c>
    </row>
    <row r="1459" spans="1:4" ht="17.25" customHeight="1" x14ac:dyDescent="0.35">
      <c r="A1459" s="344">
        <v>5131</v>
      </c>
      <c r="B1459" s="337" t="s">
        <v>4523</v>
      </c>
      <c r="C1459" s="338">
        <v>313310</v>
      </c>
      <c r="D1459" s="339" t="s">
        <v>3533</v>
      </c>
    </row>
    <row r="1460" spans="1:4" ht="34.5" customHeight="1" x14ac:dyDescent="0.35">
      <c r="A1460" s="344">
        <v>5131</v>
      </c>
      <c r="B1460" s="337" t="s">
        <v>4523</v>
      </c>
      <c r="C1460" s="338">
        <v>424310</v>
      </c>
      <c r="D1460" s="340" t="s">
        <v>4524</v>
      </c>
    </row>
    <row r="1461" spans="1:4" ht="17.25" customHeight="1" x14ac:dyDescent="0.35">
      <c r="A1461" s="344">
        <v>5131</v>
      </c>
      <c r="B1461" s="337" t="s">
        <v>4523</v>
      </c>
      <c r="C1461" s="338">
        <v>425110</v>
      </c>
      <c r="D1461" s="339" t="s">
        <v>4422</v>
      </c>
    </row>
    <row r="1462" spans="1:4" ht="17.25" customHeight="1" x14ac:dyDescent="0.35">
      <c r="A1462" s="344">
        <v>5131</v>
      </c>
      <c r="B1462" s="337" t="s">
        <v>4523</v>
      </c>
      <c r="C1462" s="338">
        <v>425120</v>
      </c>
      <c r="D1462" s="339" t="s">
        <v>4423</v>
      </c>
    </row>
    <row r="1463" spans="1:4" ht="34.5" customHeight="1" x14ac:dyDescent="0.35">
      <c r="A1463" s="345">
        <v>5131</v>
      </c>
      <c r="B1463" s="333" t="s">
        <v>4523</v>
      </c>
      <c r="C1463" s="334">
        <v>451130</v>
      </c>
      <c r="D1463" s="341" t="s">
        <v>4525</v>
      </c>
    </row>
    <row r="1464" spans="1:4" ht="34.5" customHeight="1" x14ac:dyDescent="0.35">
      <c r="A1464" s="345">
        <v>5136</v>
      </c>
      <c r="B1464" s="333" t="s">
        <v>4526</v>
      </c>
      <c r="C1464" s="334">
        <v>423910</v>
      </c>
      <c r="D1464" s="341" t="s">
        <v>4501</v>
      </c>
    </row>
    <row r="1465" spans="1:4" ht="34.5" customHeight="1" x14ac:dyDescent="0.35">
      <c r="A1465" s="344">
        <v>5136</v>
      </c>
      <c r="B1465" s="337" t="s">
        <v>4526</v>
      </c>
      <c r="C1465" s="338">
        <v>424320</v>
      </c>
      <c r="D1465" s="340" t="s">
        <v>4527</v>
      </c>
    </row>
    <row r="1466" spans="1:4" ht="17.25" customHeight="1" x14ac:dyDescent="0.35">
      <c r="A1466" s="345">
        <v>5136</v>
      </c>
      <c r="B1466" s="333" t="s">
        <v>4526</v>
      </c>
      <c r="C1466" s="334">
        <v>425110</v>
      </c>
      <c r="D1466" s="335" t="s">
        <v>4422</v>
      </c>
    </row>
    <row r="1467" spans="1:4" ht="17.25" customHeight="1" x14ac:dyDescent="0.35">
      <c r="A1467" s="345">
        <v>5136</v>
      </c>
      <c r="B1467" s="333" t="s">
        <v>4526</v>
      </c>
      <c r="C1467" s="334">
        <v>425120</v>
      </c>
      <c r="D1467" s="335" t="s">
        <v>4423</v>
      </c>
    </row>
    <row r="1468" spans="1:4" ht="17.25" customHeight="1" x14ac:dyDescent="0.35">
      <c r="A1468" s="345">
        <v>5136</v>
      </c>
      <c r="B1468" s="333" t="s">
        <v>4526</v>
      </c>
      <c r="C1468" s="334">
        <v>448110</v>
      </c>
      <c r="D1468" s="335" t="s">
        <v>4528</v>
      </c>
    </row>
    <row r="1469" spans="1:4" ht="17.25" customHeight="1" x14ac:dyDescent="0.35">
      <c r="A1469" s="345">
        <v>5136</v>
      </c>
      <c r="B1469" s="333" t="s">
        <v>4526</v>
      </c>
      <c r="C1469" s="334">
        <v>448190</v>
      </c>
      <c r="D1469" s="335" t="s">
        <v>4529</v>
      </c>
    </row>
    <row r="1470" spans="1:4" ht="34.5" customHeight="1" x14ac:dyDescent="0.35">
      <c r="A1470" s="344">
        <v>5137</v>
      </c>
      <c r="B1470" s="337" t="s">
        <v>4530</v>
      </c>
      <c r="C1470" s="338">
        <v>423910</v>
      </c>
      <c r="D1470" s="340" t="s">
        <v>4501</v>
      </c>
    </row>
    <row r="1471" spans="1:4" ht="34.5" customHeight="1" x14ac:dyDescent="0.35">
      <c r="A1471" s="345">
        <v>5137</v>
      </c>
      <c r="B1471" s="333" t="s">
        <v>4530</v>
      </c>
      <c r="C1471" s="334">
        <v>424330</v>
      </c>
      <c r="D1471" s="341" t="s">
        <v>4531</v>
      </c>
    </row>
    <row r="1472" spans="1:4" ht="17.25" customHeight="1" x14ac:dyDescent="0.35">
      <c r="A1472" s="344">
        <v>5137</v>
      </c>
      <c r="B1472" s="337" t="s">
        <v>4530</v>
      </c>
      <c r="C1472" s="338">
        <v>425110</v>
      </c>
      <c r="D1472" s="339" t="s">
        <v>4422</v>
      </c>
    </row>
    <row r="1473" spans="1:4" ht="17.25" customHeight="1" x14ac:dyDescent="0.35">
      <c r="A1473" s="344">
        <v>5137</v>
      </c>
      <c r="B1473" s="337" t="s">
        <v>4530</v>
      </c>
      <c r="C1473" s="338">
        <v>425120</v>
      </c>
      <c r="D1473" s="339" t="s">
        <v>4423</v>
      </c>
    </row>
    <row r="1474" spans="1:4" ht="17.25" customHeight="1" x14ac:dyDescent="0.35">
      <c r="A1474" s="345">
        <v>5137</v>
      </c>
      <c r="B1474" s="333" t="s">
        <v>4530</v>
      </c>
      <c r="C1474" s="334">
        <v>448120</v>
      </c>
      <c r="D1474" s="335" t="s">
        <v>4532</v>
      </c>
    </row>
    <row r="1475" spans="1:4" ht="17.25" customHeight="1" x14ac:dyDescent="0.35">
      <c r="A1475" s="345">
        <v>5137</v>
      </c>
      <c r="B1475" s="333" t="s">
        <v>4530</v>
      </c>
      <c r="C1475" s="334">
        <v>448130</v>
      </c>
      <c r="D1475" s="335" t="s">
        <v>4533</v>
      </c>
    </row>
    <row r="1476" spans="1:4" ht="17.25" customHeight="1" x14ac:dyDescent="0.35">
      <c r="A1476" s="344">
        <v>5137</v>
      </c>
      <c r="B1476" s="337" t="s">
        <v>4530</v>
      </c>
      <c r="C1476" s="338">
        <v>448190</v>
      </c>
      <c r="D1476" s="339" t="s">
        <v>4529</v>
      </c>
    </row>
    <row r="1477" spans="1:4" ht="17.25" customHeight="1" x14ac:dyDescent="0.35">
      <c r="A1477" s="344">
        <v>5139</v>
      </c>
      <c r="B1477" s="337" t="s">
        <v>4534</v>
      </c>
      <c r="C1477" s="338">
        <v>424340</v>
      </c>
      <c r="D1477" s="339" t="s">
        <v>4535</v>
      </c>
    </row>
    <row r="1478" spans="1:4" ht="17.25" customHeight="1" x14ac:dyDescent="0.35">
      <c r="A1478" s="345">
        <v>5139</v>
      </c>
      <c r="B1478" s="333" t="s">
        <v>4534</v>
      </c>
      <c r="C1478" s="334">
        <v>425110</v>
      </c>
      <c r="D1478" s="335" t="s">
        <v>4422</v>
      </c>
    </row>
    <row r="1479" spans="1:4" ht="17.25" customHeight="1" x14ac:dyDescent="0.35">
      <c r="A1479" s="345">
        <v>5139</v>
      </c>
      <c r="B1479" s="333" t="s">
        <v>4534</v>
      </c>
      <c r="C1479" s="334">
        <v>425120</v>
      </c>
      <c r="D1479" s="335" t="s">
        <v>4423</v>
      </c>
    </row>
    <row r="1480" spans="1:4" ht="17.25" customHeight="1" x14ac:dyDescent="0.35">
      <c r="A1480" s="344">
        <v>5139</v>
      </c>
      <c r="B1480" s="337" t="s">
        <v>4534</v>
      </c>
      <c r="C1480" s="338">
        <v>448210</v>
      </c>
      <c r="D1480" s="339" t="s">
        <v>4536</v>
      </c>
    </row>
    <row r="1481" spans="1:4" ht="34.5" customHeight="1" x14ac:dyDescent="0.35">
      <c r="A1481" s="344">
        <v>5141</v>
      </c>
      <c r="B1481" s="337" t="s">
        <v>4537</v>
      </c>
      <c r="C1481" s="338">
        <v>424410</v>
      </c>
      <c r="D1481" s="340" t="s">
        <v>4538</v>
      </c>
    </row>
    <row r="1482" spans="1:4" ht="17.25" customHeight="1" x14ac:dyDescent="0.35">
      <c r="A1482" s="344">
        <v>5141</v>
      </c>
      <c r="B1482" s="337" t="s">
        <v>4537</v>
      </c>
      <c r="C1482" s="338">
        <v>425110</v>
      </c>
      <c r="D1482" s="339" t="s">
        <v>4422</v>
      </c>
    </row>
    <row r="1483" spans="1:4" ht="17.25" customHeight="1" x14ac:dyDescent="0.35">
      <c r="A1483" s="344">
        <v>5141</v>
      </c>
      <c r="B1483" s="337" t="s">
        <v>4537</v>
      </c>
      <c r="C1483" s="338">
        <v>425120</v>
      </c>
      <c r="D1483" s="339" t="s">
        <v>4423</v>
      </c>
    </row>
    <row r="1484" spans="1:4" ht="34.5" customHeight="1" x14ac:dyDescent="0.35">
      <c r="A1484" s="345">
        <v>5141</v>
      </c>
      <c r="B1484" s="333" t="s">
        <v>4537</v>
      </c>
      <c r="C1484" s="334">
        <v>445110</v>
      </c>
      <c r="D1484" s="341" t="s">
        <v>4539</v>
      </c>
    </row>
    <row r="1485" spans="1:4" ht="34.5" customHeight="1" x14ac:dyDescent="0.35">
      <c r="A1485" s="345">
        <v>5142</v>
      </c>
      <c r="B1485" s="333" t="s">
        <v>4540</v>
      </c>
      <c r="C1485" s="334">
        <v>424420</v>
      </c>
      <c r="D1485" s="341" t="s">
        <v>4541</v>
      </c>
    </row>
    <row r="1486" spans="1:4" ht="17.25" customHeight="1" x14ac:dyDescent="0.35">
      <c r="A1486" s="345">
        <v>5142</v>
      </c>
      <c r="B1486" s="333" t="s">
        <v>4540</v>
      </c>
      <c r="C1486" s="334">
        <v>425110</v>
      </c>
      <c r="D1486" s="335" t="s">
        <v>4422</v>
      </c>
    </row>
    <row r="1487" spans="1:4" ht="17.25" customHeight="1" x14ac:dyDescent="0.35">
      <c r="A1487" s="345">
        <v>5142</v>
      </c>
      <c r="B1487" s="333" t="s">
        <v>4540</v>
      </c>
      <c r="C1487" s="334">
        <v>425120</v>
      </c>
      <c r="D1487" s="335" t="s">
        <v>4423</v>
      </c>
    </row>
    <row r="1488" spans="1:4" ht="17.25" customHeight="1" x14ac:dyDescent="0.35">
      <c r="A1488" s="345">
        <v>5142</v>
      </c>
      <c r="B1488" s="333" t="s">
        <v>4540</v>
      </c>
      <c r="C1488" s="334">
        <v>454390</v>
      </c>
      <c r="D1488" s="335" t="s">
        <v>4542</v>
      </c>
    </row>
    <row r="1489" spans="1:4" ht="34.5" customHeight="1" x14ac:dyDescent="0.35">
      <c r="A1489" s="344">
        <v>5143</v>
      </c>
      <c r="B1489" s="337" t="s">
        <v>4543</v>
      </c>
      <c r="C1489" s="338">
        <v>424430</v>
      </c>
      <c r="D1489" s="340" t="s">
        <v>4544</v>
      </c>
    </row>
    <row r="1490" spans="1:4" ht="17.25" customHeight="1" x14ac:dyDescent="0.35">
      <c r="A1490" s="344">
        <v>5143</v>
      </c>
      <c r="B1490" s="337" t="s">
        <v>4543</v>
      </c>
      <c r="C1490" s="338">
        <v>425110</v>
      </c>
      <c r="D1490" s="339" t="s">
        <v>4422</v>
      </c>
    </row>
    <row r="1491" spans="1:4" ht="17.25" customHeight="1" x14ac:dyDescent="0.35">
      <c r="A1491" s="344">
        <v>5143</v>
      </c>
      <c r="B1491" s="337" t="s">
        <v>4543</v>
      </c>
      <c r="C1491" s="338">
        <v>425120</v>
      </c>
      <c r="D1491" s="339" t="s">
        <v>4423</v>
      </c>
    </row>
    <row r="1492" spans="1:4" ht="17.25" customHeight="1" x14ac:dyDescent="0.35">
      <c r="A1492" s="345">
        <v>5143</v>
      </c>
      <c r="B1492" s="333" t="s">
        <v>4543</v>
      </c>
      <c r="C1492" s="334">
        <v>445299</v>
      </c>
      <c r="D1492" s="335" t="s">
        <v>4545</v>
      </c>
    </row>
    <row r="1493" spans="1:4" ht="34.5" customHeight="1" x14ac:dyDescent="0.35">
      <c r="A1493" s="345">
        <v>5144</v>
      </c>
      <c r="B1493" s="333" t="s">
        <v>4546</v>
      </c>
      <c r="C1493" s="334">
        <v>424440</v>
      </c>
      <c r="D1493" s="341" t="s">
        <v>4547</v>
      </c>
    </row>
    <row r="1494" spans="1:4" ht="17.25" customHeight="1" x14ac:dyDescent="0.35">
      <c r="A1494" s="345">
        <v>5144</v>
      </c>
      <c r="B1494" s="333" t="s">
        <v>4546</v>
      </c>
      <c r="C1494" s="334">
        <v>425110</v>
      </c>
      <c r="D1494" s="335" t="s">
        <v>4422</v>
      </c>
    </row>
    <row r="1495" spans="1:4" ht="17.25" customHeight="1" x14ac:dyDescent="0.35">
      <c r="A1495" s="345">
        <v>5144</v>
      </c>
      <c r="B1495" s="333" t="s">
        <v>4546</v>
      </c>
      <c r="C1495" s="334">
        <v>425120</v>
      </c>
      <c r="D1495" s="335" t="s">
        <v>4423</v>
      </c>
    </row>
    <row r="1496" spans="1:4" ht="17.25" customHeight="1" x14ac:dyDescent="0.35">
      <c r="A1496" s="344">
        <v>5144</v>
      </c>
      <c r="B1496" s="337" t="s">
        <v>4546</v>
      </c>
      <c r="C1496" s="338">
        <v>445210</v>
      </c>
      <c r="D1496" s="339" t="s">
        <v>4548</v>
      </c>
    </row>
    <row r="1497" spans="1:4" ht="17.25" customHeight="1" x14ac:dyDescent="0.35">
      <c r="A1497" s="344">
        <v>5145</v>
      </c>
      <c r="B1497" s="337" t="s">
        <v>4549</v>
      </c>
      <c r="C1497" s="338">
        <v>424450</v>
      </c>
      <c r="D1497" s="339" t="s">
        <v>4550</v>
      </c>
    </row>
    <row r="1498" spans="1:4" ht="17.25" customHeight="1" x14ac:dyDescent="0.35">
      <c r="A1498" s="344">
        <v>5145</v>
      </c>
      <c r="B1498" s="337" t="s">
        <v>4549</v>
      </c>
      <c r="C1498" s="338">
        <v>425110</v>
      </c>
      <c r="D1498" s="339" t="s">
        <v>4422</v>
      </c>
    </row>
    <row r="1499" spans="1:4" ht="17.25" customHeight="1" x14ac:dyDescent="0.35">
      <c r="A1499" s="344">
        <v>5145</v>
      </c>
      <c r="B1499" s="337" t="s">
        <v>4549</v>
      </c>
      <c r="C1499" s="338">
        <v>425120</v>
      </c>
      <c r="D1499" s="339" t="s">
        <v>4423</v>
      </c>
    </row>
    <row r="1500" spans="1:4" ht="17.25" customHeight="1" x14ac:dyDescent="0.35">
      <c r="A1500" s="345">
        <v>5145</v>
      </c>
      <c r="B1500" s="333" t="s">
        <v>4549</v>
      </c>
      <c r="C1500" s="334">
        <v>445292</v>
      </c>
      <c r="D1500" s="335" t="s">
        <v>4551</v>
      </c>
    </row>
    <row r="1501" spans="1:4" ht="17.25" customHeight="1" x14ac:dyDescent="0.35">
      <c r="A1501" s="345">
        <v>5146</v>
      </c>
      <c r="B1501" s="333" t="s">
        <v>4552</v>
      </c>
      <c r="C1501" s="334">
        <v>424460</v>
      </c>
      <c r="D1501" s="335" t="s">
        <v>4553</v>
      </c>
    </row>
    <row r="1502" spans="1:4" ht="17.25" customHeight="1" x14ac:dyDescent="0.35">
      <c r="A1502" s="345">
        <v>5146</v>
      </c>
      <c r="B1502" s="333" t="s">
        <v>4552</v>
      </c>
      <c r="C1502" s="334">
        <v>425110</v>
      </c>
      <c r="D1502" s="335" t="s">
        <v>4422</v>
      </c>
    </row>
    <row r="1503" spans="1:4" ht="17.25" customHeight="1" x14ac:dyDescent="0.35">
      <c r="A1503" s="345">
        <v>5146</v>
      </c>
      <c r="B1503" s="333" t="s">
        <v>4552</v>
      </c>
      <c r="C1503" s="334">
        <v>425120</v>
      </c>
      <c r="D1503" s="335" t="s">
        <v>4423</v>
      </c>
    </row>
    <row r="1504" spans="1:4" ht="17.25" customHeight="1" x14ac:dyDescent="0.35">
      <c r="A1504" s="344">
        <v>5146</v>
      </c>
      <c r="B1504" s="337" t="s">
        <v>4552</v>
      </c>
      <c r="C1504" s="338">
        <v>445220</v>
      </c>
      <c r="D1504" s="339" t="s">
        <v>4554</v>
      </c>
    </row>
    <row r="1505" spans="1:4" ht="17.25" customHeight="1" x14ac:dyDescent="0.35">
      <c r="A1505" s="344">
        <v>5147</v>
      </c>
      <c r="B1505" s="337" t="s">
        <v>4555</v>
      </c>
      <c r="C1505" s="338">
        <v>311612</v>
      </c>
      <c r="D1505" s="339" t="s">
        <v>3433</v>
      </c>
    </row>
    <row r="1506" spans="1:4" ht="34.5" customHeight="1" x14ac:dyDescent="0.35">
      <c r="A1506" s="344">
        <v>5147</v>
      </c>
      <c r="B1506" s="337" t="s">
        <v>4555</v>
      </c>
      <c r="C1506" s="338">
        <v>424470</v>
      </c>
      <c r="D1506" s="340" t="s">
        <v>4556</v>
      </c>
    </row>
    <row r="1507" spans="1:4" ht="17.25" customHeight="1" x14ac:dyDescent="0.35">
      <c r="A1507" s="344">
        <v>5147</v>
      </c>
      <c r="B1507" s="337" t="s">
        <v>4555</v>
      </c>
      <c r="C1507" s="338">
        <v>425110</v>
      </c>
      <c r="D1507" s="339" t="s">
        <v>4422</v>
      </c>
    </row>
    <row r="1508" spans="1:4" ht="17.25" customHeight="1" x14ac:dyDescent="0.35">
      <c r="A1508" s="344">
        <v>5147</v>
      </c>
      <c r="B1508" s="337" t="s">
        <v>4555</v>
      </c>
      <c r="C1508" s="338">
        <v>425120</v>
      </c>
      <c r="D1508" s="339" t="s">
        <v>4423</v>
      </c>
    </row>
    <row r="1509" spans="1:4" ht="17.25" customHeight="1" x14ac:dyDescent="0.35">
      <c r="A1509" s="345">
        <v>5147</v>
      </c>
      <c r="B1509" s="333" t="s">
        <v>4555</v>
      </c>
      <c r="C1509" s="334">
        <v>445210</v>
      </c>
      <c r="D1509" s="335" t="s">
        <v>4548</v>
      </c>
    </row>
    <row r="1510" spans="1:4" ht="34.5" customHeight="1" x14ac:dyDescent="0.35">
      <c r="A1510" s="345">
        <v>5148</v>
      </c>
      <c r="B1510" s="333" t="s">
        <v>4557</v>
      </c>
      <c r="C1510" s="334">
        <v>424480</v>
      </c>
      <c r="D1510" s="341" t="s">
        <v>4558</v>
      </c>
    </row>
    <row r="1511" spans="1:4" ht="17.25" customHeight="1" x14ac:dyDescent="0.35">
      <c r="A1511" s="345">
        <v>5148</v>
      </c>
      <c r="B1511" s="333" t="s">
        <v>4557</v>
      </c>
      <c r="C1511" s="334">
        <v>425110</v>
      </c>
      <c r="D1511" s="335" t="s">
        <v>4422</v>
      </c>
    </row>
    <row r="1512" spans="1:4" ht="17.25" customHeight="1" x14ac:dyDescent="0.35">
      <c r="A1512" s="345">
        <v>5148</v>
      </c>
      <c r="B1512" s="333" t="s">
        <v>4557</v>
      </c>
      <c r="C1512" s="334">
        <v>425120</v>
      </c>
      <c r="D1512" s="335" t="s">
        <v>4423</v>
      </c>
    </row>
    <row r="1513" spans="1:4" ht="17.25" customHeight="1" x14ac:dyDescent="0.35">
      <c r="A1513" s="344">
        <v>5148</v>
      </c>
      <c r="B1513" s="337" t="s">
        <v>4557</v>
      </c>
      <c r="C1513" s="338">
        <v>445230</v>
      </c>
      <c r="D1513" s="339" t="s">
        <v>4559</v>
      </c>
    </row>
    <row r="1514" spans="1:4" ht="17.25" customHeight="1" x14ac:dyDescent="0.35">
      <c r="A1514" s="344">
        <v>5149</v>
      </c>
      <c r="B1514" s="337" t="s">
        <v>4560</v>
      </c>
      <c r="C1514" s="338">
        <v>312112</v>
      </c>
      <c r="D1514" s="339" t="s">
        <v>3511</v>
      </c>
    </row>
    <row r="1515" spans="1:4" ht="34.5" customHeight="1" x14ac:dyDescent="0.35">
      <c r="A1515" s="344">
        <v>5149</v>
      </c>
      <c r="B1515" s="337" t="s">
        <v>4560</v>
      </c>
      <c r="C1515" s="338">
        <v>424490</v>
      </c>
      <c r="D1515" s="340" t="s">
        <v>4561</v>
      </c>
    </row>
    <row r="1516" spans="1:4" ht="17.25" customHeight="1" x14ac:dyDescent="0.35">
      <c r="A1516" s="344">
        <v>5149</v>
      </c>
      <c r="B1516" s="337" t="s">
        <v>4560</v>
      </c>
      <c r="C1516" s="338">
        <v>425110</v>
      </c>
      <c r="D1516" s="339" t="s">
        <v>4422</v>
      </c>
    </row>
    <row r="1517" spans="1:4" ht="17.25" customHeight="1" x14ac:dyDescent="0.35">
      <c r="A1517" s="344">
        <v>5149</v>
      </c>
      <c r="B1517" s="337" t="s">
        <v>4560</v>
      </c>
      <c r="C1517" s="338">
        <v>425120</v>
      </c>
      <c r="D1517" s="339" t="s">
        <v>4423</v>
      </c>
    </row>
    <row r="1518" spans="1:4" ht="17.25" customHeight="1" x14ac:dyDescent="0.35">
      <c r="A1518" s="344">
        <v>5149</v>
      </c>
      <c r="B1518" s="337" t="s">
        <v>4560</v>
      </c>
      <c r="C1518" s="338">
        <v>445299</v>
      </c>
      <c r="D1518" s="339" t="s">
        <v>4545</v>
      </c>
    </row>
    <row r="1519" spans="1:4" ht="17.25" customHeight="1" x14ac:dyDescent="0.35">
      <c r="A1519" s="344">
        <v>5149</v>
      </c>
      <c r="B1519" s="337" t="s">
        <v>4560</v>
      </c>
      <c r="C1519" s="338">
        <v>453910</v>
      </c>
      <c r="D1519" s="339" t="s">
        <v>4562</v>
      </c>
    </row>
    <row r="1520" spans="1:4" ht="34.5" customHeight="1" x14ac:dyDescent="0.35">
      <c r="A1520" s="345">
        <v>5153</v>
      </c>
      <c r="B1520" s="333" t="s">
        <v>4563</v>
      </c>
      <c r="C1520" s="334">
        <v>424510</v>
      </c>
      <c r="D1520" s="341" t="s">
        <v>4564</v>
      </c>
    </row>
    <row r="1521" spans="1:4" ht="17.25" customHeight="1" x14ac:dyDescent="0.35">
      <c r="A1521" s="345">
        <v>5153</v>
      </c>
      <c r="B1521" s="333" t="s">
        <v>4563</v>
      </c>
      <c r="C1521" s="334">
        <v>425110</v>
      </c>
      <c r="D1521" s="335" t="s">
        <v>4422</v>
      </c>
    </row>
    <row r="1522" spans="1:4" ht="17.25" customHeight="1" x14ac:dyDescent="0.35">
      <c r="A1522" s="345">
        <v>5153</v>
      </c>
      <c r="B1522" s="333" t="s">
        <v>4563</v>
      </c>
      <c r="C1522" s="334">
        <v>425120</v>
      </c>
      <c r="D1522" s="335" t="s">
        <v>4423</v>
      </c>
    </row>
    <row r="1523" spans="1:4" ht="34.5" customHeight="1" x14ac:dyDescent="0.35">
      <c r="A1523" s="344">
        <v>5153</v>
      </c>
      <c r="B1523" s="337" t="s">
        <v>4563</v>
      </c>
      <c r="C1523" s="338">
        <v>444220</v>
      </c>
      <c r="D1523" s="340" t="s">
        <v>4565</v>
      </c>
    </row>
    <row r="1524" spans="1:4" ht="17.25" customHeight="1" x14ac:dyDescent="0.35">
      <c r="A1524" s="344">
        <v>5154</v>
      </c>
      <c r="B1524" s="337" t="s">
        <v>4566</v>
      </c>
      <c r="C1524" s="338">
        <v>424520</v>
      </c>
      <c r="D1524" s="339" t="s">
        <v>4567</v>
      </c>
    </row>
    <row r="1525" spans="1:4" ht="17.25" customHeight="1" x14ac:dyDescent="0.35">
      <c r="A1525" s="344">
        <v>5154</v>
      </c>
      <c r="B1525" s="337" t="s">
        <v>4566</v>
      </c>
      <c r="C1525" s="338">
        <v>425110</v>
      </c>
      <c r="D1525" s="339" t="s">
        <v>4422</v>
      </c>
    </row>
    <row r="1526" spans="1:4" ht="17.25" customHeight="1" x14ac:dyDescent="0.35">
      <c r="A1526" s="344">
        <v>5154</v>
      </c>
      <c r="B1526" s="337" t="s">
        <v>4566</v>
      </c>
      <c r="C1526" s="338">
        <v>425120</v>
      </c>
      <c r="D1526" s="339" t="s">
        <v>4423</v>
      </c>
    </row>
    <row r="1527" spans="1:4" ht="34.5" customHeight="1" x14ac:dyDescent="0.35">
      <c r="A1527" s="345">
        <v>5159</v>
      </c>
      <c r="B1527" s="333" t="s">
        <v>4568</v>
      </c>
      <c r="C1527" s="334">
        <v>424590</v>
      </c>
      <c r="D1527" s="341" t="s">
        <v>4569</v>
      </c>
    </row>
    <row r="1528" spans="1:4" ht="17.25" customHeight="1" x14ac:dyDescent="0.35">
      <c r="A1528" s="345">
        <v>5159</v>
      </c>
      <c r="B1528" s="333" t="s">
        <v>4568</v>
      </c>
      <c r="C1528" s="334">
        <v>425110</v>
      </c>
      <c r="D1528" s="335" t="s">
        <v>4422</v>
      </c>
    </row>
    <row r="1529" spans="1:4" ht="17.25" customHeight="1" x14ac:dyDescent="0.35">
      <c r="A1529" s="345">
        <v>5159</v>
      </c>
      <c r="B1529" s="333" t="s">
        <v>4568</v>
      </c>
      <c r="C1529" s="334">
        <v>425120</v>
      </c>
      <c r="D1529" s="335" t="s">
        <v>4423</v>
      </c>
    </row>
    <row r="1530" spans="1:4" ht="34.5" customHeight="1" x14ac:dyDescent="0.35">
      <c r="A1530" s="345">
        <v>5159</v>
      </c>
      <c r="B1530" s="333" t="s">
        <v>4568</v>
      </c>
      <c r="C1530" s="334">
        <v>444220</v>
      </c>
      <c r="D1530" s="341" t="s">
        <v>4565</v>
      </c>
    </row>
    <row r="1531" spans="1:4" ht="34.5" customHeight="1" x14ac:dyDescent="0.35">
      <c r="A1531" s="344">
        <v>5162</v>
      </c>
      <c r="B1531" s="337" t="s">
        <v>4570</v>
      </c>
      <c r="C1531" s="338">
        <v>424610</v>
      </c>
      <c r="D1531" s="340" t="s">
        <v>4571</v>
      </c>
    </row>
    <row r="1532" spans="1:4" ht="17.25" customHeight="1" x14ac:dyDescent="0.35">
      <c r="A1532" s="344">
        <v>5162</v>
      </c>
      <c r="B1532" s="337" t="s">
        <v>4570</v>
      </c>
      <c r="C1532" s="338">
        <v>425110</v>
      </c>
      <c r="D1532" s="339" t="s">
        <v>4422</v>
      </c>
    </row>
    <row r="1533" spans="1:4" ht="17.25" customHeight="1" x14ac:dyDescent="0.35">
      <c r="A1533" s="344">
        <v>5162</v>
      </c>
      <c r="B1533" s="337" t="s">
        <v>4570</v>
      </c>
      <c r="C1533" s="338">
        <v>425120</v>
      </c>
      <c r="D1533" s="339" t="s">
        <v>4423</v>
      </c>
    </row>
    <row r="1534" spans="1:4" ht="34.5" customHeight="1" x14ac:dyDescent="0.35">
      <c r="A1534" s="344">
        <v>5162</v>
      </c>
      <c r="B1534" s="337" t="s">
        <v>4570</v>
      </c>
      <c r="C1534" s="338">
        <v>453998</v>
      </c>
      <c r="D1534" s="340" t="s">
        <v>4494</v>
      </c>
    </row>
    <row r="1535" spans="1:4" ht="34.5" customHeight="1" x14ac:dyDescent="0.35">
      <c r="A1535" s="344">
        <v>5169</v>
      </c>
      <c r="B1535" s="337" t="s">
        <v>4572</v>
      </c>
      <c r="C1535" s="338">
        <v>424690</v>
      </c>
      <c r="D1535" s="340" t="s">
        <v>4573</v>
      </c>
    </row>
    <row r="1536" spans="1:4" ht="17.25" customHeight="1" x14ac:dyDescent="0.35">
      <c r="A1536" s="345">
        <v>5169</v>
      </c>
      <c r="B1536" s="333" t="s">
        <v>4572</v>
      </c>
      <c r="C1536" s="334">
        <v>425110</v>
      </c>
      <c r="D1536" s="335" t="s">
        <v>4422</v>
      </c>
    </row>
    <row r="1537" spans="1:4" ht="17.25" customHeight="1" x14ac:dyDescent="0.35">
      <c r="A1537" s="345">
        <v>5169</v>
      </c>
      <c r="B1537" s="333" t="s">
        <v>4572</v>
      </c>
      <c r="C1537" s="334">
        <v>425120</v>
      </c>
      <c r="D1537" s="335" t="s">
        <v>4423</v>
      </c>
    </row>
    <row r="1538" spans="1:4" ht="17.25" customHeight="1" x14ac:dyDescent="0.35">
      <c r="A1538" s="345">
        <v>5171</v>
      </c>
      <c r="B1538" s="333" t="s">
        <v>4574</v>
      </c>
      <c r="C1538" s="334">
        <v>424710</v>
      </c>
      <c r="D1538" s="335" t="s">
        <v>4574</v>
      </c>
    </row>
    <row r="1539" spans="1:4" ht="17.25" customHeight="1" x14ac:dyDescent="0.35">
      <c r="A1539" s="344">
        <v>5171</v>
      </c>
      <c r="B1539" s="337" t="s">
        <v>4574</v>
      </c>
      <c r="C1539" s="338">
        <v>454310</v>
      </c>
      <c r="D1539" s="339" t="s">
        <v>4575</v>
      </c>
    </row>
    <row r="1540" spans="1:4" ht="17.25" customHeight="1" x14ac:dyDescent="0.35">
      <c r="A1540" s="345">
        <v>5171</v>
      </c>
      <c r="B1540" s="333" t="s">
        <v>4574</v>
      </c>
      <c r="C1540" s="334">
        <v>454310</v>
      </c>
      <c r="D1540" s="335" t="s">
        <v>4575</v>
      </c>
    </row>
    <row r="1541" spans="1:4" ht="43.5" customHeight="1" x14ac:dyDescent="0.35">
      <c r="A1541" s="344">
        <v>5172</v>
      </c>
      <c r="B1541" s="337" t="s">
        <v>4576</v>
      </c>
      <c r="C1541" s="338">
        <v>424720</v>
      </c>
      <c r="D1541" s="340" t="s">
        <v>4577</v>
      </c>
    </row>
    <row r="1542" spans="1:4" ht="17.25" customHeight="1" x14ac:dyDescent="0.35">
      <c r="A1542" s="344">
        <v>5172</v>
      </c>
      <c r="B1542" s="337" t="s">
        <v>4576</v>
      </c>
      <c r="C1542" s="338">
        <v>425110</v>
      </c>
      <c r="D1542" s="339" t="s">
        <v>4422</v>
      </c>
    </row>
    <row r="1543" spans="1:4" ht="17.25" customHeight="1" x14ac:dyDescent="0.35">
      <c r="A1543" s="344">
        <v>5172</v>
      </c>
      <c r="B1543" s="337" t="s">
        <v>4576</v>
      </c>
      <c r="C1543" s="338">
        <v>425120</v>
      </c>
      <c r="D1543" s="339" t="s">
        <v>4423</v>
      </c>
    </row>
    <row r="1544" spans="1:4" ht="17.25" customHeight="1" x14ac:dyDescent="0.35">
      <c r="A1544" s="345">
        <v>5181</v>
      </c>
      <c r="B1544" s="333" t="s">
        <v>4578</v>
      </c>
      <c r="C1544" s="334">
        <v>424810</v>
      </c>
      <c r="D1544" s="335" t="s">
        <v>4579</v>
      </c>
    </row>
    <row r="1545" spans="1:4" ht="17.25" customHeight="1" x14ac:dyDescent="0.35">
      <c r="A1545" s="345">
        <v>5181</v>
      </c>
      <c r="B1545" s="333" t="s">
        <v>4578</v>
      </c>
      <c r="C1545" s="334">
        <v>425110</v>
      </c>
      <c r="D1545" s="335" t="s">
        <v>4422</v>
      </c>
    </row>
    <row r="1546" spans="1:4" ht="17.25" customHeight="1" x14ac:dyDescent="0.35">
      <c r="A1546" s="345">
        <v>5181</v>
      </c>
      <c r="B1546" s="333" t="s">
        <v>4578</v>
      </c>
      <c r="C1546" s="334">
        <v>425120</v>
      </c>
      <c r="D1546" s="335" t="s">
        <v>4423</v>
      </c>
    </row>
    <row r="1547" spans="1:4" ht="17.25" customHeight="1" x14ac:dyDescent="0.35">
      <c r="A1547" s="345">
        <v>5181</v>
      </c>
      <c r="B1547" s="333" t="s">
        <v>4578</v>
      </c>
      <c r="C1547" s="334">
        <v>445310</v>
      </c>
      <c r="D1547" s="335" t="s">
        <v>4580</v>
      </c>
    </row>
    <row r="1548" spans="1:4" ht="34.5" customHeight="1" x14ac:dyDescent="0.35">
      <c r="A1548" s="344">
        <v>5182</v>
      </c>
      <c r="B1548" s="337" t="s">
        <v>4581</v>
      </c>
      <c r="C1548" s="338">
        <v>424820</v>
      </c>
      <c r="D1548" s="340" t="s">
        <v>4582</v>
      </c>
    </row>
    <row r="1549" spans="1:4" ht="17.25" customHeight="1" x14ac:dyDescent="0.35">
      <c r="A1549" s="344">
        <v>5182</v>
      </c>
      <c r="B1549" s="337" t="s">
        <v>4581</v>
      </c>
      <c r="C1549" s="338">
        <v>425110</v>
      </c>
      <c r="D1549" s="339" t="s">
        <v>4422</v>
      </c>
    </row>
    <row r="1550" spans="1:4" ht="17.25" customHeight="1" x14ac:dyDescent="0.35">
      <c r="A1550" s="344">
        <v>5182</v>
      </c>
      <c r="B1550" s="337" t="s">
        <v>4581</v>
      </c>
      <c r="C1550" s="338">
        <v>425120</v>
      </c>
      <c r="D1550" s="339" t="s">
        <v>4423</v>
      </c>
    </row>
    <row r="1551" spans="1:4" ht="17.25" customHeight="1" x14ac:dyDescent="0.35">
      <c r="A1551" s="344">
        <v>5182</v>
      </c>
      <c r="B1551" s="337" t="s">
        <v>4581</v>
      </c>
      <c r="C1551" s="338">
        <v>445310</v>
      </c>
      <c r="D1551" s="339" t="s">
        <v>4580</v>
      </c>
    </row>
    <row r="1552" spans="1:4" ht="17.25" customHeight="1" x14ac:dyDescent="0.35">
      <c r="A1552" s="345">
        <v>5191</v>
      </c>
      <c r="B1552" s="333" t="s">
        <v>4583</v>
      </c>
      <c r="C1552" s="334">
        <v>424910</v>
      </c>
      <c r="D1552" s="335" t="s">
        <v>4584</v>
      </c>
    </row>
    <row r="1553" spans="1:4" ht="17.25" customHeight="1" x14ac:dyDescent="0.35">
      <c r="A1553" s="345">
        <v>5191</v>
      </c>
      <c r="B1553" s="333" t="s">
        <v>4583</v>
      </c>
      <c r="C1553" s="334">
        <v>425110</v>
      </c>
      <c r="D1553" s="335" t="s">
        <v>4422</v>
      </c>
    </row>
    <row r="1554" spans="1:4" ht="17.25" customHeight="1" x14ac:dyDescent="0.35">
      <c r="A1554" s="345">
        <v>5191</v>
      </c>
      <c r="B1554" s="333" t="s">
        <v>4583</v>
      </c>
      <c r="C1554" s="334">
        <v>425120</v>
      </c>
      <c r="D1554" s="335" t="s">
        <v>4423</v>
      </c>
    </row>
    <row r="1555" spans="1:4" ht="34.5" customHeight="1" x14ac:dyDescent="0.35">
      <c r="A1555" s="344">
        <v>5191</v>
      </c>
      <c r="B1555" s="337" t="s">
        <v>4583</v>
      </c>
      <c r="C1555" s="338">
        <v>444220</v>
      </c>
      <c r="D1555" s="340" t="s">
        <v>4565</v>
      </c>
    </row>
    <row r="1556" spans="1:4" ht="34.5" customHeight="1" x14ac:dyDescent="0.35">
      <c r="A1556" s="344">
        <v>5192</v>
      </c>
      <c r="B1556" s="337" t="s">
        <v>4585</v>
      </c>
      <c r="C1556" s="338">
        <v>424920</v>
      </c>
      <c r="D1556" s="340" t="s">
        <v>4586</v>
      </c>
    </row>
    <row r="1557" spans="1:4" ht="17.25" customHeight="1" x14ac:dyDescent="0.35">
      <c r="A1557" s="344">
        <v>5192</v>
      </c>
      <c r="B1557" s="337" t="s">
        <v>4585</v>
      </c>
      <c r="C1557" s="338">
        <v>425110</v>
      </c>
      <c r="D1557" s="339" t="s">
        <v>4422</v>
      </c>
    </row>
    <row r="1558" spans="1:4" ht="17.25" customHeight="1" x14ac:dyDescent="0.35">
      <c r="A1558" s="344">
        <v>5192</v>
      </c>
      <c r="B1558" s="337" t="s">
        <v>4585</v>
      </c>
      <c r="C1558" s="338">
        <v>425120</v>
      </c>
      <c r="D1558" s="339" t="s">
        <v>4423</v>
      </c>
    </row>
    <row r="1559" spans="1:4" ht="17.25" customHeight="1" x14ac:dyDescent="0.35">
      <c r="A1559" s="345">
        <v>5192</v>
      </c>
      <c r="B1559" s="333" t="s">
        <v>4585</v>
      </c>
      <c r="C1559" s="334">
        <v>451211</v>
      </c>
      <c r="D1559" s="335" t="s">
        <v>4587</v>
      </c>
    </row>
    <row r="1560" spans="1:4" ht="34.5" customHeight="1" x14ac:dyDescent="0.35">
      <c r="A1560" s="345">
        <v>5193</v>
      </c>
      <c r="B1560" s="333" t="s">
        <v>4588</v>
      </c>
      <c r="C1560" s="334">
        <v>424930</v>
      </c>
      <c r="D1560" s="341" t="s">
        <v>4589</v>
      </c>
    </row>
    <row r="1561" spans="1:4" ht="17.25" customHeight="1" x14ac:dyDescent="0.35">
      <c r="A1561" s="345">
        <v>5193</v>
      </c>
      <c r="B1561" s="333" t="s">
        <v>4588</v>
      </c>
      <c r="C1561" s="334">
        <v>425110</v>
      </c>
      <c r="D1561" s="335" t="s">
        <v>4422</v>
      </c>
    </row>
    <row r="1562" spans="1:4" ht="17.25" customHeight="1" x14ac:dyDescent="0.35">
      <c r="A1562" s="345">
        <v>5193</v>
      </c>
      <c r="B1562" s="333" t="s">
        <v>4588</v>
      </c>
      <c r="C1562" s="334">
        <v>425120</v>
      </c>
      <c r="D1562" s="335" t="s">
        <v>4423</v>
      </c>
    </row>
    <row r="1563" spans="1:4" ht="34.5" customHeight="1" x14ac:dyDescent="0.35">
      <c r="A1563" s="345">
        <v>5193</v>
      </c>
      <c r="B1563" s="333" t="s">
        <v>4588</v>
      </c>
      <c r="C1563" s="334">
        <v>444220</v>
      </c>
      <c r="D1563" s="341" t="s">
        <v>4565</v>
      </c>
    </row>
    <row r="1564" spans="1:4" ht="34.5" customHeight="1" x14ac:dyDescent="0.35">
      <c r="A1564" s="344">
        <v>5194</v>
      </c>
      <c r="B1564" s="337" t="s">
        <v>4590</v>
      </c>
      <c r="C1564" s="338">
        <v>424940</v>
      </c>
      <c r="D1564" s="340" t="s">
        <v>4591</v>
      </c>
    </row>
    <row r="1565" spans="1:4" ht="17.25" customHeight="1" x14ac:dyDescent="0.35">
      <c r="A1565" s="344">
        <v>5194</v>
      </c>
      <c r="B1565" s="337" t="s">
        <v>4590</v>
      </c>
      <c r="C1565" s="338">
        <v>425110</v>
      </c>
      <c r="D1565" s="339" t="s">
        <v>4422</v>
      </c>
    </row>
    <row r="1566" spans="1:4" ht="17.25" customHeight="1" x14ac:dyDescent="0.35">
      <c r="A1566" s="344">
        <v>5194</v>
      </c>
      <c r="B1566" s="337" t="s">
        <v>4590</v>
      </c>
      <c r="C1566" s="338">
        <v>425120</v>
      </c>
      <c r="D1566" s="339" t="s">
        <v>4423</v>
      </c>
    </row>
    <row r="1567" spans="1:4" ht="17.25" customHeight="1" x14ac:dyDescent="0.35">
      <c r="A1567" s="345">
        <v>5194</v>
      </c>
      <c r="B1567" s="333" t="s">
        <v>4590</v>
      </c>
      <c r="C1567" s="334">
        <v>453991</v>
      </c>
      <c r="D1567" s="335" t="s">
        <v>4592</v>
      </c>
    </row>
    <row r="1568" spans="1:4" ht="34.5" customHeight="1" x14ac:dyDescent="0.35">
      <c r="A1568" s="345">
        <v>5198</v>
      </c>
      <c r="B1568" s="333" t="s">
        <v>4593</v>
      </c>
      <c r="C1568" s="334">
        <v>424950</v>
      </c>
      <c r="D1568" s="341" t="s">
        <v>4594</v>
      </c>
    </row>
    <row r="1569" spans="1:4" ht="17.25" customHeight="1" x14ac:dyDescent="0.35">
      <c r="A1569" s="345">
        <v>5198</v>
      </c>
      <c r="B1569" s="333" t="s">
        <v>4593</v>
      </c>
      <c r="C1569" s="334">
        <v>425110</v>
      </c>
      <c r="D1569" s="335" t="s">
        <v>4422</v>
      </c>
    </row>
    <row r="1570" spans="1:4" ht="17.25" customHeight="1" x14ac:dyDescent="0.35">
      <c r="A1570" s="345">
        <v>5198</v>
      </c>
      <c r="B1570" s="333" t="s">
        <v>4593</v>
      </c>
      <c r="C1570" s="334">
        <v>425120</v>
      </c>
      <c r="D1570" s="335" t="s">
        <v>4423</v>
      </c>
    </row>
    <row r="1571" spans="1:4" ht="34.5" customHeight="1" x14ac:dyDescent="0.35">
      <c r="A1571" s="345">
        <v>5199</v>
      </c>
      <c r="B1571" s="333" t="s">
        <v>4595</v>
      </c>
      <c r="C1571" s="334">
        <v>424310</v>
      </c>
      <c r="D1571" s="341" t="s">
        <v>4524</v>
      </c>
    </row>
    <row r="1572" spans="1:4" ht="17.25" customHeight="1" x14ac:dyDescent="0.35">
      <c r="A1572" s="345">
        <v>5199</v>
      </c>
      <c r="B1572" s="333" t="s">
        <v>4595</v>
      </c>
      <c r="C1572" s="334">
        <v>424340</v>
      </c>
      <c r="D1572" s="335" t="s">
        <v>4535</v>
      </c>
    </row>
    <row r="1573" spans="1:4" ht="34.5" customHeight="1" x14ac:dyDescent="0.35">
      <c r="A1573" s="345">
        <v>5199</v>
      </c>
      <c r="B1573" s="333" t="s">
        <v>4595</v>
      </c>
      <c r="C1573" s="334">
        <v>424610</v>
      </c>
      <c r="D1573" s="341" t="s">
        <v>4571</v>
      </c>
    </row>
    <row r="1574" spans="1:4" ht="34.5" customHeight="1" x14ac:dyDescent="0.35">
      <c r="A1574" s="344">
        <v>5199</v>
      </c>
      <c r="B1574" s="337" t="s">
        <v>4595</v>
      </c>
      <c r="C1574" s="338">
        <v>424990</v>
      </c>
      <c r="D1574" s="340" t="s">
        <v>4596</v>
      </c>
    </row>
    <row r="1575" spans="1:4" ht="17.25" customHeight="1" x14ac:dyDescent="0.35">
      <c r="A1575" s="344">
        <v>5199</v>
      </c>
      <c r="B1575" s="337" t="s">
        <v>4595</v>
      </c>
      <c r="C1575" s="338">
        <v>425110</v>
      </c>
      <c r="D1575" s="339" t="s">
        <v>4422</v>
      </c>
    </row>
    <row r="1576" spans="1:4" ht="17.25" customHeight="1" x14ac:dyDescent="0.35">
      <c r="A1576" s="344">
        <v>5199</v>
      </c>
      <c r="B1576" s="337" t="s">
        <v>4595</v>
      </c>
      <c r="C1576" s="338">
        <v>425120</v>
      </c>
      <c r="D1576" s="339" t="s">
        <v>4423</v>
      </c>
    </row>
    <row r="1577" spans="1:4" ht="17.25" customHeight="1" x14ac:dyDescent="0.35">
      <c r="A1577" s="345">
        <v>5199</v>
      </c>
      <c r="B1577" s="333" t="s">
        <v>4595</v>
      </c>
      <c r="C1577" s="334">
        <v>453220</v>
      </c>
      <c r="D1577" s="335" t="s">
        <v>4597</v>
      </c>
    </row>
    <row r="1578" spans="1:4" ht="17.25" customHeight="1" x14ac:dyDescent="0.35">
      <c r="A1578" s="345">
        <v>5199</v>
      </c>
      <c r="B1578" s="333" t="s">
        <v>4595</v>
      </c>
      <c r="C1578" s="334">
        <v>453910</v>
      </c>
      <c r="D1578" s="335" t="s">
        <v>4562</v>
      </c>
    </row>
    <row r="1579" spans="1:4" ht="17.25" customHeight="1" x14ac:dyDescent="0.35">
      <c r="A1579" s="344">
        <v>5199</v>
      </c>
      <c r="B1579" s="337" t="s">
        <v>4595</v>
      </c>
      <c r="C1579" s="338">
        <v>453991</v>
      </c>
      <c r="D1579" s="339" t="s">
        <v>4592</v>
      </c>
    </row>
    <row r="1580" spans="1:4" ht="17.25" customHeight="1" x14ac:dyDescent="0.35">
      <c r="A1580" s="345">
        <v>5199</v>
      </c>
      <c r="B1580" s="333" t="s">
        <v>4595</v>
      </c>
      <c r="C1580" s="334">
        <v>541890</v>
      </c>
      <c r="D1580" s="335" t="s">
        <v>4598</v>
      </c>
    </row>
    <row r="1581" spans="1:4" ht="17.25" customHeight="1" x14ac:dyDescent="0.35">
      <c r="A1581" s="345">
        <v>5211</v>
      </c>
      <c r="B1581" s="333" t="s">
        <v>4599</v>
      </c>
      <c r="C1581" s="334">
        <v>444110</v>
      </c>
      <c r="D1581" s="335" t="s">
        <v>4440</v>
      </c>
    </row>
    <row r="1582" spans="1:4" ht="17.25" customHeight="1" x14ac:dyDescent="0.35">
      <c r="A1582" s="345">
        <v>5211</v>
      </c>
      <c r="B1582" s="333" t="s">
        <v>4599</v>
      </c>
      <c r="C1582" s="334">
        <v>444190</v>
      </c>
      <c r="D1582" s="335" t="s">
        <v>4443</v>
      </c>
    </row>
    <row r="1583" spans="1:4" ht="17.25" customHeight="1" x14ac:dyDescent="0.35">
      <c r="A1583" s="344">
        <v>5231</v>
      </c>
      <c r="B1583" s="337" t="s">
        <v>4600</v>
      </c>
      <c r="C1583" s="338">
        <v>444120</v>
      </c>
      <c r="D1583" s="339" t="s">
        <v>4601</v>
      </c>
    </row>
    <row r="1584" spans="1:4" ht="17.25" customHeight="1" x14ac:dyDescent="0.35">
      <c r="A1584" s="344">
        <v>5231</v>
      </c>
      <c r="B1584" s="337" t="s">
        <v>4600</v>
      </c>
      <c r="C1584" s="338">
        <v>444190</v>
      </c>
      <c r="D1584" s="339" t="s">
        <v>4443</v>
      </c>
    </row>
    <row r="1585" spans="1:4" ht="17.25" customHeight="1" x14ac:dyDescent="0.35">
      <c r="A1585" s="344">
        <v>5251</v>
      </c>
      <c r="B1585" s="337" t="s">
        <v>4477</v>
      </c>
      <c r="C1585" s="338">
        <v>444130</v>
      </c>
      <c r="D1585" s="339" t="s">
        <v>4477</v>
      </c>
    </row>
    <row r="1586" spans="1:4" ht="17.25" customHeight="1" x14ac:dyDescent="0.35">
      <c r="A1586" s="344">
        <v>5261</v>
      </c>
      <c r="B1586" s="337" t="s">
        <v>4602</v>
      </c>
      <c r="C1586" s="338">
        <v>444210</v>
      </c>
      <c r="D1586" s="339" t="s">
        <v>4489</v>
      </c>
    </row>
    <row r="1587" spans="1:4" ht="34.5" customHeight="1" x14ac:dyDescent="0.35">
      <c r="A1587" s="344">
        <v>5261</v>
      </c>
      <c r="B1587" s="337" t="s">
        <v>4602</v>
      </c>
      <c r="C1587" s="338">
        <v>444220</v>
      </c>
      <c r="D1587" s="340" t="s">
        <v>4565</v>
      </c>
    </row>
    <row r="1588" spans="1:4" ht="17.25" customHeight="1" x14ac:dyDescent="0.35">
      <c r="A1588" s="344">
        <v>5271</v>
      </c>
      <c r="B1588" s="337" t="s">
        <v>4603</v>
      </c>
      <c r="C1588" s="338">
        <v>453930</v>
      </c>
      <c r="D1588" s="339" t="s">
        <v>4604</v>
      </c>
    </row>
    <row r="1589" spans="1:4" ht="17.25" customHeight="1" x14ac:dyDescent="0.35">
      <c r="A1589" s="344">
        <v>5311</v>
      </c>
      <c r="B1589" s="337" t="s">
        <v>4605</v>
      </c>
      <c r="C1589" s="338">
        <v>452210</v>
      </c>
      <c r="D1589" s="339" t="s">
        <v>4605</v>
      </c>
    </row>
    <row r="1590" spans="1:4" ht="17.25" customHeight="1" x14ac:dyDescent="0.35">
      <c r="A1590" s="344">
        <v>5311</v>
      </c>
      <c r="B1590" s="337" t="s">
        <v>4605</v>
      </c>
      <c r="C1590" s="338">
        <v>452311</v>
      </c>
      <c r="D1590" s="339" t="s">
        <v>4606</v>
      </c>
    </row>
    <row r="1591" spans="1:4" ht="17.25" customHeight="1" x14ac:dyDescent="0.35">
      <c r="A1591" s="344">
        <v>5331</v>
      </c>
      <c r="B1591" s="337" t="s">
        <v>4607</v>
      </c>
      <c r="C1591" s="338">
        <v>452319</v>
      </c>
      <c r="D1591" s="339" t="s">
        <v>4608</v>
      </c>
    </row>
    <row r="1592" spans="1:4" ht="17.25" customHeight="1" x14ac:dyDescent="0.35">
      <c r="A1592" s="344">
        <v>5399</v>
      </c>
      <c r="B1592" s="337" t="s">
        <v>4609</v>
      </c>
      <c r="C1592" s="338">
        <v>452210</v>
      </c>
      <c r="D1592" s="339" t="s">
        <v>4605</v>
      </c>
    </row>
    <row r="1593" spans="1:4" ht="17.25" customHeight="1" x14ac:dyDescent="0.35">
      <c r="A1593" s="344">
        <v>5399</v>
      </c>
      <c r="B1593" s="337" t="s">
        <v>4609</v>
      </c>
      <c r="C1593" s="338">
        <v>452311</v>
      </c>
      <c r="D1593" s="339" t="s">
        <v>4606</v>
      </c>
    </row>
    <row r="1594" spans="1:4" ht="17.25" customHeight="1" x14ac:dyDescent="0.35">
      <c r="A1594" s="345">
        <v>5399</v>
      </c>
      <c r="B1594" s="333" t="s">
        <v>4609</v>
      </c>
      <c r="C1594" s="334">
        <v>452319</v>
      </c>
      <c r="D1594" s="335" t="s">
        <v>4608</v>
      </c>
    </row>
    <row r="1595" spans="1:4" ht="34.5" customHeight="1" x14ac:dyDescent="0.35">
      <c r="A1595" s="344">
        <v>5411</v>
      </c>
      <c r="B1595" s="337" t="s">
        <v>4610</v>
      </c>
      <c r="C1595" s="338">
        <v>445110</v>
      </c>
      <c r="D1595" s="340" t="s">
        <v>4539</v>
      </c>
    </row>
    <row r="1596" spans="1:4" ht="17.25" customHeight="1" x14ac:dyDescent="0.35">
      <c r="A1596" s="345">
        <v>5411</v>
      </c>
      <c r="B1596" s="333" t="s">
        <v>4610</v>
      </c>
      <c r="C1596" s="334">
        <v>445120</v>
      </c>
      <c r="D1596" s="335" t="s">
        <v>4611</v>
      </c>
    </row>
    <row r="1597" spans="1:4" ht="28.75" customHeight="1" x14ac:dyDescent="0.35">
      <c r="A1597" s="344">
        <v>5411</v>
      </c>
      <c r="B1597" s="337" t="s">
        <v>4610</v>
      </c>
      <c r="C1597" s="338">
        <v>447110</v>
      </c>
      <c r="D1597" s="339" t="s">
        <v>4612</v>
      </c>
    </row>
    <row r="1598" spans="1:4" ht="17.25" customHeight="1" x14ac:dyDescent="0.35">
      <c r="A1598" s="345">
        <v>5411</v>
      </c>
      <c r="B1598" s="333" t="s">
        <v>4610</v>
      </c>
      <c r="C1598" s="338">
        <v>452210</v>
      </c>
      <c r="D1598" s="339" t="s">
        <v>4605</v>
      </c>
    </row>
    <row r="1599" spans="1:4" ht="17.25" customHeight="1" x14ac:dyDescent="0.35">
      <c r="A1599" s="345">
        <v>5411</v>
      </c>
      <c r="B1599" s="333" t="s">
        <v>4610</v>
      </c>
      <c r="C1599" s="334">
        <v>452311</v>
      </c>
      <c r="D1599" s="335" t="s">
        <v>4606</v>
      </c>
    </row>
    <row r="1600" spans="1:4" ht="17.25" customHeight="1" x14ac:dyDescent="0.35">
      <c r="A1600" s="344">
        <v>5411</v>
      </c>
      <c r="B1600" s="337" t="s">
        <v>4610</v>
      </c>
      <c r="C1600" s="338">
        <v>454390</v>
      </c>
      <c r="D1600" s="339" t="s">
        <v>4542</v>
      </c>
    </row>
    <row r="1601" spans="1:4" ht="17.25" customHeight="1" x14ac:dyDescent="0.35">
      <c r="A1601" s="344">
        <v>5421</v>
      </c>
      <c r="B1601" s="337" t="s">
        <v>4613</v>
      </c>
      <c r="C1601" s="338">
        <v>445210</v>
      </c>
      <c r="D1601" s="339" t="s">
        <v>4548</v>
      </c>
    </row>
    <row r="1602" spans="1:4" ht="17.25" customHeight="1" x14ac:dyDescent="0.35">
      <c r="A1602" s="345">
        <v>5421</v>
      </c>
      <c r="B1602" s="333" t="s">
        <v>4613</v>
      </c>
      <c r="C1602" s="334">
        <v>445220</v>
      </c>
      <c r="D1602" s="335" t="s">
        <v>4554</v>
      </c>
    </row>
    <row r="1603" spans="1:4" ht="17.25" customHeight="1" x14ac:dyDescent="0.35">
      <c r="A1603" s="345">
        <v>5421</v>
      </c>
      <c r="B1603" s="333" t="s">
        <v>4613</v>
      </c>
      <c r="C1603" s="334">
        <v>454390</v>
      </c>
      <c r="D1603" s="335" t="s">
        <v>4542</v>
      </c>
    </row>
    <row r="1604" spans="1:4" ht="17.25" customHeight="1" x14ac:dyDescent="0.35">
      <c r="A1604" s="345">
        <v>5431</v>
      </c>
      <c r="B1604" s="333" t="s">
        <v>4559</v>
      </c>
      <c r="C1604" s="334">
        <v>445230</v>
      </c>
      <c r="D1604" s="335" t="s">
        <v>4559</v>
      </c>
    </row>
    <row r="1605" spans="1:4" ht="17.25" customHeight="1" x14ac:dyDescent="0.35">
      <c r="A1605" s="344">
        <v>5431</v>
      </c>
      <c r="B1605" s="337" t="s">
        <v>4559</v>
      </c>
      <c r="C1605" s="338">
        <v>454390</v>
      </c>
      <c r="D1605" s="339" t="s">
        <v>4542</v>
      </c>
    </row>
    <row r="1606" spans="1:4" ht="34.5" customHeight="1" x14ac:dyDescent="0.35">
      <c r="A1606" s="345">
        <v>5441</v>
      </c>
      <c r="B1606" s="333" t="s">
        <v>4614</v>
      </c>
      <c r="C1606" s="334">
        <v>311340</v>
      </c>
      <c r="D1606" s="341" t="s">
        <v>3486</v>
      </c>
    </row>
    <row r="1607" spans="1:4" ht="34.5" customHeight="1" x14ac:dyDescent="0.35">
      <c r="A1607" s="345">
        <v>5441</v>
      </c>
      <c r="B1607" s="333" t="s">
        <v>4614</v>
      </c>
      <c r="C1607" s="334">
        <v>311352</v>
      </c>
      <c r="D1607" s="341" t="s">
        <v>3487</v>
      </c>
    </row>
    <row r="1608" spans="1:4" ht="17.25" customHeight="1" x14ac:dyDescent="0.35">
      <c r="A1608" s="344">
        <v>5441</v>
      </c>
      <c r="B1608" s="337" t="s">
        <v>4614</v>
      </c>
      <c r="C1608" s="338">
        <v>445292</v>
      </c>
      <c r="D1608" s="339" t="s">
        <v>4551</v>
      </c>
    </row>
    <row r="1609" spans="1:4" ht="17.25" customHeight="1" x14ac:dyDescent="0.35">
      <c r="A1609" s="345">
        <v>5451</v>
      </c>
      <c r="B1609" s="333" t="s">
        <v>4615</v>
      </c>
      <c r="C1609" s="334">
        <v>445299</v>
      </c>
      <c r="D1609" s="335" t="s">
        <v>4545</v>
      </c>
    </row>
    <row r="1610" spans="1:4" ht="17.25" customHeight="1" x14ac:dyDescent="0.35">
      <c r="A1610" s="344">
        <v>5461</v>
      </c>
      <c r="B1610" s="337" t="s">
        <v>4616</v>
      </c>
      <c r="C1610" s="338">
        <v>311811</v>
      </c>
      <c r="D1610" s="339" t="s">
        <v>4616</v>
      </c>
    </row>
    <row r="1611" spans="1:4" ht="17.25" customHeight="1" x14ac:dyDescent="0.35">
      <c r="A1611" s="344">
        <v>5461</v>
      </c>
      <c r="B1611" s="337" t="s">
        <v>4616</v>
      </c>
      <c r="C1611" s="338">
        <v>445291</v>
      </c>
      <c r="D1611" s="339" t="s">
        <v>4617</v>
      </c>
    </row>
    <row r="1612" spans="1:4" ht="17.25" customHeight="1" x14ac:dyDescent="0.35">
      <c r="A1612" s="344">
        <v>5461</v>
      </c>
      <c r="B1612" s="337" t="s">
        <v>4616</v>
      </c>
      <c r="C1612" s="338">
        <v>722515</v>
      </c>
      <c r="D1612" s="339" t="s">
        <v>4618</v>
      </c>
    </row>
    <row r="1613" spans="1:4" ht="17.25" customHeight="1" x14ac:dyDescent="0.35">
      <c r="A1613" s="345">
        <v>5499</v>
      </c>
      <c r="B1613" s="333" t="s">
        <v>4619</v>
      </c>
      <c r="C1613" s="334">
        <v>445210</v>
      </c>
      <c r="D1613" s="335" t="s">
        <v>4548</v>
      </c>
    </row>
    <row r="1614" spans="1:4" ht="17.25" customHeight="1" x14ac:dyDescent="0.35">
      <c r="A1614" s="344">
        <v>5499</v>
      </c>
      <c r="B1614" s="337" t="s">
        <v>4619</v>
      </c>
      <c r="C1614" s="338">
        <v>445299</v>
      </c>
      <c r="D1614" s="339" t="s">
        <v>4545</v>
      </c>
    </row>
    <row r="1615" spans="1:4" ht="17.25" customHeight="1" x14ac:dyDescent="0.35">
      <c r="A1615" s="345">
        <v>5499</v>
      </c>
      <c r="B1615" s="333" t="s">
        <v>4619</v>
      </c>
      <c r="C1615" s="334">
        <v>446191</v>
      </c>
      <c r="D1615" s="335" t="s">
        <v>4522</v>
      </c>
    </row>
    <row r="1616" spans="1:4" ht="17.25" customHeight="1" x14ac:dyDescent="0.35">
      <c r="A1616" s="344">
        <v>5511</v>
      </c>
      <c r="B1616" s="337" t="s">
        <v>4620</v>
      </c>
      <c r="C1616" s="338">
        <v>441110</v>
      </c>
      <c r="D1616" s="339" t="s">
        <v>4621</v>
      </c>
    </row>
    <row r="1617" spans="1:4" ht="17.25" customHeight="1" x14ac:dyDescent="0.35">
      <c r="A1617" s="345">
        <v>5521</v>
      </c>
      <c r="B1617" s="333" t="s">
        <v>4622</v>
      </c>
      <c r="C1617" s="334">
        <v>441120</v>
      </c>
      <c r="D1617" s="335" t="s">
        <v>4622</v>
      </c>
    </row>
    <row r="1618" spans="1:4" ht="17.25" customHeight="1" x14ac:dyDescent="0.35">
      <c r="A1618" s="344">
        <v>5531</v>
      </c>
      <c r="B1618" s="337" t="s">
        <v>4623</v>
      </c>
      <c r="C1618" s="338">
        <v>441310</v>
      </c>
      <c r="D1618" s="339" t="s">
        <v>4426</v>
      </c>
    </row>
    <row r="1619" spans="1:4" ht="17.25" customHeight="1" x14ac:dyDescent="0.35">
      <c r="A1619" s="345">
        <v>5531</v>
      </c>
      <c r="B1619" s="333" t="s">
        <v>4623</v>
      </c>
      <c r="C1619" s="334">
        <v>441320</v>
      </c>
      <c r="D1619" s="335" t="s">
        <v>4429</v>
      </c>
    </row>
    <row r="1620" spans="1:4" ht="17.25" customHeight="1" x14ac:dyDescent="0.35">
      <c r="A1620" s="344">
        <v>5531</v>
      </c>
      <c r="B1620" s="337" t="s">
        <v>4623</v>
      </c>
      <c r="C1620" s="338">
        <v>452319</v>
      </c>
      <c r="D1620" s="339" t="s">
        <v>4608</v>
      </c>
    </row>
    <row r="1621" spans="1:4" ht="28.75" customHeight="1" x14ac:dyDescent="0.35">
      <c r="A1621" s="345">
        <v>5541</v>
      </c>
      <c r="B1621" s="333" t="s">
        <v>4624</v>
      </c>
      <c r="C1621" s="334">
        <v>447110</v>
      </c>
      <c r="D1621" s="335" t="s">
        <v>4612</v>
      </c>
    </row>
    <row r="1622" spans="1:4" ht="17.25" customHeight="1" x14ac:dyDescent="0.35">
      <c r="A1622" s="344">
        <v>5541</v>
      </c>
      <c r="B1622" s="337" t="s">
        <v>4624</v>
      </c>
      <c r="C1622" s="338">
        <v>447190</v>
      </c>
      <c r="D1622" s="339" t="s">
        <v>4625</v>
      </c>
    </row>
    <row r="1623" spans="1:4" ht="17.25" customHeight="1" x14ac:dyDescent="0.35">
      <c r="A1623" s="345">
        <v>5551</v>
      </c>
      <c r="B1623" s="333" t="s">
        <v>4626</v>
      </c>
      <c r="C1623" s="334">
        <v>441222</v>
      </c>
      <c r="D1623" s="335" t="s">
        <v>4626</v>
      </c>
    </row>
    <row r="1624" spans="1:4" ht="17.25" customHeight="1" x14ac:dyDescent="0.35">
      <c r="A1624" s="344">
        <v>5561</v>
      </c>
      <c r="B1624" s="337" t="s">
        <v>4627</v>
      </c>
      <c r="C1624" s="338">
        <v>441210</v>
      </c>
      <c r="D1624" s="339" t="s">
        <v>4627</v>
      </c>
    </row>
    <row r="1625" spans="1:4" ht="34.5" customHeight="1" x14ac:dyDescent="0.35">
      <c r="A1625" s="344">
        <v>5571</v>
      </c>
      <c r="B1625" s="337" t="s">
        <v>4628</v>
      </c>
      <c r="C1625" s="338">
        <v>441228</v>
      </c>
      <c r="D1625" s="340" t="s">
        <v>4629</v>
      </c>
    </row>
    <row r="1626" spans="1:4" ht="34.5" customHeight="1" x14ac:dyDescent="0.35">
      <c r="A1626" s="345">
        <v>5599</v>
      </c>
      <c r="B1626" s="333" t="s">
        <v>4630</v>
      </c>
      <c r="C1626" s="334">
        <v>441228</v>
      </c>
      <c r="D1626" s="341" t="s">
        <v>4629</v>
      </c>
    </row>
    <row r="1627" spans="1:4" ht="17.25" customHeight="1" x14ac:dyDescent="0.35">
      <c r="A1627" s="344">
        <v>5611</v>
      </c>
      <c r="B1627" s="337" t="s">
        <v>4631</v>
      </c>
      <c r="C1627" s="338">
        <v>448110</v>
      </c>
      <c r="D1627" s="339" t="s">
        <v>4528</v>
      </c>
    </row>
    <row r="1628" spans="1:4" ht="17.25" customHeight="1" x14ac:dyDescent="0.35">
      <c r="A1628" s="344">
        <v>5611</v>
      </c>
      <c r="B1628" s="337" t="s">
        <v>4631</v>
      </c>
      <c r="C1628" s="338">
        <v>448150</v>
      </c>
      <c r="D1628" s="339" t="s">
        <v>4632</v>
      </c>
    </row>
    <row r="1629" spans="1:4" ht="17.25" customHeight="1" x14ac:dyDescent="0.35">
      <c r="A1629" s="344">
        <v>5621</v>
      </c>
      <c r="B1629" s="337" t="s">
        <v>4532</v>
      </c>
      <c r="C1629" s="338">
        <v>448120</v>
      </c>
      <c r="D1629" s="339" t="s">
        <v>4532</v>
      </c>
    </row>
    <row r="1630" spans="1:4" ht="17.25" customHeight="1" x14ac:dyDescent="0.35">
      <c r="A1630" s="345">
        <v>5621</v>
      </c>
      <c r="B1630" s="333" t="s">
        <v>4532</v>
      </c>
      <c r="C1630" s="334">
        <v>448190</v>
      </c>
      <c r="D1630" s="335" t="s">
        <v>4529</v>
      </c>
    </row>
    <row r="1631" spans="1:4" ht="17.25" customHeight="1" x14ac:dyDescent="0.35">
      <c r="A1631" s="345">
        <v>5632</v>
      </c>
      <c r="B1631" s="333" t="s">
        <v>4633</v>
      </c>
      <c r="C1631" s="334">
        <v>448150</v>
      </c>
      <c r="D1631" s="335" t="s">
        <v>4632</v>
      </c>
    </row>
    <row r="1632" spans="1:4" ht="17.25" customHeight="1" x14ac:dyDescent="0.35">
      <c r="A1632" s="344">
        <v>5632</v>
      </c>
      <c r="B1632" s="337" t="s">
        <v>4633</v>
      </c>
      <c r="C1632" s="338">
        <v>448190</v>
      </c>
      <c r="D1632" s="339" t="s">
        <v>4529</v>
      </c>
    </row>
    <row r="1633" spans="1:4" ht="17.25" customHeight="1" x14ac:dyDescent="0.35">
      <c r="A1633" s="344">
        <v>5641</v>
      </c>
      <c r="B1633" s="337" t="s">
        <v>4634</v>
      </c>
      <c r="C1633" s="338">
        <v>448130</v>
      </c>
      <c r="D1633" s="339" t="s">
        <v>4533</v>
      </c>
    </row>
    <row r="1634" spans="1:4" ht="17.25" customHeight="1" x14ac:dyDescent="0.35">
      <c r="A1634" s="345">
        <v>5651</v>
      </c>
      <c r="B1634" s="333" t="s">
        <v>4635</v>
      </c>
      <c r="C1634" s="334">
        <v>448140</v>
      </c>
      <c r="D1634" s="335" t="s">
        <v>4635</v>
      </c>
    </row>
    <row r="1635" spans="1:4" ht="17.25" customHeight="1" x14ac:dyDescent="0.35">
      <c r="A1635" s="345">
        <v>5661</v>
      </c>
      <c r="B1635" s="333" t="s">
        <v>4536</v>
      </c>
      <c r="C1635" s="334">
        <v>448210</v>
      </c>
      <c r="D1635" s="335" t="s">
        <v>4536</v>
      </c>
    </row>
    <row r="1636" spans="1:4" ht="34.5" customHeight="1" x14ac:dyDescent="0.35">
      <c r="A1636" s="345">
        <v>5699</v>
      </c>
      <c r="B1636" s="333" t="s">
        <v>4636</v>
      </c>
      <c r="C1636" s="334">
        <v>315220</v>
      </c>
      <c r="D1636" s="341" t="s">
        <v>3566</v>
      </c>
    </row>
    <row r="1637" spans="1:4" ht="34.5" customHeight="1" x14ac:dyDescent="0.35">
      <c r="A1637" s="344">
        <v>5699</v>
      </c>
      <c r="B1637" s="337" t="s">
        <v>4636</v>
      </c>
      <c r="C1637" s="338">
        <v>315220</v>
      </c>
      <c r="D1637" s="340" t="s">
        <v>3566</v>
      </c>
    </row>
    <row r="1638" spans="1:4" ht="34.5" customHeight="1" x14ac:dyDescent="0.35">
      <c r="A1638" s="344">
        <v>5699</v>
      </c>
      <c r="B1638" s="337" t="s">
        <v>4636</v>
      </c>
      <c r="C1638" s="338">
        <v>315240</v>
      </c>
      <c r="D1638" s="340" t="s">
        <v>3576</v>
      </c>
    </row>
    <row r="1639" spans="1:4" ht="17.25" customHeight="1" x14ac:dyDescent="0.35">
      <c r="A1639" s="344">
        <v>5699</v>
      </c>
      <c r="B1639" s="337" t="s">
        <v>4636</v>
      </c>
      <c r="C1639" s="338">
        <v>448150</v>
      </c>
      <c r="D1639" s="339" t="s">
        <v>4632</v>
      </c>
    </row>
    <row r="1640" spans="1:4" ht="17.25" customHeight="1" x14ac:dyDescent="0.35">
      <c r="A1640" s="345">
        <v>5699</v>
      </c>
      <c r="B1640" s="333" t="s">
        <v>4636</v>
      </c>
      <c r="C1640" s="334">
        <v>448190</v>
      </c>
      <c r="D1640" s="335" t="s">
        <v>4529</v>
      </c>
    </row>
    <row r="1641" spans="1:4" ht="34.5" customHeight="1" x14ac:dyDescent="0.35">
      <c r="A1641" s="344">
        <v>5712</v>
      </c>
      <c r="B1641" s="337" t="s">
        <v>4434</v>
      </c>
      <c r="C1641" s="338">
        <v>337110</v>
      </c>
      <c r="D1641" s="340" t="s">
        <v>3618</v>
      </c>
    </row>
    <row r="1642" spans="1:4" ht="34.5" customHeight="1" x14ac:dyDescent="0.35">
      <c r="A1642" s="344">
        <v>5712</v>
      </c>
      <c r="B1642" s="337" t="s">
        <v>4434</v>
      </c>
      <c r="C1642" s="338">
        <v>337121</v>
      </c>
      <c r="D1642" s="340" t="s">
        <v>3645</v>
      </c>
    </row>
    <row r="1643" spans="1:4" ht="34.5" customHeight="1" x14ac:dyDescent="0.35">
      <c r="A1643" s="344">
        <v>5712</v>
      </c>
      <c r="B1643" s="337" t="s">
        <v>4434</v>
      </c>
      <c r="C1643" s="338">
        <v>337122</v>
      </c>
      <c r="D1643" s="340" t="s">
        <v>3643</v>
      </c>
    </row>
    <row r="1644" spans="1:4" ht="17.25" customHeight="1" x14ac:dyDescent="0.35">
      <c r="A1644" s="345">
        <v>5712</v>
      </c>
      <c r="B1644" s="333" t="s">
        <v>4434</v>
      </c>
      <c r="C1644" s="334">
        <v>442110</v>
      </c>
      <c r="D1644" s="335" t="s">
        <v>4434</v>
      </c>
    </row>
    <row r="1645" spans="1:4" ht="17.25" customHeight="1" x14ac:dyDescent="0.35">
      <c r="A1645" s="345">
        <v>5713</v>
      </c>
      <c r="B1645" s="333" t="s">
        <v>4437</v>
      </c>
      <c r="C1645" s="334">
        <v>442210</v>
      </c>
      <c r="D1645" s="335" t="s">
        <v>4437</v>
      </c>
    </row>
    <row r="1646" spans="1:4" ht="17.25" customHeight="1" x14ac:dyDescent="0.35">
      <c r="A1646" s="345">
        <v>5714</v>
      </c>
      <c r="B1646" s="333" t="s">
        <v>4637</v>
      </c>
      <c r="C1646" s="334">
        <v>314120</v>
      </c>
      <c r="D1646" s="335" t="s">
        <v>3593</v>
      </c>
    </row>
    <row r="1647" spans="1:4" ht="17.25" customHeight="1" x14ac:dyDescent="0.35">
      <c r="A1647" s="344">
        <v>5714</v>
      </c>
      <c r="B1647" s="337" t="s">
        <v>4637</v>
      </c>
      <c r="C1647" s="338">
        <v>314120</v>
      </c>
      <c r="D1647" s="339" t="s">
        <v>3593</v>
      </c>
    </row>
    <row r="1648" spans="1:4" ht="17.25" customHeight="1" x14ac:dyDescent="0.35">
      <c r="A1648" s="344">
        <v>5714</v>
      </c>
      <c r="B1648" s="337" t="s">
        <v>4637</v>
      </c>
      <c r="C1648" s="338">
        <v>442291</v>
      </c>
      <c r="D1648" s="339" t="s">
        <v>4638</v>
      </c>
    </row>
    <row r="1649" spans="1:4" ht="34.5" customHeight="1" x14ac:dyDescent="0.35">
      <c r="A1649" s="344">
        <v>5714</v>
      </c>
      <c r="B1649" s="337" t="s">
        <v>4637</v>
      </c>
      <c r="C1649" s="338">
        <v>451130</v>
      </c>
      <c r="D1649" s="340" t="s">
        <v>4525</v>
      </c>
    </row>
    <row r="1650" spans="1:4" ht="34.5" customHeight="1" x14ac:dyDescent="0.35">
      <c r="A1650" s="344">
        <v>5719</v>
      </c>
      <c r="B1650" s="337" t="s">
        <v>4639</v>
      </c>
      <c r="C1650" s="338">
        <v>327110</v>
      </c>
      <c r="D1650" s="340" t="s">
        <v>3855</v>
      </c>
    </row>
    <row r="1651" spans="1:4" ht="17.25" customHeight="1" x14ac:dyDescent="0.35">
      <c r="A1651" s="345">
        <v>5719</v>
      </c>
      <c r="B1651" s="333" t="s">
        <v>4639</v>
      </c>
      <c r="C1651" s="334">
        <v>442291</v>
      </c>
      <c r="D1651" s="335" t="s">
        <v>4638</v>
      </c>
    </row>
    <row r="1652" spans="1:4" ht="17.25" customHeight="1" x14ac:dyDescent="0.35">
      <c r="A1652" s="344">
        <v>5719</v>
      </c>
      <c r="B1652" s="337" t="s">
        <v>4639</v>
      </c>
      <c r="C1652" s="338">
        <v>442299</v>
      </c>
      <c r="D1652" s="339" t="s">
        <v>4640</v>
      </c>
    </row>
    <row r="1653" spans="1:4" ht="17.25" customHeight="1" x14ac:dyDescent="0.35">
      <c r="A1653" s="345">
        <v>5722</v>
      </c>
      <c r="B1653" s="333" t="s">
        <v>4472</v>
      </c>
      <c r="C1653" s="334">
        <v>443141</v>
      </c>
      <c r="D1653" s="335" t="s">
        <v>4472</v>
      </c>
    </row>
    <row r="1654" spans="1:4" ht="17.25" customHeight="1" x14ac:dyDescent="0.35">
      <c r="A1654" s="345">
        <v>5731</v>
      </c>
      <c r="B1654" s="333" t="s">
        <v>4641</v>
      </c>
      <c r="C1654" s="334">
        <v>441310</v>
      </c>
      <c r="D1654" s="335" t="s">
        <v>4426</v>
      </c>
    </row>
    <row r="1655" spans="1:4" ht="17.25" customHeight="1" x14ac:dyDescent="0.35">
      <c r="A1655" s="345">
        <v>5731</v>
      </c>
      <c r="B1655" s="333" t="s">
        <v>4641</v>
      </c>
      <c r="C1655" s="334">
        <v>443142</v>
      </c>
      <c r="D1655" s="335" t="s">
        <v>4454</v>
      </c>
    </row>
    <row r="1656" spans="1:4" ht="17.25" customHeight="1" x14ac:dyDescent="0.35">
      <c r="A1656" s="344">
        <v>5734</v>
      </c>
      <c r="B1656" s="337" t="s">
        <v>4642</v>
      </c>
      <c r="C1656" s="338">
        <v>443142</v>
      </c>
      <c r="D1656" s="339" t="s">
        <v>4454</v>
      </c>
    </row>
    <row r="1657" spans="1:4" ht="17.25" customHeight="1" x14ac:dyDescent="0.35">
      <c r="A1657" s="345">
        <v>5735</v>
      </c>
      <c r="B1657" s="333" t="s">
        <v>4643</v>
      </c>
      <c r="C1657" s="334">
        <v>443142</v>
      </c>
      <c r="D1657" s="335" t="s">
        <v>4454</v>
      </c>
    </row>
    <row r="1658" spans="1:4" ht="17.25" customHeight="1" x14ac:dyDescent="0.35">
      <c r="A1658" s="344">
        <v>5736</v>
      </c>
      <c r="B1658" s="337" t="s">
        <v>4644</v>
      </c>
      <c r="C1658" s="338">
        <v>451140</v>
      </c>
      <c r="D1658" s="339" t="s">
        <v>4645</v>
      </c>
    </row>
    <row r="1659" spans="1:4" ht="17.25" customHeight="1" x14ac:dyDescent="0.35">
      <c r="A1659" s="345">
        <v>5812</v>
      </c>
      <c r="B1659" s="333" t="s">
        <v>4646</v>
      </c>
      <c r="C1659" s="334">
        <v>711110</v>
      </c>
      <c r="D1659" s="335" t="s">
        <v>4647</v>
      </c>
    </row>
    <row r="1660" spans="1:4" ht="17.25" customHeight="1" x14ac:dyDescent="0.35">
      <c r="A1660" s="345">
        <v>5812</v>
      </c>
      <c r="B1660" s="333" t="s">
        <v>4646</v>
      </c>
      <c r="C1660" s="334">
        <v>722310</v>
      </c>
      <c r="D1660" s="335" t="s">
        <v>4367</v>
      </c>
    </row>
    <row r="1661" spans="1:4" ht="17.25" customHeight="1" x14ac:dyDescent="0.35">
      <c r="A1661" s="344">
        <v>5812</v>
      </c>
      <c r="B1661" s="337" t="s">
        <v>4646</v>
      </c>
      <c r="C1661" s="338">
        <v>722320</v>
      </c>
      <c r="D1661" s="339" t="s">
        <v>4648</v>
      </c>
    </row>
    <row r="1662" spans="1:4" ht="17.25" customHeight="1" x14ac:dyDescent="0.35">
      <c r="A1662" s="345">
        <v>5812</v>
      </c>
      <c r="B1662" s="333" t="s">
        <v>4646</v>
      </c>
      <c r="C1662" s="334">
        <v>722511</v>
      </c>
      <c r="D1662" s="335" t="s">
        <v>4649</v>
      </c>
    </row>
    <row r="1663" spans="1:4" ht="17.25" customHeight="1" x14ac:dyDescent="0.35">
      <c r="A1663" s="344">
        <v>5812</v>
      </c>
      <c r="B1663" s="337" t="s">
        <v>4646</v>
      </c>
      <c r="C1663" s="338">
        <v>722513</v>
      </c>
      <c r="D1663" s="339" t="s">
        <v>4650</v>
      </c>
    </row>
    <row r="1664" spans="1:4" ht="17.25" customHeight="1" x14ac:dyDescent="0.35">
      <c r="A1664" s="345">
        <v>5812</v>
      </c>
      <c r="B1664" s="333" t="s">
        <v>4646</v>
      </c>
      <c r="C1664" s="334">
        <v>722514</v>
      </c>
      <c r="D1664" s="335" t="s">
        <v>4651</v>
      </c>
    </row>
    <row r="1665" spans="1:4" ht="17.25" customHeight="1" x14ac:dyDescent="0.35">
      <c r="A1665" s="345">
        <v>5812</v>
      </c>
      <c r="B1665" s="333" t="s">
        <v>4646</v>
      </c>
      <c r="C1665" s="334">
        <v>722515</v>
      </c>
      <c r="D1665" s="335" t="s">
        <v>4618</v>
      </c>
    </row>
    <row r="1666" spans="1:4" ht="17.25" customHeight="1" x14ac:dyDescent="0.35">
      <c r="A1666" s="344">
        <v>5813</v>
      </c>
      <c r="B1666" s="337" t="s">
        <v>4652</v>
      </c>
      <c r="C1666" s="338">
        <v>722410</v>
      </c>
      <c r="D1666" s="339" t="s">
        <v>4653</v>
      </c>
    </row>
    <row r="1667" spans="1:4" ht="17.25" customHeight="1" x14ac:dyDescent="0.35">
      <c r="A1667" s="345">
        <v>5912</v>
      </c>
      <c r="B1667" s="333" t="s">
        <v>4654</v>
      </c>
      <c r="C1667" s="334">
        <v>446110</v>
      </c>
      <c r="D1667" s="335" t="s">
        <v>4521</v>
      </c>
    </row>
    <row r="1668" spans="1:4" ht="17.25" customHeight="1" x14ac:dyDescent="0.35">
      <c r="A1668" s="345">
        <v>5921</v>
      </c>
      <c r="B1668" s="333" t="s">
        <v>4655</v>
      </c>
      <c r="C1668" s="334">
        <v>445310</v>
      </c>
      <c r="D1668" s="335" t="s">
        <v>4580</v>
      </c>
    </row>
    <row r="1669" spans="1:4" ht="17.25" customHeight="1" x14ac:dyDescent="0.35">
      <c r="A1669" s="345">
        <v>5932</v>
      </c>
      <c r="B1669" s="333" t="s">
        <v>4656</v>
      </c>
      <c r="C1669" s="334">
        <v>453310</v>
      </c>
      <c r="D1669" s="335" t="s">
        <v>4656</v>
      </c>
    </row>
    <row r="1670" spans="1:4" ht="34.5" customHeight="1" x14ac:dyDescent="0.35">
      <c r="A1670" s="345">
        <v>5932</v>
      </c>
      <c r="B1670" s="333" t="s">
        <v>4656</v>
      </c>
      <c r="C1670" s="334">
        <v>522298</v>
      </c>
      <c r="D1670" s="341" t="s">
        <v>4657</v>
      </c>
    </row>
    <row r="1671" spans="1:4" ht="17.25" customHeight="1" x14ac:dyDescent="0.35">
      <c r="A1671" s="344">
        <v>5941</v>
      </c>
      <c r="B1671" s="337" t="s">
        <v>4658</v>
      </c>
      <c r="C1671" s="338">
        <v>451110</v>
      </c>
      <c r="D1671" s="339" t="s">
        <v>4502</v>
      </c>
    </row>
    <row r="1672" spans="1:4" ht="17.25" customHeight="1" x14ac:dyDescent="0.35">
      <c r="A1672" s="344">
        <v>5942</v>
      </c>
      <c r="B1672" s="337" t="s">
        <v>4587</v>
      </c>
      <c r="C1672" s="338">
        <v>451211</v>
      </c>
      <c r="D1672" s="339" t="s">
        <v>4587</v>
      </c>
    </row>
    <row r="1673" spans="1:4" ht="17.25" customHeight="1" x14ac:dyDescent="0.35">
      <c r="A1673" s="344">
        <v>5943</v>
      </c>
      <c r="B1673" s="337" t="s">
        <v>4659</v>
      </c>
      <c r="C1673" s="338">
        <v>453210</v>
      </c>
      <c r="D1673" s="339" t="s">
        <v>4451</v>
      </c>
    </row>
    <row r="1674" spans="1:4" ht="17.25" customHeight="1" x14ac:dyDescent="0.35">
      <c r="A1674" s="345">
        <v>5944</v>
      </c>
      <c r="B1674" s="333" t="s">
        <v>4510</v>
      </c>
      <c r="C1674" s="334">
        <v>448310</v>
      </c>
      <c r="D1674" s="335" t="s">
        <v>4510</v>
      </c>
    </row>
    <row r="1675" spans="1:4" ht="17.25" customHeight="1" x14ac:dyDescent="0.35">
      <c r="A1675" s="344">
        <v>5945</v>
      </c>
      <c r="B1675" s="337" t="s">
        <v>4660</v>
      </c>
      <c r="C1675" s="338">
        <v>451120</v>
      </c>
      <c r="D1675" s="339" t="s">
        <v>4505</v>
      </c>
    </row>
    <row r="1676" spans="1:4" ht="17.25" customHeight="1" x14ac:dyDescent="0.35">
      <c r="A1676" s="344">
        <v>5946</v>
      </c>
      <c r="B1676" s="337" t="s">
        <v>4661</v>
      </c>
      <c r="C1676" s="338">
        <v>443142</v>
      </c>
      <c r="D1676" s="339" t="s">
        <v>4454</v>
      </c>
    </row>
    <row r="1677" spans="1:4" ht="17.25" customHeight="1" x14ac:dyDescent="0.35">
      <c r="A1677" s="344">
        <v>5947</v>
      </c>
      <c r="B1677" s="337" t="s">
        <v>4662</v>
      </c>
      <c r="C1677" s="338">
        <v>453220</v>
      </c>
      <c r="D1677" s="339" t="s">
        <v>4597</v>
      </c>
    </row>
    <row r="1678" spans="1:4" ht="17.25" customHeight="1" x14ac:dyDescent="0.35">
      <c r="A1678" s="345">
        <v>5948</v>
      </c>
      <c r="B1678" s="333" t="s">
        <v>4663</v>
      </c>
      <c r="C1678" s="334">
        <v>448320</v>
      </c>
      <c r="D1678" s="335" t="s">
        <v>4663</v>
      </c>
    </row>
    <row r="1679" spans="1:4" ht="34.5" customHeight="1" x14ac:dyDescent="0.35">
      <c r="A1679" s="345">
        <v>5949</v>
      </c>
      <c r="B1679" s="333" t="s">
        <v>4664</v>
      </c>
      <c r="C1679" s="334">
        <v>451130</v>
      </c>
      <c r="D1679" s="341" t="s">
        <v>4525</v>
      </c>
    </row>
    <row r="1680" spans="1:4" ht="34.5" customHeight="1" x14ac:dyDescent="0.35">
      <c r="A1680" s="344">
        <v>5961</v>
      </c>
      <c r="B1680" s="337" t="s">
        <v>4665</v>
      </c>
      <c r="C1680" s="338">
        <v>454110</v>
      </c>
      <c r="D1680" s="340" t="s">
        <v>4666</v>
      </c>
    </row>
    <row r="1681" spans="1:4" ht="17.25" customHeight="1" x14ac:dyDescent="0.35">
      <c r="A1681" s="345">
        <v>5962</v>
      </c>
      <c r="B1681" s="333" t="s">
        <v>4667</v>
      </c>
      <c r="C1681" s="334">
        <v>454210</v>
      </c>
      <c r="D1681" s="335" t="s">
        <v>4668</v>
      </c>
    </row>
    <row r="1682" spans="1:4" ht="17.25" customHeight="1" x14ac:dyDescent="0.35">
      <c r="A1682" s="345">
        <v>5963</v>
      </c>
      <c r="B1682" s="333" t="s">
        <v>4669</v>
      </c>
      <c r="C1682" s="334">
        <v>454390</v>
      </c>
      <c r="D1682" s="335" t="s">
        <v>4542</v>
      </c>
    </row>
    <row r="1683" spans="1:4" ht="17.25" customHeight="1" x14ac:dyDescent="0.35">
      <c r="A1683" s="345">
        <v>5963</v>
      </c>
      <c r="B1683" s="333" t="s">
        <v>4669</v>
      </c>
      <c r="C1683" s="334">
        <v>722330</v>
      </c>
      <c r="D1683" s="335" t="s">
        <v>4670</v>
      </c>
    </row>
    <row r="1684" spans="1:4" ht="17.25" customHeight="1" x14ac:dyDescent="0.35">
      <c r="A1684" s="344">
        <v>5983</v>
      </c>
      <c r="B1684" s="337" t="s">
        <v>4671</v>
      </c>
      <c r="C1684" s="338">
        <v>454310</v>
      </c>
      <c r="D1684" s="339" t="s">
        <v>4575</v>
      </c>
    </row>
    <row r="1685" spans="1:4" ht="17.25" customHeight="1" x14ac:dyDescent="0.35">
      <c r="A1685" s="345">
        <v>5984</v>
      </c>
      <c r="B1685" s="333" t="s">
        <v>4672</v>
      </c>
      <c r="C1685" s="334">
        <v>454310</v>
      </c>
      <c r="D1685" s="335" t="s">
        <v>4575</v>
      </c>
    </row>
    <row r="1686" spans="1:4" ht="17.25" customHeight="1" x14ac:dyDescent="0.35">
      <c r="A1686" s="344">
        <v>5989</v>
      </c>
      <c r="B1686" s="337" t="s">
        <v>4673</v>
      </c>
      <c r="C1686" s="338">
        <v>454310</v>
      </c>
      <c r="D1686" s="339" t="s">
        <v>4575</v>
      </c>
    </row>
    <row r="1687" spans="1:4" ht="17.25" customHeight="1" x14ac:dyDescent="0.35">
      <c r="A1687" s="345">
        <v>5992</v>
      </c>
      <c r="B1687" s="333" t="s">
        <v>4674</v>
      </c>
      <c r="C1687" s="334">
        <v>453110</v>
      </c>
      <c r="D1687" s="335" t="s">
        <v>4674</v>
      </c>
    </row>
    <row r="1688" spans="1:4" ht="17.25" customHeight="1" x14ac:dyDescent="0.35">
      <c r="A1688" s="345">
        <v>5993</v>
      </c>
      <c r="B1688" s="333" t="s">
        <v>4675</v>
      </c>
      <c r="C1688" s="334">
        <v>453991</v>
      </c>
      <c r="D1688" s="335" t="s">
        <v>4592</v>
      </c>
    </row>
    <row r="1689" spans="1:4" ht="17.25" customHeight="1" x14ac:dyDescent="0.35">
      <c r="A1689" s="345">
        <v>5994</v>
      </c>
      <c r="B1689" s="333" t="s">
        <v>4676</v>
      </c>
      <c r="C1689" s="334">
        <v>451212</v>
      </c>
      <c r="D1689" s="335" t="s">
        <v>4676</v>
      </c>
    </row>
    <row r="1690" spans="1:4" ht="17.25" customHeight="1" x14ac:dyDescent="0.35">
      <c r="A1690" s="345">
        <v>5995</v>
      </c>
      <c r="B1690" s="333" t="s">
        <v>4677</v>
      </c>
      <c r="C1690" s="334">
        <v>339115</v>
      </c>
      <c r="D1690" s="335" t="s">
        <v>4237</v>
      </c>
    </row>
    <row r="1691" spans="1:4" ht="17.25" customHeight="1" x14ac:dyDescent="0.35">
      <c r="A1691" s="345">
        <v>5995</v>
      </c>
      <c r="B1691" s="333" t="s">
        <v>4677</v>
      </c>
      <c r="C1691" s="334">
        <v>446130</v>
      </c>
      <c r="D1691" s="335" t="s">
        <v>4677</v>
      </c>
    </row>
    <row r="1692" spans="1:4" ht="34.5" customHeight="1" x14ac:dyDescent="0.35">
      <c r="A1692" s="344">
        <v>5999</v>
      </c>
      <c r="B1692" s="337" t="s">
        <v>4678</v>
      </c>
      <c r="C1692" s="338">
        <v>339113</v>
      </c>
      <c r="D1692" s="340" t="s">
        <v>3640</v>
      </c>
    </row>
    <row r="1693" spans="1:4" ht="17.25" customHeight="1" x14ac:dyDescent="0.35">
      <c r="A1693" s="345">
        <v>5999</v>
      </c>
      <c r="B1693" s="333" t="s">
        <v>4678</v>
      </c>
      <c r="C1693" s="334">
        <v>443142</v>
      </c>
      <c r="D1693" s="335" t="s">
        <v>4454</v>
      </c>
    </row>
    <row r="1694" spans="1:4" ht="34.5" customHeight="1" x14ac:dyDescent="0.35">
      <c r="A1694" s="344">
        <v>5999</v>
      </c>
      <c r="B1694" s="337" t="s">
        <v>4678</v>
      </c>
      <c r="C1694" s="338">
        <v>446120</v>
      </c>
      <c r="D1694" s="340" t="s">
        <v>4497</v>
      </c>
    </row>
    <row r="1695" spans="1:4" ht="17.25" customHeight="1" x14ac:dyDescent="0.35">
      <c r="A1695" s="345">
        <v>5999</v>
      </c>
      <c r="B1695" s="333" t="s">
        <v>4678</v>
      </c>
      <c r="C1695" s="334">
        <v>446199</v>
      </c>
      <c r="D1695" s="335" t="s">
        <v>4459</v>
      </c>
    </row>
    <row r="1696" spans="1:4" ht="17.25" customHeight="1" x14ac:dyDescent="0.35">
      <c r="A1696" s="344">
        <v>5999</v>
      </c>
      <c r="B1696" s="337" t="s">
        <v>4678</v>
      </c>
      <c r="C1696" s="338">
        <v>453910</v>
      </c>
      <c r="D1696" s="339" t="s">
        <v>4562</v>
      </c>
    </row>
    <row r="1697" spans="1:4" ht="17.25" customHeight="1" x14ac:dyDescent="0.35">
      <c r="A1697" s="345">
        <v>5999</v>
      </c>
      <c r="B1697" s="333" t="s">
        <v>4678</v>
      </c>
      <c r="C1697" s="334">
        <v>453920</v>
      </c>
      <c r="D1697" s="335" t="s">
        <v>4679</v>
      </c>
    </row>
    <row r="1698" spans="1:4" ht="34.5" customHeight="1" x14ac:dyDescent="0.35">
      <c r="A1698" s="345">
        <v>5999</v>
      </c>
      <c r="B1698" s="333" t="s">
        <v>4678</v>
      </c>
      <c r="C1698" s="334">
        <v>453998</v>
      </c>
      <c r="D1698" s="341" t="s">
        <v>4494</v>
      </c>
    </row>
    <row r="1699" spans="1:4" ht="17.25" customHeight="1" x14ac:dyDescent="0.35">
      <c r="A1699" s="344">
        <v>6011</v>
      </c>
      <c r="B1699" s="337" t="s">
        <v>4680</v>
      </c>
      <c r="C1699" s="338">
        <v>521110</v>
      </c>
      <c r="D1699" s="339" t="s">
        <v>4681</v>
      </c>
    </row>
    <row r="1700" spans="1:4" ht="34.5" customHeight="1" x14ac:dyDescent="0.35">
      <c r="A1700" s="344">
        <v>6019</v>
      </c>
      <c r="B1700" s="337" t="s">
        <v>4682</v>
      </c>
      <c r="C1700" s="338">
        <v>522298</v>
      </c>
      <c r="D1700" s="340" t="s">
        <v>4657</v>
      </c>
    </row>
    <row r="1701" spans="1:4" ht="17.25" customHeight="1" x14ac:dyDescent="0.35">
      <c r="A1701" s="345">
        <v>6021</v>
      </c>
      <c r="B1701" s="333" t="s">
        <v>4683</v>
      </c>
      <c r="C1701" s="334">
        <v>522110</v>
      </c>
      <c r="D1701" s="335" t="s">
        <v>4684</v>
      </c>
    </row>
    <row r="1702" spans="1:4" ht="17.25" customHeight="1" x14ac:dyDescent="0.35">
      <c r="A1702" s="344">
        <v>6021</v>
      </c>
      <c r="B1702" s="337" t="s">
        <v>4683</v>
      </c>
      <c r="C1702" s="338">
        <v>522210</v>
      </c>
      <c r="D1702" s="339" t="s">
        <v>4685</v>
      </c>
    </row>
    <row r="1703" spans="1:4" ht="17.25" customHeight="1" x14ac:dyDescent="0.35">
      <c r="A1703" s="344">
        <v>6022</v>
      </c>
      <c r="B1703" s="337" t="s">
        <v>4686</v>
      </c>
      <c r="C1703" s="338">
        <v>522110</v>
      </c>
      <c r="D1703" s="339" t="s">
        <v>4684</v>
      </c>
    </row>
    <row r="1704" spans="1:4" ht="17.25" customHeight="1" x14ac:dyDescent="0.35">
      <c r="A1704" s="345">
        <v>6022</v>
      </c>
      <c r="B1704" s="333" t="s">
        <v>4686</v>
      </c>
      <c r="C1704" s="334">
        <v>522190</v>
      </c>
      <c r="D1704" s="335" t="s">
        <v>4687</v>
      </c>
    </row>
    <row r="1705" spans="1:4" ht="17.25" customHeight="1" x14ac:dyDescent="0.35">
      <c r="A1705" s="345">
        <v>6022</v>
      </c>
      <c r="B1705" s="333" t="s">
        <v>4686</v>
      </c>
      <c r="C1705" s="334">
        <v>522210</v>
      </c>
      <c r="D1705" s="335" t="s">
        <v>4685</v>
      </c>
    </row>
    <row r="1706" spans="1:4" ht="17.25" customHeight="1" x14ac:dyDescent="0.35">
      <c r="A1706" s="345">
        <v>6029</v>
      </c>
      <c r="B1706" s="333" t="s">
        <v>4688</v>
      </c>
      <c r="C1706" s="334">
        <v>522110</v>
      </c>
      <c r="D1706" s="335" t="s">
        <v>4684</v>
      </c>
    </row>
    <row r="1707" spans="1:4" ht="17.25" customHeight="1" x14ac:dyDescent="0.35">
      <c r="A1707" s="345">
        <v>6035</v>
      </c>
      <c r="B1707" s="333" t="s">
        <v>4689</v>
      </c>
      <c r="C1707" s="334">
        <v>522120</v>
      </c>
      <c r="D1707" s="335" t="s">
        <v>4690</v>
      </c>
    </row>
    <row r="1708" spans="1:4" ht="17.25" customHeight="1" x14ac:dyDescent="0.35">
      <c r="A1708" s="344">
        <v>6036</v>
      </c>
      <c r="B1708" s="337" t="s">
        <v>4691</v>
      </c>
      <c r="C1708" s="338">
        <v>522120</v>
      </c>
      <c r="D1708" s="339" t="s">
        <v>4690</v>
      </c>
    </row>
    <row r="1709" spans="1:4" ht="17.25" customHeight="1" x14ac:dyDescent="0.35">
      <c r="A1709" s="345">
        <v>6061</v>
      </c>
      <c r="B1709" s="333" t="s">
        <v>4692</v>
      </c>
      <c r="C1709" s="334">
        <v>522130</v>
      </c>
      <c r="D1709" s="335" t="s">
        <v>4693</v>
      </c>
    </row>
    <row r="1710" spans="1:4" ht="17.25" customHeight="1" x14ac:dyDescent="0.35">
      <c r="A1710" s="344">
        <v>6062</v>
      </c>
      <c r="B1710" s="337" t="s">
        <v>4694</v>
      </c>
      <c r="C1710" s="338">
        <v>522130</v>
      </c>
      <c r="D1710" s="339" t="s">
        <v>4693</v>
      </c>
    </row>
    <row r="1711" spans="1:4" ht="17.25" customHeight="1" x14ac:dyDescent="0.35">
      <c r="A1711" s="344">
        <v>6081</v>
      </c>
      <c r="B1711" s="337" t="s">
        <v>4695</v>
      </c>
      <c r="C1711" s="338">
        <v>522110</v>
      </c>
      <c r="D1711" s="339" t="s">
        <v>4684</v>
      </c>
    </row>
    <row r="1712" spans="1:4" ht="17.25" customHeight="1" x14ac:dyDescent="0.35">
      <c r="A1712" s="345">
        <v>6081</v>
      </c>
      <c r="B1712" s="333" t="s">
        <v>4695</v>
      </c>
      <c r="C1712" s="334">
        <v>522293</v>
      </c>
      <c r="D1712" s="335" t="s">
        <v>4696</v>
      </c>
    </row>
    <row r="1713" spans="1:4" ht="34.5" customHeight="1" x14ac:dyDescent="0.35">
      <c r="A1713" s="345">
        <v>6081</v>
      </c>
      <c r="B1713" s="333" t="s">
        <v>4695</v>
      </c>
      <c r="C1713" s="334">
        <v>522298</v>
      </c>
      <c r="D1713" s="341" t="s">
        <v>4657</v>
      </c>
    </row>
    <row r="1714" spans="1:4" ht="17.25" customHeight="1" x14ac:dyDescent="0.35">
      <c r="A1714" s="344">
        <v>6082</v>
      </c>
      <c r="B1714" s="337" t="s">
        <v>4697</v>
      </c>
      <c r="C1714" s="338">
        <v>522293</v>
      </c>
      <c r="D1714" s="339" t="s">
        <v>4696</v>
      </c>
    </row>
    <row r="1715" spans="1:4" ht="34.5" customHeight="1" x14ac:dyDescent="0.35">
      <c r="A1715" s="344">
        <v>6082</v>
      </c>
      <c r="B1715" s="337" t="s">
        <v>4697</v>
      </c>
      <c r="C1715" s="338">
        <v>522298</v>
      </c>
      <c r="D1715" s="340" t="s">
        <v>4657</v>
      </c>
    </row>
    <row r="1716" spans="1:4" ht="17.25" customHeight="1" x14ac:dyDescent="0.35">
      <c r="A1716" s="345">
        <v>6091</v>
      </c>
      <c r="B1716" s="333" t="s">
        <v>4698</v>
      </c>
      <c r="C1716" s="334">
        <v>523991</v>
      </c>
      <c r="D1716" s="335" t="s">
        <v>4699</v>
      </c>
    </row>
    <row r="1717" spans="1:4" ht="34.5" customHeight="1" x14ac:dyDescent="0.35">
      <c r="A1717" s="344">
        <v>6099</v>
      </c>
      <c r="B1717" s="337" t="s">
        <v>4700</v>
      </c>
      <c r="C1717" s="338">
        <v>522320</v>
      </c>
      <c r="D1717" s="340" t="s">
        <v>4701</v>
      </c>
    </row>
    <row r="1718" spans="1:4" ht="34.5" customHeight="1" x14ac:dyDescent="0.35">
      <c r="A1718" s="345">
        <v>6099</v>
      </c>
      <c r="B1718" s="333" t="s">
        <v>4700</v>
      </c>
      <c r="C1718" s="334">
        <v>522390</v>
      </c>
      <c r="D1718" s="341" t="s">
        <v>4702</v>
      </c>
    </row>
    <row r="1719" spans="1:4" ht="17.25" customHeight="1" x14ac:dyDescent="0.35">
      <c r="A1719" s="345">
        <v>6099</v>
      </c>
      <c r="B1719" s="333" t="s">
        <v>4700</v>
      </c>
      <c r="C1719" s="334">
        <v>523130</v>
      </c>
      <c r="D1719" s="335" t="s">
        <v>4703</v>
      </c>
    </row>
    <row r="1720" spans="1:4" ht="17.25" customHeight="1" x14ac:dyDescent="0.35">
      <c r="A1720" s="344">
        <v>6099</v>
      </c>
      <c r="B1720" s="337" t="s">
        <v>4700</v>
      </c>
      <c r="C1720" s="338">
        <v>523991</v>
      </c>
      <c r="D1720" s="339" t="s">
        <v>4699</v>
      </c>
    </row>
    <row r="1721" spans="1:4" ht="17.25" customHeight="1" x14ac:dyDescent="0.35">
      <c r="A1721" s="344">
        <v>6111</v>
      </c>
      <c r="B1721" s="337" t="s">
        <v>4704</v>
      </c>
      <c r="C1721" s="338">
        <v>522292</v>
      </c>
      <c r="D1721" s="339" t="s">
        <v>4705</v>
      </c>
    </row>
    <row r="1722" spans="1:4" ht="17.25" customHeight="1" x14ac:dyDescent="0.35">
      <c r="A1722" s="345">
        <v>6111</v>
      </c>
      <c r="B1722" s="333" t="s">
        <v>4704</v>
      </c>
      <c r="C1722" s="334">
        <v>522293</v>
      </c>
      <c r="D1722" s="335" t="s">
        <v>4696</v>
      </c>
    </row>
    <row r="1723" spans="1:4" ht="17.25" customHeight="1" x14ac:dyDescent="0.35">
      <c r="A1723" s="345">
        <v>6111</v>
      </c>
      <c r="B1723" s="333" t="s">
        <v>4704</v>
      </c>
      <c r="C1723" s="334">
        <v>522294</v>
      </c>
      <c r="D1723" s="335" t="s">
        <v>4706</v>
      </c>
    </row>
    <row r="1724" spans="1:4" ht="34.5" customHeight="1" x14ac:dyDescent="0.35">
      <c r="A1724" s="345">
        <v>6111</v>
      </c>
      <c r="B1724" s="333" t="s">
        <v>4704</v>
      </c>
      <c r="C1724" s="334">
        <v>522298</v>
      </c>
      <c r="D1724" s="341" t="s">
        <v>4657</v>
      </c>
    </row>
    <row r="1725" spans="1:4" ht="17.25" customHeight="1" x14ac:dyDescent="0.35">
      <c r="A1725" s="344">
        <v>6141</v>
      </c>
      <c r="B1725" s="337" t="s">
        <v>4707</v>
      </c>
      <c r="C1725" s="338">
        <v>522210</v>
      </c>
      <c r="D1725" s="339" t="s">
        <v>4685</v>
      </c>
    </row>
    <row r="1726" spans="1:4" ht="17.25" customHeight="1" x14ac:dyDescent="0.35">
      <c r="A1726" s="344">
        <v>6141</v>
      </c>
      <c r="B1726" s="337" t="s">
        <v>4707</v>
      </c>
      <c r="C1726" s="338">
        <v>522220</v>
      </c>
      <c r="D1726" s="339" t="s">
        <v>4708</v>
      </c>
    </row>
    <row r="1727" spans="1:4" ht="17.25" customHeight="1" x14ac:dyDescent="0.35">
      <c r="A1727" s="345">
        <v>6141</v>
      </c>
      <c r="B1727" s="333" t="s">
        <v>4707</v>
      </c>
      <c r="C1727" s="334">
        <v>522291</v>
      </c>
      <c r="D1727" s="335" t="s">
        <v>4709</v>
      </c>
    </row>
    <row r="1728" spans="1:4" ht="34.5" customHeight="1" x14ac:dyDescent="0.35">
      <c r="A1728" s="344">
        <v>6141</v>
      </c>
      <c r="B1728" s="337" t="s">
        <v>4707</v>
      </c>
      <c r="C1728" s="338">
        <v>522298</v>
      </c>
      <c r="D1728" s="340" t="s">
        <v>4657</v>
      </c>
    </row>
    <row r="1729" spans="1:4" ht="17.25" customHeight="1" x14ac:dyDescent="0.35">
      <c r="A1729" s="345">
        <v>6153</v>
      </c>
      <c r="B1729" s="333" t="s">
        <v>4710</v>
      </c>
      <c r="C1729" s="334">
        <v>522210</v>
      </c>
      <c r="D1729" s="335" t="s">
        <v>4685</v>
      </c>
    </row>
    <row r="1730" spans="1:4" ht="17.25" customHeight="1" x14ac:dyDescent="0.35">
      <c r="A1730" s="345">
        <v>6153</v>
      </c>
      <c r="B1730" s="333" t="s">
        <v>4710</v>
      </c>
      <c r="C1730" s="334">
        <v>522220</v>
      </c>
      <c r="D1730" s="335" t="s">
        <v>4708</v>
      </c>
    </row>
    <row r="1731" spans="1:4" ht="34.5" customHeight="1" x14ac:dyDescent="0.35">
      <c r="A1731" s="345">
        <v>6153</v>
      </c>
      <c r="B1731" s="333" t="s">
        <v>4710</v>
      </c>
      <c r="C1731" s="334">
        <v>522298</v>
      </c>
      <c r="D1731" s="341" t="s">
        <v>4657</v>
      </c>
    </row>
    <row r="1732" spans="1:4" ht="34.5" customHeight="1" x14ac:dyDescent="0.35">
      <c r="A1732" s="345">
        <v>6153</v>
      </c>
      <c r="B1732" s="333" t="s">
        <v>4710</v>
      </c>
      <c r="C1732" s="334">
        <v>522320</v>
      </c>
      <c r="D1732" s="341" t="s">
        <v>4701</v>
      </c>
    </row>
    <row r="1733" spans="1:4" ht="17.25" customHeight="1" x14ac:dyDescent="0.35">
      <c r="A1733" s="344">
        <v>6153</v>
      </c>
      <c r="B1733" s="337" t="s">
        <v>4710</v>
      </c>
      <c r="C1733" s="338">
        <v>523910</v>
      </c>
      <c r="D1733" s="339" t="s">
        <v>4711</v>
      </c>
    </row>
    <row r="1734" spans="1:4" ht="17.25" customHeight="1" x14ac:dyDescent="0.35">
      <c r="A1734" s="344">
        <v>6159</v>
      </c>
      <c r="B1734" s="337" t="s">
        <v>4712</v>
      </c>
      <c r="C1734" s="338">
        <v>522220</v>
      </c>
      <c r="D1734" s="339" t="s">
        <v>4708</v>
      </c>
    </row>
    <row r="1735" spans="1:4" ht="17.25" customHeight="1" x14ac:dyDescent="0.35">
      <c r="A1735" s="345">
        <v>6159</v>
      </c>
      <c r="B1735" s="333" t="s">
        <v>4712</v>
      </c>
      <c r="C1735" s="334">
        <v>522292</v>
      </c>
      <c r="D1735" s="335" t="s">
        <v>4705</v>
      </c>
    </row>
    <row r="1736" spans="1:4" ht="17.25" customHeight="1" x14ac:dyDescent="0.35">
      <c r="A1736" s="344">
        <v>6159</v>
      </c>
      <c r="B1736" s="337" t="s">
        <v>4712</v>
      </c>
      <c r="C1736" s="338">
        <v>522293</v>
      </c>
      <c r="D1736" s="339" t="s">
        <v>4696</v>
      </c>
    </row>
    <row r="1737" spans="1:4" ht="17.25" customHeight="1" x14ac:dyDescent="0.35">
      <c r="A1737" s="344">
        <v>6159</v>
      </c>
      <c r="B1737" s="337" t="s">
        <v>4712</v>
      </c>
      <c r="C1737" s="338">
        <v>522294</v>
      </c>
      <c r="D1737" s="339" t="s">
        <v>4706</v>
      </c>
    </row>
    <row r="1738" spans="1:4" ht="34.5" customHeight="1" x14ac:dyDescent="0.35">
      <c r="A1738" s="344">
        <v>6159</v>
      </c>
      <c r="B1738" s="337" t="s">
        <v>4712</v>
      </c>
      <c r="C1738" s="338">
        <v>522298</v>
      </c>
      <c r="D1738" s="340" t="s">
        <v>4657</v>
      </c>
    </row>
    <row r="1739" spans="1:4" ht="17.25" customHeight="1" x14ac:dyDescent="0.35">
      <c r="A1739" s="344">
        <v>6162</v>
      </c>
      <c r="B1739" s="337" t="s">
        <v>4713</v>
      </c>
      <c r="C1739" s="338">
        <v>522292</v>
      </c>
      <c r="D1739" s="339" t="s">
        <v>4705</v>
      </c>
    </row>
    <row r="1740" spans="1:4" ht="34.5" customHeight="1" x14ac:dyDescent="0.35">
      <c r="A1740" s="344">
        <v>6162</v>
      </c>
      <c r="B1740" s="337" t="s">
        <v>4713</v>
      </c>
      <c r="C1740" s="338">
        <v>522390</v>
      </c>
      <c r="D1740" s="340" t="s">
        <v>4702</v>
      </c>
    </row>
    <row r="1741" spans="1:4" ht="28.75" customHeight="1" x14ac:dyDescent="0.35">
      <c r="A1741" s="345">
        <v>6163</v>
      </c>
      <c r="B1741" s="333" t="s">
        <v>4714</v>
      </c>
      <c r="C1741" s="334">
        <v>522310</v>
      </c>
      <c r="D1741" s="335" t="s">
        <v>4715</v>
      </c>
    </row>
    <row r="1742" spans="1:4" ht="28.75" customHeight="1" x14ac:dyDescent="0.35">
      <c r="A1742" s="345">
        <v>6211</v>
      </c>
      <c r="B1742" s="333" t="s">
        <v>4716</v>
      </c>
      <c r="C1742" s="334">
        <v>523110</v>
      </c>
      <c r="D1742" s="335" t="s">
        <v>4717</v>
      </c>
    </row>
    <row r="1743" spans="1:4" ht="17.25" customHeight="1" x14ac:dyDescent="0.35">
      <c r="A1743" s="344">
        <v>6211</v>
      </c>
      <c r="B1743" s="337" t="s">
        <v>4716</v>
      </c>
      <c r="C1743" s="338">
        <v>523120</v>
      </c>
      <c r="D1743" s="339" t="s">
        <v>4718</v>
      </c>
    </row>
    <row r="1744" spans="1:4" ht="17.25" customHeight="1" x14ac:dyDescent="0.35">
      <c r="A1744" s="345">
        <v>6211</v>
      </c>
      <c r="B1744" s="333" t="s">
        <v>4716</v>
      </c>
      <c r="C1744" s="334">
        <v>523910</v>
      </c>
      <c r="D1744" s="335" t="s">
        <v>4711</v>
      </c>
    </row>
    <row r="1745" spans="1:4" ht="34.5" customHeight="1" x14ac:dyDescent="0.35">
      <c r="A1745" s="345">
        <v>6211</v>
      </c>
      <c r="B1745" s="333" t="s">
        <v>4716</v>
      </c>
      <c r="C1745" s="334">
        <v>523999</v>
      </c>
      <c r="D1745" s="341" t="s">
        <v>4719</v>
      </c>
    </row>
    <row r="1746" spans="1:4" ht="17.25" customHeight="1" x14ac:dyDescent="0.35">
      <c r="A1746" s="344">
        <v>6221</v>
      </c>
      <c r="B1746" s="337" t="s">
        <v>4720</v>
      </c>
      <c r="C1746" s="338">
        <v>523130</v>
      </c>
      <c r="D1746" s="339" t="s">
        <v>4703</v>
      </c>
    </row>
    <row r="1747" spans="1:4" ht="17.25" customHeight="1" x14ac:dyDescent="0.35">
      <c r="A1747" s="344">
        <v>6221</v>
      </c>
      <c r="B1747" s="337" t="s">
        <v>4720</v>
      </c>
      <c r="C1747" s="338">
        <v>523140</v>
      </c>
      <c r="D1747" s="339" t="s">
        <v>4721</v>
      </c>
    </row>
    <row r="1748" spans="1:4" ht="17.25" customHeight="1" x14ac:dyDescent="0.35">
      <c r="A1748" s="345">
        <v>6231</v>
      </c>
      <c r="B1748" s="333" t="s">
        <v>4722</v>
      </c>
      <c r="C1748" s="334">
        <v>523210</v>
      </c>
      <c r="D1748" s="335" t="s">
        <v>4723</v>
      </c>
    </row>
    <row r="1749" spans="1:4" ht="17.25" customHeight="1" x14ac:dyDescent="0.35">
      <c r="A1749" s="344">
        <v>6282</v>
      </c>
      <c r="B1749" s="337" t="s">
        <v>4724</v>
      </c>
      <c r="C1749" s="338">
        <v>523920</v>
      </c>
      <c r="D1749" s="339" t="s">
        <v>4725</v>
      </c>
    </row>
    <row r="1750" spans="1:4" ht="17.25" customHeight="1" x14ac:dyDescent="0.35">
      <c r="A1750" s="344">
        <v>6282</v>
      </c>
      <c r="B1750" s="337" t="s">
        <v>4724</v>
      </c>
      <c r="C1750" s="338">
        <v>523930</v>
      </c>
      <c r="D1750" s="339" t="s">
        <v>4724</v>
      </c>
    </row>
    <row r="1751" spans="1:4" ht="17.25" customHeight="1" x14ac:dyDescent="0.35">
      <c r="A1751" s="345">
        <v>6289</v>
      </c>
      <c r="B1751" s="333" t="s">
        <v>4726</v>
      </c>
      <c r="C1751" s="334">
        <v>523991</v>
      </c>
      <c r="D1751" s="335" t="s">
        <v>4699</v>
      </c>
    </row>
    <row r="1752" spans="1:4" ht="34.5" customHeight="1" x14ac:dyDescent="0.35">
      <c r="A1752" s="344">
        <v>6289</v>
      </c>
      <c r="B1752" s="337" t="s">
        <v>4726</v>
      </c>
      <c r="C1752" s="338">
        <v>523999</v>
      </c>
      <c r="D1752" s="340" t="s">
        <v>4719</v>
      </c>
    </row>
    <row r="1753" spans="1:4" ht="17.25" customHeight="1" x14ac:dyDescent="0.35">
      <c r="A1753" s="345">
        <v>6311</v>
      </c>
      <c r="B1753" s="333" t="s">
        <v>4727</v>
      </c>
      <c r="C1753" s="334">
        <v>524113</v>
      </c>
      <c r="D1753" s="335" t="s">
        <v>4728</v>
      </c>
    </row>
    <row r="1754" spans="1:4" ht="34.5" customHeight="1" x14ac:dyDescent="0.35">
      <c r="A1754" s="344">
        <v>6311</v>
      </c>
      <c r="B1754" s="337" t="s">
        <v>4727</v>
      </c>
      <c r="C1754" s="338">
        <v>524128</v>
      </c>
      <c r="D1754" s="340" t="s">
        <v>4729</v>
      </c>
    </row>
    <row r="1755" spans="1:4" ht="17.25" customHeight="1" x14ac:dyDescent="0.35">
      <c r="A1755" s="344">
        <v>6311</v>
      </c>
      <c r="B1755" s="337" t="s">
        <v>4727</v>
      </c>
      <c r="C1755" s="338">
        <v>524130</v>
      </c>
      <c r="D1755" s="339" t="s">
        <v>4730</v>
      </c>
    </row>
    <row r="1756" spans="1:4" ht="17.25" customHeight="1" x14ac:dyDescent="0.35">
      <c r="A1756" s="344">
        <v>6321</v>
      </c>
      <c r="B1756" s="337" t="s">
        <v>4731</v>
      </c>
      <c r="C1756" s="338">
        <v>524113</v>
      </c>
      <c r="D1756" s="339" t="s">
        <v>4728</v>
      </c>
    </row>
    <row r="1757" spans="1:4" ht="34.5" customHeight="1" x14ac:dyDescent="0.35">
      <c r="A1757" s="345">
        <v>6321</v>
      </c>
      <c r="B1757" s="333" t="s">
        <v>4731</v>
      </c>
      <c r="C1757" s="334">
        <v>524114</v>
      </c>
      <c r="D1757" s="341" t="s">
        <v>4732</v>
      </c>
    </row>
    <row r="1758" spans="1:4" ht="17.25" customHeight="1" x14ac:dyDescent="0.35">
      <c r="A1758" s="345">
        <v>6321</v>
      </c>
      <c r="B1758" s="333" t="s">
        <v>4731</v>
      </c>
      <c r="C1758" s="334">
        <v>524130</v>
      </c>
      <c r="D1758" s="335" t="s">
        <v>4730</v>
      </c>
    </row>
    <row r="1759" spans="1:4" ht="17.25" customHeight="1" x14ac:dyDescent="0.35">
      <c r="A1759" s="345">
        <v>6321</v>
      </c>
      <c r="B1759" s="333" t="s">
        <v>4731</v>
      </c>
      <c r="C1759" s="334">
        <v>525190</v>
      </c>
      <c r="D1759" s="335" t="s">
        <v>4733</v>
      </c>
    </row>
    <row r="1760" spans="1:4" ht="34.5" customHeight="1" x14ac:dyDescent="0.35">
      <c r="A1760" s="344">
        <v>6324</v>
      </c>
      <c r="B1760" s="337" t="s">
        <v>4734</v>
      </c>
      <c r="C1760" s="338">
        <v>524114</v>
      </c>
      <c r="D1760" s="340" t="s">
        <v>4732</v>
      </c>
    </row>
    <row r="1761" spans="1:4" ht="17.25" customHeight="1" x14ac:dyDescent="0.35">
      <c r="A1761" s="344">
        <v>6324</v>
      </c>
      <c r="B1761" s="337" t="s">
        <v>4734</v>
      </c>
      <c r="C1761" s="338">
        <v>524130</v>
      </c>
      <c r="D1761" s="339" t="s">
        <v>4730</v>
      </c>
    </row>
    <row r="1762" spans="1:4" ht="17.25" customHeight="1" x14ac:dyDescent="0.35">
      <c r="A1762" s="344">
        <v>6324</v>
      </c>
      <c r="B1762" s="337" t="s">
        <v>4734</v>
      </c>
      <c r="C1762" s="338">
        <v>525190</v>
      </c>
      <c r="D1762" s="339" t="s">
        <v>4733</v>
      </c>
    </row>
    <row r="1763" spans="1:4" ht="34.5" customHeight="1" x14ac:dyDescent="0.35">
      <c r="A1763" s="345">
        <v>6331</v>
      </c>
      <c r="B1763" s="333" t="s">
        <v>4735</v>
      </c>
      <c r="C1763" s="334">
        <v>524126</v>
      </c>
      <c r="D1763" s="341" t="s">
        <v>4736</v>
      </c>
    </row>
    <row r="1764" spans="1:4" ht="34.5" customHeight="1" x14ac:dyDescent="0.35">
      <c r="A1764" s="345">
        <v>6331</v>
      </c>
      <c r="B1764" s="333" t="s">
        <v>4735</v>
      </c>
      <c r="C1764" s="334">
        <v>524128</v>
      </c>
      <c r="D1764" s="341" t="s">
        <v>4729</v>
      </c>
    </row>
    <row r="1765" spans="1:4" ht="17.25" customHeight="1" x14ac:dyDescent="0.35">
      <c r="A1765" s="345">
        <v>6331</v>
      </c>
      <c r="B1765" s="333" t="s">
        <v>4735</v>
      </c>
      <c r="C1765" s="334">
        <v>524130</v>
      </c>
      <c r="D1765" s="335" t="s">
        <v>4730</v>
      </c>
    </row>
    <row r="1766" spans="1:4" ht="17.25" customHeight="1" x14ac:dyDescent="0.35">
      <c r="A1766" s="345">
        <v>6331</v>
      </c>
      <c r="B1766" s="333" t="s">
        <v>4735</v>
      </c>
      <c r="C1766" s="334">
        <v>525190</v>
      </c>
      <c r="D1766" s="335" t="s">
        <v>4733</v>
      </c>
    </row>
    <row r="1767" spans="1:4" ht="34.5" customHeight="1" x14ac:dyDescent="0.35">
      <c r="A1767" s="344">
        <v>6351</v>
      </c>
      <c r="B1767" s="337" t="s">
        <v>4737</v>
      </c>
      <c r="C1767" s="338">
        <v>524126</v>
      </c>
      <c r="D1767" s="340" t="s">
        <v>4736</v>
      </c>
    </row>
    <row r="1768" spans="1:4" ht="34.5" customHeight="1" x14ac:dyDescent="0.35">
      <c r="A1768" s="344">
        <v>6351</v>
      </c>
      <c r="B1768" s="337" t="s">
        <v>4737</v>
      </c>
      <c r="C1768" s="338">
        <v>524128</v>
      </c>
      <c r="D1768" s="340" t="s">
        <v>4729</v>
      </c>
    </row>
    <row r="1769" spans="1:4" ht="17.25" customHeight="1" x14ac:dyDescent="0.35">
      <c r="A1769" s="344">
        <v>6351</v>
      </c>
      <c r="B1769" s="337" t="s">
        <v>4737</v>
      </c>
      <c r="C1769" s="338">
        <v>524130</v>
      </c>
      <c r="D1769" s="339" t="s">
        <v>4730</v>
      </c>
    </row>
    <row r="1770" spans="1:4" ht="17.25" customHeight="1" x14ac:dyDescent="0.35">
      <c r="A1770" s="345">
        <v>6361</v>
      </c>
      <c r="B1770" s="333" t="s">
        <v>4738</v>
      </c>
      <c r="C1770" s="334">
        <v>524127</v>
      </c>
      <c r="D1770" s="335" t="s">
        <v>4739</v>
      </c>
    </row>
    <row r="1771" spans="1:4" ht="17.25" customHeight="1" x14ac:dyDescent="0.35">
      <c r="A1771" s="345">
        <v>6361</v>
      </c>
      <c r="B1771" s="333" t="s">
        <v>4738</v>
      </c>
      <c r="C1771" s="334">
        <v>524130</v>
      </c>
      <c r="D1771" s="335" t="s">
        <v>4730</v>
      </c>
    </row>
    <row r="1772" spans="1:4" ht="17.25" customHeight="1" x14ac:dyDescent="0.35">
      <c r="A1772" s="345">
        <v>6371</v>
      </c>
      <c r="B1772" s="333" t="s">
        <v>4740</v>
      </c>
      <c r="C1772" s="334">
        <v>523920</v>
      </c>
      <c r="D1772" s="335" t="s">
        <v>4725</v>
      </c>
    </row>
    <row r="1773" spans="1:4" ht="34.5" customHeight="1" x14ac:dyDescent="0.35">
      <c r="A1773" s="344">
        <v>6371</v>
      </c>
      <c r="B1773" s="337" t="s">
        <v>4740</v>
      </c>
      <c r="C1773" s="338">
        <v>524292</v>
      </c>
      <c r="D1773" s="340" t="s">
        <v>4741</v>
      </c>
    </row>
    <row r="1774" spans="1:4" ht="17.25" customHeight="1" x14ac:dyDescent="0.35">
      <c r="A1774" s="345">
        <v>6371</v>
      </c>
      <c r="B1774" s="333" t="s">
        <v>4740</v>
      </c>
      <c r="C1774" s="334">
        <v>525110</v>
      </c>
      <c r="D1774" s="335" t="s">
        <v>4742</v>
      </c>
    </row>
    <row r="1775" spans="1:4" ht="17.25" customHeight="1" x14ac:dyDescent="0.35">
      <c r="A1775" s="344">
        <v>6371</v>
      </c>
      <c r="B1775" s="337" t="s">
        <v>4740</v>
      </c>
      <c r="C1775" s="338">
        <v>525120</v>
      </c>
      <c r="D1775" s="339" t="s">
        <v>4743</v>
      </c>
    </row>
    <row r="1776" spans="1:4" ht="17.25" customHeight="1" x14ac:dyDescent="0.35">
      <c r="A1776" s="345">
        <v>6371</v>
      </c>
      <c r="B1776" s="333" t="s">
        <v>4740</v>
      </c>
      <c r="C1776" s="334">
        <v>525990</v>
      </c>
      <c r="D1776" s="335" t="s">
        <v>4744</v>
      </c>
    </row>
    <row r="1777" spans="1:4" ht="34.5" customHeight="1" x14ac:dyDescent="0.35">
      <c r="A1777" s="345">
        <v>6399</v>
      </c>
      <c r="B1777" s="333" t="s">
        <v>4745</v>
      </c>
      <c r="C1777" s="334">
        <v>524128</v>
      </c>
      <c r="D1777" s="341" t="s">
        <v>4729</v>
      </c>
    </row>
    <row r="1778" spans="1:4" ht="17.25" customHeight="1" x14ac:dyDescent="0.35">
      <c r="A1778" s="344">
        <v>6411</v>
      </c>
      <c r="B1778" s="337" t="s">
        <v>4746</v>
      </c>
      <c r="C1778" s="338">
        <v>524210</v>
      </c>
      <c r="D1778" s="339" t="s">
        <v>4747</v>
      </c>
    </row>
    <row r="1779" spans="1:4" ht="17.25" customHeight="1" x14ac:dyDescent="0.35">
      <c r="A1779" s="345">
        <v>6411</v>
      </c>
      <c r="B1779" s="333" t="s">
        <v>4746</v>
      </c>
      <c r="C1779" s="334">
        <v>524291</v>
      </c>
      <c r="D1779" s="335" t="s">
        <v>4748</v>
      </c>
    </row>
    <row r="1780" spans="1:4" ht="34.5" customHeight="1" x14ac:dyDescent="0.35">
      <c r="A1780" s="345">
        <v>6411</v>
      </c>
      <c r="B1780" s="333" t="s">
        <v>4746</v>
      </c>
      <c r="C1780" s="334">
        <v>524292</v>
      </c>
      <c r="D1780" s="341" t="s">
        <v>4741</v>
      </c>
    </row>
    <row r="1781" spans="1:4" ht="17.25" customHeight="1" x14ac:dyDescent="0.35">
      <c r="A1781" s="344">
        <v>6411</v>
      </c>
      <c r="B1781" s="337" t="s">
        <v>4746</v>
      </c>
      <c r="C1781" s="338">
        <v>524298</v>
      </c>
      <c r="D1781" s="339" t="s">
        <v>4749</v>
      </c>
    </row>
    <row r="1782" spans="1:4" ht="34.5" customHeight="1" x14ac:dyDescent="0.35">
      <c r="A1782" s="344">
        <v>6512</v>
      </c>
      <c r="B1782" s="337" t="s">
        <v>4750</v>
      </c>
      <c r="C1782" s="338">
        <v>531120</v>
      </c>
      <c r="D1782" s="340" t="s">
        <v>4751</v>
      </c>
    </row>
    <row r="1783" spans="1:4" ht="34.5" customHeight="1" x14ac:dyDescent="0.35">
      <c r="A1783" s="345">
        <v>6512</v>
      </c>
      <c r="B1783" s="333" t="s">
        <v>4750</v>
      </c>
      <c r="C1783" s="334">
        <v>711310</v>
      </c>
      <c r="D1783" s="341" t="s">
        <v>4752</v>
      </c>
    </row>
    <row r="1784" spans="1:4" ht="34.5" customHeight="1" x14ac:dyDescent="0.35">
      <c r="A1784" s="344">
        <v>6513</v>
      </c>
      <c r="B1784" s="337" t="s">
        <v>4753</v>
      </c>
      <c r="C1784" s="338">
        <v>531110</v>
      </c>
      <c r="D1784" s="340" t="s">
        <v>4754</v>
      </c>
    </row>
    <row r="1785" spans="1:4" ht="34.5" customHeight="1" x14ac:dyDescent="0.35">
      <c r="A1785" s="345">
        <v>6514</v>
      </c>
      <c r="B1785" s="333" t="s">
        <v>4755</v>
      </c>
      <c r="C1785" s="334">
        <v>531110</v>
      </c>
      <c r="D1785" s="341" t="s">
        <v>4754</v>
      </c>
    </row>
    <row r="1786" spans="1:4" ht="17.25" customHeight="1" x14ac:dyDescent="0.35">
      <c r="A1786" s="344">
        <v>6515</v>
      </c>
      <c r="B1786" s="337" t="s">
        <v>4756</v>
      </c>
      <c r="C1786" s="338">
        <v>531190</v>
      </c>
      <c r="D1786" s="339" t="s">
        <v>4757</v>
      </c>
    </row>
    <row r="1787" spans="1:4" ht="17.25" customHeight="1" x14ac:dyDescent="0.35">
      <c r="A1787" s="345">
        <v>6517</v>
      </c>
      <c r="B1787" s="333" t="s">
        <v>4758</v>
      </c>
      <c r="C1787" s="334">
        <v>531190</v>
      </c>
      <c r="D1787" s="335" t="s">
        <v>4757</v>
      </c>
    </row>
    <row r="1788" spans="1:4" ht="17.25" customHeight="1" x14ac:dyDescent="0.35">
      <c r="A1788" s="344">
        <v>6519</v>
      </c>
      <c r="B1788" s="337" t="s">
        <v>4759</v>
      </c>
      <c r="C1788" s="338">
        <v>531190</v>
      </c>
      <c r="D1788" s="339" t="s">
        <v>4757</v>
      </c>
    </row>
    <row r="1789" spans="1:4" ht="34.5" customHeight="1" x14ac:dyDescent="0.35">
      <c r="A1789" s="344">
        <v>6531</v>
      </c>
      <c r="B1789" s="337" t="s">
        <v>4760</v>
      </c>
      <c r="C1789" s="338">
        <v>531110</v>
      </c>
      <c r="D1789" s="340" t="s">
        <v>4754</v>
      </c>
    </row>
    <row r="1790" spans="1:4" ht="28.75" customHeight="1" x14ac:dyDescent="0.35">
      <c r="A1790" s="344">
        <v>6531</v>
      </c>
      <c r="B1790" s="337" t="s">
        <v>4760</v>
      </c>
      <c r="C1790" s="338">
        <v>531210</v>
      </c>
      <c r="D1790" s="339" t="s">
        <v>4761</v>
      </c>
    </row>
    <row r="1791" spans="1:4" ht="17.25" customHeight="1" x14ac:dyDescent="0.35">
      <c r="A1791" s="345">
        <v>6531</v>
      </c>
      <c r="B1791" s="333" t="s">
        <v>4760</v>
      </c>
      <c r="C1791" s="334">
        <v>531311</v>
      </c>
      <c r="D1791" s="335" t="s">
        <v>4762</v>
      </c>
    </row>
    <row r="1792" spans="1:4" ht="17.25" customHeight="1" x14ac:dyDescent="0.35">
      <c r="A1792" s="344">
        <v>6531</v>
      </c>
      <c r="B1792" s="337" t="s">
        <v>4760</v>
      </c>
      <c r="C1792" s="338">
        <v>531312</v>
      </c>
      <c r="D1792" s="339" t="s">
        <v>4763</v>
      </c>
    </row>
    <row r="1793" spans="1:4" ht="17.25" customHeight="1" x14ac:dyDescent="0.35">
      <c r="A1793" s="345">
        <v>6531</v>
      </c>
      <c r="B1793" s="333" t="s">
        <v>4760</v>
      </c>
      <c r="C1793" s="334">
        <v>531320</v>
      </c>
      <c r="D1793" s="335" t="s">
        <v>4764</v>
      </c>
    </row>
    <row r="1794" spans="1:4" ht="17.25" customHeight="1" x14ac:dyDescent="0.35">
      <c r="A1794" s="344">
        <v>6531</v>
      </c>
      <c r="B1794" s="337" t="s">
        <v>4760</v>
      </c>
      <c r="C1794" s="338">
        <v>531390</v>
      </c>
      <c r="D1794" s="339" t="s">
        <v>4765</v>
      </c>
    </row>
    <row r="1795" spans="1:4" ht="17.25" customHeight="1" x14ac:dyDescent="0.35">
      <c r="A1795" s="344">
        <v>6531</v>
      </c>
      <c r="B1795" s="337" t="s">
        <v>4760</v>
      </c>
      <c r="C1795" s="338">
        <v>812220</v>
      </c>
      <c r="D1795" s="339" t="s">
        <v>4766</v>
      </c>
    </row>
    <row r="1796" spans="1:4" ht="43.5" customHeight="1" x14ac:dyDescent="0.35">
      <c r="A1796" s="345">
        <v>6531</v>
      </c>
      <c r="B1796" s="333" t="s">
        <v>4760</v>
      </c>
      <c r="C1796" s="334">
        <v>813990</v>
      </c>
      <c r="D1796" s="341" t="s">
        <v>4767</v>
      </c>
    </row>
    <row r="1797" spans="1:4" ht="17.25" customHeight="1" x14ac:dyDescent="0.35">
      <c r="A1797" s="344">
        <v>6541</v>
      </c>
      <c r="B1797" s="337" t="s">
        <v>4768</v>
      </c>
      <c r="C1797" s="338">
        <v>541191</v>
      </c>
      <c r="D1797" s="339" t="s">
        <v>4769</v>
      </c>
    </row>
    <row r="1798" spans="1:4" ht="17.25" customHeight="1" x14ac:dyDescent="0.35">
      <c r="A1798" s="344">
        <v>6552</v>
      </c>
      <c r="B1798" s="337" t="s">
        <v>4770</v>
      </c>
      <c r="C1798" s="338">
        <v>237210</v>
      </c>
      <c r="D1798" s="339" t="s">
        <v>4771</v>
      </c>
    </row>
    <row r="1799" spans="1:4" ht="17.25" customHeight="1" x14ac:dyDescent="0.35">
      <c r="A1799" s="345">
        <v>6553</v>
      </c>
      <c r="B1799" s="333" t="s">
        <v>4772</v>
      </c>
      <c r="C1799" s="334">
        <v>812220</v>
      </c>
      <c r="D1799" s="335" t="s">
        <v>4766</v>
      </c>
    </row>
    <row r="1800" spans="1:4" ht="17.25" customHeight="1" x14ac:dyDescent="0.35">
      <c r="A1800" s="344">
        <v>6712</v>
      </c>
      <c r="B1800" s="337" t="s">
        <v>4773</v>
      </c>
      <c r="C1800" s="338">
        <v>551111</v>
      </c>
      <c r="D1800" s="339" t="s">
        <v>4774</v>
      </c>
    </row>
    <row r="1801" spans="1:4" ht="17.25" customHeight="1" x14ac:dyDescent="0.35">
      <c r="A1801" s="345">
        <v>6719</v>
      </c>
      <c r="B1801" s="333" t="s">
        <v>4775</v>
      </c>
      <c r="C1801" s="334">
        <v>551112</v>
      </c>
      <c r="D1801" s="335" t="s">
        <v>4776</v>
      </c>
    </row>
    <row r="1802" spans="1:4" ht="17.25" customHeight="1" x14ac:dyDescent="0.35">
      <c r="A1802" s="345">
        <v>6722</v>
      </c>
      <c r="B1802" s="333" t="s">
        <v>4777</v>
      </c>
      <c r="C1802" s="334">
        <v>525910</v>
      </c>
      <c r="D1802" s="335" t="s">
        <v>4778</v>
      </c>
    </row>
    <row r="1803" spans="1:4" ht="17.25" customHeight="1" x14ac:dyDescent="0.35">
      <c r="A1803" s="344">
        <v>6726</v>
      </c>
      <c r="B1803" s="337" t="s">
        <v>4779</v>
      </c>
      <c r="C1803" s="338">
        <v>525990</v>
      </c>
      <c r="D1803" s="339" t="s">
        <v>4744</v>
      </c>
    </row>
    <row r="1804" spans="1:4" ht="17.25" customHeight="1" x14ac:dyDescent="0.35">
      <c r="A1804" s="344">
        <v>6732</v>
      </c>
      <c r="B1804" s="337" t="s">
        <v>4780</v>
      </c>
      <c r="C1804" s="338">
        <v>813211</v>
      </c>
      <c r="D1804" s="339" t="s">
        <v>4781</v>
      </c>
    </row>
    <row r="1805" spans="1:4" ht="17.25" customHeight="1" x14ac:dyDescent="0.35">
      <c r="A1805" s="344">
        <v>6733</v>
      </c>
      <c r="B1805" s="337" t="s">
        <v>4782</v>
      </c>
      <c r="C1805" s="338">
        <v>523920</v>
      </c>
      <c r="D1805" s="339" t="s">
        <v>4725</v>
      </c>
    </row>
    <row r="1806" spans="1:4" ht="17.25" customHeight="1" x14ac:dyDescent="0.35">
      <c r="A1806" s="344">
        <v>6733</v>
      </c>
      <c r="B1806" s="337" t="s">
        <v>4782</v>
      </c>
      <c r="C1806" s="338">
        <v>523991</v>
      </c>
      <c r="D1806" s="339" t="s">
        <v>4699</v>
      </c>
    </row>
    <row r="1807" spans="1:4" ht="17.25" customHeight="1" x14ac:dyDescent="0.35">
      <c r="A1807" s="344">
        <v>6733</v>
      </c>
      <c r="B1807" s="337" t="s">
        <v>4782</v>
      </c>
      <c r="C1807" s="338">
        <v>525190</v>
      </c>
      <c r="D1807" s="339" t="s">
        <v>4733</v>
      </c>
    </row>
    <row r="1808" spans="1:4" ht="17.25" customHeight="1" x14ac:dyDescent="0.35">
      <c r="A1808" s="344">
        <v>6733</v>
      </c>
      <c r="B1808" s="337" t="s">
        <v>4782</v>
      </c>
      <c r="C1808" s="338">
        <v>525920</v>
      </c>
      <c r="D1808" s="339" t="s">
        <v>4783</v>
      </c>
    </row>
    <row r="1809" spans="1:4" ht="17.25" customHeight="1" x14ac:dyDescent="0.35">
      <c r="A1809" s="344">
        <v>6792</v>
      </c>
      <c r="B1809" s="337" t="s">
        <v>4784</v>
      </c>
      <c r="C1809" s="338">
        <v>523910</v>
      </c>
      <c r="D1809" s="339" t="s">
        <v>4711</v>
      </c>
    </row>
    <row r="1810" spans="1:4" ht="34.5" customHeight="1" x14ac:dyDescent="0.35">
      <c r="A1810" s="344">
        <v>6792</v>
      </c>
      <c r="B1810" s="337" t="s">
        <v>4784</v>
      </c>
      <c r="C1810" s="338">
        <v>533110</v>
      </c>
      <c r="D1810" s="340" t="s">
        <v>4785</v>
      </c>
    </row>
    <row r="1811" spans="1:4" ht="34.5" customHeight="1" x14ac:dyDescent="0.35">
      <c r="A1811" s="345">
        <v>6794</v>
      </c>
      <c r="B1811" s="333" t="s">
        <v>4786</v>
      </c>
      <c r="C1811" s="334">
        <v>533110</v>
      </c>
      <c r="D1811" s="341" t="s">
        <v>4785</v>
      </c>
    </row>
    <row r="1812" spans="1:4" ht="17.25" customHeight="1" x14ac:dyDescent="0.35">
      <c r="A1812" s="345">
        <v>6798</v>
      </c>
      <c r="B1812" s="333" t="s">
        <v>4787</v>
      </c>
      <c r="C1812" s="334">
        <v>525990</v>
      </c>
      <c r="D1812" s="335" t="s">
        <v>4744</v>
      </c>
    </row>
    <row r="1813" spans="1:4" ht="34.5" customHeight="1" x14ac:dyDescent="0.35">
      <c r="A1813" s="345">
        <v>6798</v>
      </c>
      <c r="B1813" s="333" t="s">
        <v>4787</v>
      </c>
      <c r="C1813" s="334">
        <v>531110</v>
      </c>
      <c r="D1813" s="341" t="s">
        <v>4754</v>
      </c>
    </row>
    <row r="1814" spans="1:4" ht="34.5" customHeight="1" x14ac:dyDescent="0.35">
      <c r="A1814" s="345">
        <v>6798</v>
      </c>
      <c r="B1814" s="333" t="s">
        <v>4787</v>
      </c>
      <c r="C1814" s="334">
        <v>531120</v>
      </c>
      <c r="D1814" s="341" t="s">
        <v>4751</v>
      </c>
    </row>
    <row r="1815" spans="1:4" ht="34.5" customHeight="1" x14ac:dyDescent="0.35">
      <c r="A1815" s="345">
        <v>6798</v>
      </c>
      <c r="B1815" s="333" t="s">
        <v>4787</v>
      </c>
      <c r="C1815" s="334">
        <v>531130</v>
      </c>
      <c r="D1815" s="341" t="s">
        <v>4307</v>
      </c>
    </row>
    <row r="1816" spans="1:4" ht="17.25" customHeight="1" x14ac:dyDescent="0.35">
      <c r="A1816" s="345">
        <v>6798</v>
      </c>
      <c r="B1816" s="333" t="s">
        <v>4787</v>
      </c>
      <c r="C1816" s="334">
        <v>531190</v>
      </c>
      <c r="D1816" s="335" t="s">
        <v>4757</v>
      </c>
    </row>
    <row r="1817" spans="1:4" ht="17.25" customHeight="1" x14ac:dyDescent="0.35">
      <c r="A1817" s="345">
        <v>6799</v>
      </c>
      <c r="B1817" s="333" t="s">
        <v>4788</v>
      </c>
      <c r="C1817" s="334">
        <v>523130</v>
      </c>
      <c r="D1817" s="335" t="s">
        <v>4703</v>
      </c>
    </row>
    <row r="1818" spans="1:4" ht="17.25" customHeight="1" x14ac:dyDescent="0.35">
      <c r="A1818" s="345">
        <v>6799</v>
      </c>
      <c r="B1818" s="333" t="s">
        <v>4788</v>
      </c>
      <c r="C1818" s="334">
        <v>523910</v>
      </c>
      <c r="D1818" s="335" t="s">
        <v>4711</v>
      </c>
    </row>
    <row r="1819" spans="1:4" ht="17.25" customHeight="1" x14ac:dyDescent="0.35">
      <c r="A1819" s="345">
        <v>6799</v>
      </c>
      <c r="B1819" s="333" t="s">
        <v>4788</v>
      </c>
      <c r="C1819" s="334">
        <v>523920</v>
      </c>
      <c r="D1819" s="335" t="s">
        <v>4725</v>
      </c>
    </row>
    <row r="1820" spans="1:4" ht="17.25" customHeight="1" x14ac:dyDescent="0.35">
      <c r="A1820" s="345">
        <v>7011</v>
      </c>
      <c r="B1820" s="333" t="s">
        <v>4789</v>
      </c>
      <c r="C1820" s="334">
        <v>721110</v>
      </c>
      <c r="D1820" s="335" t="s">
        <v>4790</v>
      </c>
    </row>
    <row r="1821" spans="1:4" ht="17.25" customHeight="1" x14ac:dyDescent="0.35">
      <c r="A1821" s="345">
        <v>7011</v>
      </c>
      <c r="B1821" s="333" t="s">
        <v>4789</v>
      </c>
      <c r="C1821" s="334">
        <v>721120</v>
      </c>
      <c r="D1821" s="335" t="s">
        <v>4791</v>
      </c>
    </row>
    <row r="1822" spans="1:4" ht="17.25" customHeight="1" x14ac:dyDescent="0.35">
      <c r="A1822" s="344">
        <v>7011</v>
      </c>
      <c r="B1822" s="337" t="s">
        <v>4789</v>
      </c>
      <c r="C1822" s="338">
        <v>721191</v>
      </c>
      <c r="D1822" s="339" t="s">
        <v>4792</v>
      </c>
    </row>
    <row r="1823" spans="1:4" ht="17.25" customHeight="1" x14ac:dyDescent="0.35">
      <c r="A1823" s="345">
        <v>7011</v>
      </c>
      <c r="B1823" s="333" t="s">
        <v>4789</v>
      </c>
      <c r="C1823" s="334">
        <v>721199</v>
      </c>
      <c r="D1823" s="335" t="s">
        <v>4793</v>
      </c>
    </row>
    <row r="1824" spans="1:4" ht="17.25" customHeight="1" x14ac:dyDescent="0.35">
      <c r="A1824" s="344">
        <v>7021</v>
      </c>
      <c r="B1824" s="337" t="s">
        <v>4794</v>
      </c>
      <c r="C1824" s="338">
        <v>721310</v>
      </c>
      <c r="D1824" s="339" t="s">
        <v>4794</v>
      </c>
    </row>
    <row r="1825" spans="1:4" ht="34.5" customHeight="1" x14ac:dyDescent="0.35">
      <c r="A1825" s="345">
        <v>7032</v>
      </c>
      <c r="B1825" s="333" t="s">
        <v>4795</v>
      </c>
      <c r="C1825" s="334">
        <v>721214</v>
      </c>
      <c r="D1825" s="341" t="s">
        <v>4796</v>
      </c>
    </row>
    <row r="1826" spans="1:4" ht="34.5" customHeight="1" x14ac:dyDescent="0.35">
      <c r="A1826" s="344">
        <v>7033</v>
      </c>
      <c r="B1826" s="337" t="s">
        <v>4797</v>
      </c>
      <c r="C1826" s="338">
        <v>721211</v>
      </c>
      <c r="D1826" s="340" t="s">
        <v>4798</v>
      </c>
    </row>
    <row r="1827" spans="1:4" ht="17.25" customHeight="1" x14ac:dyDescent="0.35">
      <c r="A1827" s="344">
        <v>7041</v>
      </c>
      <c r="B1827" s="337" t="s">
        <v>4799</v>
      </c>
      <c r="C1827" s="338">
        <v>721110</v>
      </c>
      <c r="D1827" s="339" t="s">
        <v>4790</v>
      </c>
    </row>
    <row r="1828" spans="1:4" ht="17.25" customHeight="1" x14ac:dyDescent="0.35">
      <c r="A1828" s="345">
        <v>7041</v>
      </c>
      <c r="B1828" s="333" t="s">
        <v>4799</v>
      </c>
      <c r="C1828" s="334">
        <v>721310</v>
      </c>
      <c r="D1828" s="335" t="s">
        <v>4794</v>
      </c>
    </row>
    <row r="1829" spans="1:4" ht="34.5" customHeight="1" x14ac:dyDescent="0.35">
      <c r="A1829" s="344">
        <v>7211</v>
      </c>
      <c r="B1829" s="337" t="s">
        <v>4800</v>
      </c>
      <c r="C1829" s="338">
        <v>812320</v>
      </c>
      <c r="D1829" s="340" t="s">
        <v>4801</v>
      </c>
    </row>
    <row r="1830" spans="1:4" ht="34.5" customHeight="1" x14ac:dyDescent="0.35">
      <c r="A1830" s="345">
        <v>7212</v>
      </c>
      <c r="B1830" s="333" t="s">
        <v>4802</v>
      </c>
      <c r="C1830" s="334">
        <v>812320</v>
      </c>
      <c r="D1830" s="341" t="s">
        <v>4801</v>
      </c>
    </row>
    <row r="1831" spans="1:4" ht="17.25" customHeight="1" x14ac:dyDescent="0.35">
      <c r="A1831" s="344">
        <v>7213</v>
      </c>
      <c r="B1831" s="337" t="s">
        <v>4803</v>
      </c>
      <c r="C1831" s="338">
        <v>812331</v>
      </c>
      <c r="D1831" s="339" t="s">
        <v>4803</v>
      </c>
    </row>
    <row r="1832" spans="1:4" ht="28.75" customHeight="1" x14ac:dyDescent="0.35">
      <c r="A1832" s="345">
        <v>7215</v>
      </c>
      <c r="B1832" s="333" t="s">
        <v>4804</v>
      </c>
      <c r="C1832" s="334">
        <v>812310</v>
      </c>
      <c r="D1832" s="335" t="s">
        <v>4805</v>
      </c>
    </row>
    <row r="1833" spans="1:4" ht="34.5" customHeight="1" x14ac:dyDescent="0.35">
      <c r="A1833" s="344">
        <v>7216</v>
      </c>
      <c r="B1833" s="337" t="s">
        <v>4806</v>
      </c>
      <c r="C1833" s="338">
        <v>812320</v>
      </c>
      <c r="D1833" s="340" t="s">
        <v>4801</v>
      </c>
    </row>
    <row r="1834" spans="1:4" ht="17.25" customHeight="1" x14ac:dyDescent="0.35">
      <c r="A1834" s="345">
        <v>7217</v>
      </c>
      <c r="B1834" s="333" t="s">
        <v>4807</v>
      </c>
      <c r="C1834" s="334">
        <v>561740</v>
      </c>
      <c r="D1834" s="335" t="s">
        <v>4808</v>
      </c>
    </row>
    <row r="1835" spans="1:4" ht="17.25" customHeight="1" x14ac:dyDescent="0.35">
      <c r="A1835" s="344">
        <v>7218</v>
      </c>
      <c r="B1835" s="337" t="s">
        <v>4809</v>
      </c>
      <c r="C1835" s="338">
        <v>812332</v>
      </c>
      <c r="D1835" s="339" t="s">
        <v>4809</v>
      </c>
    </row>
    <row r="1836" spans="1:4" ht="34.5" customHeight="1" x14ac:dyDescent="0.35">
      <c r="A1836" s="345">
        <v>7219</v>
      </c>
      <c r="B1836" s="333" t="s">
        <v>4810</v>
      </c>
      <c r="C1836" s="334">
        <v>811490</v>
      </c>
      <c r="D1836" s="341" t="s">
        <v>4193</v>
      </c>
    </row>
    <row r="1837" spans="1:4" ht="34.5" customHeight="1" x14ac:dyDescent="0.35">
      <c r="A1837" s="345">
        <v>7219</v>
      </c>
      <c r="B1837" s="333" t="s">
        <v>4810</v>
      </c>
      <c r="C1837" s="334">
        <v>812320</v>
      </c>
      <c r="D1837" s="341" t="s">
        <v>4801</v>
      </c>
    </row>
    <row r="1838" spans="1:4" ht="17.25" customHeight="1" x14ac:dyDescent="0.35">
      <c r="A1838" s="345">
        <v>7219</v>
      </c>
      <c r="B1838" s="333" t="s">
        <v>4810</v>
      </c>
      <c r="C1838" s="334">
        <v>812331</v>
      </c>
      <c r="D1838" s="335" t="s">
        <v>4803</v>
      </c>
    </row>
    <row r="1839" spans="1:4" ht="17.25" customHeight="1" x14ac:dyDescent="0.35">
      <c r="A1839" s="345">
        <v>7221</v>
      </c>
      <c r="B1839" s="333" t="s">
        <v>4811</v>
      </c>
      <c r="C1839" s="334">
        <v>541921</v>
      </c>
      <c r="D1839" s="335" t="s">
        <v>4812</v>
      </c>
    </row>
    <row r="1840" spans="1:4" ht="17.25" customHeight="1" x14ac:dyDescent="0.35">
      <c r="A1840" s="345">
        <v>7231</v>
      </c>
      <c r="B1840" s="333" t="s">
        <v>4813</v>
      </c>
      <c r="C1840" s="334">
        <v>611511</v>
      </c>
      <c r="D1840" s="335" t="s">
        <v>4814</v>
      </c>
    </row>
    <row r="1841" spans="1:4" ht="17.25" customHeight="1" x14ac:dyDescent="0.35">
      <c r="A1841" s="345">
        <v>7231</v>
      </c>
      <c r="B1841" s="333" t="s">
        <v>4813</v>
      </c>
      <c r="C1841" s="334">
        <v>812112</v>
      </c>
      <c r="D1841" s="335" t="s">
        <v>4815</v>
      </c>
    </row>
    <row r="1842" spans="1:4" ht="17.25" customHeight="1" x14ac:dyDescent="0.35">
      <c r="A1842" s="344">
        <v>7231</v>
      </c>
      <c r="B1842" s="337" t="s">
        <v>4813</v>
      </c>
      <c r="C1842" s="338">
        <v>812113</v>
      </c>
      <c r="D1842" s="339" t="s">
        <v>4816</v>
      </c>
    </row>
    <row r="1843" spans="1:4" ht="17.25" customHeight="1" x14ac:dyDescent="0.35">
      <c r="A1843" s="344">
        <v>7241</v>
      </c>
      <c r="B1843" s="337" t="s">
        <v>4817</v>
      </c>
      <c r="C1843" s="338">
        <v>611511</v>
      </c>
      <c r="D1843" s="339" t="s">
        <v>4814</v>
      </c>
    </row>
    <row r="1844" spans="1:4" ht="17.25" customHeight="1" x14ac:dyDescent="0.35">
      <c r="A1844" s="344">
        <v>7241</v>
      </c>
      <c r="B1844" s="337" t="s">
        <v>4817</v>
      </c>
      <c r="C1844" s="338">
        <v>812111</v>
      </c>
      <c r="D1844" s="339" t="s">
        <v>4817</v>
      </c>
    </row>
    <row r="1845" spans="1:4" ht="17.25" customHeight="1" x14ac:dyDescent="0.35">
      <c r="A1845" s="344">
        <v>7251</v>
      </c>
      <c r="B1845" s="337" t="s">
        <v>4818</v>
      </c>
      <c r="C1845" s="338">
        <v>811430</v>
      </c>
      <c r="D1845" s="339" t="s">
        <v>4819</v>
      </c>
    </row>
    <row r="1846" spans="1:4" ht="34.5" customHeight="1" x14ac:dyDescent="0.35">
      <c r="A1846" s="344">
        <v>7251</v>
      </c>
      <c r="B1846" s="337" t="s">
        <v>4818</v>
      </c>
      <c r="C1846" s="338">
        <v>812320</v>
      </c>
      <c r="D1846" s="340" t="s">
        <v>4801</v>
      </c>
    </row>
    <row r="1847" spans="1:4" ht="17.25" customHeight="1" x14ac:dyDescent="0.35">
      <c r="A1847" s="345">
        <v>7251</v>
      </c>
      <c r="B1847" s="333" t="s">
        <v>4818</v>
      </c>
      <c r="C1847" s="334">
        <v>812990</v>
      </c>
      <c r="D1847" s="335" t="s">
        <v>4384</v>
      </c>
    </row>
    <row r="1848" spans="1:4" ht="17.25" customHeight="1" x14ac:dyDescent="0.35">
      <c r="A1848" s="345">
        <v>7261</v>
      </c>
      <c r="B1848" s="333" t="s">
        <v>4820</v>
      </c>
      <c r="C1848" s="334">
        <v>812210</v>
      </c>
      <c r="D1848" s="335" t="s">
        <v>4821</v>
      </c>
    </row>
    <row r="1849" spans="1:4" ht="17.25" customHeight="1" x14ac:dyDescent="0.35">
      <c r="A1849" s="344">
        <v>7261</v>
      </c>
      <c r="B1849" s="337" t="s">
        <v>4820</v>
      </c>
      <c r="C1849" s="338">
        <v>812220</v>
      </c>
      <c r="D1849" s="339" t="s">
        <v>4766</v>
      </c>
    </row>
    <row r="1850" spans="1:4" ht="17.25" customHeight="1" x14ac:dyDescent="0.35">
      <c r="A1850" s="345">
        <v>7291</v>
      </c>
      <c r="B1850" s="333" t="s">
        <v>4822</v>
      </c>
      <c r="C1850" s="334">
        <v>541213</v>
      </c>
      <c r="D1850" s="335" t="s">
        <v>4823</v>
      </c>
    </row>
    <row r="1851" spans="1:4" ht="17.25" customHeight="1" x14ac:dyDescent="0.35">
      <c r="A1851" s="344">
        <v>7299</v>
      </c>
      <c r="B1851" s="337" t="s">
        <v>4824</v>
      </c>
      <c r="C1851" s="338">
        <v>532281</v>
      </c>
      <c r="D1851" s="339" t="s">
        <v>4825</v>
      </c>
    </row>
    <row r="1852" spans="1:4" ht="34.5" customHeight="1" x14ac:dyDescent="0.35">
      <c r="A1852" s="345">
        <v>7299</v>
      </c>
      <c r="B1852" s="333" t="s">
        <v>4824</v>
      </c>
      <c r="C1852" s="334">
        <v>541990</v>
      </c>
      <c r="D1852" s="341" t="s">
        <v>4334</v>
      </c>
    </row>
    <row r="1853" spans="1:4" ht="17.25" customHeight="1" x14ac:dyDescent="0.35">
      <c r="A1853" s="345">
        <v>7299</v>
      </c>
      <c r="B1853" s="333" t="s">
        <v>4824</v>
      </c>
      <c r="C1853" s="334">
        <v>561311</v>
      </c>
      <c r="D1853" s="335" t="s">
        <v>4826</v>
      </c>
    </row>
    <row r="1854" spans="1:4" ht="17.25" customHeight="1" x14ac:dyDescent="0.35">
      <c r="A1854" s="345">
        <v>7299</v>
      </c>
      <c r="B1854" s="333" t="s">
        <v>4824</v>
      </c>
      <c r="C1854" s="334">
        <v>561990</v>
      </c>
      <c r="D1854" s="335" t="s">
        <v>4827</v>
      </c>
    </row>
    <row r="1855" spans="1:4" ht="17.25" customHeight="1" x14ac:dyDescent="0.35">
      <c r="A1855" s="345">
        <v>7299</v>
      </c>
      <c r="B1855" s="333" t="s">
        <v>4824</v>
      </c>
      <c r="C1855" s="334">
        <v>812191</v>
      </c>
      <c r="D1855" s="335" t="s">
        <v>4828</v>
      </c>
    </row>
    <row r="1856" spans="1:4" ht="17.25" customHeight="1" x14ac:dyDescent="0.35">
      <c r="A1856" s="344">
        <v>7299</v>
      </c>
      <c r="B1856" s="337" t="s">
        <v>4824</v>
      </c>
      <c r="C1856" s="338">
        <v>812199</v>
      </c>
      <c r="D1856" s="339" t="s">
        <v>4829</v>
      </c>
    </row>
    <row r="1857" spans="1:4" ht="17.25" customHeight="1" x14ac:dyDescent="0.35">
      <c r="A1857" s="344">
        <v>7299</v>
      </c>
      <c r="B1857" s="337" t="s">
        <v>4824</v>
      </c>
      <c r="C1857" s="338">
        <v>812930</v>
      </c>
      <c r="D1857" s="339" t="s">
        <v>4830</v>
      </c>
    </row>
    <row r="1858" spans="1:4" ht="17.25" customHeight="1" x14ac:dyDescent="0.35">
      <c r="A1858" s="344">
        <v>7299</v>
      </c>
      <c r="B1858" s="337" t="s">
        <v>4824</v>
      </c>
      <c r="C1858" s="338">
        <v>812990</v>
      </c>
      <c r="D1858" s="339" t="s">
        <v>4384</v>
      </c>
    </row>
    <row r="1859" spans="1:4" ht="17.25" customHeight="1" x14ac:dyDescent="0.35">
      <c r="A1859" s="344">
        <v>7311</v>
      </c>
      <c r="B1859" s="337" t="s">
        <v>4831</v>
      </c>
      <c r="C1859" s="338">
        <v>541810</v>
      </c>
      <c r="D1859" s="339" t="s">
        <v>4831</v>
      </c>
    </row>
    <row r="1860" spans="1:4" ht="17.25" customHeight="1" x14ac:dyDescent="0.35">
      <c r="A1860" s="344">
        <v>7312</v>
      </c>
      <c r="B1860" s="337" t="s">
        <v>4832</v>
      </c>
      <c r="C1860" s="338">
        <v>541850</v>
      </c>
      <c r="D1860" s="339" t="s">
        <v>4833</v>
      </c>
    </row>
    <row r="1861" spans="1:4" ht="34.5" customHeight="1" x14ac:dyDescent="0.35">
      <c r="A1861" s="345">
        <v>7313</v>
      </c>
      <c r="B1861" s="347" t="s">
        <v>4834</v>
      </c>
      <c r="C1861" s="334">
        <v>541840</v>
      </c>
      <c r="D1861" s="335" t="s">
        <v>4835</v>
      </c>
    </row>
    <row r="1862" spans="1:4" ht="17.25" customHeight="1" x14ac:dyDescent="0.35">
      <c r="A1862" s="345">
        <v>7319</v>
      </c>
      <c r="B1862" s="333" t="s">
        <v>4836</v>
      </c>
      <c r="C1862" s="334">
        <v>481219</v>
      </c>
      <c r="D1862" s="335" t="s">
        <v>4342</v>
      </c>
    </row>
    <row r="1863" spans="1:4" ht="17.25" customHeight="1" x14ac:dyDescent="0.35">
      <c r="A1863" s="344">
        <v>7319</v>
      </c>
      <c r="B1863" s="337" t="s">
        <v>4836</v>
      </c>
      <c r="C1863" s="338">
        <v>541830</v>
      </c>
      <c r="D1863" s="339" t="s">
        <v>4837</v>
      </c>
    </row>
    <row r="1864" spans="1:4" ht="17.25" customHeight="1" x14ac:dyDescent="0.35">
      <c r="A1864" s="345">
        <v>7319</v>
      </c>
      <c r="B1864" s="333" t="s">
        <v>4836</v>
      </c>
      <c r="C1864" s="334">
        <v>541850</v>
      </c>
      <c r="D1864" s="335" t="s">
        <v>4833</v>
      </c>
    </row>
    <row r="1865" spans="1:4" ht="17.25" customHeight="1" x14ac:dyDescent="0.35">
      <c r="A1865" s="345">
        <v>7319</v>
      </c>
      <c r="B1865" s="333" t="s">
        <v>4836</v>
      </c>
      <c r="C1865" s="334">
        <v>541870</v>
      </c>
      <c r="D1865" s="335" t="s">
        <v>4838</v>
      </c>
    </row>
    <row r="1866" spans="1:4" ht="17.25" customHeight="1" x14ac:dyDescent="0.35">
      <c r="A1866" s="344">
        <v>7319</v>
      </c>
      <c r="B1866" s="337" t="s">
        <v>4836</v>
      </c>
      <c r="C1866" s="338">
        <v>541890</v>
      </c>
      <c r="D1866" s="339" t="s">
        <v>4598</v>
      </c>
    </row>
    <row r="1867" spans="1:4" ht="17.25" customHeight="1" x14ac:dyDescent="0.35">
      <c r="A1867" s="345">
        <v>7322</v>
      </c>
      <c r="B1867" s="333" t="s">
        <v>4839</v>
      </c>
      <c r="C1867" s="334">
        <v>561440</v>
      </c>
      <c r="D1867" s="335" t="s">
        <v>4840</v>
      </c>
    </row>
    <row r="1868" spans="1:4" ht="17.25" customHeight="1" x14ac:dyDescent="0.35">
      <c r="A1868" s="345">
        <v>7323</v>
      </c>
      <c r="B1868" s="333" t="s">
        <v>4841</v>
      </c>
      <c r="C1868" s="334">
        <v>561450</v>
      </c>
      <c r="D1868" s="335" t="s">
        <v>4842</v>
      </c>
    </row>
    <row r="1869" spans="1:4" ht="17.25" customHeight="1" x14ac:dyDescent="0.35">
      <c r="A1869" s="344">
        <v>7331</v>
      </c>
      <c r="B1869" s="337" t="s">
        <v>4843</v>
      </c>
      <c r="C1869" s="338">
        <v>511140</v>
      </c>
      <c r="D1869" s="339" t="s">
        <v>3708</v>
      </c>
    </row>
    <row r="1870" spans="1:4" ht="17.25" customHeight="1" x14ac:dyDescent="0.35">
      <c r="A1870" s="344">
        <v>7331</v>
      </c>
      <c r="B1870" s="337" t="s">
        <v>4843</v>
      </c>
      <c r="C1870" s="338">
        <v>541860</v>
      </c>
      <c r="D1870" s="339" t="s">
        <v>4844</v>
      </c>
    </row>
    <row r="1871" spans="1:4" ht="34.5" customHeight="1" x14ac:dyDescent="0.35">
      <c r="A1871" s="344">
        <v>7334</v>
      </c>
      <c r="B1871" s="337" t="s">
        <v>4845</v>
      </c>
      <c r="C1871" s="338">
        <v>323111</v>
      </c>
      <c r="D1871" s="340" t="s">
        <v>3711</v>
      </c>
    </row>
    <row r="1872" spans="1:4" ht="34.5" customHeight="1" x14ac:dyDescent="0.35">
      <c r="A1872" s="345">
        <v>7334</v>
      </c>
      <c r="B1872" s="333" t="s">
        <v>4845</v>
      </c>
      <c r="C1872" s="334">
        <v>561439</v>
      </c>
      <c r="D1872" s="341" t="s">
        <v>4846</v>
      </c>
    </row>
    <row r="1873" spans="1:4" ht="17.25" customHeight="1" x14ac:dyDescent="0.35">
      <c r="A1873" s="344">
        <v>7335</v>
      </c>
      <c r="B1873" s="337" t="s">
        <v>4847</v>
      </c>
      <c r="C1873" s="338">
        <v>481219</v>
      </c>
      <c r="D1873" s="339" t="s">
        <v>4342</v>
      </c>
    </row>
    <row r="1874" spans="1:4" ht="17.25" customHeight="1" x14ac:dyDescent="0.35">
      <c r="A1874" s="344">
        <v>7335</v>
      </c>
      <c r="B1874" s="337" t="s">
        <v>4847</v>
      </c>
      <c r="C1874" s="338">
        <v>541922</v>
      </c>
      <c r="D1874" s="339" t="s">
        <v>4847</v>
      </c>
    </row>
    <row r="1875" spans="1:4" ht="17.25" customHeight="1" x14ac:dyDescent="0.35">
      <c r="A1875" s="345">
        <v>7336</v>
      </c>
      <c r="B1875" s="333" t="s">
        <v>4848</v>
      </c>
      <c r="C1875" s="334">
        <v>541430</v>
      </c>
      <c r="D1875" s="335" t="s">
        <v>4849</v>
      </c>
    </row>
    <row r="1876" spans="1:4" ht="17.25" customHeight="1" x14ac:dyDescent="0.35">
      <c r="A1876" s="344">
        <v>7338</v>
      </c>
      <c r="B1876" s="337" t="s">
        <v>4850</v>
      </c>
      <c r="C1876" s="338">
        <v>561410</v>
      </c>
      <c r="D1876" s="339" t="s">
        <v>4851</v>
      </c>
    </row>
    <row r="1877" spans="1:4" ht="17.25" customHeight="1" x14ac:dyDescent="0.35">
      <c r="A1877" s="345">
        <v>7338</v>
      </c>
      <c r="B1877" s="333" t="s">
        <v>4850</v>
      </c>
      <c r="C1877" s="334">
        <v>561492</v>
      </c>
      <c r="D1877" s="335" t="s">
        <v>4852</v>
      </c>
    </row>
    <row r="1878" spans="1:4" ht="17.25" customHeight="1" x14ac:dyDescent="0.35">
      <c r="A1878" s="345">
        <v>7342</v>
      </c>
      <c r="B1878" s="333" t="s">
        <v>4853</v>
      </c>
      <c r="C1878" s="334">
        <v>561710</v>
      </c>
      <c r="D1878" s="335" t="s">
        <v>4415</v>
      </c>
    </row>
    <row r="1879" spans="1:4" ht="17.25" customHeight="1" x14ac:dyDescent="0.35">
      <c r="A1879" s="345">
        <v>7342</v>
      </c>
      <c r="B1879" s="333" t="s">
        <v>4853</v>
      </c>
      <c r="C1879" s="334">
        <v>561720</v>
      </c>
      <c r="D1879" s="335" t="s">
        <v>4348</v>
      </c>
    </row>
    <row r="1880" spans="1:4" ht="17.25" customHeight="1" x14ac:dyDescent="0.35">
      <c r="A1880" s="344">
        <v>7349</v>
      </c>
      <c r="B1880" s="337" t="s">
        <v>4854</v>
      </c>
      <c r="C1880" s="338">
        <v>561720</v>
      </c>
      <c r="D1880" s="339" t="s">
        <v>4348</v>
      </c>
    </row>
    <row r="1881" spans="1:4" ht="17.25" customHeight="1" x14ac:dyDescent="0.35">
      <c r="A1881" s="344">
        <v>7349</v>
      </c>
      <c r="B1881" s="337" t="s">
        <v>4854</v>
      </c>
      <c r="C1881" s="338">
        <v>561790</v>
      </c>
      <c r="D1881" s="339" t="s">
        <v>3429</v>
      </c>
    </row>
    <row r="1882" spans="1:4" ht="17.25" customHeight="1" x14ac:dyDescent="0.35">
      <c r="A1882" s="345">
        <v>7352</v>
      </c>
      <c r="B1882" s="333" t="s">
        <v>4855</v>
      </c>
      <c r="C1882" s="334">
        <v>532283</v>
      </c>
      <c r="D1882" s="335" t="s">
        <v>4856</v>
      </c>
    </row>
    <row r="1883" spans="1:4" ht="43.5" customHeight="1" x14ac:dyDescent="0.35">
      <c r="A1883" s="344">
        <v>7352</v>
      </c>
      <c r="B1883" s="337" t="s">
        <v>4855</v>
      </c>
      <c r="C1883" s="338">
        <v>532490</v>
      </c>
      <c r="D1883" s="340" t="s">
        <v>4857</v>
      </c>
    </row>
    <row r="1884" spans="1:4" ht="17.25" customHeight="1" x14ac:dyDescent="0.35">
      <c r="A1884" s="345">
        <v>7353</v>
      </c>
      <c r="B1884" s="333" t="s">
        <v>4858</v>
      </c>
      <c r="C1884" s="334">
        <v>238910</v>
      </c>
      <c r="D1884" s="335" t="s">
        <v>3328</v>
      </c>
    </row>
    <row r="1885" spans="1:4" ht="17.25" customHeight="1" x14ac:dyDescent="0.35">
      <c r="A1885" s="344">
        <v>7353</v>
      </c>
      <c r="B1885" s="337" t="s">
        <v>4858</v>
      </c>
      <c r="C1885" s="338">
        <v>238990</v>
      </c>
      <c r="D1885" s="339" t="s">
        <v>3417</v>
      </c>
    </row>
    <row r="1886" spans="1:4" ht="43.5" customHeight="1" x14ac:dyDescent="0.35">
      <c r="A1886" s="344">
        <v>7353</v>
      </c>
      <c r="B1886" s="337" t="s">
        <v>4858</v>
      </c>
      <c r="C1886" s="338">
        <v>532412</v>
      </c>
      <c r="D1886" s="340" t="s">
        <v>4859</v>
      </c>
    </row>
    <row r="1887" spans="1:4" ht="34.5" customHeight="1" x14ac:dyDescent="0.35">
      <c r="A1887" s="345">
        <v>7359</v>
      </c>
      <c r="B1887" s="333" t="s">
        <v>4860</v>
      </c>
      <c r="C1887" s="334">
        <v>532210</v>
      </c>
      <c r="D1887" s="341" t="s">
        <v>4861</v>
      </c>
    </row>
    <row r="1888" spans="1:4" ht="17.25" customHeight="1" x14ac:dyDescent="0.35">
      <c r="A1888" s="345">
        <v>7359</v>
      </c>
      <c r="B1888" s="333" t="s">
        <v>4860</v>
      </c>
      <c r="C1888" s="334">
        <v>532289</v>
      </c>
      <c r="D1888" s="335" t="s">
        <v>4862</v>
      </c>
    </row>
    <row r="1889" spans="1:4" ht="17.25" customHeight="1" x14ac:dyDescent="0.35">
      <c r="A1889" s="344">
        <v>7359</v>
      </c>
      <c r="B1889" s="337" t="s">
        <v>4860</v>
      </c>
      <c r="C1889" s="338">
        <v>532310</v>
      </c>
      <c r="D1889" s="339" t="s">
        <v>4863</v>
      </c>
    </row>
    <row r="1890" spans="1:4" ht="43.5" customHeight="1" x14ac:dyDescent="0.35">
      <c r="A1890" s="345">
        <v>7359</v>
      </c>
      <c r="B1890" s="333" t="s">
        <v>4860</v>
      </c>
      <c r="C1890" s="334">
        <v>532411</v>
      </c>
      <c r="D1890" s="341" t="s">
        <v>4333</v>
      </c>
    </row>
    <row r="1891" spans="1:4" ht="42.75" customHeight="1" x14ac:dyDescent="0.35">
      <c r="A1891" s="345">
        <v>7359</v>
      </c>
      <c r="B1891" s="333" t="s">
        <v>4860</v>
      </c>
      <c r="C1891" s="334">
        <v>532412</v>
      </c>
      <c r="D1891" s="341" t="s">
        <v>4859</v>
      </c>
    </row>
    <row r="1892" spans="1:4" ht="34.5" customHeight="1" x14ac:dyDescent="0.35">
      <c r="A1892" s="344">
        <v>7359</v>
      </c>
      <c r="B1892" s="337" t="s">
        <v>4860</v>
      </c>
      <c r="C1892" s="338">
        <v>532420</v>
      </c>
      <c r="D1892" s="340" t="s">
        <v>4864</v>
      </c>
    </row>
    <row r="1893" spans="1:4" ht="43.5" customHeight="1" x14ac:dyDescent="0.35">
      <c r="A1893" s="345">
        <v>7359</v>
      </c>
      <c r="B1893" s="333" t="s">
        <v>4860</v>
      </c>
      <c r="C1893" s="334">
        <v>532490</v>
      </c>
      <c r="D1893" s="341" t="s">
        <v>4865</v>
      </c>
    </row>
    <row r="1894" spans="1:4" ht="17.25" customHeight="1" x14ac:dyDescent="0.35">
      <c r="A1894" s="345">
        <v>7359</v>
      </c>
      <c r="B1894" s="333" t="s">
        <v>4860</v>
      </c>
      <c r="C1894" s="334">
        <v>562991</v>
      </c>
      <c r="D1894" s="335" t="s">
        <v>4866</v>
      </c>
    </row>
    <row r="1895" spans="1:4" ht="17.25" customHeight="1" x14ac:dyDescent="0.35">
      <c r="A1895" s="344">
        <v>7361</v>
      </c>
      <c r="B1895" s="337" t="s">
        <v>4867</v>
      </c>
      <c r="C1895" s="338">
        <v>541612</v>
      </c>
      <c r="D1895" s="339" t="s">
        <v>4868</v>
      </c>
    </row>
    <row r="1896" spans="1:4" ht="17.25" customHeight="1" x14ac:dyDescent="0.35">
      <c r="A1896" s="344">
        <v>7361</v>
      </c>
      <c r="B1896" s="337" t="s">
        <v>4867</v>
      </c>
      <c r="C1896" s="338">
        <v>561311</v>
      </c>
      <c r="D1896" s="339" t="s">
        <v>4826</v>
      </c>
    </row>
    <row r="1897" spans="1:4" ht="17.25" customHeight="1" x14ac:dyDescent="0.35">
      <c r="A1897" s="345">
        <v>7361</v>
      </c>
      <c r="B1897" s="333" t="s">
        <v>4867</v>
      </c>
      <c r="C1897" s="334">
        <v>561312</v>
      </c>
      <c r="D1897" s="335" t="s">
        <v>4869</v>
      </c>
    </row>
    <row r="1898" spans="1:4" ht="17.25" customHeight="1" x14ac:dyDescent="0.35">
      <c r="A1898" s="344">
        <v>7363</v>
      </c>
      <c r="B1898" s="337" t="s">
        <v>4870</v>
      </c>
      <c r="C1898" s="338">
        <v>561320</v>
      </c>
      <c r="D1898" s="339" t="s">
        <v>4871</v>
      </c>
    </row>
    <row r="1899" spans="1:4" ht="17.25" customHeight="1" x14ac:dyDescent="0.35">
      <c r="A1899" s="345">
        <v>7363</v>
      </c>
      <c r="B1899" s="333" t="s">
        <v>4870</v>
      </c>
      <c r="C1899" s="334">
        <v>561330</v>
      </c>
      <c r="D1899" s="335" t="s">
        <v>4872</v>
      </c>
    </row>
    <row r="1900" spans="1:4" ht="17.25" customHeight="1" x14ac:dyDescent="0.35">
      <c r="A1900" s="344">
        <v>7371</v>
      </c>
      <c r="B1900" s="337" t="s">
        <v>4873</v>
      </c>
      <c r="C1900" s="338">
        <v>541511</v>
      </c>
      <c r="D1900" s="339" t="s">
        <v>4873</v>
      </c>
    </row>
    <row r="1901" spans="1:4" ht="43.5" customHeight="1" x14ac:dyDescent="0.35">
      <c r="A1901" s="345">
        <v>7372</v>
      </c>
      <c r="B1901" s="333" t="s">
        <v>4874</v>
      </c>
      <c r="C1901" s="334">
        <v>334614</v>
      </c>
      <c r="D1901" s="335" t="s">
        <v>4136</v>
      </c>
    </row>
    <row r="1902" spans="1:4" ht="17.25" customHeight="1" x14ac:dyDescent="0.35">
      <c r="A1902" s="345">
        <v>7372</v>
      </c>
      <c r="B1902" s="333" t="s">
        <v>4874</v>
      </c>
      <c r="C1902" s="334">
        <v>511210</v>
      </c>
      <c r="D1902" s="335" t="s">
        <v>4875</v>
      </c>
    </row>
    <row r="1903" spans="1:4" ht="17.25" customHeight="1" x14ac:dyDescent="0.35">
      <c r="A1903" s="348">
        <v>7373</v>
      </c>
      <c r="B1903" s="333" t="s">
        <v>4876</v>
      </c>
      <c r="C1903" s="334">
        <v>541512</v>
      </c>
      <c r="D1903" s="335" t="s">
        <v>4877</v>
      </c>
    </row>
    <row r="1904" spans="1:4" ht="34.5" customHeight="1" x14ac:dyDescent="0.35">
      <c r="A1904" s="349">
        <v>7374</v>
      </c>
      <c r="B1904" s="337" t="s">
        <v>4878</v>
      </c>
      <c r="C1904" s="338">
        <v>518210</v>
      </c>
      <c r="D1904" s="340" t="s">
        <v>4879</v>
      </c>
    </row>
    <row r="1905" spans="1:4" ht="17.25" customHeight="1" x14ac:dyDescent="0.35">
      <c r="A1905" s="348">
        <v>7375</v>
      </c>
      <c r="B1905" s="333" t="s">
        <v>4880</v>
      </c>
      <c r="C1905" s="334">
        <v>517311</v>
      </c>
      <c r="D1905" s="335" t="s">
        <v>4372</v>
      </c>
    </row>
    <row r="1906" spans="1:4" ht="17.25" customHeight="1" x14ac:dyDescent="0.35">
      <c r="A1906" s="348">
        <v>7375</v>
      </c>
      <c r="B1906" s="333" t="s">
        <v>4880</v>
      </c>
      <c r="C1906" s="334">
        <v>517919</v>
      </c>
      <c r="D1906" s="335" t="s">
        <v>4383</v>
      </c>
    </row>
    <row r="1907" spans="1:4" ht="28.75" customHeight="1" x14ac:dyDescent="0.35">
      <c r="A1907" s="348">
        <v>7376</v>
      </c>
      <c r="B1907" s="333" t="s">
        <v>4881</v>
      </c>
      <c r="C1907" s="334">
        <v>541513</v>
      </c>
      <c r="D1907" s="335" t="s">
        <v>4882</v>
      </c>
    </row>
    <row r="1908" spans="1:4" ht="34.5" customHeight="1" x14ac:dyDescent="0.35">
      <c r="A1908" s="348">
        <v>7377</v>
      </c>
      <c r="B1908" s="333" t="s">
        <v>4883</v>
      </c>
      <c r="C1908" s="334">
        <v>532420</v>
      </c>
      <c r="D1908" s="341" t="s">
        <v>4864</v>
      </c>
    </row>
    <row r="1909" spans="1:4" ht="17.25" customHeight="1" x14ac:dyDescent="0.35">
      <c r="A1909" s="344">
        <v>7378</v>
      </c>
      <c r="B1909" s="337" t="s">
        <v>4884</v>
      </c>
      <c r="C1909" s="338">
        <v>443142</v>
      </c>
      <c r="D1909" s="339" t="s">
        <v>4454</v>
      </c>
    </row>
    <row r="1910" spans="1:4" ht="34.5" customHeight="1" x14ac:dyDescent="0.35">
      <c r="A1910" s="345">
        <v>7378</v>
      </c>
      <c r="B1910" s="333" t="s">
        <v>4884</v>
      </c>
      <c r="C1910" s="334">
        <v>811212</v>
      </c>
      <c r="D1910" s="341" t="s">
        <v>4885</v>
      </c>
    </row>
    <row r="1911" spans="1:4" ht="34.5" customHeight="1" x14ac:dyDescent="0.35">
      <c r="A1911" s="345">
        <v>7379</v>
      </c>
      <c r="B1911" s="333" t="s">
        <v>4886</v>
      </c>
      <c r="C1911" s="334">
        <v>518210</v>
      </c>
      <c r="D1911" s="341" t="s">
        <v>4879</v>
      </c>
    </row>
    <row r="1912" spans="1:4" ht="17.25" customHeight="1" x14ac:dyDescent="0.35">
      <c r="A1912" s="344">
        <v>7379</v>
      </c>
      <c r="B1912" s="337" t="s">
        <v>4886</v>
      </c>
      <c r="C1912" s="338">
        <v>541512</v>
      </c>
      <c r="D1912" s="339" t="s">
        <v>4877</v>
      </c>
    </row>
    <row r="1913" spans="1:4" ht="17.25" customHeight="1" x14ac:dyDescent="0.35">
      <c r="A1913" s="344">
        <v>7379</v>
      </c>
      <c r="B1913" s="337" t="s">
        <v>4886</v>
      </c>
      <c r="C1913" s="338">
        <v>541519</v>
      </c>
      <c r="D1913" s="339" t="s">
        <v>4887</v>
      </c>
    </row>
    <row r="1914" spans="1:4" ht="17.25" customHeight="1" x14ac:dyDescent="0.35">
      <c r="A1914" s="345">
        <v>7381</v>
      </c>
      <c r="B1914" s="333" t="s">
        <v>4888</v>
      </c>
      <c r="C1914" s="334">
        <v>561611</v>
      </c>
      <c r="D1914" s="335" t="s">
        <v>4889</v>
      </c>
    </row>
    <row r="1915" spans="1:4" ht="17.25" customHeight="1" x14ac:dyDescent="0.35">
      <c r="A1915" s="344">
        <v>7381</v>
      </c>
      <c r="B1915" s="337" t="s">
        <v>4888</v>
      </c>
      <c r="C1915" s="338">
        <v>561612</v>
      </c>
      <c r="D1915" s="339" t="s">
        <v>4890</v>
      </c>
    </row>
    <row r="1916" spans="1:4" ht="17.25" customHeight="1" x14ac:dyDescent="0.35">
      <c r="A1916" s="345">
        <v>7381</v>
      </c>
      <c r="B1916" s="333" t="s">
        <v>4888</v>
      </c>
      <c r="C1916" s="334">
        <v>561613</v>
      </c>
      <c r="D1916" s="335" t="s">
        <v>4891</v>
      </c>
    </row>
    <row r="1917" spans="1:4" ht="34.5" customHeight="1" x14ac:dyDescent="0.35">
      <c r="A1917" s="344">
        <v>7382</v>
      </c>
      <c r="B1917" s="337" t="s">
        <v>4892</v>
      </c>
      <c r="C1917" s="338">
        <v>561621</v>
      </c>
      <c r="D1917" s="340" t="s">
        <v>4893</v>
      </c>
    </row>
    <row r="1918" spans="1:4" ht="17.25" customHeight="1" x14ac:dyDescent="0.35">
      <c r="A1918" s="345">
        <v>7383</v>
      </c>
      <c r="B1918" s="333" t="s">
        <v>4894</v>
      </c>
      <c r="C1918" s="334">
        <v>519110</v>
      </c>
      <c r="D1918" s="335" t="s">
        <v>4894</v>
      </c>
    </row>
    <row r="1919" spans="1:4" ht="34.5" customHeight="1" x14ac:dyDescent="0.35">
      <c r="A1919" s="345">
        <v>7383</v>
      </c>
      <c r="B1919" s="333" t="s">
        <v>4894</v>
      </c>
      <c r="C1919" s="334">
        <v>711510</v>
      </c>
      <c r="D1919" s="341" t="s">
        <v>4895</v>
      </c>
    </row>
    <row r="1920" spans="1:4" ht="34.5" customHeight="1" x14ac:dyDescent="0.35">
      <c r="A1920" s="344">
        <v>7384</v>
      </c>
      <c r="B1920" s="337" t="s">
        <v>4896</v>
      </c>
      <c r="C1920" s="338">
        <v>812921</v>
      </c>
      <c r="D1920" s="340" t="s">
        <v>4897</v>
      </c>
    </row>
    <row r="1921" spans="1:4" ht="17.25" customHeight="1" x14ac:dyDescent="0.35">
      <c r="A1921" s="345">
        <v>7384</v>
      </c>
      <c r="B1921" s="333" t="s">
        <v>4896</v>
      </c>
      <c r="C1921" s="334">
        <v>812922</v>
      </c>
      <c r="D1921" s="335" t="s">
        <v>4898</v>
      </c>
    </row>
    <row r="1922" spans="1:4" ht="17.25" customHeight="1" x14ac:dyDescent="0.35">
      <c r="A1922" s="345">
        <v>7389</v>
      </c>
      <c r="B1922" s="333" t="s">
        <v>4899</v>
      </c>
      <c r="C1922" s="334">
        <v>312230</v>
      </c>
      <c r="D1922" s="335" t="s">
        <v>3525</v>
      </c>
    </row>
    <row r="1923" spans="1:4" ht="17.25" customHeight="1" x14ac:dyDescent="0.35">
      <c r="A1923" s="345">
        <v>7389</v>
      </c>
      <c r="B1923" s="333" t="s">
        <v>4899</v>
      </c>
      <c r="C1923" s="334">
        <v>313310</v>
      </c>
      <c r="D1923" s="335" t="s">
        <v>3533</v>
      </c>
    </row>
    <row r="1924" spans="1:4" ht="34.5" customHeight="1" x14ac:dyDescent="0.35">
      <c r="A1924" s="345">
        <v>7389</v>
      </c>
      <c r="B1924" s="333" t="s">
        <v>4899</v>
      </c>
      <c r="C1924" s="334">
        <v>314999</v>
      </c>
      <c r="D1924" s="341" t="s">
        <v>3563</v>
      </c>
    </row>
    <row r="1925" spans="1:4" ht="34.5" customHeight="1" x14ac:dyDescent="0.35">
      <c r="A1925" s="345">
        <v>7389</v>
      </c>
      <c r="B1925" s="333" t="s">
        <v>4899</v>
      </c>
      <c r="C1925" s="334">
        <v>325998</v>
      </c>
      <c r="D1925" s="341" t="s">
        <v>3729</v>
      </c>
    </row>
    <row r="1926" spans="1:4" ht="17.25" customHeight="1" x14ac:dyDescent="0.35">
      <c r="A1926" s="345">
        <v>7389</v>
      </c>
      <c r="B1926" s="333" t="s">
        <v>4899</v>
      </c>
      <c r="C1926" s="334">
        <v>425120</v>
      </c>
      <c r="D1926" s="335" t="s">
        <v>4423</v>
      </c>
    </row>
    <row r="1927" spans="1:4" ht="34.5" customHeight="1" x14ac:dyDescent="0.35">
      <c r="A1927" s="344">
        <v>7389</v>
      </c>
      <c r="B1927" s="337" t="s">
        <v>4899</v>
      </c>
      <c r="C1927" s="338">
        <v>488490</v>
      </c>
      <c r="D1927" s="340" t="s">
        <v>4288</v>
      </c>
    </row>
    <row r="1928" spans="1:4" ht="17.25" customHeight="1" x14ac:dyDescent="0.35">
      <c r="A1928" s="344">
        <v>7389</v>
      </c>
      <c r="B1928" s="337" t="s">
        <v>4899</v>
      </c>
      <c r="C1928" s="338">
        <v>491110</v>
      </c>
      <c r="D1928" s="339" t="s">
        <v>4312</v>
      </c>
    </row>
    <row r="1929" spans="1:4" ht="17.25" customHeight="1" x14ac:dyDescent="0.35">
      <c r="A1929" s="345">
        <v>7389</v>
      </c>
      <c r="B1929" s="333" t="s">
        <v>4899</v>
      </c>
      <c r="C1929" s="334">
        <v>512240</v>
      </c>
      <c r="D1929" s="335" t="s">
        <v>4900</v>
      </c>
    </row>
    <row r="1930" spans="1:4" ht="17.25" customHeight="1" x14ac:dyDescent="0.35">
      <c r="A1930" s="344">
        <v>7389</v>
      </c>
      <c r="B1930" s="337" t="s">
        <v>4899</v>
      </c>
      <c r="C1930" s="338">
        <v>512290</v>
      </c>
      <c r="D1930" s="339" t="s">
        <v>4901</v>
      </c>
    </row>
    <row r="1931" spans="1:4" ht="34.5" customHeight="1" x14ac:dyDescent="0.35">
      <c r="A1931" s="344">
        <v>7389</v>
      </c>
      <c r="B1931" s="337" t="s">
        <v>4899</v>
      </c>
      <c r="C1931" s="338">
        <v>518210</v>
      </c>
      <c r="D1931" s="340" t="s">
        <v>4879</v>
      </c>
    </row>
    <row r="1932" spans="1:4" ht="17.25" customHeight="1" x14ac:dyDescent="0.35">
      <c r="A1932" s="345">
        <v>7389</v>
      </c>
      <c r="B1932" s="333" t="s">
        <v>4899</v>
      </c>
      <c r="C1932" s="334">
        <v>519190</v>
      </c>
      <c r="D1932" s="335" t="s">
        <v>4902</v>
      </c>
    </row>
    <row r="1933" spans="1:4" ht="34.5" customHeight="1" x14ac:dyDescent="0.35">
      <c r="A1933" s="344">
        <v>7389</v>
      </c>
      <c r="B1933" s="337" t="s">
        <v>4899</v>
      </c>
      <c r="C1933" s="338">
        <v>522320</v>
      </c>
      <c r="D1933" s="340" t="s">
        <v>4701</v>
      </c>
    </row>
    <row r="1934" spans="1:4" ht="17.25" customHeight="1" x14ac:dyDescent="0.35">
      <c r="A1934" s="345">
        <v>7389</v>
      </c>
      <c r="B1934" s="333" t="s">
        <v>4899</v>
      </c>
      <c r="C1934" s="334">
        <v>541199</v>
      </c>
      <c r="D1934" s="335" t="s">
        <v>4903</v>
      </c>
    </row>
    <row r="1935" spans="1:4" ht="17.25" customHeight="1" x14ac:dyDescent="0.35">
      <c r="A1935" s="344">
        <v>7389</v>
      </c>
      <c r="B1935" s="337" t="s">
        <v>4899</v>
      </c>
      <c r="C1935" s="338">
        <v>541340</v>
      </c>
      <c r="D1935" s="339" t="s">
        <v>4904</v>
      </c>
    </row>
    <row r="1936" spans="1:4" ht="17.25" customHeight="1" x14ac:dyDescent="0.35">
      <c r="A1936" s="345">
        <v>7389</v>
      </c>
      <c r="B1936" s="333" t="s">
        <v>4899</v>
      </c>
      <c r="C1936" s="334">
        <v>541350</v>
      </c>
      <c r="D1936" s="335" t="s">
        <v>4905</v>
      </c>
    </row>
    <row r="1937" spans="1:4" ht="34.5" customHeight="1" x14ac:dyDescent="0.35">
      <c r="A1937" s="344">
        <v>7389</v>
      </c>
      <c r="B1937" s="337" t="s">
        <v>4899</v>
      </c>
      <c r="C1937" s="338">
        <v>541370</v>
      </c>
      <c r="D1937" s="340" t="s">
        <v>4906</v>
      </c>
    </row>
    <row r="1938" spans="1:4" ht="17.25" customHeight="1" x14ac:dyDescent="0.35">
      <c r="A1938" s="345">
        <v>7389</v>
      </c>
      <c r="B1938" s="333" t="s">
        <v>4899</v>
      </c>
      <c r="C1938" s="334">
        <v>541410</v>
      </c>
      <c r="D1938" s="335" t="s">
        <v>4907</v>
      </c>
    </row>
    <row r="1939" spans="1:4" ht="17.25" customHeight="1" x14ac:dyDescent="0.35">
      <c r="A1939" s="344">
        <v>7389</v>
      </c>
      <c r="B1939" s="337" t="s">
        <v>4899</v>
      </c>
      <c r="C1939" s="338">
        <v>541420</v>
      </c>
      <c r="D1939" s="339" t="s">
        <v>4908</v>
      </c>
    </row>
    <row r="1940" spans="1:4" ht="17.25" customHeight="1" x14ac:dyDescent="0.35">
      <c r="A1940" s="345">
        <v>7389</v>
      </c>
      <c r="B1940" s="333" t="s">
        <v>4899</v>
      </c>
      <c r="C1940" s="334">
        <v>541490</v>
      </c>
      <c r="D1940" s="335" t="s">
        <v>4909</v>
      </c>
    </row>
    <row r="1941" spans="1:4" ht="17.25" customHeight="1" x14ac:dyDescent="0.35">
      <c r="A1941" s="344">
        <v>7389</v>
      </c>
      <c r="B1941" s="337" t="s">
        <v>4899</v>
      </c>
      <c r="C1941" s="338">
        <v>541870</v>
      </c>
      <c r="D1941" s="339" t="s">
        <v>4838</v>
      </c>
    </row>
    <row r="1942" spans="1:4" ht="17.25" customHeight="1" x14ac:dyDescent="0.35">
      <c r="A1942" s="345">
        <v>7389</v>
      </c>
      <c r="B1942" s="333" t="s">
        <v>4899</v>
      </c>
      <c r="C1942" s="334">
        <v>541890</v>
      </c>
      <c r="D1942" s="335" t="s">
        <v>4598</v>
      </c>
    </row>
    <row r="1943" spans="1:4" ht="17.25" customHeight="1" x14ac:dyDescent="0.35">
      <c r="A1943" s="344">
        <v>7389</v>
      </c>
      <c r="B1943" s="337" t="s">
        <v>4899</v>
      </c>
      <c r="C1943" s="338">
        <v>541930</v>
      </c>
      <c r="D1943" s="339" t="s">
        <v>4910</v>
      </c>
    </row>
    <row r="1944" spans="1:4" ht="34.5" customHeight="1" x14ac:dyDescent="0.35">
      <c r="A1944" s="344">
        <v>7389</v>
      </c>
      <c r="B1944" s="337" t="s">
        <v>4899</v>
      </c>
      <c r="C1944" s="338">
        <v>541990</v>
      </c>
      <c r="D1944" s="340" t="s">
        <v>4334</v>
      </c>
    </row>
    <row r="1945" spans="1:4" ht="17.25" customHeight="1" x14ac:dyDescent="0.35">
      <c r="A1945" s="345">
        <v>7389</v>
      </c>
      <c r="B1945" s="333" t="s">
        <v>4899</v>
      </c>
      <c r="C1945" s="334">
        <v>561410</v>
      </c>
      <c r="D1945" s="335" t="s">
        <v>4851</v>
      </c>
    </row>
    <row r="1946" spans="1:4" ht="17.25" customHeight="1" x14ac:dyDescent="0.35">
      <c r="A1946" s="344">
        <v>7389</v>
      </c>
      <c r="B1946" s="337" t="s">
        <v>4899</v>
      </c>
      <c r="C1946" s="338">
        <v>561421</v>
      </c>
      <c r="D1946" s="339" t="s">
        <v>4911</v>
      </c>
    </row>
    <row r="1947" spans="1:4" ht="34.5" customHeight="1" x14ac:dyDescent="0.35">
      <c r="A1947" s="345">
        <v>7389</v>
      </c>
      <c r="B1947" s="333" t="s">
        <v>4899</v>
      </c>
      <c r="C1947" s="334">
        <v>561422</v>
      </c>
      <c r="D1947" s="341" t="s">
        <v>4912</v>
      </c>
    </row>
    <row r="1948" spans="1:4" ht="17.25" customHeight="1" x14ac:dyDescent="0.35">
      <c r="A1948" s="344">
        <v>7389</v>
      </c>
      <c r="B1948" s="337" t="s">
        <v>4899</v>
      </c>
      <c r="C1948" s="338">
        <v>561431</v>
      </c>
      <c r="D1948" s="339" t="s">
        <v>4913</v>
      </c>
    </row>
    <row r="1949" spans="1:4" ht="34.5" customHeight="1" x14ac:dyDescent="0.35">
      <c r="A1949" s="344">
        <v>7389</v>
      </c>
      <c r="B1949" s="337" t="s">
        <v>4899</v>
      </c>
      <c r="C1949" s="338">
        <v>561439</v>
      </c>
      <c r="D1949" s="340" t="s">
        <v>4846</v>
      </c>
    </row>
    <row r="1950" spans="1:4" ht="17.25" customHeight="1" x14ac:dyDescent="0.35">
      <c r="A1950" s="344">
        <v>7389</v>
      </c>
      <c r="B1950" s="337" t="s">
        <v>4899</v>
      </c>
      <c r="C1950" s="338">
        <v>561440</v>
      </c>
      <c r="D1950" s="339" t="s">
        <v>4840</v>
      </c>
    </row>
    <row r="1951" spans="1:4" ht="17.25" customHeight="1" x14ac:dyDescent="0.35">
      <c r="A1951" s="344">
        <v>7389</v>
      </c>
      <c r="B1951" s="337" t="s">
        <v>4899</v>
      </c>
      <c r="C1951" s="338">
        <v>561491</v>
      </c>
      <c r="D1951" s="339" t="s">
        <v>4914</v>
      </c>
    </row>
    <row r="1952" spans="1:4" ht="17.25" customHeight="1" x14ac:dyDescent="0.35">
      <c r="A1952" s="344">
        <v>7389</v>
      </c>
      <c r="B1952" s="337" t="s">
        <v>4899</v>
      </c>
      <c r="C1952" s="338">
        <v>561499</v>
      </c>
      <c r="D1952" s="339" t="s">
        <v>4915</v>
      </c>
    </row>
    <row r="1953" spans="1:4" ht="17.25" customHeight="1" x14ac:dyDescent="0.35">
      <c r="A1953" s="345">
        <v>7389</v>
      </c>
      <c r="B1953" s="333" t="s">
        <v>4899</v>
      </c>
      <c r="C1953" s="334">
        <v>561591</v>
      </c>
      <c r="D1953" s="335" t="s">
        <v>4916</v>
      </c>
    </row>
    <row r="1954" spans="1:4" ht="34.5" customHeight="1" x14ac:dyDescent="0.35">
      <c r="A1954" s="345">
        <v>7389</v>
      </c>
      <c r="B1954" s="333" t="s">
        <v>4899</v>
      </c>
      <c r="C1954" s="334">
        <v>561599</v>
      </c>
      <c r="D1954" s="341" t="s">
        <v>4360</v>
      </c>
    </row>
    <row r="1955" spans="1:4" ht="17.25" customHeight="1" x14ac:dyDescent="0.35">
      <c r="A1955" s="345">
        <v>7389</v>
      </c>
      <c r="B1955" s="333" t="s">
        <v>4899</v>
      </c>
      <c r="C1955" s="334">
        <v>561790</v>
      </c>
      <c r="D1955" s="335" t="s">
        <v>3429</v>
      </c>
    </row>
    <row r="1956" spans="1:4" ht="17.25" customHeight="1" x14ac:dyDescent="0.35">
      <c r="A1956" s="345">
        <v>7389</v>
      </c>
      <c r="B1956" s="333" t="s">
        <v>4899</v>
      </c>
      <c r="C1956" s="334">
        <v>561910</v>
      </c>
      <c r="D1956" s="335" t="s">
        <v>4917</v>
      </c>
    </row>
    <row r="1957" spans="1:4" ht="17.25" customHeight="1" x14ac:dyDescent="0.35">
      <c r="A1957" s="344">
        <v>7389</v>
      </c>
      <c r="B1957" s="337" t="s">
        <v>4899</v>
      </c>
      <c r="C1957" s="338">
        <v>561920</v>
      </c>
      <c r="D1957" s="339" t="s">
        <v>4918</v>
      </c>
    </row>
    <row r="1958" spans="1:4" ht="17.25" customHeight="1" x14ac:dyDescent="0.35">
      <c r="A1958" s="344">
        <v>7389</v>
      </c>
      <c r="B1958" s="337" t="s">
        <v>4899</v>
      </c>
      <c r="C1958" s="338">
        <v>561990</v>
      </c>
      <c r="D1958" s="339" t="s">
        <v>4827</v>
      </c>
    </row>
    <row r="1959" spans="1:4" ht="34.5" customHeight="1" x14ac:dyDescent="0.35">
      <c r="A1959" s="344">
        <v>7389</v>
      </c>
      <c r="B1959" s="337" t="s">
        <v>4899</v>
      </c>
      <c r="C1959" s="338">
        <v>711310</v>
      </c>
      <c r="D1959" s="340" t="s">
        <v>4752</v>
      </c>
    </row>
    <row r="1960" spans="1:4" ht="34.5" customHeight="1" x14ac:dyDescent="0.35">
      <c r="A1960" s="344">
        <v>7389</v>
      </c>
      <c r="B1960" s="337" t="s">
        <v>4899</v>
      </c>
      <c r="C1960" s="338">
        <v>711320</v>
      </c>
      <c r="D1960" s="340" t="s">
        <v>4919</v>
      </c>
    </row>
    <row r="1961" spans="1:4" ht="34.5" customHeight="1" x14ac:dyDescent="0.35">
      <c r="A1961" s="344">
        <v>7389</v>
      </c>
      <c r="B1961" s="337" t="s">
        <v>4899</v>
      </c>
      <c r="C1961" s="338">
        <v>711410</v>
      </c>
      <c r="D1961" s="340" t="s">
        <v>4920</v>
      </c>
    </row>
    <row r="1962" spans="1:4" ht="34.5" customHeight="1" x14ac:dyDescent="0.35">
      <c r="A1962" s="345">
        <v>7389</v>
      </c>
      <c r="B1962" s="333" t="s">
        <v>4899</v>
      </c>
      <c r="C1962" s="334">
        <v>812320</v>
      </c>
      <c r="D1962" s="341" t="s">
        <v>4801</v>
      </c>
    </row>
    <row r="1963" spans="1:4" ht="17.25" customHeight="1" x14ac:dyDescent="0.35">
      <c r="A1963" s="345">
        <v>7389</v>
      </c>
      <c r="B1963" s="333" t="s">
        <v>4899</v>
      </c>
      <c r="C1963" s="334">
        <v>812990</v>
      </c>
      <c r="D1963" s="335" t="s">
        <v>4384</v>
      </c>
    </row>
    <row r="1964" spans="1:4" ht="34.5" customHeight="1" x14ac:dyDescent="0.35">
      <c r="A1964" s="345">
        <v>7513</v>
      </c>
      <c r="B1964" s="333" t="s">
        <v>4921</v>
      </c>
      <c r="C1964" s="334">
        <v>532120</v>
      </c>
      <c r="D1964" s="341" t="s">
        <v>4922</v>
      </c>
    </row>
    <row r="1965" spans="1:4" ht="17.25" customHeight="1" x14ac:dyDescent="0.35">
      <c r="A1965" s="345">
        <v>7514</v>
      </c>
      <c r="B1965" s="333" t="s">
        <v>4923</v>
      </c>
      <c r="C1965" s="334">
        <v>532111</v>
      </c>
      <c r="D1965" s="335" t="s">
        <v>4923</v>
      </c>
    </row>
    <row r="1966" spans="1:4" ht="17.25" customHeight="1" x14ac:dyDescent="0.35">
      <c r="A1966" s="344">
        <v>7515</v>
      </c>
      <c r="B1966" s="337" t="s">
        <v>4924</v>
      </c>
      <c r="C1966" s="338">
        <v>532112</v>
      </c>
      <c r="D1966" s="339" t="s">
        <v>4924</v>
      </c>
    </row>
    <row r="1967" spans="1:4" ht="34.5" customHeight="1" x14ac:dyDescent="0.35">
      <c r="A1967" s="344">
        <v>7519</v>
      </c>
      <c r="B1967" s="337" t="s">
        <v>4925</v>
      </c>
      <c r="C1967" s="338">
        <v>532120</v>
      </c>
      <c r="D1967" s="340" t="s">
        <v>4922</v>
      </c>
    </row>
    <row r="1968" spans="1:4" ht="17.25" customHeight="1" x14ac:dyDescent="0.35">
      <c r="A1968" s="345">
        <v>7521</v>
      </c>
      <c r="B1968" s="333" t="s">
        <v>4926</v>
      </c>
      <c r="C1968" s="334">
        <v>812930</v>
      </c>
      <c r="D1968" s="335" t="s">
        <v>4830</v>
      </c>
    </row>
    <row r="1969" spans="1:4" ht="34.5" customHeight="1" x14ac:dyDescent="0.35">
      <c r="A1969" s="344">
        <v>7532</v>
      </c>
      <c r="B1969" s="337" t="s">
        <v>4927</v>
      </c>
      <c r="C1969" s="338">
        <v>811121</v>
      </c>
      <c r="D1969" s="340" t="s">
        <v>4928</v>
      </c>
    </row>
    <row r="1970" spans="1:4" ht="17.25" customHeight="1" x14ac:dyDescent="0.35">
      <c r="A1970" s="345">
        <v>7533</v>
      </c>
      <c r="B1970" s="333" t="s">
        <v>4929</v>
      </c>
      <c r="C1970" s="334">
        <v>811112</v>
      </c>
      <c r="D1970" s="335" t="s">
        <v>4930</v>
      </c>
    </row>
    <row r="1971" spans="1:4" ht="17.25" customHeight="1" x14ac:dyDescent="0.35">
      <c r="A1971" s="345">
        <v>7534</v>
      </c>
      <c r="B1971" s="333" t="s">
        <v>4931</v>
      </c>
      <c r="C1971" s="334">
        <v>326212</v>
      </c>
      <c r="D1971" s="335" t="s">
        <v>4932</v>
      </c>
    </row>
    <row r="1972" spans="1:4" ht="34.5" customHeight="1" x14ac:dyDescent="0.35">
      <c r="A1972" s="345">
        <v>7534</v>
      </c>
      <c r="B1972" s="333" t="s">
        <v>4931</v>
      </c>
      <c r="C1972" s="334">
        <v>811198</v>
      </c>
      <c r="D1972" s="341" t="s">
        <v>4933</v>
      </c>
    </row>
    <row r="1973" spans="1:4" ht="17.25" customHeight="1" x14ac:dyDescent="0.35">
      <c r="A1973" s="345">
        <v>7536</v>
      </c>
      <c r="B1973" s="333" t="s">
        <v>4934</v>
      </c>
      <c r="C1973" s="334">
        <v>811122</v>
      </c>
      <c r="D1973" s="335" t="s">
        <v>4934</v>
      </c>
    </row>
    <row r="1974" spans="1:4" ht="17.25" customHeight="1" x14ac:dyDescent="0.35">
      <c r="A1974" s="344">
        <v>7537</v>
      </c>
      <c r="B1974" s="337" t="s">
        <v>4935</v>
      </c>
      <c r="C1974" s="338">
        <v>811113</v>
      </c>
      <c r="D1974" s="339" t="s">
        <v>4936</v>
      </c>
    </row>
    <row r="1975" spans="1:4" ht="17.25" customHeight="1" x14ac:dyDescent="0.35">
      <c r="A1975" s="344">
        <v>7538</v>
      </c>
      <c r="B1975" s="337" t="s">
        <v>4937</v>
      </c>
      <c r="C1975" s="338">
        <v>811111</v>
      </c>
      <c r="D1975" s="339" t="s">
        <v>4938</v>
      </c>
    </row>
    <row r="1976" spans="1:4" ht="34.5" customHeight="1" x14ac:dyDescent="0.35">
      <c r="A1976" s="345">
        <v>7539</v>
      </c>
      <c r="B1976" s="333" t="s">
        <v>4939</v>
      </c>
      <c r="C1976" s="334">
        <v>811118</v>
      </c>
      <c r="D1976" s="341" t="s">
        <v>4940</v>
      </c>
    </row>
    <row r="1977" spans="1:4" ht="34.5" customHeight="1" x14ac:dyDescent="0.35">
      <c r="A1977" s="344">
        <v>7539</v>
      </c>
      <c r="B1977" s="337" t="s">
        <v>4939</v>
      </c>
      <c r="C1977" s="338">
        <v>811198</v>
      </c>
      <c r="D1977" s="340" t="s">
        <v>4933</v>
      </c>
    </row>
    <row r="1978" spans="1:4" ht="17.25" customHeight="1" x14ac:dyDescent="0.35">
      <c r="A1978" s="344">
        <v>7542</v>
      </c>
      <c r="B1978" s="337" t="s">
        <v>4941</v>
      </c>
      <c r="C1978" s="338">
        <v>811192</v>
      </c>
      <c r="D1978" s="339" t="s">
        <v>4942</v>
      </c>
    </row>
    <row r="1979" spans="1:4" ht="17.25" customHeight="1" x14ac:dyDescent="0.35">
      <c r="A1979" s="345">
        <v>7549</v>
      </c>
      <c r="B1979" s="333" t="s">
        <v>4943</v>
      </c>
      <c r="C1979" s="334">
        <v>488410</v>
      </c>
      <c r="D1979" s="335" t="s">
        <v>4944</v>
      </c>
    </row>
    <row r="1980" spans="1:4" ht="17.25" customHeight="1" x14ac:dyDescent="0.35">
      <c r="A1980" s="344">
        <v>7549</v>
      </c>
      <c r="B1980" s="337" t="s">
        <v>4943</v>
      </c>
      <c r="C1980" s="338">
        <v>811122</v>
      </c>
      <c r="D1980" s="339" t="s">
        <v>4934</v>
      </c>
    </row>
    <row r="1981" spans="1:4" ht="34.5" customHeight="1" x14ac:dyDescent="0.35">
      <c r="A1981" s="345">
        <v>7549</v>
      </c>
      <c r="B1981" s="333" t="s">
        <v>4943</v>
      </c>
      <c r="C1981" s="334">
        <v>811191</v>
      </c>
      <c r="D1981" s="341" t="s">
        <v>4945</v>
      </c>
    </row>
    <row r="1982" spans="1:4" ht="34.5" customHeight="1" x14ac:dyDescent="0.35">
      <c r="A1982" s="345">
        <v>7549</v>
      </c>
      <c r="B1982" s="333" t="s">
        <v>4943</v>
      </c>
      <c r="C1982" s="334">
        <v>811198</v>
      </c>
      <c r="D1982" s="341" t="s">
        <v>4933</v>
      </c>
    </row>
    <row r="1983" spans="1:4" ht="17.25" customHeight="1" x14ac:dyDescent="0.35">
      <c r="A1983" s="344">
        <v>7622</v>
      </c>
      <c r="B1983" s="337" t="s">
        <v>4946</v>
      </c>
      <c r="C1983" s="338">
        <v>238290</v>
      </c>
      <c r="D1983" s="339" t="s">
        <v>3427</v>
      </c>
    </row>
    <row r="1984" spans="1:4" ht="17.25" customHeight="1" x14ac:dyDescent="0.35">
      <c r="A1984" s="345">
        <v>7622</v>
      </c>
      <c r="B1984" s="333" t="s">
        <v>4946</v>
      </c>
      <c r="C1984" s="334">
        <v>443142</v>
      </c>
      <c r="D1984" s="335" t="s">
        <v>4454</v>
      </c>
    </row>
    <row r="1985" spans="1:4" ht="34.5" customHeight="1" x14ac:dyDescent="0.35">
      <c r="A1985" s="344">
        <v>7622</v>
      </c>
      <c r="B1985" s="337" t="s">
        <v>4946</v>
      </c>
      <c r="C1985" s="338">
        <v>811211</v>
      </c>
      <c r="D1985" s="340" t="s">
        <v>4947</v>
      </c>
    </row>
    <row r="1986" spans="1:4" ht="34.5" customHeight="1" x14ac:dyDescent="0.35">
      <c r="A1986" s="344">
        <v>7622</v>
      </c>
      <c r="B1986" s="337" t="s">
        <v>4946</v>
      </c>
      <c r="C1986" s="338">
        <v>811213</v>
      </c>
      <c r="D1986" s="340" t="s">
        <v>4948</v>
      </c>
    </row>
    <row r="1987" spans="1:4" ht="17.25" customHeight="1" x14ac:dyDescent="0.35">
      <c r="A1987" s="344">
        <v>7623</v>
      </c>
      <c r="B1987" s="337" t="s">
        <v>4949</v>
      </c>
      <c r="C1987" s="338">
        <v>443141</v>
      </c>
      <c r="D1987" s="339" t="s">
        <v>4472</v>
      </c>
    </row>
    <row r="1988" spans="1:4" ht="43.5" customHeight="1" x14ac:dyDescent="0.35">
      <c r="A1988" s="344">
        <v>7623</v>
      </c>
      <c r="B1988" s="337" t="s">
        <v>4949</v>
      </c>
      <c r="C1988" s="338">
        <v>811310</v>
      </c>
      <c r="D1988" s="340" t="s">
        <v>4950</v>
      </c>
    </row>
    <row r="1989" spans="1:4" ht="17.25" customHeight="1" x14ac:dyDescent="0.35">
      <c r="A1989" s="345">
        <v>7623</v>
      </c>
      <c r="B1989" s="333" t="s">
        <v>4949</v>
      </c>
      <c r="C1989" s="334">
        <v>811412</v>
      </c>
      <c r="D1989" s="335" t="s">
        <v>4951</v>
      </c>
    </row>
    <row r="1990" spans="1:4" ht="17.25" customHeight="1" x14ac:dyDescent="0.35">
      <c r="A1990" s="345">
        <v>7629</v>
      </c>
      <c r="B1990" s="333" t="s">
        <v>4952</v>
      </c>
      <c r="C1990" s="334">
        <v>443141</v>
      </c>
      <c r="D1990" s="335" t="s">
        <v>4472</v>
      </c>
    </row>
    <row r="1991" spans="1:4" ht="34.5" customHeight="1" x14ac:dyDescent="0.35">
      <c r="A1991" s="345">
        <v>7629</v>
      </c>
      <c r="B1991" s="333" t="s">
        <v>4952</v>
      </c>
      <c r="C1991" s="334">
        <v>811211</v>
      </c>
      <c r="D1991" s="341" t="s">
        <v>4947</v>
      </c>
    </row>
    <row r="1992" spans="1:4" ht="34.5" customHeight="1" x14ac:dyDescent="0.35">
      <c r="A1992" s="344">
        <v>7629</v>
      </c>
      <c r="B1992" s="337" t="s">
        <v>4952</v>
      </c>
      <c r="C1992" s="338">
        <v>811212</v>
      </c>
      <c r="D1992" s="340" t="s">
        <v>4885</v>
      </c>
    </row>
    <row r="1993" spans="1:4" ht="34.5" customHeight="1" x14ac:dyDescent="0.35">
      <c r="A1993" s="345">
        <v>7629</v>
      </c>
      <c r="B1993" s="333" t="s">
        <v>4952</v>
      </c>
      <c r="C1993" s="334">
        <v>811213</v>
      </c>
      <c r="D1993" s="341" t="s">
        <v>4948</v>
      </c>
    </row>
    <row r="1994" spans="1:4" ht="34.5" customHeight="1" x14ac:dyDescent="0.35">
      <c r="A1994" s="344">
        <v>7629</v>
      </c>
      <c r="B1994" s="337" t="s">
        <v>4952</v>
      </c>
      <c r="C1994" s="338">
        <v>811219</v>
      </c>
      <c r="D1994" s="340" t="s">
        <v>4953</v>
      </c>
    </row>
    <row r="1995" spans="1:4" ht="17.25" customHeight="1" x14ac:dyDescent="0.35">
      <c r="A1995" s="344">
        <v>7629</v>
      </c>
      <c r="B1995" s="337" t="s">
        <v>4952</v>
      </c>
      <c r="C1995" s="338">
        <v>811412</v>
      </c>
      <c r="D1995" s="339" t="s">
        <v>4951</v>
      </c>
    </row>
    <row r="1996" spans="1:4" ht="17.25" customHeight="1" x14ac:dyDescent="0.35">
      <c r="A1996" s="344">
        <v>7631</v>
      </c>
      <c r="B1996" s="337" t="s">
        <v>4954</v>
      </c>
      <c r="C1996" s="338">
        <v>448310</v>
      </c>
      <c r="D1996" s="339" t="s">
        <v>4510</v>
      </c>
    </row>
    <row r="1997" spans="1:4" ht="34.5" customHeight="1" x14ac:dyDescent="0.35">
      <c r="A1997" s="344">
        <v>7631</v>
      </c>
      <c r="B1997" s="337" t="s">
        <v>4954</v>
      </c>
      <c r="C1997" s="338">
        <v>811490</v>
      </c>
      <c r="D1997" s="340" t="s">
        <v>4193</v>
      </c>
    </row>
    <row r="1998" spans="1:4" ht="17.25" customHeight="1" x14ac:dyDescent="0.35">
      <c r="A1998" s="345">
        <v>7641</v>
      </c>
      <c r="B1998" s="333" t="s">
        <v>4349</v>
      </c>
      <c r="C1998" s="334">
        <v>811420</v>
      </c>
      <c r="D1998" s="335" t="s">
        <v>4349</v>
      </c>
    </row>
    <row r="1999" spans="1:4" ht="43.5" customHeight="1" x14ac:dyDescent="0.35">
      <c r="A1999" s="345">
        <v>7692</v>
      </c>
      <c r="B1999" s="333" t="s">
        <v>4955</v>
      </c>
      <c r="C1999" s="334">
        <v>811310</v>
      </c>
      <c r="D1999" s="341" t="s">
        <v>4950</v>
      </c>
    </row>
    <row r="2000" spans="1:4" ht="17.25" customHeight="1" x14ac:dyDescent="0.35">
      <c r="A2000" s="344">
        <v>7694</v>
      </c>
      <c r="B2000" s="337" t="s">
        <v>4956</v>
      </c>
      <c r="C2000" s="338">
        <v>335312</v>
      </c>
      <c r="D2000" s="339" t="s">
        <v>4104</v>
      </c>
    </row>
    <row r="2001" spans="1:4" ht="43.5" customHeight="1" x14ac:dyDescent="0.35">
      <c r="A2001" s="344">
        <v>7694</v>
      </c>
      <c r="B2001" s="337" t="s">
        <v>4956</v>
      </c>
      <c r="C2001" s="338">
        <v>811310</v>
      </c>
      <c r="D2001" s="340" t="s">
        <v>4950</v>
      </c>
    </row>
    <row r="2002" spans="1:4" ht="17.25" customHeight="1" x14ac:dyDescent="0.35">
      <c r="A2002" s="344">
        <v>7699</v>
      </c>
      <c r="B2002" s="337" t="s">
        <v>4957</v>
      </c>
      <c r="C2002" s="338">
        <v>115210</v>
      </c>
      <c r="D2002" s="339" t="s">
        <v>3287</v>
      </c>
    </row>
    <row r="2003" spans="1:4" ht="34.5" customHeight="1" x14ac:dyDescent="0.35">
      <c r="A2003" s="345">
        <v>7699</v>
      </c>
      <c r="B2003" s="333" t="s">
        <v>4957</v>
      </c>
      <c r="C2003" s="334">
        <v>238220</v>
      </c>
      <c r="D2003" s="341" t="s">
        <v>3396</v>
      </c>
    </row>
    <row r="2004" spans="1:4" ht="17.25" customHeight="1" x14ac:dyDescent="0.35">
      <c r="A2004" s="345">
        <v>7699</v>
      </c>
      <c r="B2004" s="333" t="s">
        <v>4957</v>
      </c>
      <c r="C2004" s="334">
        <v>442299</v>
      </c>
      <c r="D2004" s="335" t="s">
        <v>4640</v>
      </c>
    </row>
    <row r="2005" spans="1:4" ht="17.25" customHeight="1" x14ac:dyDescent="0.35">
      <c r="A2005" s="345">
        <v>7699</v>
      </c>
      <c r="B2005" s="333" t="s">
        <v>4957</v>
      </c>
      <c r="C2005" s="334">
        <v>444130</v>
      </c>
      <c r="D2005" s="335" t="s">
        <v>4477</v>
      </c>
    </row>
    <row r="2006" spans="1:4" ht="17.25" customHeight="1" x14ac:dyDescent="0.35">
      <c r="A2006" s="345">
        <v>7699</v>
      </c>
      <c r="B2006" s="333" t="s">
        <v>4957</v>
      </c>
      <c r="C2006" s="334">
        <v>444210</v>
      </c>
      <c r="D2006" s="335" t="s">
        <v>4489</v>
      </c>
    </row>
    <row r="2007" spans="1:4" ht="17.25" customHeight="1" x14ac:dyDescent="0.35">
      <c r="A2007" s="345">
        <v>7699</v>
      </c>
      <c r="B2007" s="333" t="s">
        <v>4957</v>
      </c>
      <c r="C2007" s="334">
        <v>451110</v>
      </c>
      <c r="D2007" s="335" t="s">
        <v>4502</v>
      </c>
    </row>
    <row r="2008" spans="1:4" ht="34.5" customHeight="1" x14ac:dyDescent="0.35">
      <c r="A2008" s="344">
        <v>7699</v>
      </c>
      <c r="B2008" s="337" t="s">
        <v>4957</v>
      </c>
      <c r="C2008" s="338">
        <v>488390</v>
      </c>
      <c r="D2008" s="340" t="s">
        <v>4191</v>
      </c>
    </row>
    <row r="2009" spans="1:4" ht="17.25" customHeight="1" x14ac:dyDescent="0.35">
      <c r="A2009" s="345">
        <v>7699</v>
      </c>
      <c r="B2009" s="333" t="s">
        <v>4957</v>
      </c>
      <c r="C2009" s="334">
        <v>561622</v>
      </c>
      <c r="D2009" s="335" t="s">
        <v>4958</v>
      </c>
    </row>
    <row r="2010" spans="1:4" ht="17.25" customHeight="1" x14ac:dyDescent="0.35">
      <c r="A2010" s="344">
        <v>7699</v>
      </c>
      <c r="B2010" s="337" t="s">
        <v>4957</v>
      </c>
      <c r="C2010" s="338">
        <v>561790</v>
      </c>
      <c r="D2010" s="339" t="s">
        <v>3429</v>
      </c>
    </row>
    <row r="2011" spans="1:4" ht="17.25" customHeight="1" x14ac:dyDescent="0.35">
      <c r="A2011" s="344">
        <v>7699</v>
      </c>
      <c r="B2011" s="337" t="s">
        <v>4957</v>
      </c>
      <c r="C2011" s="338">
        <v>562991</v>
      </c>
      <c r="D2011" s="339" t="s">
        <v>4866</v>
      </c>
    </row>
    <row r="2012" spans="1:4" ht="34.5" customHeight="1" x14ac:dyDescent="0.35">
      <c r="A2012" s="344">
        <v>7699</v>
      </c>
      <c r="B2012" s="337" t="s">
        <v>4957</v>
      </c>
      <c r="C2012" s="338">
        <v>562998</v>
      </c>
      <c r="D2012" s="340" t="s">
        <v>4416</v>
      </c>
    </row>
    <row r="2013" spans="1:4" ht="34.5" customHeight="1" x14ac:dyDescent="0.35">
      <c r="A2013" s="344">
        <v>7699</v>
      </c>
      <c r="B2013" s="337" t="s">
        <v>4957</v>
      </c>
      <c r="C2013" s="338">
        <v>711510</v>
      </c>
      <c r="D2013" s="340" t="s">
        <v>4895</v>
      </c>
    </row>
    <row r="2014" spans="1:4" ht="34.5" customHeight="1" x14ac:dyDescent="0.35">
      <c r="A2014" s="344">
        <v>7699</v>
      </c>
      <c r="B2014" s="337" t="s">
        <v>4957</v>
      </c>
      <c r="C2014" s="338">
        <v>811211</v>
      </c>
      <c r="D2014" s="340" t="s">
        <v>4947</v>
      </c>
    </row>
    <row r="2015" spans="1:4" ht="34.5" customHeight="1" x14ac:dyDescent="0.35">
      <c r="A2015" s="345">
        <v>7699</v>
      </c>
      <c r="B2015" s="333" t="s">
        <v>4957</v>
      </c>
      <c r="C2015" s="334">
        <v>811212</v>
      </c>
      <c r="D2015" s="341" t="s">
        <v>4885</v>
      </c>
    </row>
    <row r="2016" spans="1:4" ht="34.5" customHeight="1" x14ac:dyDescent="0.35">
      <c r="A2016" s="345">
        <v>7699</v>
      </c>
      <c r="B2016" s="333" t="s">
        <v>4957</v>
      </c>
      <c r="C2016" s="334">
        <v>811219</v>
      </c>
      <c r="D2016" s="341" t="s">
        <v>4953</v>
      </c>
    </row>
    <row r="2017" spans="1:4" ht="43.5" customHeight="1" x14ac:dyDescent="0.35">
      <c r="A2017" s="345">
        <v>7699</v>
      </c>
      <c r="B2017" s="333" t="s">
        <v>4957</v>
      </c>
      <c r="C2017" s="334">
        <v>811310</v>
      </c>
      <c r="D2017" s="341" t="s">
        <v>4950</v>
      </c>
    </row>
    <row r="2018" spans="1:4" ht="34.5" customHeight="1" x14ac:dyDescent="0.35">
      <c r="A2018" s="344">
        <v>7699</v>
      </c>
      <c r="B2018" s="337" t="s">
        <v>4957</v>
      </c>
      <c r="C2018" s="338">
        <v>811411</v>
      </c>
      <c r="D2018" s="340" t="s">
        <v>4959</v>
      </c>
    </row>
    <row r="2019" spans="1:4" ht="17.25" customHeight="1" x14ac:dyDescent="0.35">
      <c r="A2019" s="345">
        <v>7699</v>
      </c>
      <c r="B2019" s="333" t="s">
        <v>4957</v>
      </c>
      <c r="C2019" s="334">
        <v>811412</v>
      </c>
      <c r="D2019" s="335" t="s">
        <v>4951</v>
      </c>
    </row>
    <row r="2020" spans="1:4" ht="17.25" customHeight="1" x14ac:dyDescent="0.35">
      <c r="A2020" s="345">
        <v>7699</v>
      </c>
      <c r="B2020" s="333" t="s">
        <v>4957</v>
      </c>
      <c r="C2020" s="334">
        <v>811430</v>
      </c>
      <c r="D2020" s="335" t="s">
        <v>4819</v>
      </c>
    </row>
    <row r="2021" spans="1:4" ht="34.5" customHeight="1" x14ac:dyDescent="0.35">
      <c r="A2021" s="345">
        <v>7699</v>
      </c>
      <c r="B2021" s="333" t="s">
        <v>4957</v>
      </c>
      <c r="C2021" s="334">
        <v>811490</v>
      </c>
      <c r="D2021" s="341" t="s">
        <v>4193</v>
      </c>
    </row>
    <row r="2022" spans="1:4" ht="17.25" customHeight="1" x14ac:dyDescent="0.35">
      <c r="A2022" s="344">
        <v>7812</v>
      </c>
      <c r="B2022" s="337" t="s">
        <v>4960</v>
      </c>
      <c r="C2022" s="338">
        <v>512110</v>
      </c>
      <c r="D2022" s="339" t="s">
        <v>4960</v>
      </c>
    </row>
    <row r="2023" spans="1:4" ht="43.5" customHeight="1" x14ac:dyDescent="0.35">
      <c r="A2023" s="344">
        <v>7819</v>
      </c>
      <c r="B2023" s="337" t="s">
        <v>4961</v>
      </c>
      <c r="C2023" s="338">
        <v>334614</v>
      </c>
      <c r="D2023" s="339" t="s">
        <v>4136</v>
      </c>
    </row>
    <row r="2024" spans="1:4" ht="34.5" customHeight="1" x14ac:dyDescent="0.35">
      <c r="A2024" s="345">
        <v>7819</v>
      </c>
      <c r="B2024" s="333" t="s">
        <v>4961</v>
      </c>
      <c r="C2024" s="334">
        <v>512191</v>
      </c>
      <c r="D2024" s="341" t="s">
        <v>4962</v>
      </c>
    </row>
    <row r="2025" spans="1:4" ht="17.25" customHeight="1" x14ac:dyDescent="0.35">
      <c r="A2025" s="344">
        <v>7819</v>
      </c>
      <c r="B2025" s="337" t="s">
        <v>4961</v>
      </c>
      <c r="C2025" s="338">
        <v>512199</v>
      </c>
      <c r="D2025" s="339" t="s">
        <v>4963</v>
      </c>
    </row>
    <row r="2026" spans="1:4" ht="17.25" customHeight="1" x14ac:dyDescent="0.35">
      <c r="A2026" s="345">
        <v>7819</v>
      </c>
      <c r="B2026" s="333" t="s">
        <v>4961</v>
      </c>
      <c r="C2026" s="334">
        <v>532281</v>
      </c>
      <c r="D2026" s="335" t="s">
        <v>4825</v>
      </c>
    </row>
    <row r="2027" spans="1:4" ht="43.5" customHeight="1" x14ac:dyDescent="0.35">
      <c r="A2027" s="344">
        <v>7819</v>
      </c>
      <c r="B2027" s="337" t="s">
        <v>4961</v>
      </c>
      <c r="C2027" s="338">
        <v>532490</v>
      </c>
      <c r="D2027" s="340" t="s">
        <v>4857</v>
      </c>
    </row>
    <row r="2028" spans="1:4" ht="17.25" customHeight="1" x14ac:dyDescent="0.35">
      <c r="A2028" s="344">
        <v>7819</v>
      </c>
      <c r="B2028" s="337" t="s">
        <v>4961</v>
      </c>
      <c r="C2028" s="338">
        <v>541214</v>
      </c>
      <c r="D2028" s="339" t="s">
        <v>4964</v>
      </c>
    </row>
    <row r="2029" spans="1:4" ht="34.5" customHeight="1" x14ac:dyDescent="0.35">
      <c r="A2029" s="345">
        <v>7819</v>
      </c>
      <c r="B2029" s="333" t="s">
        <v>4961</v>
      </c>
      <c r="C2029" s="334">
        <v>541690</v>
      </c>
      <c r="D2029" s="341" t="s">
        <v>3296</v>
      </c>
    </row>
    <row r="2030" spans="1:4" ht="17.25" customHeight="1" x14ac:dyDescent="0.35">
      <c r="A2030" s="345">
        <v>7819</v>
      </c>
      <c r="B2030" s="333" t="s">
        <v>4961</v>
      </c>
      <c r="C2030" s="334">
        <v>561311</v>
      </c>
      <c r="D2030" s="335" t="s">
        <v>4826</v>
      </c>
    </row>
    <row r="2031" spans="1:4" ht="34.5" customHeight="1" x14ac:dyDescent="0.35">
      <c r="A2031" s="345">
        <v>7819</v>
      </c>
      <c r="B2031" s="333" t="s">
        <v>4961</v>
      </c>
      <c r="C2031" s="334">
        <v>711510</v>
      </c>
      <c r="D2031" s="341" t="s">
        <v>4895</v>
      </c>
    </row>
    <row r="2032" spans="1:4" ht="34.5" customHeight="1" x14ac:dyDescent="0.35">
      <c r="A2032" s="345">
        <v>7822</v>
      </c>
      <c r="B2032" s="333" t="s">
        <v>4965</v>
      </c>
      <c r="C2032" s="334">
        <v>423990</v>
      </c>
      <c r="D2032" s="341" t="s">
        <v>4512</v>
      </c>
    </row>
    <row r="2033" spans="1:4" ht="17.25" customHeight="1" x14ac:dyDescent="0.35">
      <c r="A2033" s="345">
        <v>7822</v>
      </c>
      <c r="B2033" s="333" t="s">
        <v>4965</v>
      </c>
      <c r="C2033" s="334">
        <v>512120</v>
      </c>
      <c r="D2033" s="335" t="s">
        <v>4966</v>
      </c>
    </row>
    <row r="2034" spans="1:4" ht="17.25" customHeight="1" x14ac:dyDescent="0.35">
      <c r="A2034" s="344">
        <v>7829</v>
      </c>
      <c r="B2034" s="337" t="s">
        <v>4967</v>
      </c>
      <c r="C2034" s="338">
        <v>512120</v>
      </c>
      <c r="D2034" s="339" t="s">
        <v>4966</v>
      </c>
    </row>
    <row r="2035" spans="1:4" ht="17.25" customHeight="1" x14ac:dyDescent="0.35">
      <c r="A2035" s="345">
        <v>7829</v>
      </c>
      <c r="B2035" s="333" t="s">
        <v>4967</v>
      </c>
      <c r="C2035" s="334">
        <v>512199</v>
      </c>
      <c r="D2035" s="335" t="s">
        <v>4963</v>
      </c>
    </row>
    <row r="2036" spans="1:4" ht="17.25" customHeight="1" x14ac:dyDescent="0.35">
      <c r="A2036" s="344">
        <v>7829</v>
      </c>
      <c r="B2036" s="337" t="s">
        <v>4967</v>
      </c>
      <c r="C2036" s="338">
        <v>519120</v>
      </c>
      <c r="D2036" s="339" t="s">
        <v>4968</v>
      </c>
    </row>
    <row r="2037" spans="1:4" ht="17.25" customHeight="1" x14ac:dyDescent="0.35">
      <c r="A2037" s="345">
        <v>7832</v>
      </c>
      <c r="B2037" s="333" t="s">
        <v>4969</v>
      </c>
      <c r="C2037" s="334">
        <v>512131</v>
      </c>
      <c r="D2037" s="335" t="s">
        <v>4970</v>
      </c>
    </row>
    <row r="2038" spans="1:4" ht="17.25" customHeight="1" x14ac:dyDescent="0.35">
      <c r="A2038" s="344">
        <v>7833</v>
      </c>
      <c r="B2038" s="337" t="s">
        <v>4971</v>
      </c>
      <c r="C2038" s="338">
        <v>512132</v>
      </c>
      <c r="D2038" s="339" t="s">
        <v>4972</v>
      </c>
    </row>
    <row r="2039" spans="1:4" ht="17.25" customHeight="1" x14ac:dyDescent="0.35">
      <c r="A2039" s="344">
        <v>7841</v>
      </c>
      <c r="B2039" s="337" t="s">
        <v>4973</v>
      </c>
      <c r="C2039" s="338">
        <v>532282</v>
      </c>
      <c r="D2039" s="339" t="s">
        <v>4974</v>
      </c>
    </row>
    <row r="2040" spans="1:4" ht="17.25" customHeight="1" x14ac:dyDescent="0.35">
      <c r="A2040" s="345">
        <v>7911</v>
      </c>
      <c r="B2040" s="333" t="s">
        <v>4975</v>
      </c>
      <c r="C2040" s="334">
        <v>611610</v>
      </c>
      <c r="D2040" s="335" t="s">
        <v>4976</v>
      </c>
    </row>
    <row r="2041" spans="1:4" ht="34.5" customHeight="1" x14ac:dyDescent="0.35">
      <c r="A2041" s="345">
        <v>7911</v>
      </c>
      <c r="B2041" s="333" t="s">
        <v>4975</v>
      </c>
      <c r="C2041" s="334">
        <v>713990</v>
      </c>
      <c r="D2041" s="341" t="s">
        <v>4977</v>
      </c>
    </row>
    <row r="2042" spans="1:4" ht="17.25" customHeight="1" x14ac:dyDescent="0.35">
      <c r="A2042" s="345">
        <v>7922</v>
      </c>
      <c r="B2042" s="333" t="s">
        <v>4978</v>
      </c>
      <c r="C2042" s="334">
        <v>512290</v>
      </c>
      <c r="D2042" s="335" t="s">
        <v>4901</v>
      </c>
    </row>
    <row r="2043" spans="1:4" ht="43.5" customHeight="1" x14ac:dyDescent="0.35">
      <c r="A2043" s="345">
        <v>7922</v>
      </c>
      <c r="B2043" s="333" t="s">
        <v>4978</v>
      </c>
      <c r="C2043" s="334">
        <v>532490</v>
      </c>
      <c r="D2043" s="341" t="s">
        <v>4857</v>
      </c>
    </row>
    <row r="2044" spans="1:4" ht="17.25" customHeight="1" x14ac:dyDescent="0.35">
      <c r="A2044" s="344">
        <v>7922</v>
      </c>
      <c r="B2044" s="337" t="s">
        <v>4978</v>
      </c>
      <c r="C2044" s="338">
        <v>561311</v>
      </c>
      <c r="D2044" s="339" t="s">
        <v>4826</v>
      </c>
    </row>
    <row r="2045" spans="1:4" ht="34.5" customHeight="1" x14ac:dyDescent="0.35">
      <c r="A2045" s="344">
        <v>7922</v>
      </c>
      <c r="B2045" s="337" t="s">
        <v>4978</v>
      </c>
      <c r="C2045" s="338">
        <v>561599</v>
      </c>
      <c r="D2045" s="340" t="s">
        <v>4360</v>
      </c>
    </row>
    <row r="2046" spans="1:4" ht="17.25" customHeight="1" x14ac:dyDescent="0.35">
      <c r="A2046" s="344">
        <v>7922</v>
      </c>
      <c r="B2046" s="337" t="s">
        <v>4978</v>
      </c>
      <c r="C2046" s="338">
        <v>711110</v>
      </c>
      <c r="D2046" s="339" t="s">
        <v>4647</v>
      </c>
    </row>
    <row r="2047" spans="1:4" ht="17.25" customHeight="1" x14ac:dyDescent="0.35">
      <c r="A2047" s="345">
        <v>7922</v>
      </c>
      <c r="B2047" s="333" t="s">
        <v>4978</v>
      </c>
      <c r="C2047" s="334">
        <v>711120</v>
      </c>
      <c r="D2047" s="335" t="s">
        <v>4979</v>
      </c>
    </row>
    <row r="2048" spans="1:4" ht="34.5" customHeight="1" x14ac:dyDescent="0.35">
      <c r="A2048" s="345">
        <v>7922</v>
      </c>
      <c r="B2048" s="333" t="s">
        <v>4978</v>
      </c>
      <c r="C2048" s="334">
        <v>711310</v>
      </c>
      <c r="D2048" s="341" t="s">
        <v>4752</v>
      </c>
    </row>
    <row r="2049" spans="1:4" ht="34.5" customHeight="1" x14ac:dyDescent="0.35">
      <c r="A2049" s="345">
        <v>7922</v>
      </c>
      <c r="B2049" s="333" t="s">
        <v>4978</v>
      </c>
      <c r="C2049" s="334">
        <v>711320</v>
      </c>
      <c r="D2049" s="341" t="s">
        <v>4919</v>
      </c>
    </row>
    <row r="2050" spans="1:4" ht="34.5" customHeight="1" x14ac:dyDescent="0.35">
      <c r="A2050" s="345">
        <v>7922</v>
      </c>
      <c r="B2050" s="333" t="s">
        <v>4978</v>
      </c>
      <c r="C2050" s="334">
        <v>711410</v>
      </c>
      <c r="D2050" s="341" t="s">
        <v>4920</v>
      </c>
    </row>
    <row r="2051" spans="1:4" ht="34.5" customHeight="1" x14ac:dyDescent="0.35">
      <c r="A2051" s="344">
        <v>7922</v>
      </c>
      <c r="B2051" s="337" t="s">
        <v>4978</v>
      </c>
      <c r="C2051" s="338">
        <v>711510</v>
      </c>
      <c r="D2051" s="340" t="s">
        <v>4895</v>
      </c>
    </row>
    <row r="2052" spans="1:4" ht="17.25" customHeight="1" x14ac:dyDescent="0.35">
      <c r="A2052" s="344">
        <v>7929</v>
      </c>
      <c r="B2052" s="337" t="s">
        <v>4980</v>
      </c>
      <c r="C2052" s="338">
        <v>711130</v>
      </c>
      <c r="D2052" s="339" t="s">
        <v>4981</v>
      </c>
    </row>
    <row r="2053" spans="1:4" ht="17.25" customHeight="1" x14ac:dyDescent="0.35">
      <c r="A2053" s="345">
        <v>7929</v>
      </c>
      <c r="B2053" s="333" t="s">
        <v>4980</v>
      </c>
      <c r="C2053" s="334">
        <v>711190</v>
      </c>
      <c r="D2053" s="335" t="s">
        <v>4982</v>
      </c>
    </row>
    <row r="2054" spans="1:4" ht="34.5" customHeight="1" x14ac:dyDescent="0.35">
      <c r="A2054" s="345">
        <v>7929</v>
      </c>
      <c r="B2054" s="333" t="s">
        <v>4980</v>
      </c>
      <c r="C2054" s="334">
        <v>711510</v>
      </c>
      <c r="D2054" s="341" t="s">
        <v>4895</v>
      </c>
    </row>
    <row r="2055" spans="1:4" ht="17.25" customHeight="1" x14ac:dyDescent="0.35">
      <c r="A2055" s="344">
        <v>7933</v>
      </c>
      <c r="B2055" s="337" t="s">
        <v>4983</v>
      </c>
      <c r="C2055" s="338">
        <v>713950</v>
      </c>
      <c r="D2055" s="339" t="s">
        <v>4983</v>
      </c>
    </row>
    <row r="2056" spans="1:4" ht="17.25" customHeight="1" x14ac:dyDescent="0.35">
      <c r="A2056" s="345">
        <v>7941</v>
      </c>
      <c r="B2056" s="333" t="s">
        <v>4984</v>
      </c>
      <c r="C2056" s="334">
        <v>711211</v>
      </c>
      <c r="D2056" s="335" t="s">
        <v>4985</v>
      </c>
    </row>
    <row r="2057" spans="1:4" ht="34.5" customHeight="1" x14ac:dyDescent="0.35">
      <c r="A2057" s="344">
        <v>7941</v>
      </c>
      <c r="B2057" s="337" t="s">
        <v>4984</v>
      </c>
      <c r="C2057" s="338">
        <v>711310</v>
      </c>
      <c r="D2057" s="340" t="s">
        <v>4752</v>
      </c>
    </row>
    <row r="2058" spans="1:4" ht="34.5" customHeight="1" x14ac:dyDescent="0.35">
      <c r="A2058" s="344">
        <v>7941</v>
      </c>
      <c r="B2058" s="337" t="s">
        <v>4984</v>
      </c>
      <c r="C2058" s="338">
        <v>711320</v>
      </c>
      <c r="D2058" s="340" t="s">
        <v>4919</v>
      </c>
    </row>
    <row r="2059" spans="1:4" ht="34.5" customHeight="1" x14ac:dyDescent="0.35">
      <c r="A2059" s="344">
        <v>7941</v>
      </c>
      <c r="B2059" s="337" t="s">
        <v>4984</v>
      </c>
      <c r="C2059" s="338">
        <v>711410</v>
      </c>
      <c r="D2059" s="340" t="s">
        <v>4920</v>
      </c>
    </row>
    <row r="2060" spans="1:4" ht="17.25" customHeight="1" x14ac:dyDescent="0.35">
      <c r="A2060" s="344">
        <v>7948</v>
      </c>
      <c r="B2060" s="337" t="s">
        <v>4986</v>
      </c>
      <c r="C2060" s="338">
        <v>711212</v>
      </c>
      <c r="D2060" s="339" t="s">
        <v>4987</v>
      </c>
    </row>
    <row r="2061" spans="1:4" ht="17.25" customHeight="1" x14ac:dyDescent="0.35">
      <c r="A2061" s="345">
        <v>7948</v>
      </c>
      <c r="B2061" s="333" t="s">
        <v>4986</v>
      </c>
      <c r="C2061" s="334">
        <v>711219</v>
      </c>
      <c r="D2061" s="335" t="s">
        <v>4988</v>
      </c>
    </row>
    <row r="2062" spans="1:4" ht="17.25" customHeight="1" x14ac:dyDescent="0.35">
      <c r="A2062" s="345">
        <v>7991</v>
      </c>
      <c r="B2062" s="333" t="s">
        <v>4989</v>
      </c>
      <c r="C2062" s="334">
        <v>713940</v>
      </c>
      <c r="D2062" s="335" t="s">
        <v>4990</v>
      </c>
    </row>
    <row r="2063" spans="1:4" ht="17.25" customHeight="1" x14ac:dyDescent="0.35">
      <c r="A2063" s="345">
        <v>7992</v>
      </c>
      <c r="B2063" s="333" t="s">
        <v>4991</v>
      </c>
      <c r="C2063" s="334">
        <v>713910</v>
      </c>
      <c r="D2063" s="335" t="s">
        <v>4992</v>
      </c>
    </row>
    <row r="2064" spans="1:4" ht="17.25" customHeight="1" x14ac:dyDescent="0.35">
      <c r="A2064" s="345">
        <v>7993</v>
      </c>
      <c r="B2064" s="333" t="s">
        <v>4993</v>
      </c>
      <c r="C2064" s="334">
        <v>713120</v>
      </c>
      <c r="D2064" s="335" t="s">
        <v>4994</v>
      </c>
    </row>
    <row r="2065" spans="1:4" ht="17.25" customHeight="1" x14ac:dyDescent="0.35">
      <c r="A2065" s="345">
        <v>7993</v>
      </c>
      <c r="B2065" s="333" t="s">
        <v>4993</v>
      </c>
      <c r="C2065" s="334">
        <v>713290</v>
      </c>
      <c r="D2065" s="335" t="s">
        <v>4995</v>
      </c>
    </row>
    <row r="2066" spans="1:4" ht="34.5" customHeight="1" x14ac:dyDescent="0.35">
      <c r="A2066" s="344">
        <v>7993</v>
      </c>
      <c r="B2066" s="337" t="s">
        <v>4993</v>
      </c>
      <c r="C2066" s="338">
        <v>713990</v>
      </c>
      <c r="D2066" s="340" t="s">
        <v>4977</v>
      </c>
    </row>
    <row r="2067" spans="1:4" ht="17.25" customHeight="1" x14ac:dyDescent="0.35">
      <c r="A2067" s="344">
        <v>7996</v>
      </c>
      <c r="B2067" s="337" t="s">
        <v>4996</v>
      </c>
      <c r="C2067" s="338">
        <v>713110</v>
      </c>
      <c r="D2067" s="339" t="s">
        <v>4997</v>
      </c>
    </row>
    <row r="2068" spans="1:4" ht="17.25" customHeight="1" x14ac:dyDescent="0.35">
      <c r="A2068" s="345">
        <v>7997</v>
      </c>
      <c r="B2068" s="333" t="s">
        <v>4998</v>
      </c>
      <c r="C2068" s="334">
        <v>481219</v>
      </c>
      <c r="D2068" s="335" t="s">
        <v>4342</v>
      </c>
    </row>
    <row r="2069" spans="1:4" ht="17.25" customHeight="1" x14ac:dyDescent="0.35">
      <c r="A2069" s="345">
        <v>7997</v>
      </c>
      <c r="B2069" s="333" t="s">
        <v>4998</v>
      </c>
      <c r="C2069" s="334">
        <v>488119</v>
      </c>
      <c r="D2069" s="335" t="s">
        <v>4346</v>
      </c>
    </row>
    <row r="2070" spans="1:4" ht="17.25" customHeight="1" x14ac:dyDescent="0.35">
      <c r="A2070" s="344">
        <v>7997</v>
      </c>
      <c r="B2070" s="337" t="s">
        <v>4998</v>
      </c>
      <c r="C2070" s="338">
        <v>713910</v>
      </c>
      <c r="D2070" s="339" t="s">
        <v>4992</v>
      </c>
    </row>
    <row r="2071" spans="1:4" ht="17.25" customHeight="1" x14ac:dyDescent="0.35">
      <c r="A2071" s="344">
        <v>7997</v>
      </c>
      <c r="B2071" s="337" t="s">
        <v>4998</v>
      </c>
      <c r="C2071" s="338">
        <v>713940</v>
      </c>
      <c r="D2071" s="339" t="s">
        <v>4990</v>
      </c>
    </row>
    <row r="2072" spans="1:4" ht="34.5" customHeight="1" x14ac:dyDescent="0.35">
      <c r="A2072" s="345">
        <v>7997</v>
      </c>
      <c r="B2072" s="333" t="s">
        <v>4998</v>
      </c>
      <c r="C2072" s="334">
        <v>713990</v>
      </c>
      <c r="D2072" s="341" t="s">
        <v>4977</v>
      </c>
    </row>
    <row r="2073" spans="1:4" ht="34.5" customHeight="1" x14ac:dyDescent="0.35">
      <c r="A2073" s="344">
        <v>7999</v>
      </c>
      <c r="B2073" s="337" t="s">
        <v>4999</v>
      </c>
      <c r="C2073" s="338">
        <v>487110</v>
      </c>
      <c r="D2073" s="340" t="s">
        <v>4277</v>
      </c>
    </row>
    <row r="2074" spans="1:4" ht="34.5" customHeight="1" x14ac:dyDescent="0.35">
      <c r="A2074" s="344">
        <v>7999</v>
      </c>
      <c r="B2074" s="337" t="s">
        <v>4999</v>
      </c>
      <c r="C2074" s="338">
        <v>487210</v>
      </c>
      <c r="D2074" s="340" t="s">
        <v>4326</v>
      </c>
    </row>
    <row r="2075" spans="1:4" ht="34.5" customHeight="1" x14ac:dyDescent="0.35">
      <c r="A2075" s="344">
        <v>7999</v>
      </c>
      <c r="B2075" s="337" t="s">
        <v>4999</v>
      </c>
      <c r="C2075" s="338">
        <v>487990</v>
      </c>
      <c r="D2075" s="340" t="s">
        <v>4343</v>
      </c>
    </row>
    <row r="2076" spans="1:4" ht="17.25" customHeight="1" x14ac:dyDescent="0.35">
      <c r="A2076" s="344">
        <v>7999</v>
      </c>
      <c r="B2076" s="337" t="s">
        <v>4999</v>
      </c>
      <c r="C2076" s="338">
        <v>532284</v>
      </c>
      <c r="D2076" s="339" t="s">
        <v>5000</v>
      </c>
    </row>
    <row r="2077" spans="1:4" ht="34.5" customHeight="1" x14ac:dyDescent="0.35">
      <c r="A2077" s="345">
        <v>7999</v>
      </c>
      <c r="B2077" s="333" t="s">
        <v>4999</v>
      </c>
      <c r="C2077" s="334">
        <v>561599</v>
      </c>
      <c r="D2077" s="341" t="s">
        <v>4360</v>
      </c>
    </row>
    <row r="2078" spans="1:4" ht="17.25" customHeight="1" x14ac:dyDescent="0.35">
      <c r="A2078" s="345">
        <v>7999</v>
      </c>
      <c r="B2078" s="333" t="s">
        <v>4999</v>
      </c>
      <c r="C2078" s="334">
        <v>611620</v>
      </c>
      <c r="D2078" s="335" t="s">
        <v>5001</v>
      </c>
    </row>
    <row r="2079" spans="1:4" ht="34.5" customHeight="1" x14ac:dyDescent="0.35">
      <c r="A2079" s="344">
        <v>7999</v>
      </c>
      <c r="B2079" s="337" t="s">
        <v>4999</v>
      </c>
      <c r="C2079" s="338">
        <v>611699</v>
      </c>
      <c r="D2079" s="340" t="s">
        <v>5002</v>
      </c>
    </row>
    <row r="2080" spans="1:4" ht="17.25" customHeight="1" x14ac:dyDescent="0.35">
      <c r="A2080" s="344">
        <v>7999</v>
      </c>
      <c r="B2080" s="337" t="s">
        <v>4999</v>
      </c>
      <c r="C2080" s="338">
        <v>711190</v>
      </c>
      <c r="D2080" s="339" t="s">
        <v>4982</v>
      </c>
    </row>
    <row r="2081" spans="1:4" ht="17.25" customHeight="1" x14ac:dyDescent="0.35">
      <c r="A2081" s="344">
        <v>7999</v>
      </c>
      <c r="B2081" s="337" t="s">
        <v>4999</v>
      </c>
      <c r="C2081" s="338">
        <v>711219</v>
      </c>
      <c r="D2081" s="339" t="s">
        <v>4988</v>
      </c>
    </row>
    <row r="2082" spans="1:4" ht="34.5" customHeight="1" x14ac:dyDescent="0.35">
      <c r="A2082" s="345">
        <v>7999</v>
      </c>
      <c r="B2082" s="333" t="s">
        <v>4999</v>
      </c>
      <c r="C2082" s="334">
        <v>711310</v>
      </c>
      <c r="D2082" s="341" t="s">
        <v>4752</v>
      </c>
    </row>
    <row r="2083" spans="1:4" ht="34.5" customHeight="1" x14ac:dyDescent="0.35">
      <c r="A2083" s="345">
        <v>7999</v>
      </c>
      <c r="B2083" s="333" t="s">
        <v>4999</v>
      </c>
      <c r="C2083" s="334">
        <v>711320</v>
      </c>
      <c r="D2083" s="341" t="s">
        <v>4919</v>
      </c>
    </row>
    <row r="2084" spans="1:4" ht="17.25" customHeight="1" x14ac:dyDescent="0.35">
      <c r="A2084" s="344">
        <v>7999</v>
      </c>
      <c r="B2084" s="337" t="s">
        <v>4999</v>
      </c>
      <c r="C2084" s="338">
        <v>712190</v>
      </c>
      <c r="D2084" s="339" t="s">
        <v>5003</v>
      </c>
    </row>
    <row r="2085" spans="1:4" ht="17.25" customHeight="1" x14ac:dyDescent="0.35">
      <c r="A2085" s="344">
        <v>7999</v>
      </c>
      <c r="B2085" s="337" t="s">
        <v>4999</v>
      </c>
      <c r="C2085" s="338">
        <v>713210</v>
      </c>
      <c r="D2085" s="339" t="s">
        <v>5004</v>
      </c>
    </row>
    <row r="2086" spans="1:4" ht="17.25" customHeight="1" x14ac:dyDescent="0.35">
      <c r="A2086" s="344">
        <v>7999</v>
      </c>
      <c r="B2086" s="337" t="s">
        <v>4999</v>
      </c>
      <c r="C2086" s="338">
        <v>713290</v>
      </c>
      <c r="D2086" s="339" t="s">
        <v>4995</v>
      </c>
    </row>
    <row r="2087" spans="1:4" ht="17.25" customHeight="1" x14ac:dyDescent="0.35">
      <c r="A2087" s="345">
        <v>7999</v>
      </c>
      <c r="B2087" s="333" t="s">
        <v>4999</v>
      </c>
      <c r="C2087" s="334">
        <v>713920</v>
      </c>
      <c r="D2087" s="335" t="s">
        <v>5005</v>
      </c>
    </row>
    <row r="2088" spans="1:4" ht="17.25" customHeight="1" x14ac:dyDescent="0.35">
      <c r="A2088" s="345">
        <v>7999</v>
      </c>
      <c r="B2088" s="333" t="s">
        <v>4999</v>
      </c>
      <c r="C2088" s="334">
        <v>713940</v>
      </c>
      <c r="D2088" s="335" t="s">
        <v>4990</v>
      </c>
    </row>
    <row r="2089" spans="1:4" ht="34.5" customHeight="1" x14ac:dyDescent="0.35">
      <c r="A2089" s="344">
        <v>7999</v>
      </c>
      <c r="B2089" s="337" t="s">
        <v>4999</v>
      </c>
      <c r="C2089" s="338">
        <v>713990</v>
      </c>
      <c r="D2089" s="340" t="s">
        <v>4977</v>
      </c>
    </row>
    <row r="2090" spans="1:4" ht="17.25" customHeight="1" x14ac:dyDescent="0.35">
      <c r="A2090" s="344">
        <v>7999</v>
      </c>
      <c r="B2090" s="337" t="s">
        <v>4999</v>
      </c>
      <c r="C2090" s="338">
        <v>812990</v>
      </c>
      <c r="D2090" s="339" t="s">
        <v>4384</v>
      </c>
    </row>
    <row r="2091" spans="1:4" ht="34.5" customHeight="1" x14ac:dyDescent="0.35">
      <c r="A2091" s="344">
        <v>8011</v>
      </c>
      <c r="B2091" s="337" t="s">
        <v>5006</v>
      </c>
      <c r="C2091" s="338">
        <v>621111</v>
      </c>
      <c r="D2091" s="340" t="s">
        <v>5007</v>
      </c>
    </row>
    <row r="2092" spans="1:4" ht="34.5" customHeight="1" x14ac:dyDescent="0.35">
      <c r="A2092" s="344">
        <v>8011</v>
      </c>
      <c r="B2092" s="337" t="s">
        <v>5006</v>
      </c>
      <c r="C2092" s="338">
        <v>621112</v>
      </c>
      <c r="D2092" s="340" t="s">
        <v>5008</v>
      </c>
    </row>
    <row r="2093" spans="1:4" ht="17.25" customHeight="1" x14ac:dyDescent="0.35">
      <c r="A2093" s="345">
        <v>8011</v>
      </c>
      <c r="B2093" s="333" t="s">
        <v>5006</v>
      </c>
      <c r="C2093" s="334">
        <v>621491</v>
      </c>
      <c r="D2093" s="335" t="s">
        <v>5009</v>
      </c>
    </row>
    <row r="2094" spans="1:4" ht="34.5" customHeight="1" x14ac:dyDescent="0.35">
      <c r="A2094" s="345">
        <v>8011</v>
      </c>
      <c r="B2094" s="333" t="s">
        <v>5006</v>
      </c>
      <c r="C2094" s="334">
        <v>621493</v>
      </c>
      <c r="D2094" s="341" t="s">
        <v>5010</v>
      </c>
    </row>
    <row r="2095" spans="1:4" ht="17.25" customHeight="1" x14ac:dyDescent="0.35">
      <c r="A2095" s="344">
        <v>8021</v>
      </c>
      <c r="B2095" s="337" t="s">
        <v>5011</v>
      </c>
      <c r="C2095" s="338">
        <v>621210</v>
      </c>
      <c r="D2095" s="339" t="s">
        <v>5012</v>
      </c>
    </row>
    <row r="2096" spans="1:4" ht="34.5" customHeight="1" x14ac:dyDescent="0.35">
      <c r="A2096" s="345">
        <v>8031</v>
      </c>
      <c r="B2096" s="347" t="s">
        <v>5013</v>
      </c>
      <c r="C2096" s="334">
        <v>621111</v>
      </c>
      <c r="D2096" s="341" t="s">
        <v>5007</v>
      </c>
    </row>
    <row r="2097" spans="1:4" ht="34.5" customHeight="1" x14ac:dyDescent="0.35">
      <c r="A2097" s="345">
        <v>8031</v>
      </c>
      <c r="B2097" s="347" t="s">
        <v>5013</v>
      </c>
      <c r="C2097" s="334">
        <v>621112</v>
      </c>
      <c r="D2097" s="341" t="s">
        <v>5008</v>
      </c>
    </row>
    <row r="2098" spans="1:4" ht="17.25" customHeight="1" x14ac:dyDescent="0.35">
      <c r="A2098" s="345">
        <v>8041</v>
      </c>
      <c r="B2098" s="333" t="s">
        <v>5014</v>
      </c>
      <c r="C2098" s="334">
        <v>621310</v>
      </c>
      <c r="D2098" s="335" t="s">
        <v>5015</v>
      </c>
    </row>
    <row r="2099" spans="1:4" ht="17.25" customHeight="1" x14ac:dyDescent="0.35">
      <c r="A2099" s="344">
        <v>8042</v>
      </c>
      <c r="B2099" s="337" t="s">
        <v>5016</v>
      </c>
      <c r="C2099" s="338">
        <v>621320</v>
      </c>
      <c r="D2099" s="339" t="s">
        <v>5017</v>
      </c>
    </row>
    <row r="2100" spans="1:4" ht="17.25" customHeight="1" x14ac:dyDescent="0.35">
      <c r="A2100" s="345">
        <v>8043</v>
      </c>
      <c r="B2100" s="333" t="s">
        <v>5018</v>
      </c>
      <c r="C2100" s="334">
        <v>621391</v>
      </c>
      <c r="D2100" s="335" t="s">
        <v>5019</v>
      </c>
    </row>
    <row r="2101" spans="1:4" ht="34.5" customHeight="1" x14ac:dyDescent="0.35">
      <c r="A2101" s="345">
        <v>8049</v>
      </c>
      <c r="B2101" s="333" t="s">
        <v>5020</v>
      </c>
      <c r="C2101" s="334">
        <v>621330</v>
      </c>
      <c r="D2101" s="341" t="s">
        <v>5021</v>
      </c>
    </row>
    <row r="2102" spans="1:4" ht="34.5" customHeight="1" x14ac:dyDescent="0.35">
      <c r="A2102" s="344">
        <v>8049</v>
      </c>
      <c r="B2102" s="337" t="s">
        <v>5020</v>
      </c>
      <c r="C2102" s="338">
        <v>621340</v>
      </c>
      <c r="D2102" s="340" t="s">
        <v>5022</v>
      </c>
    </row>
    <row r="2103" spans="1:4" ht="34.5" customHeight="1" x14ac:dyDescent="0.35">
      <c r="A2103" s="344">
        <v>8049</v>
      </c>
      <c r="B2103" s="337" t="s">
        <v>5020</v>
      </c>
      <c r="C2103" s="338">
        <v>621399</v>
      </c>
      <c r="D2103" s="340" t="s">
        <v>5023</v>
      </c>
    </row>
    <row r="2104" spans="1:4" ht="34.5" customHeight="1" x14ac:dyDescent="0.35">
      <c r="A2104" s="345">
        <v>8051</v>
      </c>
      <c r="B2104" s="333" t="s">
        <v>5024</v>
      </c>
      <c r="C2104" s="334">
        <v>623110</v>
      </c>
      <c r="D2104" s="341" t="s">
        <v>5025</v>
      </c>
    </row>
    <row r="2105" spans="1:4" ht="34.5" customHeight="1" x14ac:dyDescent="0.35">
      <c r="A2105" s="344">
        <v>8051</v>
      </c>
      <c r="B2105" s="337" t="s">
        <v>5024</v>
      </c>
      <c r="C2105" s="338">
        <v>623210</v>
      </c>
      <c r="D2105" s="340" t="s">
        <v>5026</v>
      </c>
    </row>
    <row r="2106" spans="1:4" ht="17.25" customHeight="1" x14ac:dyDescent="0.35">
      <c r="A2106" s="345">
        <v>8051</v>
      </c>
      <c r="B2106" s="333" t="s">
        <v>5024</v>
      </c>
      <c r="C2106" s="334">
        <v>623311</v>
      </c>
      <c r="D2106" s="335" t="s">
        <v>5027</v>
      </c>
    </row>
    <row r="2107" spans="1:4" ht="34.5" customHeight="1" x14ac:dyDescent="0.35">
      <c r="A2107" s="344">
        <v>8052</v>
      </c>
      <c r="B2107" s="337" t="s">
        <v>5028</v>
      </c>
      <c r="C2107" s="338">
        <v>623110</v>
      </c>
      <c r="D2107" s="340" t="s">
        <v>5025</v>
      </c>
    </row>
    <row r="2108" spans="1:4" ht="34.5" customHeight="1" x14ac:dyDescent="0.35">
      <c r="A2108" s="345">
        <v>8052</v>
      </c>
      <c r="B2108" s="333" t="s">
        <v>5028</v>
      </c>
      <c r="C2108" s="334">
        <v>623210</v>
      </c>
      <c r="D2108" s="341" t="s">
        <v>5026</v>
      </c>
    </row>
    <row r="2109" spans="1:4" ht="17.25" customHeight="1" x14ac:dyDescent="0.35">
      <c r="A2109" s="344">
        <v>8052</v>
      </c>
      <c r="B2109" s="337" t="s">
        <v>5028</v>
      </c>
      <c r="C2109" s="338">
        <v>623311</v>
      </c>
      <c r="D2109" s="339" t="s">
        <v>5027</v>
      </c>
    </row>
    <row r="2110" spans="1:4" ht="34.5" customHeight="1" x14ac:dyDescent="0.35">
      <c r="A2110" s="345">
        <v>8059</v>
      </c>
      <c r="B2110" s="333" t="s">
        <v>5029</v>
      </c>
      <c r="C2110" s="334">
        <v>623110</v>
      </c>
      <c r="D2110" s="341" t="s">
        <v>5025</v>
      </c>
    </row>
    <row r="2111" spans="1:4" ht="34.5" customHeight="1" x14ac:dyDescent="0.35">
      <c r="A2111" s="344">
        <v>8059</v>
      </c>
      <c r="B2111" s="337" t="s">
        <v>5029</v>
      </c>
      <c r="C2111" s="338">
        <v>623210</v>
      </c>
      <c r="D2111" s="340" t="s">
        <v>5026</v>
      </c>
    </row>
    <row r="2112" spans="1:4" ht="17.25" customHeight="1" x14ac:dyDescent="0.35">
      <c r="A2112" s="345">
        <v>8059</v>
      </c>
      <c r="B2112" s="333" t="s">
        <v>5029</v>
      </c>
      <c r="C2112" s="334">
        <v>623311</v>
      </c>
      <c r="D2112" s="335" t="s">
        <v>5027</v>
      </c>
    </row>
    <row r="2113" spans="1:4" ht="17.25" customHeight="1" x14ac:dyDescent="0.35">
      <c r="A2113" s="344">
        <v>8062</v>
      </c>
      <c r="B2113" s="337" t="s">
        <v>5030</v>
      </c>
      <c r="C2113" s="338">
        <v>622110</v>
      </c>
      <c r="D2113" s="339" t="s">
        <v>5030</v>
      </c>
    </row>
    <row r="2114" spans="1:4" ht="34.5" customHeight="1" x14ac:dyDescent="0.35">
      <c r="A2114" s="344">
        <v>8063</v>
      </c>
      <c r="B2114" s="337" t="s">
        <v>5031</v>
      </c>
      <c r="C2114" s="338">
        <v>622210</v>
      </c>
      <c r="D2114" s="340" t="s">
        <v>5032</v>
      </c>
    </row>
    <row r="2115" spans="1:4" ht="17.25" customHeight="1" x14ac:dyDescent="0.35">
      <c r="A2115" s="345">
        <v>8069</v>
      </c>
      <c r="B2115" s="333" t="s">
        <v>5033</v>
      </c>
      <c r="C2115" s="334">
        <v>622110</v>
      </c>
      <c r="D2115" s="335" t="s">
        <v>5030</v>
      </c>
    </row>
    <row r="2116" spans="1:4" ht="34.5" customHeight="1" x14ac:dyDescent="0.35">
      <c r="A2116" s="345">
        <v>8069</v>
      </c>
      <c r="B2116" s="333" t="s">
        <v>5033</v>
      </c>
      <c r="C2116" s="334">
        <v>622210</v>
      </c>
      <c r="D2116" s="341" t="s">
        <v>5032</v>
      </c>
    </row>
    <row r="2117" spans="1:4" ht="34.5" customHeight="1" x14ac:dyDescent="0.35">
      <c r="A2117" s="344">
        <v>8069</v>
      </c>
      <c r="B2117" s="337" t="s">
        <v>5033</v>
      </c>
      <c r="C2117" s="338">
        <v>622310</v>
      </c>
      <c r="D2117" s="340" t="s">
        <v>5034</v>
      </c>
    </row>
    <row r="2118" spans="1:4" ht="17.25" customHeight="1" x14ac:dyDescent="0.35">
      <c r="A2118" s="345">
        <v>8071</v>
      </c>
      <c r="B2118" s="333" t="s">
        <v>5035</v>
      </c>
      <c r="C2118" s="334">
        <v>621511</v>
      </c>
      <c r="D2118" s="335" t="s">
        <v>5035</v>
      </c>
    </row>
    <row r="2119" spans="1:4" ht="17.25" customHeight="1" x14ac:dyDescent="0.35">
      <c r="A2119" s="344">
        <v>8071</v>
      </c>
      <c r="B2119" s="337" t="s">
        <v>5035</v>
      </c>
      <c r="C2119" s="338">
        <v>621512</v>
      </c>
      <c r="D2119" s="339" t="s">
        <v>5036</v>
      </c>
    </row>
    <row r="2120" spans="1:4" ht="17.25" customHeight="1" x14ac:dyDescent="0.35">
      <c r="A2120" s="344">
        <v>8072</v>
      </c>
      <c r="B2120" s="337" t="s">
        <v>5037</v>
      </c>
      <c r="C2120" s="338">
        <v>339116</v>
      </c>
      <c r="D2120" s="339" t="s">
        <v>5037</v>
      </c>
    </row>
    <row r="2121" spans="1:4" ht="17.25" customHeight="1" x14ac:dyDescent="0.35">
      <c r="A2121" s="345">
        <v>8082</v>
      </c>
      <c r="B2121" s="333" t="s">
        <v>5038</v>
      </c>
      <c r="C2121" s="334">
        <v>621610</v>
      </c>
      <c r="D2121" s="335" t="s">
        <v>5038</v>
      </c>
    </row>
    <row r="2122" spans="1:4" ht="17.25" customHeight="1" x14ac:dyDescent="0.35">
      <c r="A2122" s="344">
        <v>8092</v>
      </c>
      <c r="B2122" s="337" t="s">
        <v>5039</v>
      </c>
      <c r="C2122" s="338">
        <v>621492</v>
      </c>
      <c r="D2122" s="339" t="s">
        <v>5039</v>
      </c>
    </row>
    <row r="2123" spans="1:4" ht="34.5" customHeight="1" x14ac:dyDescent="0.35">
      <c r="A2123" s="345">
        <v>8093</v>
      </c>
      <c r="B2123" s="333" t="s">
        <v>5040</v>
      </c>
      <c r="C2123" s="334">
        <v>621399</v>
      </c>
      <c r="D2123" s="341" t="s">
        <v>5023</v>
      </c>
    </row>
    <row r="2124" spans="1:4" ht="17.25" customHeight="1" x14ac:dyDescent="0.35">
      <c r="A2124" s="344">
        <v>8093</v>
      </c>
      <c r="B2124" s="337" t="s">
        <v>5040</v>
      </c>
      <c r="C2124" s="338">
        <v>621410</v>
      </c>
      <c r="D2124" s="339" t="s">
        <v>5041</v>
      </c>
    </row>
    <row r="2125" spans="1:4" ht="34.5" customHeight="1" x14ac:dyDescent="0.35">
      <c r="A2125" s="344">
        <v>8093</v>
      </c>
      <c r="B2125" s="337" t="s">
        <v>5040</v>
      </c>
      <c r="C2125" s="338">
        <v>621420</v>
      </c>
      <c r="D2125" s="340" t="s">
        <v>5042</v>
      </c>
    </row>
    <row r="2126" spans="1:4" ht="17.25" customHeight="1" x14ac:dyDescent="0.35">
      <c r="A2126" s="344">
        <v>8093</v>
      </c>
      <c r="B2126" s="337" t="s">
        <v>5040</v>
      </c>
      <c r="C2126" s="338">
        <v>621498</v>
      </c>
      <c r="D2126" s="339" t="s">
        <v>5043</v>
      </c>
    </row>
    <row r="2127" spans="1:4" ht="17.25" customHeight="1" x14ac:dyDescent="0.35">
      <c r="A2127" s="344">
        <v>8099</v>
      </c>
      <c r="B2127" s="337" t="s">
        <v>5044</v>
      </c>
      <c r="C2127" s="338">
        <v>541430</v>
      </c>
      <c r="D2127" s="339" t="s">
        <v>4849</v>
      </c>
    </row>
    <row r="2128" spans="1:4" ht="17.25" customHeight="1" x14ac:dyDescent="0.35">
      <c r="A2128" s="345">
        <v>8099</v>
      </c>
      <c r="B2128" s="333" t="s">
        <v>5044</v>
      </c>
      <c r="C2128" s="334">
        <v>541922</v>
      </c>
      <c r="D2128" s="335" t="s">
        <v>4847</v>
      </c>
    </row>
    <row r="2129" spans="1:4" ht="17.25" customHeight="1" x14ac:dyDescent="0.35">
      <c r="A2129" s="345">
        <v>8099</v>
      </c>
      <c r="B2129" s="333" t="s">
        <v>5044</v>
      </c>
      <c r="C2129" s="334">
        <v>621410</v>
      </c>
      <c r="D2129" s="335" t="s">
        <v>5041</v>
      </c>
    </row>
    <row r="2130" spans="1:4" ht="17.25" customHeight="1" x14ac:dyDescent="0.35">
      <c r="A2130" s="344">
        <v>8099</v>
      </c>
      <c r="B2130" s="337" t="s">
        <v>5044</v>
      </c>
      <c r="C2130" s="338">
        <v>621991</v>
      </c>
      <c r="D2130" s="339" t="s">
        <v>5045</v>
      </c>
    </row>
    <row r="2131" spans="1:4" ht="34.5" customHeight="1" x14ac:dyDescent="0.35">
      <c r="A2131" s="345">
        <v>8099</v>
      </c>
      <c r="B2131" s="333" t="s">
        <v>5044</v>
      </c>
      <c r="C2131" s="334">
        <v>621999</v>
      </c>
      <c r="D2131" s="341" t="s">
        <v>5046</v>
      </c>
    </row>
    <row r="2132" spans="1:4" ht="17.25" customHeight="1" x14ac:dyDescent="0.35">
      <c r="A2132" s="344">
        <v>8111</v>
      </c>
      <c r="B2132" s="337" t="s">
        <v>5047</v>
      </c>
      <c r="C2132" s="338">
        <v>541110</v>
      </c>
      <c r="D2132" s="339" t="s">
        <v>5048</v>
      </c>
    </row>
    <row r="2133" spans="1:4" ht="17.25" customHeight="1" x14ac:dyDescent="0.35">
      <c r="A2133" s="345">
        <v>8211</v>
      </c>
      <c r="B2133" s="333" t="s">
        <v>5049</v>
      </c>
      <c r="C2133" s="334">
        <v>611110</v>
      </c>
      <c r="D2133" s="335" t="s">
        <v>5049</v>
      </c>
    </row>
    <row r="2134" spans="1:4" ht="34.5" customHeight="1" x14ac:dyDescent="0.35">
      <c r="A2134" s="345">
        <v>8221</v>
      </c>
      <c r="B2134" s="333" t="s">
        <v>5050</v>
      </c>
      <c r="C2134" s="334">
        <v>611310</v>
      </c>
      <c r="D2134" s="341" t="s">
        <v>5051</v>
      </c>
    </row>
    <row r="2135" spans="1:4" ht="17.25" customHeight="1" x14ac:dyDescent="0.35">
      <c r="A2135" s="344">
        <v>8222</v>
      </c>
      <c r="B2135" s="337" t="s">
        <v>5052</v>
      </c>
      <c r="C2135" s="338">
        <v>611210</v>
      </c>
      <c r="D2135" s="339" t="s">
        <v>5052</v>
      </c>
    </row>
    <row r="2136" spans="1:4" ht="17.25" customHeight="1" x14ac:dyDescent="0.35">
      <c r="A2136" s="345">
        <v>8231</v>
      </c>
      <c r="B2136" s="333" t="s">
        <v>5053</v>
      </c>
      <c r="C2136" s="334">
        <v>519120</v>
      </c>
      <c r="D2136" s="335" t="s">
        <v>4968</v>
      </c>
    </row>
    <row r="2137" spans="1:4" ht="17.25" customHeight="1" x14ac:dyDescent="0.35">
      <c r="A2137" s="345">
        <v>8243</v>
      </c>
      <c r="B2137" s="333" t="s">
        <v>5054</v>
      </c>
      <c r="C2137" s="334">
        <v>611420</v>
      </c>
      <c r="D2137" s="335" t="s">
        <v>5055</v>
      </c>
    </row>
    <row r="2138" spans="1:4" ht="17.25" customHeight="1" x14ac:dyDescent="0.35">
      <c r="A2138" s="344">
        <v>8243</v>
      </c>
      <c r="B2138" s="337" t="s">
        <v>5054</v>
      </c>
      <c r="C2138" s="338">
        <v>611519</v>
      </c>
      <c r="D2138" s="339" t="s">
        <v>5056</v>
      </c>
    </row>
    <row r="2139" spans="1:4" ht="17.25" customHeight="1" x14ac:dyDescent="0.35">
      <c r="A2139" s="344">
        <v>8244</v>
      </c>
      <c r="B2139" s="337" t="s">
        <v>5057</v>
      </c>
      <c r="C2139" s="338">
        <v>611410</v>
      </c>
      <c r="D2139" s="339" t="s">
        <v>5057</v>
      </c>
    </row>
    <row r="2140" spans="1:4" ht="17.25" customHeight="1" x14ac:dyDescent="0.35">
      <c r="A2140" s="345">
        <v>8249</v>
      </c>
      <c r="B2140" s="333" t="s">
        <v>5058</v>
      </c>
      <c r="C2140" s="334">
        <v>611512</v>
      </c>
      <c r="D2140" s="335" t="s">
        <v>5059</v>
      </c>
    </row>
    <row r="2141" spans="1:4" ht="17.25" customHeight="1" x14ac:dyDescent="0.35">
      <c r="A2141" s="345">
        <v>8249</v>
      </c>
      <c r="B2141" s="333" t="s">
        <v>5058</v>
      </c>
      <c r="C2141" s="334">
        <v>611513</v>
      </c>
      <c r="D2141" s="335" t="s">
        <v>5060</v>
      </c>
    </row>
    <row r="2142" spans="1:4" ht="17.25" customHeight="1" x14ac:dyDescent="0.35">
      <c r="A2142" s="345">
        <v>8249</v>
      </c>
      <c r="B2142" s="333" t="s">
        <v>5058</v>
      </c>
      <c r="C2142" s="334">
        <v>611519</v>
      </c>
      <c r="D2142" s="335" t="s">
        <v>5056</v>
      </c>
    </row>
    <row r="2143" spans="1:4" ht="34.5" customHeight="1" x14ac:dyDescent="0.35">
      <c r="A2143" s="344">
        <v>8299</v>
      </c>
      <c r="B2143" s="337" t="s">
        <v>5061</v>
      </c>
      <c r="C2143" s="338">
        <v>611430</v>
      </c>
      <c r="D2143" s="340" t="s">
        <v>5062</v>
      </c>
    </row>
    <row r="2144" spans="1:4" ht="17.25" customHeight="1" x14ac:dyDescent="0.35">
      <c r="A2144" s="344">
        <v>8299</v>
      </c>
      <c r="B2144" s="337" t="s">
        <v>5061</v>
      </c>
      <c r="C2144" s="338">
        <v>611512</v>
      </c>
      <c r="D2144" s="339" t="s">
        <v>5059</v>
      </c>
    </row>
    <row r="2145" spans="1:4" ht="17.25" customHeight="1" x14ac:dyDescent="0.35">
      <c r="A2145" s="344">
        <v>8299</v>
      </c>
      <c r="B2145" s="337" t="s">
        <v>5061</v>
      </c>
      <c r="C2145" s="338">
        <v>611519</v>
      </c>
      <c r="D2145" s="339" t="s">
        <v>5056</v>
      </c>
    </row>
    <row r="2146" spans="1:4" ht="17.25" customHeight="1" x14ac:dyDescent="0.35">
      <c r="A2146" s="344">
        <v>8299</v>
      </c>
      <c r="B2146" s="337" t="s">
        <v>5061</v>
      </c>
      <c r="C2146" s="338">
        <v>611610</v>
      </c>
      <c r="D2146" s="339" t="s">
        <v>4976</v>
      </c>
    </row>
    <row r="2147" spans="1:4" ht="17.25" customHeight="1" x14ac:dyDescent="0.35">
      <c r="A2147" s="344">
        <v>8299</v>
      </c>
      <c r="B2147" s="337" t="s">
        <v>5061</v>
      </c>
      <c r="C2147" s="338">
        <v>611620</v>
      </c>
      <c r="D2147" s="339" t="s">
        <v>5001</v>
      </c>
    </row>
    <row r="2148" spans="1:4" ht="17.25" customHeight="1" x14ac:dyDescent="0.35">
      <c r="A2148" s="345">
        <v>8299</v>
      </c>
      <c r="B2148" s="333" t="s">
        <v>5061</v>
      </c>
      <c r="C2148" s="334">
        <v>611630</v>
      </c>
      <c r="D2148" s="335" t="s">
        <v>5063</v>
      </c>
    </row>
    <row r="2149" spans="1:4" ht="17.25" customHeight="1" x14ac:dyDescent="0.35">
      <c r="A2149" s="344">
        <v>8299</v>
      </c>
      <c r="B2149" s="337" t="s">
        <v>5061</v>
      </c>
      <c r="C2149" s="338">
        <v>611691</v>
      </c>
      <c r="D2149" s="339" t="s">
        <v>5064</v>
      </c>
    </row>
    <row r="2150" spans="1:4" ht="17.25" customHeight="1" x14ac:dyDescent="0.35">
      <c r="A2150" s="345">
        <v>8299</v>
      </c>
      <c r="B2150" s="333" t="s">
        <v>5061</v>
      </c>
      <c r="C2150" s="334">
        <v>611692</v>
      </c>
      <c r="D2150" s="335" t="s">
        <v>5065</v>
      </c>
    </row>
    <row r="2151" spans="1:4" ht="34.5" customHeight="1" x14ac:dyDescent="0.35">
      <c r="A2151" s="345">
        <v>8299</v>
      </c>
      <c r="B2151" s="333" t="s">
        <v>5061</v>
      </c>
      <c r="C2151" s="334">
        <v>611699</v>
      </c>
      <c r="D2151" s="341" t="s">
        <v>5002</v>
      </c>
    </row>
    <row r="2152" spans="1:4" ht="17.25" customHeight="1" x14ac:dyDescent="0.35">
      <c r="A2152" s="344">
        <v>8299</v>
      </c>
      <c r="B2152" s="337" t="s">
        <v>5061</v>
      </c>
      <c r="C2152" s="338">
        <v>611710</v>
      </c>
      <c r="D2152" s="339" t="s">
        <v>5066</v>
      </c>
    </row>
    <row r="2153" spans="1:4" ht="17.25" customHeight="1" x14ac:dyDescent="0.35">
      <c r="A2153" s="344">
        <v>8322</v>
      </c>
      <c r="B2153" s="337" t="s">
        <v>5067</v>
      </c>
      <c r="C2153" s="338">
        <v>624110</v>
      </c>
      <c r="D2153" s="339" t="s">
        <v>5068</v>
      </c>
    </row>
    <row r="2154" spans="1:4" ht="34.5" customHeight="1" x14ac:dyDescent="0.35">
      <c r="A2154" s="345">
        <v>8322</v>
      </c>
      <c r="B2154" s="333" t="s">
        <v>5067</v>
      </c>
      <c r="C2154" s="334">
        <v>624120</v>
      </c>
      <c r="D2154" s="341" t="s">
        <v>5069</v>
      </c>
    </row>
    <row r="2155" spans="1:4" ht="17.25" customHeight="1" x14ac:dyDescent="0.35">
      <c r="A2155" s="344">
        <v>8322</v>
      </c>
      <c r="B2155" s="337" t="s">
        <v>5067</v>
      </c>
      <c r="C2155" s="338">
        <v>624190</v>
      </c>
      <c r="D2155" s="339" t="s">
        <v>5070</v>
      </c>
    </row>
    <row r="2156" spans="1:4" ht="17.25" customHeight="1" x14ac:dyDescent="0.35">
      <c r="A2156" s="345">
        <v>8322</v>
      </c>
      <c r="B2156" s="333" t="s">
        <v>5067</v>
      </c>
      <c r="C2156" s="334">
        <v>624210</v>
      </c>
      <c r="D2156" s="335" t="s">
        <v>5071</v>
      </c>
    </row>
    <row r="2157" spans="1:4" ht="17.25" customHeight="1" x14ac:dyDescent="0.35">
      <c r="A2157" s="344">
        <v>8322</v>
      </c>
      <c r="B2157" s="337" t="s">
        <v>5067</v>
      </c>
      <c r="C2157" s="338">
        <v>624221</v>
      </c>
      <c r="D2157" s="339" t="s">
        <v>5072</v>
      </c>
    </row>
    <row r="2158" spans="1:4" ht="17.25" customHeight="1" x14ac:dyDescent="0.35">
      <c r="A2158" s="345">
        <v>8322</v>
      </c>
      <c r="B2158" s="333" t="s">
        <v>5067</v>
      </c>
      <c r="C2158" s="334">
        <v>624229</v>
      </c>
      <c r="D2158" s="335" t="s">
        <v>5073</v>
      </c>
    </row>
    <row r="2159" spans="1:4" ht="17.25" customHeight="1" x14ac:dyDescent="0.35">
      <c r="A2159" s="344">
        <v>8322</v>
      </c>
      <c r="B2159" s="337" t="s">
        <v>5067</v>
      </c>
      <c r="C2159" s="338">
        <v>624230</v>
      </c>
      <c r="D2159" s="339" t="s">
        <v>5074</v>
      </c>
    </row>
    <row r="2160" spans="1:4" ht="17.25" customHeight="1" x14ac:dyDescent="0.35">
      <c r="A2160" s="345">
        <v>8322</v>
      </c>
      <c r="B2160" s="333" t="s">
        <v>5067</v>
      </c>
      <c r="C2160" s="334">
        <v>922150</v>
      </c>
      <c r="D2160" s="335" t="s">
        <v>5075</v>
      </c>
    </row>
    <row r="2161" spans="1:4" ht="17.25" customHeight="1" x14ac:dyDescent="0.35">
      <c r="A2161" s="345">
        <v>8331</v>
      </c>
      <c r="B2161" s="333" t="s">
        <v>5076</v>
      </c>
      <c r="C2161" s="334">
        <v>624310</v>
      </c>
      <c r="D2161" s="335" t="s">
        <v>5077</v>
      </c>
    </row>
    <row r="2162" spans="1:4" ht="17.25" customHeight="1" x14ac:dyDescent="0.35">
      <c r="A2162" s="344">
        <v>8351</v>
      </c>
      <c r="B2162" s="337" t="s">
        <v>5078</v>
      </c>
      <c r="C2162" s="338">
        <v>624410</v>
      </c>
      <c r="D2162" s="339" t="s">
        <v>5078</v>
      </c>
    </row>
    <row r="2163" spans="1:4" ht="34.5" customHeight="1" x14ac:dyDescent="0.35">
      <c r="A2163" s="345">
        <v>8361</v>
      </c>
      <c r="B2163" s="333" t="s">
        <v>5079</v>
      </c>
      <c r="C2163" s="334">
        <v>623210</v>
      </c>
      <c r="D2163" s="341" t="s">
        <v>5026</v>
      </c>
    </row>
    <row r="2164" spans="1:4" ht="34.5" customHeight="1" x14ac:dyDescent="0.35">
      <c r="A2164" s="344">
        <v>8361</v>
      </c>
      <c r="B2164" s="337" t="s">
        <v>5079</v>
      </c>
      <c r="C2164" s="338">
        <v>623220</v>
      </c>
      <c r="D2164" s="340" t="s">
        <v>5080</v>
      </c>
    </row>
    <row r="2165" spans="1:4" ht="17.25" customHeight="1" x14ac:dyDescent="0.35">
      <c r="A2165" s="344">
        <v>8361</v>
      </c>
      <c r="B2165" s="337" t="s">
        <v>5079</v>
      </c>
      <c r="C2165" s="338">
        <v>623312</v>
      </c>
      <c r="D2165" s="339" t="s">
        <v>5081</v>
      </c>
    </row>
    <row r="2166" spans="1:4" ht="17.25" customHeight="1" x14ac:dyDescent="0.35">
      <c r="A2166" s="345">
        <v>8361</v>
      </c>
      <c r="B2166" s="333" t="s">
        <v>5079</v>
      </c>
      <c r="C2166" s="334">
        <v>623990</v>
      </c>
      <c r="D2166" s="335" t="s">
        <v>5082</v>
      </c>
    </row>
    <row r="2167" spans="1:4" ht="17.25" customHeight="1" x14ac:dyDescent="0.35">
      <c r="A2167" s="345">
        <v>8399</v>
      </c>
      <c r="B2167" s="333" t="s">
        <v>5083</v>
      </c>
      <c r="C2167" s="334">
        <v>813212</v>
      </c>
      <c r="D2167" s="335" t="s">
        <v>5084</v>
      </c>
    </row>
    <row r="2168" spans="1:4" ht="17.25" customHeight="1" x14ac:dyDescent="0.35">
      <c r="A2168" s="344">
        <v>8399</v>
      </c>
      <c r="B2168" s="337" t="s">
        <v>5083</v>
      </c>
      <c r="C2168" s="338">
        <v>813219</v>
      </c>
      <c r="D2168" s="339" t="s">
        <v>5085</v>
      </c>
    </row>
    <row r="2169" spans="1:4" ht="17.25" customHeight="1" x14ac:dyDescent="0.35">
      <c r="A2169" s="345">
        <v>8399</v>
      </c>
      <c r="B2169" s="333" t="s">
        <v>5083</v>
      </c>
      <c r="C2169" s="334">
        <v>813311</v>
      </c>
      <c r="D2169" s="335" t="s">
        <v>5086</v>
      </c>
    </row>
    <row r="2170" spans="1:4" ht="34.5" customHeight="1" x14ac:dyDescent="0.35">
      <c r="A2170" s="344">
        <v>8399</v>
      </c>
      <c r="B2170" s="337" t="s">
        <v>5083</v>
      </c>
      <c r="C2170" s="338">
        <v>813312</v>
      </c>
      <c r="D2170" s="340" t="s">
        <v>5087</v>
      </c>
    </row>
    <row r="2171" spans="1:4" ht="17.25" customHeight="1" x14ac:dyDescent="0.35">
      <c r="A2171" s="344">
        <v>8399</v>
      </c>
      <c r="B2171" s="337" t="s">
        <v>5083</v>
      </c>
      <c r="C2171" s="338">
        <v>813319</v>
      </c>
      <c r="D2171" s="339" t="s">
        <v>5088</v>
      </c>
    </row>
    <row r="2172" spans="1:4" ht="17.25" customHeight="1" x14ac:dyDescent="0.35">
      <c r="A2172" s="345">
        <v>8412</v>
      </c>
      <c r="B2172" s="333" t="s">
        <v>5089</v>
      </c>
      <c r="C2172" s="334">
        <v>712110</v>
      </c>
      <c r="D2172" s="335" t="s">
        <v>5090</v>
      </c>
    </row>
    <row r="2173" spans="1:4" ht="17.25" customHeight="1" x14ac:dyDescent="0.35">
      <c r="A2173" s="344">
        <v>8412</v>
      </c>
      <c r="B2173" s="337" t="s">
        <v>5089</v>
      </c>
      <c r="C2173" s="338">
        <v>712120</v>
      </c>
      <c r="D2173" s="339" t="s">
        <v>5091</v>
      </c>
    </row>
    <row r="2174" spans="1:4" ht="17.25" customHeight="1" x14ac:dyDescent="0.35">
      <c r="A2174" s="345">
        <v>8422</v>
      </c>
      <c r="B2174" s="333" t="s">
        <v>5092</v>
      </c>
      <c r="C2174" s="334">
        <v>712130</v>
      </c>
      <c r="D2174" s="335" t="s">
        <v>5093</v>
      </c>
    </row>
    <row r="2175" spans="1:4" ht="17.25" customHeight="1" x14ac:dyDescent="0.35">
      <c r="A2175" s="345">
        <v>8422</v>
      </c>
      <c r="B2175" s="333" t="s">
        <v>5092</v>
      </c>
      <c r="C2175" s="334">
        <v>712190</v>
      </c>
      <c r="D2175" s="335" t="s">
        <v>5003</v>
      </c>
    </row>
    <row r="2176" spans="1:4" ht="17.25" customHeight="1" x14ac:dyDescent="0.35">
      <c r="A2176" s="344">
        <v>8611</v>
      </c>
      <c r="B2176" s="337" t="s">
        <v>5094</v>
      </c>
      <c r="C2176" s="338">
        <v>813910</v>
      </c>
      <c r="D2176" s="339" t="s">
        <v>5094</v>
      </c>
    </row>
    <row r="2177" spans="1:4" ht="17.25" customHeight="1" x14ac:dyDescent="0.35">
      <c r="A2177" s="344">
        <v>8621</v>
      </c>
      <c r="B2177" s="337" t="s">
        <v>5095</v>
      </c>
      <c r="C2177" s="338">
        <v>813920</v>
      </c>
      <c r="D2177" s="339" t="s">
        <v>5095</v>
      </c>
    </row>
    <row r="2178" spans="1:4" ht="34.5" customHeight="1" x14ac:dyDescent="0.35">
      <c r="A2178" s="345">
        <v>8631</v>
      </c>
      <c r="B2178" s="333" t="s">
        <v>5096</v>
      </c>
      <c r="C2178" s="334">
        <v>813930</v>
      </c>
      <c r="D2178" s="341" t="s">
        <v>5097</v>
      </c>
    </row>
    <row r="2179" spans="1:4" ht="17.25" customHeight="1" x14ac:dyDescent="0.35">
      <c r="A2179" s="345">
        <v>8641</v>
      </c>
      <c r="B2179" s="333" t="s">
        <v>5098</v>
      </c>
      <c r="C2179" s="334">
        <v>813319</v>
      </c>
      <c r="D2179" s="335" t="s">
        <v>5088</v>
      </c>
    </row>
    <row r="2180" spans="1:4" ht="17.25" customHeight="1" x14ac:dyDescent="0.35">
      <c r="A2180" s="344">
        <v>8641</v>
      </c>
      <c r="B2180" s="337" t="s">
        <v>5098</v>
      </c>
      <c r="C2180" s="338">
        <v>813410</v>
      </c>
      <c r="D2180" s="339" t="s">
        <v>5099</v>
      </c>
    </row>
    <row r="2181" spans="1:4" ht="43.5" customHeight="1" x14ac:dyDescent="0.35">
      <c r="A2181" s="344">
        <v>8641</v>
      </c>
      <c r="B2181" s="337" t="s">
        <v>5098</v>
      </c>
      <c r="C2181" s="338">
        <v>813990</v>
      </c>
      <c r="D2181" s="340" t="s">
        <v>5100</v>
      </c>
    </row>
    <row r="2182" spans="1:4" ht="34.5" customHeight="1" x14ac:dyDescent="0.35">
      <c r="A2182" s="345">
        <v>8641</v>
      </c>
      <c r="B2182" s="333" t="s">
        <v>5098</v>
      </c>
      <c r="C2182" s="334">
        <v>921150</v>
      </c>
      <c r="D2182" s="341" t="s">
        <v>5101</v>
      </c>
    </row>
    <row r="2183" spans="1:4" ht="17.25" customHeight="1" x14ac:dyDescent="0.35">
      <c r="A2183" s="344">
        <v>8651</v>
      </c>
      <c r="B2183" s="337" t="s">
        <v>5102</v>
      </c>
      <c r="C2183" s="338">
        <v>813940</v>
      </c>
      <c r="D2183" s="339" t="s">
        <v>5102</v>
      </c>
    </row>
    <row r="2184" spans="1:4" ht="17.25" customHeight="1" x14ac:dyDescent="0.35">
      <c r="A2184" s="345">
        <v>8661</v>
      </c>
      <c r="B2184" s="333" t="s">
        <v>5103</v>
      </c>
      <c r="C2184" s="334">
        <v>813110</v>
      </c>
      <c r="D2184" s="335" t="s">
        <v>5103</v>
      </c>
    </row>
    <row r="2185" spans="1:4" ht="34.5" customHeight="1" x14ac:dyDescent="0.35">
      <c r="A2185" s="344">
        <v>8699</v>
      </c>
      <c r="B2185" s="337" t="s">
        <v>5104</v>
      </c>
      <c r="C2185" s="338">
        <v>561599</v>
      </c>
      <c r="D2185" s="340" t="s">
        <v>4360</v>
      </c>
    </row>
    <row r="2186" spans="1:4" ht="34.5" customHeight="1" x14ac:dyDescent="0.35">
      <c r="A2186" s="345">
        <v>8699</v>
      </c>
      <c r="B2186" s="333" t="s">
        <v>5104</v>
      </c>
      <c r="C2186" s="334">
        <v>813312</v>
      </c>
      <c r="D2186" s="341" t="s">
        <v>5087</v>
      </c>
    </row>
    <row r="2187" spans="1:4" ht="17.25" customHeight="1" x14ac:dyDescent="0.35">
      <c r="A2187" s="345">
        <v>8699</v>
      </c>
      <c r="B2187" s="333" t="s">
        <v>5104</v>
      </c>
      <c r="C2187" s="334">
        <v>813410</v>
      </c>
      <c r="D2187" s="335" t="s">
        <v>5099</v>
      </c>
    </row>
    <row r="2188" spans="1:4" ht="17.25" customHeight="1" x14ac:dyDescent="0.35">
      <c r="A2188" s="345">
        <v>8699</v>
      </c>
      <c r="B2188" s="333" t="s">
        <v>5104</v>
      </c>
      <c r="C2188" s="334">
        <v>813910</v>
      </c>
      <c r="D2188" s="335" t="s">
        <v>5094</v>
      </c>
    </row>
    <row r="2189" spans="1:4" ht="43.5" customHeight="1" x14ac:dyDescent="0.35">
      <c r="A2189" s="345">
        <v>8699</v>
      </c>
      <c r="B2189" s="333" t="s">
        <v>5104</v>
      </c>
      <c r="C2189" s="334">
        <v>813990</v>
      </c>
      <c r="D2189" s="341" t="s">
        <v>4767</v>
      </c>
    </row>
    <row r="2190" spans="1:4" ht="17.25" customHeight="1" x14ac:dyDescent="0.35">
      <c r="A2190" s="344">
        <v>8711</v>
      </c>
      <c r="B2190" s="337" t="s">
        <v>5105</v>
      </c>
      <c r="C2190" s="338">
        <v>541330</v>
      </c>
      <c r="D2190" s="339" t="s">
        <v>5105</v>
      </c>
    </row>
    <row r="2191" spans="1:4" ht="17.25" customHeight="1" x14ac:dyDescent="0.35">
      <c r="A2191" s="345">
        <v>8712</v>
      </c>
      <c r="B2191" s="333" t="s">
        <v>5106</v>
      </c>
      <c r="C2191" s="334">
        <v>541310</v>
      </c>
      <c r="D2191" s="335" t="s">
        <v>5106</v>
      </c>
    </row>
    <row r="2192" spans="1:4" ht="34.5" customHeight="1" x14ac:dyDescent="0.35">
      <c r="A2192" s="345">
        <v>8713</v>
      </c>
      <c r="B2192" s="333" t="s">
        <v>5107</v>
      </c>
      <c r="C2192" s="334">
        <v>541360</v>
      </c>
      <c r="D2192" s="341" t="s">
        <v>3329</v>
      </c>
    </row>
    <row r="2193" spans="1:4" ht="34.5" customHeight="1" x14ac:dyDescent="0.35">
      <c r="A2193" s="345">
        <v>8713</v>
      </c>
      <c r="B2193" s="333" t="s">
        <v>5107</v>
      </c>
      <c r="C2193" s="334">
        <v>541370</v>
      </c>
      <c r="D2193" s="341" t="s">
        <v>4906</v>
      </c>
    </row>
    <row r="2194" spans="1:4" ht="17.25" customHeight="1" x14ac:dyDescent="0.35">
      <c r="A2194" s="344">
        <v>8721</v>
      </c>
      <c r="B2194" s="337" t="s">
        <v>5108</v>
      </c>
      <c r="C2194" s="338">
        <v>541211</v>
      </c>
      <c r="D2194" s="339" t="s">
        <v>5109</v>
      </c>
    </row>
    <row r="2195" spans="1:4" ht="17.25" customHeight="1" x14ac:dyDescent="0.35">
      <c r="A2195" s="345">
        <v>8721</v>
      </c>
      <c r="B2195" s="333" t="s">
        <v>5108</v>
      </c>
      <c r="C2195" s="334">
        <v>541214</v>
      </c>
      <c r="D2195" s="335" t="s">
        <v>4964</v>
      </c>
    </row>
    <row r="2196" spans="1:4" ht="17.25" customHeight="1" x14ac:dyDescent="0.35">
      <c r="A2196" s="344">
        <v>8721</v>
      </c>
      <c r="B2196" s="337" t="s">
        <v>5108</v>
      </c>
      <c r="C2196" s="338">
        <v>541219</v>
      </c>
      <c r="D2196" s="339" t="s">
        <v>5110</v>
      </c>
    </row>
    <row r="2197" spans="1:4" ht="43.5" customHeight="1" x14ac:dyDescent="0.35">
      <c r="A2197" s="344">
        <v>8731</v>
      </c>
      <c r="B2197" s="337" t="s">
        <v>5111</v>
      </c>
      <c r="C2197" s="338">
        <v>541713</v>
      </c>
      <c r="D2197" s="339" t="s">
        <v>5112</v>
      </c>
    </row>
    <row r="2198" spans="1:4" ht="43.5" customHeight="1" x14ac:dyDescent="0.35">
      <c r="A2198" s="344">
        <v>8731</v>
      </c>
      <c r="B2198" s="337" t="s">
        <v>5111</v>
      </c>
      <c r="C2198" s="338">
        <v>541714</v>
      </c>
      <c r="D2198" s="339" t="s">
        <v>5112</v>
      </c>
    </row>
    <row r="2199" spans="1:4" ht="57.75" customHeight="1" x14ac:dyDescent="0.35">
      <c r="A2199" s="344">
        <v>8731</v>
      </c>
      <c r="B2199" s="337" t="s">
        <v>5111</v>
      </c>
      <c r="C2199" s="338">
        <v>541715</v>
      </c>
      <c r="D2199" s="340" t="s">
        <v>5113</v>
      </c>
    </row>
    <row r="2200" spans="1:4" ht="34.5" customHeight="1" x14ac:dyDescent="0.35">
      <c r="A2200" s="344">
        <v>8732</v>
      </c>
      <c r="B2200" s="337" t="s">
        <v>5114</v>
      </c>
      <c r="C2200" s="338">
        <v>541720</v>
      </c>
      <c r="D2200" s="340" t="s">
        <v>5115</v>
      </c>
    </row>
    <row r="2201" spans="1:4" ht="34.5" customHeight="1" x14ac:dyDescent="0.35">
      <c r="A2201" s="344">
        <v>8732</v>
      </c>
      <c r="B2201" s="337" t="s">
        <v>5114</v>
      </c>
      <c r="C2201" s="338">
        <v>541910</v>
      </c>
      <c r="D2201" s="340" t="s">
        <v>5116</v>
      </c>
    </row>
    <row r="2202" spans="1:4" ht="43.5" customHeight="1" x14ac:dyDescent="0.35">
      <c r="A2202" s="345">
        <v>8733</v>
      </c>
      <c r="B2202" s="333" t="s">
        <v>5117</v>
      </c>
      <c r="C2202" s="334">
        <v>541713</v>
      </c>
      <c r="D2202" s="335" t="s">
        <v>5112</v>
      </c>
    </row>
    <row r="2203" spans="1:4" ht="43.5" customHeight="1" x14ac:dyDescent="0.35">
      <c r="A2203" s="345">
        <v>8733</v>
      </c>
      <c r="B2203" s="333" t="s">
        <v>5117</v>
      </c>
      <c r="C2203" s="334">
        <v>541714</v>
      </c>
      <c r="D2203" s="335" t="s">
        <v>5112</v>
      </c>
    </row>
    <row r="2204" spans="1:4" ht="57.75" customHeight="1" x14ac:dyDescent="0.35">
      <c r="A2204" s="345">
        <v>8733</v>
      </c>
      <c r="B2204" s="333" t="s">
        <v>5117</v>
      </c>
      <c r="C2204" s="334">
        <v>541715</v>
      </c>
      <c r="D2204" s="341" t="s">
        <v>5113</v>
      </c>
    </row>
    <row r="2205" spans="1:4" ht="34.5" customHeight="1" x14ac:dyDescent="0.35">
      <c r="A2205" s="345">
        <v>8733</v>
      </c>
      <c r="B2205" s="333" t="s">
        <v>5117</v>
      </c>
      <c r="C2205" s="334">
        <v>541720</v>
      </c>
      <c r="D2205" s="341" t="s">
        <v>5115</v>
      </c>
    </row>
    <row r="2206" spans="1:4" ht="17.25" customHeight="1" x14ac:dyDescent="0.35">
      <c r="A2206" s="344">
        <v>8734</v>
      </c>
      <c r="B2206" s="337" t="s">
        <v>5118</v>
      </c>
      <c r="C2206" s="338">
        <v>541380</v>
      </c>
      <c r="D2206" s="339" t="s">
        <v>5118</v>
      </c>
    </row>
    <row r="2207" spans="1:4" ht="17.25" customHeight="1" x14ac:dyDescent="0.35">
      <c r="A2207" s="345">
        <v>8734</v>
      </c>
      <c r="B2207" s="333" t="s">
        <v>5118</v>
      </c>
      <c r="C2207" s="334">
        <v>541940</v>
      </c>
      <c r="D2207" s="335" t="s">
        <v>3284</v>
      </c>
    </row>
    <row r="2208" spans="1:4" ht="34.5" customHeight="1" x14ac:dyDescent="0.35">
      <c r="A2208" s="345">
        <v>8741</v>
      </c>
      <c r="B2208" s="333" t="s">
        <v>5119</v>
      </c>
      <c r="C2208" s="334">
        <v>236115</v>
      </c>
      <c r="D2208" s="341" t="s">
        <v>3376</v>
      </c>
    </row>
    <row r="2209" spans="1:4" ht="34.5" customHeight="1" x14ac:dyDescent="0.35">
      <c r="A2209" s="345">
        <v>8741</v>
      </c>
      <c r="B2209" s="333" t="s">
        <v>5119</v>
      </c>
      <c r="C2209" s="334">
        <v>236116</v>
      </c>
      <c r="D2209" s="341" t="s">
        <v>3379</v>
      </c>
    </row>
    <row r="2210" spans="1:4" ht="17.25" customHeight="1" x14ac:dyDescent="0.35">
      <c r="A2210" s="344">
        <v>8741</v>
      </c>
      <c r="B2210" s="337" t="s">
        <v>5119</v>
      </c>
      <c r="C2210" s="338">
        <v>236118</v>
      </c>
      <c r="D2210" s="339" t="s">
        <v>3377</v>
      </c>
    </row>
    <row r="2211" spans="1:4" ht="17.25" customHeight="1" x14ac:dyDescent="0.35">
      <c r="A2211" s="344">
        <v>8741</v>
      </c>
      <c r="B2211" s="337" t="s">
        <v>5119</v>
      </c>
      <c r="C2211" s="338">
        <v>236210</v>
      </c>
      <c r="D2211" s="339" t="s">
        <v>3383</v>
      </c>
    </row>
    <row r="2212" spans="1:4" ht="34.5" customHeight="1" x14ac:dyDescent="0.35">
      <c r="A2212" s="344">
        <v>8741</v>
      </c>
      <c r="B2212" s="337" t="s">
        <v>5119</v>
      </c>
      <c r="C2212" s="338">
        <v>236220</v>
      </c>
      <c r="D2212" s="340" t="s">
        <v>3380</v>
      </c>
    </row>
    <row r="2213" spans="1:4" ht="34.5" customHeight="1" x14ac:dyDescent="0.35">
      <c r="A2213" s="344">
        <v>8741</v>
      </c>
      <c r="B2213" s="337" t="s">
        <v>5119</v>
      </c>
      <c r="C2213" s="338">
        <v>237110</v>
      </c>
      <c r="D2213" s="340" t="s">
        <v>3391</v>
      </c>
    </row>
    <row r="2214" spans="1:4" ht="34.5" customHeight="1" x14ac:dyDescent="0.35">
      <c r="A2214" s="344">
        <v>8741</v>
      </c>
      <c r="B2214" s="337" t="s">
        <v>5119</v>
      </c>
      <c r="C2214" s="338">
        <v>237120</v>
      </c>
      <c r="D2214" s="340" t="s">
        <v>3348</v>
      </c>
    </row>
    <row r="2215" spans="1:4" ht="34.5" customHeight="1" x14ac:dyDescent="0.35">
      <c r="A2215" s="345">
        <v>8741</v>
      </c>
      <c r="B2215" s="333" t="s">
        <v>5119</v>
      </c>
      <c r="C2215" s="334">
        <v>237130</v>
      </c>
      <c r="D2215" s="341" t="s">
        <v>3392</v>
      </c>
    </row>
    <row r="2216" spans="1:4" ht="17.25" customHeight="1" x14ac:dyDescent="0.35">
      <c r="A2216" s="344">
        <v>8741</v>
      </c>
      <c r="B2216" s="337" t="s">
        <v>5119</v>
      </c>
      <c r="C2216" s="338">
        <v>237310</v>
      </c>
      <c r="D2216" s="339" t="s">
        <v>3387</v>
      </c>
    </row>
    <row r="2217" spans="1:4" ht="34.5" customHeight="1" x14ac:dyDescent="0.35">
      <c r="A2217" s="344">
        <v>8741</v>
      </c>
      <c r="B2217" s="337" t="s">
        <v>5119</v>
      </c>
      <c r="C2217" s="338">
        <v>237990</v>
      </c>
      <c r="D2217" s="340" t="s">
        <v>3389</v>
      </c>
    </row>
    <row r="2218" spans="1:4" ht="17.25" customHeight="1" x14ac:dyDescent="0.35">
      <c r="A2218" s="345">
        <v>8741</v>
      </c>
      <c r="B2218" s="333" t="s">
        <v>5119</v>
      </c>
      <c r="C2218" s="334">
        <v>561110</v>
      </c>
      <c r="D2218" s="335" t="s">
        <v>5120</v>
      </c>
    </row>
    <row r="2219" spans="1:4" ht="34.5" customHeight="1" x14ac:dyDescent="0.35">
      <c r="A2219" s="345">
        <v>8742</v>
      </c>
      <c r="B2219" s="333" t="s">
        <v>5121</v>
      </c>
      <c r="C2219" s="334">
        <v>541611</v>
      </c>
      <c r="D2219" s="341" t="s">
        <v>5122</v>
      </c>
    </row>
    <row r="2220" spans="1:4" ht="17.25" customHeight="1" x14ac:dyDescent="0.35">
      <c r="A2220" s="345">
        <v>8742</v>
      </c>
      <c r="B2220" s="333" t="s">
        <v>5121</v>
      </c>
      <c r="C2220" s="334">
        <v>541612</v>
      </c>
      <c r="D2220" s="335" t="s">
        <v>4868</v>
      </c>
    </row>
    <row r="2221" spans="1:4" ht="17.25" customHeight="1" x14ac:dyDescent="0.35">
      <c r="A2221" s="345">
        <v>8742</v>
      </c>
      <c r="B2221" s="333" t="s">
        <v>5121</v>
      </c>
      <c r="C2221" s="334">
        <v>541613</v>
      </c>
      <c r="D2221" s="335" t="s">
        <v>5123</v>
      </c>
    </row>
    <row r="2222" spans="1:4" ht="34.5" customHeight="1" x14ac:dyDescent="0.35">
      <c r="A2222" s="345">
        <v>8742</v>
      </c>
      <c r="B2222" s="333" t="s">
        <v>5121</v>
      </c>
      <c r="C2222" s="334">
        <v>541614</v>
      </c>
      <c r="D2222" s="341" t="s">
        <v>4362</v>
      </c>
    </row>
    <row r="2223" spans="1:4" ht="17.25" customHeight="1" x14ac:dyDescent="0.35">
      <c r="A2223" s="344">
        <v>8742</v>
      </c>
      <c r="B2223" s="337" t="s">
        <v>5121</v>
      </c>
      <c r="C2223" s="338">
        <v>561312</v>
      </c>
      <c r="D2223" s="339" t="s">
        <v>4869</v>
      </c>
    </row>
    <row r="2224" spans="1:4" ht="17.25" customHeight="1" x14ac:dyDescent="0.35">
      <c r="A2224" s="345">
        <v>8743</v>
      </c>
      <c r="B2224" s="333" t="s">
        <v>5124</v>
      </c>
      <c r="C2224" s="334">
        <v>541820</v>
      </c>
      <c r="D2224" s="335" t="s">
        <v>5125</v>
      </c>
    </row>
    <row r="2225" spans="1:4" ht="17.25" customHeight="1" x14ac:dyDescent="0.35">
      <c r="A2225" s="344">
        <v>8744</v>
      </c>
      <c r="B2225" s="337" t="s">
        <v>5126</v>
      </c>
      <c r="C2225" s="338">
        <v>561210</v>
      </c>
      <c r="D2225" s="339" t="s">
        <v>5126</v>
      </c>
    </row>
    <row r="2226" spans="1:4" ht="17.25" customHeight="1" x14ac:dyDescent="0.35">
      <c r="A2226" s="345">
        <v>8748</v>
      </c>
      <c r="B2226" s="333" t="s">
        <v>5127</v>
      </c>
      <c r="C2226" s="334">
        <v>541320</v>
      </c>
      <c r="D2226" s="335" t="s">
        <v>3295</v>
      </c>
    </row>
    <row r="2227" spans="1:4" ht="17.25" customHeight="1" x14ac:dyDescent="0.35">
      <c r="A2227" s="345">
        <v>8748</v>
      </c>
      <c r="B2227" s="333" t="s">
        <v>5127</v>
      </c>
      <c r="C2227" s="334">
        <v>541330</v>
      </c>
      <c r="D2227" s="335" t="s">
        <v>5105</v>
      </c>
    </row>
    <row r="2228" spans="1:4" ht="17.25" customHeight="1" x14ac:dyDescent="0.35">
      <c r="A2228" s="344">
        <v>8748</v>
      </c>
      <c r="B2228" s="337" t="s">
        <v>5127</v>
      </c>
      <c r="C2228" s="338">
        <v>541618</v>
      </c>
      <c r="D2228" s="339" t="s">
        <v>5128</v>
      </c>
    </row>
    <row r="2229" spans="1:4" ht="34.5" customHeight="1" x14ac:dyDescent="0.35">
      <c r="A2229" s="344">
        <v>8748</v>
      </c>
      <c r="B2229" s="337" t="s">
        <v>5127</v>
      </c>
      <c r="C2229" s="338">
        <v>541690</v>
      </c>
      <c r="D2229" s="340" t="s">
        <v>3296</v>
      </c>
    </row>
    <row r="2230" spans="1:4" ht="17.25" customHeight="1" x14ac:dyDescent="0.35">
      <c r="A2230" s="345">
        <v>8748</v>
      </c>
      <c r="B2230" s="333" t="s">
        <v>5127</v>
      </c>
      <c r="C2230" s="334">
        <v>611710</v>
      </c>
      <c r="D2230" s="335" t="s">
        <v>5066</v>
      </c>
    </row>
    <row r="2231" spans="1:4" ht="17.25" customHeight="1" x14ac:dyDescent="0.35">
      <c r="A2231" s="344">
        <v>8811</v>
      </c>
      <c r="B2231" s="350"/>
      <c r="C2231" s="338">
        <v>814110</v>
      </c>
      <c r="D2231" s="339" t="s">
        <v>5129</v>
      </c>
    </row>
    <row r="2232" spans="1:4" ht="17.25" customHeight="1" x14ac:dyDescent="0.35">
      <c r="A2232" s="344">
        <v>8999</v>
      </c>
      <c r="B2232" s="337" t="s">
        <v>5130</v>
      </c>
      <c r="C2232" s="338">
        <v>512230</v>
      </c>
      <c r="D2232" s="339" t="s">
        <v>3704</v>
      </c>
    </row>
    <row r="2233" spans="1:4" ht="17.25" customHeight="1" x14ac:dyDescent="0.35">
      <c r="A2233" s="344">
        <v>8999</v>
      </c>
      <c r="B2233" s="337" t="s">
        <v>5130</v>
      </c>
      <c r="C2233" s="338">
        <v>512250</v>
      </c>
      <c r="D2233" s="339" t="s">
        <v>4137</v>
      </c>
    </row>
    <row r="2234" spans="1:4" ht="34.5" customHeight="1" x14ac:dyDescent="0.35">
      <c r="A2234" s="345">
        <v>8999</v>
      </c>
      <c r="B2234" s="333" t="s">
        <v>5130</v>
      </c>
      <c r="C2234" s="334">
        <v>519130</v>
      </c>
      <c r="D2234" s="341" t="s">
        <v>3699</v>
      </c>
    </row>
    <row r="2235" spans="1:4" ht="34.5" customHeight="1" x14ac:dyDescent="0.35">
      <c r="A2235" s="344">
        <v>8999</v>
      </c>
      <c r="B2235" s="337" t="s">
        <v>5130</v>
      </c>
      <c r="C2235" s="338">
        <v>519130</v>
      </c>
      <c r="D2235" s="340" t="s">
        <v>3699</v>
      </c>
    </row>
    <row r="2236" spans="1:4" ht="17.25" customHeight="1" x14ac:dyDescent="0.35">
      <c r="A2236" s="344">
        <v>8999</v>
      </c>
      <c r="B2236" s="337" t="s">
        <v>5130</v>
      </c>
      <c r="C2236" s="338">
        <v>541612</v>
      </c>
      <c r="D2236" s="339" t="s">
        <v>4868</v>
      </c>
    </row>
    <row r="2237" spans="1:4" ht="17.25" customHeight="1" x14ac:dyDescent="0.35">
      <c r="A2237" s="345">
        <v>8999</v>
      </c>
      <c r="B2237" s="333" t="s">
        <v>5130</v>
      </c>
      <c r="C2237" s="334">
        <v>541620</v>
      </c>
      <c r="D2237" s="335" t="s">
        <v>5131</v>
      </c>
    </row>
    <row r="2238" spans="1:4" ht="34.5" customHeight="1" x14ac:dyDescent="0.35">
      <c r="A2238" s="345">
        <v>8999</v>
      </c>
      <c r="B2238" s="333" t="s">
        <v>5130</v>
      </c>
      <c r="C2238" s="334">
        <v>541690</v>
      </c>
      <c r="D2238" s="341" t="s">
        <v>3296</v>
      </c>
    </row>
    <row r="2239" spans="1:4" ht="34.5" customHeight="1" x14ac:dyDescent="0.35">
      <c r="A2239" s="345">
        <v>8999</v>
      </c>
      <c r="B2239" s="333" t="s">
        <v>5130</v>
      </c>
      <c r="C2239" s="334">
        <v>541990</v>
      </c>
      <c r="D2239" s="341" t="s">
        <v>4334</v>
      </c>
    </row>
    <row r="2240" spans="1:4" ht="17.25" customHeight="1" x14ac:dyDescent="0.35">
      <c r="A2240" s="345">
        <v>8999</v>
      </c>
      <c r="B2240" s="333" t="s">
        <v>5130</v>
      </c>
      <c r="C2240" s="334">
        <v>561312</v>
      </c>
      <c r="D2240" s="335" t="s">
        <v>4869</v>
      </c>
    </row>
    <row r="2241" spans="1:4" ht="34.5" customHeight="1" x14ac:dyDescent="0.35">
      <c r="A2241" s="344">
        <v>8999</v>
      </c>
      <c r="B2241" s="337" t="s">
        <v>5130</v>
      </c>
      <c r="C2241" s="338">
        <v>711510</v>
      </c>
      <c r="D2241" s="340" t="s">
        <v>4895</v>
      </c>
    </row>
    <row r="2242" spans="1:4" ht="17.25" customHeight="1" x14ac:dyDescent="0.35">
      <c r="A2242" s="345">
        <v>9111</v>
      </c>
      <c r="B2242" s="333" t="s">
        <v>5132</v>
      </c>
      <c r="C2242" s="334">
        <v>921110</v>
      </c>
      <c r="D2242" s="335" t="s">
        <v>5132</v>
      </c>
    </row>
    <row r="2243" spans="1:4" ht="17.25" customHeight="1" x14ac:dyDescent="0.35">
      <c r="A2243" s="344">
        <v>9121</v>
      </c>
      <c r="B2243" s="337" t="s">
        <v>5133</v>
      </c>
      <c r="C2243" s="338">
        <v>921120</v>
      </c>
      <c r="D2243" s="339" t="s">
        <v>5133</v>
      </c>
    </row>
    <row r="2244" spans="1:4" ht="34.5" customHeight="1" x14ac:dyDescent="0.35">
      <c r="A2244" s="344">
        <v>9131</v>
      </c>
      <c r="B2244" s="337" t="s">
        <v>5134</v>
      </c>
      <c r="C2244" s="338">
        <v>921140</v>
      </c>
      <c r="D2244" s="340" t="s">
        <v>5135</v>
      </c>
    </row>
    <row r="2245" spans="1:4" ht="17.25" customHeight="1" x14ac:dyDescent="0.35">
      <c r="A2245" s="344">
        <v>9199</v>
      </c>
      <c r="B2245" s="337" t="s">
        <v>5136</v>
      </c>
      <c r="C2245" s="338">
        <v>921190</v>
      </c>
      <c r="D2245" s="339" t="s">
        <v>5137</v>
      </c>
    </row>
    <row r="2246" spans="1:4" ht="17.25" customHeight="1" x14ac:dyDescent="0.35">
      <c r="A2246" s="345">
        <v>9211</v>
      </c>
      <c r="B2246" s="333" t="s">
        <v>5138</v>
      </c>
      <c r="C2246" s="334">
        <v>922110</v>
      </c>
      <c r="D2246" s="335" t="s">
        <v>5138</v>
      </c>
    </row>
    <row r="2247" spans="1:4" ht="17.25" customHeight="1" x14ac:dyDescent="0.35">
      <c r="A2247" s="344">
        <v>9221</v>
      </c>
      <c r="B2247" s="337" t="s">
        <v>5139</v>
      </c>
      <c r="C2247" s="338">
        <v>922120</v>
      </c>
      <c r="D2247" s="339" t="s">
        <v>5139</v>
      </c>
    </row>
    <row r="2248" spans="1:4" ht="17.25" customHeight="1" x14ac:dyDescent="0.35">
      <c r="A2248" s="345">
        <v>9222</v>
      </c>
      <c r="B2248" s="333" t="s">
        <v>5140</v>
      </c>
      <c r="C2248" s="334">
        <v>922130</v>
      </c>
      <c r="D2248" s="335" t="s">
        <v>5140</v>
      </c>
    </row>
    <row r="2249" spans="1:4" ht="17.25" customHeight="1" x14ac:dyDescent="0.35">
      <c r="A2249" s="344">
        <v>9223</v>
      </c>
      <c r="B2249" s="337" t="s">
        <v>5141</v>
      </c>
      <c r="C2249" s="338">
        <v>922140</v>
      </c>
      <c r="D2249" s="339" t="s">
        <v>5141</v>
      </c>
    </row>
    <row r="2250" spans="1:4" ht="17.25" customHeight="1" x14ac:dyDescent="0.35">
      <c r="A2250" s="344">
        <v>9224</v>
      </c>
      <c r="B2250" s="337" t="s">
        <v>5142</v>
      </c>
      <c r="C2250" s="338">
        <v>922160</v>
      </c>
      <c r="D2250" s="339" t="s">
        <v>5142</v>
      </c>
    </row>
    <row r="2251" spans="1:4" ht="34.5" customHeight="1" x14ac:dyDescent="0.35">
      <c r="A2251" s="345">
        <v>9229</v>
      </c>
      <c r="B2251" s="333" t="s">
        <v>5143</v>
      </c>
      <c r="C2251" s="334">
        <v>922190</v>
      </c>
      <c r="D2251" s="341" t="s">
        <v>5144</v>
      </c>
    </row>
    <row r="2252" spans="1:4" ht="17.25" customHeight="1" x14ac:dyDescent="0.35">
      <c r="A2252" s="345">
        <v>9311</v>
      </c>
      <c r="B2252" s="333" t="s">
        <v>5145</v>
      </c>
      <c r="C2252" s="334">
        <v>921130</v>
      </c>
      <c r="D2252" s="335" t="s">
        <v>5146</v>
      </c>
    </row>
    <row r="2253" spans="1:4" ht="17.25" customHeight="1" x14ac:dyDescent="0.35">
      <c r="A2253" s="344">
        <v>9411</v>
      </c>
      <c r="B2253" s="337" t="s">
        <v>5147</v>
      </c>
      <c r="C2253" s="338">
        <v>923110</v>
      </c>
      <c r="D2253" s="339" t="s">
        <v>5148</v>
      </c>
    </row>
    <row r="2254" spans="1:4" ht="17.25" customHeight="1" x14ac:dyDescent="0.35">
      <c r="A2254" s="345">
        <v>9431</v>
      </c>
      <c r="B2254" s="333" t="s">
        <v>5149</v>
      </c>
      <c r="C2254" s="334">
        <v>923120</v>
      </c>
      <c r="D2254" s="335" t="s">
        <v>5149</v>
      </c>
    </row>
    <row r="2255" spans="1:4" ht="43.5" customHeight="1" x14ac:dyDescent="0.35">
      <c r="A2255" s="344">
        <v>9441</v>
      </c>
      <c r="B2255" s="337" t="s">
        <v>5150</v>
      </c>
      <c r="C2255" s="338">
        <v>923130</v>
      </c>
      <c r="D2255" s="340" t="s">
        <v>5151</v>
      </c>
    </row>
    <row r="2256" spans="1:4" ht="17.25" customHeight="1" x14ac:dyDescent="0.35">
      <c r="A2256" s="345">
        <v>9451</v>
      </c>
      <c r="B2256" s="333" t="s">
        <v>5152</v>
      </c>
      <c r="C2256" s="334">
        <v>923140</v>
      </c>
      <c r="D2256" s="335" t="s">
        <v>5152</v>
      </c>
    </row>
    <row r="2257" spans="1:4" ht="34.5" customHeight="1" x14ac:dyDescent="0.35">
      <c r="A2257" s="344">
        <v>9511</v>
      </c>
      <c r="B2257" s="337" t="s">
        <v>5153</v>
      </c>
      <c r="C2257" s="338">
        <v>924110</v>
      </c>
      <c r="D2257" s="340" t="s">
        <v>5154</v>
      </c>
    </row>
    <row r="2258" spans="1:4" ht="17.25" customHeight="1" x14ac:dyDescent="0.35">
      <c r="A2258" s="345">
        <v>9512</v>
      </c>
      <c r="B2258" s="333" t="s">
        <v>5155</v>
      </c>
      <c r="C2258" s="334">
        <v>924120</v>
      </c>
      <c r="D2258" s="335" t="s">
        <v>5156</v>
      </c>
    </row>
    <row r="2259" spans="1:4" ht="17.25" customHeight="1" x14ac:dyDescent="0.35">
      <c r="A2259" s="344">
        <v>9531</v>
      </c>
      <c r="B2259" s="337" t="s">
        <v>5157</v>
      </c>
      <c r="C2259" s="338">
        <v>925110</v>
      </c>
      <c r="D2259" s="339" t="s">
        <v>5158</v>
      </c>
    </row>
    <row r="2260" spans="1:4" ht="34.5" customHeight="1" x14ac:dyDescent="0.35">
      <c r="A2260" s="345">
        <v>9532</v>
      </c>
      <c r="B2260" s="333" t="s">
        <v>5159</v>
      </c>
      <c r="C2260" s="334">
        <v>925120</v>
      </c>
      <c r="D2260" s="341" t="s">
        <v>5160</v>
      </c>
    </row>
    <row r="2261" spans="1:4" ht="34.5" customHeight="1" x14ac:dyDescent="0.35">
      <c r="A2261" s="344">
        <v>9611</v>
      </c>
      <c r="B2261" s="346" t="s">
        <v>5161</v>
      </c>
      <c r="C2261" s="338">
        <v>926110</v>
      </c>
      <c r="D2261" s="340" t="s">
        <v>5161</v>
      </c>
    </row>
    <row r="2262" spans="1:4" ht="34.5" customHeight="1" x14ac:dyDescent="0.35">
      <c r="A2262" s="344">
        <v>9621</v>
      </c>
      <c r="B2262" s="346" t="s">
        <v>5162</v>
      </c>
      <c r="C2262" s="338">
        <v>488111</v>
      </c>
      <c r="D2262" s="339" t="s">
        <v>4345</v>
      </c>
    </row>
    <row r="2263" spans="1:4" ht="34.5" customHeight="1" x14ac:dyDescent="0.35">
      <c r="A2263" s="345">
        <v>9621</v>
      </c>
      <c r="B2263" s="347" t="s">
        <v>5162</v>
      </c>
      <c r="C2263" s="334">
        <v>926120</v>
      </c>
      <c r="D2263" s="341" t="s">
        <v>5163</v>
      </c>
    </row>
    <row r="2264" spans="1:4" ht="43.5" customHeight="1" x14ac:dyDescent="0.35">
      <c r="A2264" s="344">
        <v>9631</v>
      </c>
      <c r="B2264" s="337" t="s">
        <v>5164</v>
      </c>
      <c r="C2264" s="338">
        <v>926130</v>
      </c>
      <c r="D2264" s="340" t="s">
        <v>5165</v>
      </c>
    </row>
    <row r="2265" spans="1:4" ht="34.5" customHeight="1" x14ac:dyDescent="0.35">
      <c r="A2265" s="345">
        <v>9641</v>
      </c>
      <c r="B2265" s="333" t="s">
        <v>5166</v>
      </c>
      <c r="C2265" s="334">
        <v>926140</v>
      </c>
      <c r="D2265" s="341" t="s">
        <v>5167</v>
      </c>
    </row>
    <row r="2266" spans="1:4" ht="34.5" customHeight="1" x14ac:dyDescent="0.35">
      <c r="A2266" s="344">
        <v>9651</v>
      </c>
      <c r="B2266" s="346" t="s">
        <v>5168</v>
      </c>
      <c r="C2266" s="338">
        <v>926150</v>
      </c>
      <c r="D2266" s="340" t="s">
        <v>5169</v>
      </c>
    </row>
    <row r="2267" spans="1:4" ht="17.25" customHeight="1" x14ac:dyDescent="0.35">
      <c r="A2267" s="345">
        <v>9661</v>
      </c>
      <c r="B2267" s="333" t="s">
        <v>5170</v>
      </c>
      <c r="C2267" s="334">
        <v>927110</v>
      </c>
      <c r="D2267" s="335" t="s">
        <v>5170</v>
      </c>
    </row>
    <row r="2268" spans="1:4" ht="17.25" customHeight="1" x14ac:dyDescent="0.35">
      <c r="A2268" s="344">
        <v>9711</v>
      </c>
      <c r="B2268" s="337" t="s">
        <v>5171</v>
      </c>
      <c r="C2268" s="338">
        <v>928110</v>
      </c>
      <c r="D2268" s="339" t="s">
        <v>5171</v>
      </c>
    </row>
    <row r="2269" spans="1:4" ht="17.25" customHeight="1" x14ac:dyDescent="0.35">
      <c r="A2269" s="345">
        <v>9721</v>
      </c>
      <c r="B2269" s="333" t="s">
        <v>5172</v>
      </c>
      <c r="C2269" s="334">
        <v>928120</v>
      </c>
      <c r="D2269" s="335" t="s">
        <v>5172</v>
      </c>
    </row>
    <row r="2270" spans="1:4" ht="34.5" customHeight="1" x14ac:dyDescent="0.35">
      <c r="A2270" s="339" t="s">
        <v>5173</v>
      </c>
      <c r="B2270" s="351"/>
      <c r="C2270" s="338">
        <v>112130</v>
      </c>
      <c r="D2270" s="340" t="s">
        <v>5174</v>
      </c>
    </row>
    <row r="2271" spans="1:4" ht="17.25" customHeight="1" x14ac:dyDescent="0.35">
      <c r="A2271" s="335" t="s">
        <v>5173</v>
      </c>
      <c r="B2271" s="352"/>
      <c r="C2271" s="334">
        <v>541120</v>
      </c>
      <c r="D2271" s="335" t="s">
        <v>5175</v>
      </c>
    </row>
    <row r="2272" spans="1:4" ht="34.5" customHeight="1" x14ac:dyDescent="0.35">
      <c r="A2272" s="353" t="s">
        <v>5173</v>
      </c>
      <c r="B2272" s="354"/>
      <c r="C2272" s="355">
        <v>551114</v>
      </c>
      <c r="D2272" s="356" t="s">
        <v>5176</v>
      </c>
    </row>
    <row r="2273" spans="1:2" x14ac:dyDescent="0.35">
      <c r="A2273" s="323">
        <v>9999</v>
      </c>
      <c r="B2273" s="323" t="s">
        <v>2006</v>
      </c>
    </row>
  </sheetData>
  <sheetProtection sheet="1" objects="1" scenarios="1" formatCells="0" formatColumns="0" formatRows="0" sort="0" autoFilter="0"/>
  <autoFilter ref="A1:D2169" xr:uid="{04B3D45B-AD50-4B92-B9E5-83D22BEFDAA9}"/>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FD462-FE22-47FE-9CB8-57CD84F92C13}">
  <sheetPr codeName="Sheet2">
    <tabColor theme="1"/>
  </sheetPr>
  <dimension ref="A1:B12"/>
  <sheetViews>
    <sheetView zoomScaleNormal="100" workbookViewId="0"/>
  </sheetViews>
  <sheetFormatPr defaultRowHeight="14.5" x14ac:dyDescent="0.35"/>
  <cols>
    <col min="1" max="1" width="31.54296875" style="11" customWidth="1"/>
    <col min="2" max="2" width="101.81640625" style="11" customWidth="1"/>
    <col min="3" max="16384" width="8.7265625" style="11"/>
  </cols>
  <sheetData>
    <row r="1" spans="1:2" x14ac:dyDescent="0.35">
      <c r="A1" s="18" t="s">
        <v>0</v>
      </c>
      <c r="B1" s="19" t="s">
        <v>1</v>
      </c>
    </row>
    <row r="2" spans="1:2" ht="29" x14ac:dyDescent="0.35">
      <c r="A2" s="20" t="s">
        <v>2</v>
      </c>
      <c r="B2" s="21" t="s">
        <v>3</v>
      </c>
    </row>
    <row r="3" spans="1:2" ht="72.5" x14ac:dyDescent="0.35">
      <c r="A3" s="22" t="s">
        <v>4</v>
      </c>
      <c r="B3" s="23" t="s">
        <v>5</v>
      </c>
    </row>
    <row r="4" spans="1:2" ht="145" x14ac:dyDescent="0.35">
      <c r="A4" s="24" t="s">
        <v>6</v>
      </c>
      <c r="B4" s="25" t="s">
        <v>7</v>
      </c>
    </row>
    <row r="5" spans="1:2" ht="145" x14ac:dyDescent="0.35">
      <c r="A5" s="24" t="s">
        <v>8</v>
      </c>
      <c r="B5" s="25" t="s">
        <v>9</v>
      </c>
    </row>
    <row r="6" spans="1:2" ht="58" x14ac:dyDescent="0.35">
      <c r="A6" s="24" t="s">
        <v>10</v>
      </c>
      <c r="B6" s="23" t="s">
        <v>11</v>
      </c>
    </row>
    <row r="7" spans="1:2" ht="142.5" customHeight="1" x14ac:dyDescent="0.35">
      <c r="A7" s="24" t="s">
        <v>12</v>
      </c>
      <c r="B7" s="25" t="s">
        <v>13</v>
      </c>
    </row>
    <row r="8" spans="1:2" ht="29" x14ac:dyDescent="0.35">
      <c r="A8" s="26" t="s">
        <v>14</v>
      </c>
      <c r="B8" s="23" t="s">
        <v>15</v>
      </c>
    </row>
    <row r="9" spans="1:2" ht="58" x14ac:dyDescent="0.35">
      <c r="A9" s="26" t="s">
        <v>16</v>
      </c>
      <c r="B9" s="25" t="s">
        <v>17</v>
      </c>
    </row>
    <row r="10" spans="1:2" ht="43.5" x14ac:dyDescent="0.35">
      <c r="A10" s="24" t="s">
        <v>18</v>
      </c>
      <c r="B10" s="25" t="s">
        <v>19</v>
      </c>
    </row>
    <row r="11" spans="1:2" x14ac:dyDescent="0.35">
      <c r="A11" s="24" t="s">
        <v>20</v>
      </c>
      <c r="B11" s="25" t="s">
        <v>5179</v>
      </c>
    </row>
    <row r="12" spans="1:2" ht="44" thickBot="1" x14ac:dyDescent="0.4">
      <c r="A12" s="27" t="s">
        <v>21</v>
      </c>
      <c r="B12" s="28" t="s">
        <v>22</v>
      </c>
    </row>
  </sheetData>
  <sheetProtection sheet="1" objects="1" scenarios="1" formatCells="0" formatColumns="0" formatRows="0" sort="0" autoFilter="0"/>
  <autoFilter ref="A1:B12" xr:uid="{8B6FD462-FE22-47FE-9CB8-57CD84F92C13}"/>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5C673-DEDB-4D61-A88E-1CE15B7D088F}">
  <sheetPr codeName="Sheet3">
    <tabColor theme="8"/>
  </sheetPr>
  <dimension ref="A1:J18"/>
  <sheetViews>
    <sheetView zoomScale="130" zoomScaleNormal="130" workbookViewId="0"/>
  </sheetViews>
  <sheetFormatPr defaultRowHeight="14.5" x14ac:dyDescent="0.35"/>
  <cols>
    <col min="1" max="1" width="66.453125" style="11" bestFit="1" customWidth="1"/>
    <col min="2" max="2" width="54.54296875" style="11" customWidth="1"/>
    <col min="3" max="4" width="8.7265625" style="11"/>
    <col min="5" max="5" width="15.81640625" style="11" customWidth="1"/>
    <col min="6" max="6" width="15" style="11" customWidth="1"/>
    <col min="7" max="7" width="15.54296875" style="11" customWidth="1"/>
    <col min="8" max="8" width="17.54296875" style="11" customWidth="1"/>
    <col min="9" max="9" width="14.26953125" style="11" customWidth="1"/>
    <col min="10" max="10" width="19.453125" style="11" customWidth="1"/>
    <col min="11" max="16384" width="8.7265625" style="11"/>
  </cols>
  <sheetData>
    <row r="1" spans="1:10" x14ac:dyDescent="0.35">
      <c r="A1" s="29" t="s">
        <v>23</v>
      </c>
      <c r="B1" s="29"/>
      <c r="C1" s="13"/>
      <c r="D1" s="13"/>
      <c r="G1" s="30" t="s">
        <v>24</v>
      </c>
      <c r="H1" s="31"/>
      <c r="I1" s="30" t="s">
        <v>25</v>
      </c>
      <c r="J1" s="31"/>
    </row>
    <row r="2" spans="1:10" ht="29" x14ac:dyDescent="0.35">
      <c r="A2" s="32" t="s">
        <v>26</v>
      </c>
      <c r="B2" s="32"/>
      <c r="C2" s="32" t="s">
        <v>27</v>
      </c>
      <c r="D2" s="32" t="s">
        <v>28</v>
      </c>
      <c r="E2" s="32" t="s">
        <v>29</v>
      </c>
      <c r="F2" s="32" t="s">
        <v>30</v>
      </c>
      <c r="G2" s="32" t="s">
        <v>31</v>
      </c>
      <c r="H2" s="32" t="s">
        <v>32</v>
      </c>
      <c r="I2" s="32" t="s">
        <v>33</v>
      </c>
      <c r="J2" s="32" t="s">
        <v>34</v>
      </c>
    </row>
    <row r="3" spans="1:10" x14ac:dyDescent="0.35">
      <c r="A3" s="33" t="s">
        <v>35</v>
      </c>
      <c r="B3" s="33"/>
      <c r="C3" s="34">
        <f>COUNTIFS('Facility Water Discharges'!$J:$J,"?????????",'Facility Water Discharges'!$D:$D,'TRI and DMR OES Summary'!A3)</f>
        <v>1</v>
      </c>
      <c r="D3" s="34">
        <f>VLOOKUP($A3, 'COU.OES Summary'!C:E, 3, FALSE)</f>
        <v>350</v>
      </c>
      <c r="E3" s="35">
        <f>IF(C3&gt;0, _xlfn.MINIFS('Processed Non-zero DMR Data'!$T:$T,'Processed Non-zero DMR Data'!$R:$R,'TRI and DMR OES Summary'!$A3), "n/a")</f>
        <v>0.46269354000000001</v>
      </c>
      <c r="F3" s="35">
        <f>IF(C3&gt;0, _xlfn.MAXIFS('Processed Non-zero DMR Data'!$T:$T,'Processed Non-zero DMR Data'!$R:$R,'TRI and DMR OES Summary'!$A3), "n/a")</f>
        <v>790.63782490000006</v>
      </c>
      <c r="G3" s="35" cm="1">
        <f t="array" ref="G3">IFERROR(PERCENTILE(IF('Processed Non-zero DMR Data'!$R:$R=$A3, 'Processed Non-zero DMR Data'!$T:$T),0.5), "n/a")</f>
        <v>150.7961316375</v>
      </c>
      <c r="H3" s="35" cm="1">
        <f t="array" ref="H3">IFERROR(PERCENTILE(IF('Processed Non-zero DMR Data'!$R:$R=$A3, 'Processed Non-zero DMR Data'!$T:$T),0.95), "n/a")</f>
        <v>709.95514208124985</v>
      </c>
      <c r="I3" s="35">
        <f t="shared" ref="I3" si="0">IFERROR(G3/D3, "")</f>
        <v>0.43084609039285715</v>
      </c>
      <c r="J3" s="35">
        <f t="shared" ref="J3" si="1">IFERROR(H3/D3, "")</f>
        <v>2.0284432630892852</v>
      </c>
    </row>
    <row r="4" spans="1:10" x14ac:dyDescent="0.35">
      <c r="A4" s="34" t="s">
        <v>36</v>
      </c>
      <c r="B4" s="34"/>
      <c r="C4" s="34">
        <f>COUNTIFS('Facility Water Discharges'!$J:$J,"?????????",'Facility Water Discharges'!$D:$D,'TRI and DMR OES Summary'!A4)</f>
        <v>0</v>
      </c>
      <c r="D4" s="34">
        <f>VLOOKUP($A4, 'COU.OES Summary'!C:E, 3, FALSE)</f>
        <v>350</v>
      </c>
      <c r="E4" s="35" t="str">
        <f>IF(C4&gt;0, _xlfn.MINIFS('Processed Non-zero DMR Data'!$T:$T,'Processed Non-zero DMR Data'!$R:$R,'TRI and DMR OES Summary'!$A4), "n/a")</f>
        <v>n/a</v>
      </c>
      <c r="F4" s="35" t="str">
        <f>IF(C4&gt;0, _xlfn.MAXIFS('Processed Non-zero DMR Data'!$T:$T,'Processed Non-zero DMR Data'!$R:$R,'TRI and DMR OES Summary'!$A4), "n/a")</f>
        <v>n/a</v>
      </c>
      <c r="G4" s="35" t="str" cm="1">
        <f t="array" ref="G4">IFERROR(PERCENTILE(IF('Processed Non-zero DMR Data'!$R:$R=$A4, 'Processed Non-zero DMR Data'!$T:$T),0.5), "n/a")</f>
        <v>n/a</v>
      </c>
      <c r="H4" s="35" t="str" cm="1">
        <f t="array" ref="H4">IFERROR(PERCENTILE(IF('Processed Non-zero DMR Data'!$R:$R=$A4, 'Processed Non-zero DMR Data'!$T:$T),0.95), "n/a")</f>
        <v>n/a</v>
      </c>
      <c r="I4" s="35" t="str">
        <f t="shared" ref="I4:I9" si="2">IFERROR(G4/D4, "")</f>
        <v/>
      </c>
      <c r="J4" s="35" t="str">
        <f t="shared" ref="J4:J9" si="3">IFERROR(H4/D4, "")</f>
        <v/>
      </c>
    </row>
    <row r="5" spans="1:10" x14ac:dyDescent="0.35">
      <c r="A5" s="34" t="s">
        <v>37</v>
      </c>
      <c r="B5" s="34"/>
      <c r="C5" s="34">
        <f>COUNTIFS('Facility Water Discharges'!$J:$J,"?????????",'Facility Water Discharges'!$D:$D,'TRI and DMR OES Summary'!A5)</f>
        <v>0</v>
      </c>
      <c r="D5" s="34">
        <f>VLOOKUP($A5, 'COU.OES Summary'!C:E, 3, FALSE)</f>
        <v>250</v>
      </c>
      <c r="E5" s="35" t="str">
        <f>IF(C5&gt;0, _xlfn.MINIFS('Processed Non-zero DMR Data'!$T:$T,'Processed Non-zero DMR Data'!$R:$R,'TRI and DMR OES Summary'!$A5), "n/a")</f>
        <v>n/a</v>
      </c>
      <c r="F5" s="35" t="str">
        <f>IF(C5&gt;0, _xlfn.MAXIFS('Processed Non-zero DMR Data'!$T:$T,'Processed Non-zero DMR Data'!$R:$R,'TRI and DMR OES Summary'!$A5), "n/a")</f>
        <v>n/a</v>
      </c>
      <c r="G5" s="35" t="str" cm="1">
        <f t="array" ref="G5">IFERROR(PERCENTILE(IF('Processed Non-zero DMR Data'!$R:$R=$A5, 'Processed Non-zero DMR Data'!$T:$T),0.5), "n/a")</f>
        <v>n/a</v>
      </c>
      <c r="H5" s="35" t="str" cm="1">
        <f t="array" ref="H5">IFERROR(PERCENTILE(IF('Processed Non-zero DMR Data'!$R:$R=$A5, 'Processed Non-zero DMR Data'!$T:$T),0.95), "n/a")</f>
        <v>n/a</v>
      </c>
      <c r="I5" s="35" t="str">
        <f t="shared" si="2"/>
        <v/>
      </c>
      <c r="J5" s="35" t="str">
        <f t="shared" si="3"/>
        <v/>
      </c>
    </row>
    <row r="6" spans="1:10" x14ac:dyDescent="0.35">
      <c r="A6" s="36" t="s">
        <v>38</v>
      </c>
      <c r="B6" s="34"/>
      <c r="C6" s="34">
        <f>COUNTIFS('Facility Water Discharges'!$J:$J,"?????????",'Facility Water Discharges'!$D:$D,'TRI and DMR OES Summary'!A6)</f>
        <v>109</v>
      </c>
      <c r="D6" s="34">
        <f>VLOOKUP($A6, 'COU.OES Summary'!C:E, 3, FALSE)</f>
        <v>365</v>
      </c>
      <c r="E6" s="35">
        <f>IF(C6&gt;0, _xlfn.MINIFS('Processed Non-zero DMR Data'!$T:$T,'Processed Non-zero DMR Data'!$R:$R,'TRI and DMR OES Summary'!$A6), "n/a")</f>
        <v>4.6557392499999999E-4</v>
      </c>
      <c r="F6" s="35">
        <f>IF(C6&gt;0, _xlfn.MAXIFS('Processed Non-zero DMR Data'!$T:$T,'Processed Non-zero DMR Data'!$R:$R,'TRI and DMR OES Summary'!$A6), "n/a")</f>
        <v>26769.313364384001</v>
      </c>
      <c r="G6" s="35" cm="1">
        <f t="array" ref="G6">IFERROR(PERCENTILE(IF('Processed Non-zero DMR Data'!$R:$R=$A6, 'Processed Non-zero DMR Data'!$T:$T),0.5), "n/a")</f>
        <v>1.6399991015625</v>
      </c>
      <c r="H6" s="35" cm="1">
        <f t="array" ref="H6">IFERROR(PERCENTILE(IF('Processed Non-zero DMR Data'!$R:$R=$A6, 'Processed Non-zero DMR Data'!$T:$T),0.95), "n/a")</f>
        <v>27.850335165625001</v>
      </c>
      <c r="I6" s="35">
        <f t="shared" ref="I6:I7" si="4">IFERROR(G6/D6, "")</f>
        <v>4.4931482234589039E-3</v>
      </c>
      <c r="J6" s="35">
        <f t="shared" ref="J6:J7" si="5">IFERROR(H6/D6, "")</f>
        <v>7.6302288125000006E-2</v>
      </c>
    </row>
    <row r="7" spans="1:10" x14ac:dyDescent="0.35">
      <c r="A7" s="37" t="s">
        <v>39</v>
      </c>
      <c r="B7" s="33"/>
      <c r="C7" s="34">
        <f>COUNTIFS('Facility Water Discharges'!$J:$J,"?????????",'Facility Water Discharges'!$D:$D,'TRI and DMR OES Summary'!A7)</f>
        <v>14</v>
      </c>
      <c r="D7" s="34">
        <f>VLOOKUP($A7, 'COU.OES Summary'!C:E, 3, FALSE)</f>
        <v>365</v>
      </c>
      <c r="E7" s="35">
        <f>IF(C7&gt;0, _xlfn.MINIFS('Processed Non-zero DMR Data'!$T:$T,'Processed Non-zero DMR Data'!$R:$R,'TRI and DMR OES Summary'!$A7), "n/a")</f>
        <v>3.5822375500000001E-5</v>
      </c>
      <c r="F7" s="35">
        <f>IF(C7&gt;0, _xlfn.MAXIFS('Processed Non-zero DMR Data'!$T:$T,'Processed Non-zero DMR Data'!$R:$R,'TRI and DMR OES Summary'!$A7), "n/a")</f>
        <v>2.866664375</v>
      </c>
      <c r="G7" s="35" cm="1">
        <f t="array" ref="G7">IFERROR(PERCENTILE(IF('Processed Non-zero DMR Data'!$R:$R=$A7, 'Processed Non-zero DMR Data'!$T:$T),0.5), "n/a")</f>
        <v>2.2259438463725002E-2</v>
      </c>
      <c r="H7" s="35" cm="1">
        <f t="array" ref="H7">IFERROR(PERCENTILE(IF('Processed Non-zero DMR Data'!$R:$R=$A7, 'Processed Non-zero DMR Data'!$T:$T),0.95), "n/a")</f>
        <v>1.0728014749999999</v>
      </c>
      <c r="I7" s="35">
        <f t="shared" si="4"/>
        <v>6.0984762914315073E-5</v>
      </c>
      <c r="J7" s="35">
        <f t="shared" si="5"/>
        <v>2.9391821232876711E-3</v>
      </c>
    </row>
    <row r="8" spans="1:10" x14ac:dyDescent="0.35">
      <c r="A8" s="37" t="s">
        <v>40</v>
      </c>
      <c r="B8" s="34"/>
      <c r="C8" s="34">
        <f>COUNTIFS('Facility Water Discharges'!$J:$J,"?????????",'Facility Water Discharges'!$D:$D,'TRI and DMR OES Summary'!A8)</f>
        <v>4</v>
      </c>
      <c r="D8" s="34">
        <f>VLOOKUP($A8, 'COU.OES Summary'!C:E, 3, FALSE)</f>
        <v>365</v>
      </c>
      <c r="E8" s="35">
        <f>IF(C8&gt;0, _xlfn.MINIFS('Processed Non-zero DMR Data'!$T:$T,'Processed Non-zero DMR Data'!$R:$R,'TRI and DMR OES Summary'!$A8), "n/a")</f>
        <v>7.0008173774999995E-4</v>
      </c>
      <c r="F8" s="35">
        <f>IF(C8&gt;0, _xlfn.MAXIFS('Processed Non-zero DMR Data'!$T:$T,'Processed Non-zero DMR Data'!$R:$R,'TRI and DMR OES Summary'!$A8), "n/a")</f>
        <v>0.14482600000000001</v>
      </c>
      <c r="G8" s="35" cm="1">
        <f t="array" ref="G8">IFERROR(PERCENTILE(IF('Processed Non-zero DMR Data'!$R:$R=$A8, 'Processed Non-zero DMR Data'!$T:$T),0.5), "n/a")</f>
        <v>3.7489180044681797E-2</v>
      </c>
      <c r="H8" s="35" cm="1">
        <f t="array" ref="H8">IFERROR(PERCENTILE(IF('Processed Non-zero DMR Data'!$R:$R=$A8, 'Processed Non-zero DMR Data'!$T:$T),0.95), "n/a")</f>
        <v>0.14154585</v>
      </c>
      <c r="I8" s="35">
        <f t="shared" si="2"/>
        <v>1.027100823141967E-4</v>
      </c>
      <c r="J8" s="35">
        <f t="shared" si="3"/>
        <v>3.8779684931506851E-4</v>
      </c>
    </row>
    <row r="9" spans="1:10" x14ac:dyDescent="0.35">
      <c r="A9" s="38" t="s">
        <v>41</v>
      </c>
      <c r="B9" s="33"/>
      <c r="C9" s="34">
        <f>COUNTIFS('Facility Water Discharges'!$J:$J,"?????????",'Facility Water Discharges'!$D:$D,'TRI and DMR OES Summary'!A9)</f>
        <v>198</v>
      </c>
      <c r="D9" s="34">
        <f>VLOOKUP($A9, 'COU.OES Summary'!C:E, 3, FALSE)</f>
        <v>365</v>
      </c>
      <c r="E9" s="35">
        <f>IF(C9&gt;0, _xlfn.MINIFS('Processed Non-zero DMR Data'!$T:$T,'Processed Non-zero DMR Data'!$R:$R,'TRI and DMR OES Summary'!$A9), "n/a")</f>
        <v>6.7077769999999996E-9</v>
      </c>
      <c r="F9" s="35">
        <f>IF(C9&gt;0, _xlfn.MAXIFS('Processed Non-zero DMR Data'!$T:$T,'Processed Non-zero DMR Data'!$R:$R,'TRI and DMR OES Summary'!$A9), "n/a")</f>
        <v>85.501478922499999</v>
      </c>
      <c r="G9" s="35" cm="1">
        <f t="array" ref="G9">IFERROR(PERCENTILE(IF('Processed Non-zero DMR Data'!$R:$R=$A9, 'Processed Non-zero DMR Data'!$T:$T),0.5), "n/a")</f>
        <v>3.8392731149999998E-2</v>
      </c>
      <c r="H9" s="35" cm="1">
        <f t="array" ref="H9">IFERROR(PERCENTILE(IF('Processed Non-zero DMR Data'!$R:$R=$A9, 'Processed Non-zero DMR Data'!$T:$T),0.95), "n/a")</f>
        <v>4.2866521061999983</v>
      </c>
      <c r="I9" s="35">
        <f t="shared" si="2"/>
        <v>1.0518556479452054E-4</v>
      </c>
      <c r="J9" s="35">
        <f t="shared" si="3"/>
        <v>1.1744252345753419E-2</v>
      </c>
    </row>
    <row r="10" spans="1:10" x14ac:dyDescent="0.35">
      <c r="A10" s="39"/>
      <c r="B10" s="40" t="s">
        <v>42</v>
      </c>
      <c r="C10" s="34">
        <f>SUM(C3:C9)</f>
        <v>326</v>
      </c>
    </row>
    <row r="11" spans="1:10" x14ac:dyDescent="0.35">
      <c r="A11" s="39"/>
      <c r="B11" s="40" t="s">
        <v>43</v>
      </c>
      <c r="C11" s="34">
        <f>COUNTA('Processed Non-zero DMR Data'!T:T)-1</f>
        <v>977</v>
      </c>
      <c r="E11" s="41"/>
      <c r="F11" s="41"/>
      <c r="G11" s="41"/>
      <c r="H11" s="41"/>
      <c r="I11" s="41"/>
      <c r="J11" s="41"/>
    </row>
    <row r="13" spans="1:10" x14ac:dyDescent="0.35">
      <c r="A13" s="42" t="s">
        <v>44</v>
      </c>
      <c r="B13" s="42"/>
      <c r="C13" s="13"/>
      <c r="D13" s="13"/>
      <c r="G13" s="30" t="s">
        <v>24</v>
      </c>
      <c r="H13" s="31"/>
      <c r="I13" s="30" t="s">
        <v>25</v>
      </c>
      <c r="J13" s="31"/>
    </row>
    <row r="14" spans="1:10" ht="29" x14ac:dyDescent="0.35">
      <c r="A14" s="32" t="s">
        <v>26</v>
      </c>
      <c r="B14" s="32" t="s">
        <v>45</v>
      </c>
      <c r="C14" s="32" t="s">
        <v>27</v>
      </c>
      <c r="D14" s="32" t="s">
        <v>28</v>
      </c>
      <c r="E14" s="43" t="s">
        <v>29</v>
      </c>
      <c r="F14" s="32" t="s">
        <v>30</v>
      </c>
      <c r="G14" s="32" t="s">
        <v>31</v>
      </c>
      <c r="H14" s="32" t="s">
        <v>32</v>
      </c>
      <c r="I14" s="44" t="s">
        <v>33</v>
      </c>
      <c r="J14" s="44" t="s">
        <v>34</v>
      </c>
    </row>
    <row r="15" spans="1:10" x14ac:dyDescent="0.35">
      <c r="A15" s="33" t="s">
        <v>35</v>
      </c>
      <c r="B15" s="45" t="s">
        <v>46</v>
      </c>
      <c r="C15" s="34">
        <f>COUNTIFS('Facility Water Discharges'!$B:$B,"TRI Form R",'Facility Water Discharges'!$D:$D,'TRI and DMR OES Summary'!A15)</f>
        <v>1</v>
      </c>
      <c r="D15" s="34">
        <f>VLOOKUP($A15, 'COU.OES Summary'!C:E, 3, FALSE)</f>
        <v>350</v>
      </c>
      <c r="E15" s="35">
        <f>IF(C15&gt;0, _xlfn.MINIFS('Processed Non-zero TRI Data'!$S:$S,'Processed Non-zero TRI Data'!$O:$O,'TRI and DMR OES Summary'!$A15), "n/a")</f>
        <v>5.8967008100000005</v>
      </c>
      <c r="F15" s="35">
        <f>IF(C15&gt;0, _xlfn.MAXIFS('Processed Non-zero TRI Data'!$S:$S,'Processed Non-zero TRI Data'!$O:$O,'TRI and DMR OES Summary'!$A15), "n/a")</f>
        <v>14.968548210000002</v>
      </c>
      <c r="G15" s="35" cm="1">
        <f t="array" ref="G15">IFERROR(PERCENTILE(IF('Processed Non-zero TRI Data'!$O:$O=$A15, 'Processed Non-zero TRI Data'!$S:$S),0.5), "n/a")</f>
        <v>12.24699399</v>
      </c>
      <c r="H15" s="35" cm="1">
        <f t="array" ref="H15">IFERROR(PERCENTILE(IF('Processed Non-zero TRI Data'!$O:$O=$A15, 'Processed Non-zero TRI Data'!$S:$S),0.95), "n/a")</f>
        <v>14.7644316435</v>
      </c>
      <c r="I15" s="46">
        <f t="shared" ref="I15" si="6">IFERROR(G15/D15, "")</f>
        <v>3.4991411399999998E-2</v>
      </c>
      <c r="J15" s="46">
        <f t="shared" ref="J15" si="7">IFERROR(H15/D15, "")</f>
        <v>4.218409041E-2</v>
      </c>
    </row>
    <row r="16" spans="1:10" x14ac:dyDescent="0.35">
      <c r="A16" s="34" t="s">
        <v>36</v>
      </c>
      <c r="B16" s="45" t="s">
        <v>47</v>
      </c>
      <c r="C16" s="34">
        <f>COUNTIFS('Facility Water Discharges'!$B:$B,"TRI Form R",'Facility Water Discharges'!$D:$D,'TRI and DMR OES Summary'!A16)</f>
        <v>1</v>
      </c>
      <c r="D16" s="34">
        <f>VLOOKUP($A16, 'COU.OES Summary'!C:E, 3, FALSE)</f>
        <v>350</v>
      </c>
      <c r="E16" s="35">
        <f>IF(C16&gt;0, _xlfn.MINIFS('Processed Non-zero TRI Data'!$W:$W,'Processed Non-zero TRI Data'!$O:$O,'TRI and DMR OES Summary'!$A16), "n/a")</f>
        <v>20.86524902</v>
      </c>
      <c r="F16" s="35">
        <f>IF(C16&gt;0, _xlfn.MAXIFS('Processed Non-zero TRI Data'!$W:$W,'Processed Non-zero TRI Data'!$O:$O,'TRI and DMR OES Summary'!$A16), "n/a")</f>
        <v>36.74098197</v>
      </c>
      <c r="G16" s="35" cm="1">
        <f t="array" ref="G16">IFERROR(PERCENTILE(IF('Processed Non-zero TRI Data'!$O:$O=$A16, 'Processed Non-zero TRI Data'!$W:$W),0.5), "n/a")</f>
        <v>35.833797230000002</v>
      </c>
      <c r="H16" s="35" cm="1">
        <f t="array" ref="H16">IFERROR(PERCENTILE(IF('Processed Non-zero TRI Data'!$O:$O=$A16, 'Processed Non-zero TRI Data'!$W:$W),0.95), "n/a")</f>
        <v>36.650263496000001</v>
      </c>
      <c r="I16" s="35">
        <f t="shared" ref="I16" si="8">IFERROR(G16/D16, "")</f>
        <v>0.1023822778</v>
      </c>
      <c r="J16" s="35">
        <f t="shared" ref="J16" si="9">IFERROR(H16/D16, "")</f>
        <v>0.10471503856</v>
      </c>
    </row>
    <row r="17" spans="1:10" x14ac:dyDescent="0.35">
      <c r="A17" s="34" t="s">
        <v>37</v>
      </c>
      <c r="B17" s="45" t="s">
        <v>48</v>
      </c>
      <c r="C17" s="34">
        <f>COUNTIFS('Facility Water Discharges'!$B:$B,"TRI Form R",'Facility Water Discharges'!$D:$D,'TRI and DMR OES Summary'!A17)</f>
        <v>1</v>
      </c>
      <c r="D17" s="34">
        <f>VLOOKUP($A17, 'COU.OES Summary'!C:E, 3, FALSE)</f>
        <v>250</v>
      </c>
      <c r="E17" s="35">
        <f>IF(C17&gt;0, _xlfn.MINIFS('Processed Non-zero TRI Data'!$U:$U,'Processed Non-zero TRI Data'!$O:$O,'TRI and DMR OES Summary'!$A17), "n/a")</f>
        <v>0.45359237000000002</v>
      </c>
      <c r="F17" s="35">
        <f>IF(C17&gt;0, _xlfn.MAXIFS('Processed Non-zero TRI Data'!$U:$U,'Processed Non-zero TRI Data'!$O:$O,'TRI and DMR OES Summary'!$A17), "n/a")</f>
        <v>226.79618500000001</v>
      </c>
      <c r="G17" s="47" cm="1">
        <f t="array" ref="G17">IFERROR(PERCENTILE(IF('Processed Non-zero TRI Data'!$O:$O=$A17, 'Processed Non-zero TRI Data'!$W:$W),0.5), "n/a")</f>
        <v>0</v>
      </c>
      <c r="H17" s="35" cm="1">
        <f t="array" ref="H17">IFERROR(PERCENTILE(IF('Processed Non-zero TRI Data'!$O:$O=$A17, 'Processed Non-zero TRI Data'!$W:$W),0.95), "n/a")</f>
        <v>204.11656649999998</v>
      </c>
      <c r="I17" s="35">
        <f t="shared" ref="I17" si="10">IFERROR(G17/D17, "")</f>
        <v>0</v>
      </c>
      <c r="J17" s="35">
        <f t="shared" ref="J17" si="11">IFERROR(H17/D17, "")</f>
        <v>0.81646626599999994</v>
      </c>
    </row>
    <row r="18" spans="1:10" x14ac:dyDescent="0.35">
      <c r="A18" s="34" t="s">
        <v>37</v>
      </c>
      <c r="B18" s="45" t="s">
        <v>49</v>
      </c>
      <c r="C18" s="34">
        <v>1</v>
      </c>
      <c r="D18" s="48">
        <v>250</v>
      </c>
      <c r="E18" s="49" t="s">
        <v>49</v>
      </c>
      <c r="F18" s="50"/>
      <c r="G18" s="50"/>
      <c r="H18" s="50"/>
      <c r="I18" s="50"/>
      <c r="J18" s="50"/>
    </row>
  </sheetData>
  <sheetProtection sheet="1" objects="1" scenarios="1" formatCells="0" formatColumns="0" formatRows="0" sort="0" autoFilter="0"/>
  <autoFilter ref="A1:J18" xr:uid="{8985C673-DEDB-4D61-A88E-1CE15B7D088F}">
    <filterColumn colId="6" showButton="0"/>
    <filterColumn colId="8" showButton="0"/>
  </autoFilter>
  <mergeCells count="5">
    <mergeCell ref="G1:H1"/>
    <mergeCell ref="I1:J1"/>
    <mergeCell ref="E18:J18"/>
    <mergeCell ref="G13:H13"/>
    <mergeCell ref="I13:J13"/>
  </mergeCells>
  <conditionalFormatting sqref="E3:J11">
    <cfRule type="cellIs" dxfId="11" priority="13" operator="greaterThanOrEqual">
      <formula>10000</formula>
    </cfRule>
    <cfRule type="cellIs" dxfId="10" priority="14" operator="greaterThanOrEqual">
      <formula>10</formula>
    </cfRule>
    <cfRule type="cellIs" dxfId="9" priority="15" operator="between">
      <formula>1</formula>
      <formula>9.999</formula>
    </cfRule>
    <cfRule type="cellIs" dxfId="8" priority="16" operator="between">
      <formula>0.1</formula>
      <formula>0.999</formula>
    </cfRule>
    <cfRule type="cellIs" dxfId="7" priority="17" operator="lessThanOrEqual">
      <formula>0.1</formula>
    </cfRule>
    <cfRule type="containsBlanks" dxfId="6" priority="18" stopIfTrue="1">
      <formula>LEN(TRIM(E3))=0</formula>
    </cfRule>
  </conditionalFormatting>
  <conditionalFormatting sqref="E15:J17">
    <cfRule type="cellIs" dxfId="5" priority="1" operator="greaterThanOrEqual">
      <formula>10000</formula>
    </cfRule>
    <cfRule type="cellIs" dxfId="4" priority="2" operator="greaterThanOrEqual">
      <formula>10</formula>
    </cfRule>
    <cfRule type="cellIs" dxfId="3" priority="3" operator="between">
      <formula>1</formula>
      <formula>9.999</formula>
    </cfRule>
    <cfRule type="cellIs" dxfId="2" priority="4" operator="between">
      <formula>0.1</formula>
      <formula>0.999</formula>
    </cfRule>
    <cfRule type="cellIs" dxfId="1" priority="5" operator="lessThanOrEqual">
      <formula>0.1</formula>
    </cfRule>
    <cfRule type="containsBlanks" dxfId="0" priority="6" stopIfTrue="1">
      <formula>LEN(TRIM(E15))=0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F9E8-8E02-4F93-9612-81509323D1F6}">
  <sheetPr codeName="Sheet4">
    <tabColor theme="8"/>
  </sheetPr>
  <dimension ref="A1:H15"/>
  <sheetViews>
    <sheetView zoomScale="130" zoomScaleNormal="130" workbookViewId="0">
      <selection sqref="A1:G1"/>
    </sheetView>
  </sheetViews>
  <sheetFormatPr defaultRowHeight="14.5" x14ac:dyDescent="0.35"/>
  <cols>
    <col min="1" max="1" width="27.453125" style="11" customWidth="1"/>
    <col min="2" max="2" width="14.81640625" style="11" customWidth="1"/>
    <col min="3" max="3" width="14.1796875" style="11" customWidth="1"/>
    <col min="4" max="4" width="20.453125" style="11" customWidth="1"/>
    <col min="5" max="7" width="12.54296875" style="11" customWidth="1"/>
    <col min="8" max="16384" width="8.7265625" style="11"/>
  </cols>
  <sheetData>
    <row r="1" spans="1:8" x14ac:dyDescent="0.35">
      <c r="A1" s="51" t="s">
        <v>50</v>
      </c>
      <c r="B1" s="52"/>
      <c r="C1" s="52"/>
      <c r="D1" s="52"/>
      <c r="E1" s="52"/>
      <c r="F1" s="52"/>
      <c r="G1" s="53"/>
    </row>
    <row r="2" spans="1:8" x14ac:dyDescent="0.35">
      <c r="A2" s="54" t="s">
        <v>51</v>
      </c>
      <c r="B2" s="55"/>
      <c r="C2" s="55"/>
      <c r="D2" s="55"/>
      <c r="E2" s="55"/>
      <c r="F2" s="55"/>
      <c r="G2" s="56"/>
    </row>
    <row r="3" spans="1:8" x14ac:dyDescent="0.35">
      <c r="A3" s="57"/>
      <c r="B3" s="58"/>
      <c r="C3" s="58">
        <v>2019</v>
      </c>
      <c r="D3" s="58">
        <v>2020</v>
      </c>
      <c r="E3" s="58">
        <v>2021</v>
      </c>
      <c r="F3" s="58">
        <v>2022</v>
      </c>
      <c r="G3" s="59">
        <v>2023</v>
      </c>
    </row>
    <row r="4" spans="1:8" x14ac:dyDescent="0.35">
      <c r="A4" s="60" t="s">
        <v>52</v>
      </c>
      <c r="B4" s="1">
        <f>SUMIFS('Processed Non-zero TRI Data'!$S:$S, 'Processed Non-zero TRI Data'!$A:$A, B3, 'Processed Non-zero TRI Data'!$K:$K, "R")</f>
        <v>0</v>
      </c>
      <c r="C4" s="1">
        <f>SUMIFS('Processed Non-zero TRI Data'!$S:$S, 'Processed Non-zero TRI Data'!$A:$A, C3, 'Processed Non-zero TRI Data'!$K:$K, "R")</f>
        <v>5.8967008100000005</v>
      </c>
      <c r="D4" s="1">
        <f>SUMIFS('Processed Non-zero TRI Data'!$S:$S, 'Processed Non-zero TRI Data'!$A:$A, D3, 'Processed Non-zero TRI Data'!$K:$K, "R")</f>
        <v>14.968548210000002</v>
      </c>
      <c r="E4" s="1">
        <f>SUMIFS('Processed Non-zero TRI Data'!$S:$S, 'Processed Non-zero TRI Data'!$A:$A, E3, 'Processed Non-zero TRI Data'!$K:$K, "R")</f>
        <v>13.607771100000001</v>
      </c>
      <c r="F4" s="1">
        <f>SUMIFS('Processed Non-zero TRI Data'!$S:$S, 'Processed Non-zero TRI Data'!$A:$A, F3, 'Processed Non-zero TRI Data'!$K:$K, "R")</f>
        <v>10.886216879999999</v>
      </c>
      <c r="G4" s="1">
        <f>SUMIFS('Processed Non-zero TRI Data'!$S:$S, 'Processed Non-zero TRI Data'!$A:$A, G3, 'Processed Non-zero TRI Data'!$K:$K, "R")</f>
        <v>0</v>
      </c>
    </row>
    <row r="5" spans="1:8" x14ac:dyDescent="0.35">
      <c r="A5" s="60" t="s">
        <v>53</v>
      </c>
      <c r="B5" s="1">
        <f>SUMIFS('Processed Non-zero TRI Data'!$U:$U, 'Processed Non-zero TRI Data'!$A:$A, B3, 'Processed Non-zero TRI Data'!$K:$K, "R")</f>
        <v>0</v>
      </c>
      <c r="C5" s="1">
        <f>SUMIFS('Processed Non-zero TRI Data'!$U:$U, 'Processed Non-zero TRI Data'!$A:$A, C3, 'Processed Non-zero TRI Data'!$K:$K, "R")</f>
        <v>0</v>
      </c>
      <c r="D5" s="1">
        <f>SUMIFS('Processed Non-zero TRI Data'!$U:$U, 'Processed Non-zero TRI Data'!$A:$A, D3, 'Processed Non-zero TRI Data'!$K:$K, "R")</f>
        <v>0.45359237000000002</v>
      </c>
      <c r="E5" s="1">
        <f>SUMIFS('Processed Non-zero TRI Data'!$U:$U, 'Processed Non-zero TRI Data'!$A:$A, E3, 'Processed Non-zero TRI Data'!$K:$K, "R")</f>
        <v>0.45359237000000002</v>
      </c>
      <c r="F5" s="1">
        <f>SUMIFS('Processed Non-zero TRI Data'!$U:$U, 'Processed Non-zero TRI Data'!$A:$A, F3, 'Processed Non-zero TRI Data'!$K:$K, "R")</f>
        <v>0</v>
      </c>
      <c r="G5" s="1">
        <f>SUMIFS('Processed Non-zero TRI Data'!$U:$U, 'Processed Non-zero TRI Data'!$A:$A, G3, 'Processed Non-zero TRI Data'!$K:$K, "R")</f>
        <v>0</v>
      </c>
    </row>
    <row r="6" spans="1:8" x14ac:dyDescent="0.35">
      <c r="A6" s="60" t="s">
        <v>54</v>
      </c>
      <c r="B6" s="1">
        <f>SUMIFS('Processed Non-zero TRI Data'!$W:$W, 'Processed Non-zero TRI Data'!$A:$A, B3, 'Processed Non-zero TRI Data'!$K:$K, "R")</f>
        <v>0</v>
      </c>
      <c r="C6" s="1">
        <f>SUMIFS('Processed Non-zero TRI Data'!$W:$W, 'Processed Non-zero TRI Data'!$A:$A, C3, 'Processed Non-zero TRI Data'!$K:$K, "R")</f>
        <v>36.74098197</v>
      </c>
      <c r="D6" s="1">
        <f>SUMIFS('Processed Non-zero TRI Data'!$W:$W, 'Processed Non-zero TRI Data'!$A:$A, D3, 'Processed Non-zero TRI Data'!$K:$K, "R")</f>
        <v>35.833797230000002</v>
      </c>
      <c r="E6" s="1">
        <f>SUMIFS('Processed Non-zero TRI Data'!$W:$W, 'Processed Non-zero TRI Data'!$A:$A, E3, 'Processed Non-zero TRI Data'!$K:$K, "R")</f>
        <v>36.287389600000004</v>
      </c>
      <c r="F6" s="1">
        <f>SUMIFS('Processed Non-zero TRI Data'!$W:$W, 'Processed Non-zero TRI Data'!$A:$A, F3, 'Processed Non-zero TRI Data'!$K:$K, "R")</f>
        <v>30.390688789999999</v>
      </c>
      <c r="G6" s="1">
        <f>SUMIFS('Processed Non-zero TRI Data'!$W:$W, 'Processed Non-zero TRI Data'!$A:$A, G3, 'Processed Non-zero TRI Data'!$K:$K, "R")</f>
        <v>20.86524902</v>
      </c>
    </row>
    <row r="7" spans="1:8" x14ac:dyDescent="0.35">
      <c r="A7" s="61" t="s">
        <v>23</v>
      </c>
      <c r="B7" s="62"/>
      <c r="C7" s="62"/>
      <c r="D7" s="62"/>
      <c r="E7" s="62"/>
      <c r="F7" s="62"/>
      <c r="G7" s="63"/>
    </row>
    <row r="8" spans="1:8" ht="15" thickBot="1" x14ac:dyDescent="0.4">
      <c r="A8" s="64" t="s">
        <v>52</v>
      </c>
      <c r="B8" s="2"/>
      <c r="C8" s="2">
        <f xml:space="preserve"> SUMIF('Processed Non-zero DMR Data'!$A:$A, 'Total Annual Releases'!C3,'Processed Non-zero DMR Data'!$T:$T)</f>
        <v>949.26454044675029</v>
      </c>
      <c r="D8" s="2">
        <f xml:space="preserve"> SUMIF('Processed Non-zero DMR Data'!$A:$A, 'Total Annual Releases'!D3,'Processed Non-zero DMR Data'!$T:$T)</f>
        <v>727.59165211441643</v>
      </c>
      <c r="E8" s="2">
        <f xml:space="preserve"> SUMIF('Processed Non-zero DMR Data'!$A:$A, 'Total Annual Releases'!E3,'Processed Non-zero DMR Data'!$T:$T)</f>
        <v>1415.7168979697642</v>
      </c>
      <c r="F8" s="2">
        <f xml:space="preserve"> SUMIF('Processed Non-zero DMR Data'!$A:$A, 'Total Annual Releases'!F3,'Processed Non-zero DMR Data'!$T:$T)</f>
        <v>27215.153184136721</v>
      </c>
      <c r="G8" s="2">
        <f xml:space="preserve"> SUMIF('Processed Non-zero DMR Data'!$A:$A, 'Total Annual Releases'!G3,'Processed Non-zero DMR Data'!$T:$T)</f>
        <v>340.83010659684919</v>
      </c>
    </row>
    <row r="11" spans="1:8" ht="61.5" customHeight="1" x14ac:dyDescent="0.35">
      <c r="A11" s="65" t="s">
        <v>55</v>
      </c>
      <c r="B11" s="65"/>
      <c r="C11" s="65"/>
      <c r="D11" s="65"/>
      <c r="E11" s="65"/>
      <c r="F11" s="65"/>
      <c r="G11" s="65"/>
      <c r="H11" s="66"/>
    </row>
    <row r="12" spans="1:8" x14ac:dyDescent="0.35">
      <c r="A12" s="67" t="s">
        <v>56</v>
      </c>
      <c r="B12" s="66"/>
      <c r="C12" s="66"/>
      <c r="D12" s="66"/>
      <c r="E12" s="68">
        <v>0</v>
      </c>
      <c r="F12" s="67" t="s">
        <v>57</v>
      </c>
      <c r="G12" s="66"/>
      <c r="H12" s="66"/>
    </row>
    <row r="13" spans="1:8" ht="21.75" customHeight="1" x14ac:dyDescent="0.35">
      <c r="A13" s="67" t="s">
        <v>58</v>
      </c>
      <c r="B13" s="67"/>
      <c r="C13" s="67"/>
      <c r="D13" s="67"/>
      <c r="E13" s="3">
        <f>E12*CONVERT(500,"lbm","kg")</f>
        <v>0</v>
      </c>
      <c r="F13" s="67" t="s">
        <v>59</v>
      </c>
      <c r="G13" s="66"/>
      <c r="H13" s="66"/>
    </row>
    <row r="14" spans="1:8" x14ac:dyDescent="0.35">
      <c r="A14" s="67" t="s">
        <v>60</v>
      </c>
      <c r="B14" s="66"/>
      <c r="C14" s="66"/>
      <c r="D14" s="66"/>
      <c r="E14" s="69">
        <v>1</v>
      </c>
      <c r="F14" s="67" t="s">
        <v>61</v>
      </c>
      <c r="G14" s="66"/>
      <c r="H14" s="66"/>
    </row>
    <row r="15" spans="1:8" x14ac:dyDescent="0.35">
      <c r="A15" s="70" t="s">
        <v>62</v>
      </c>
      <c r="B15" s="70"/>
      <c r="C15" s="70"/>
      <c r="D15" s="70"/>
      <c r="E15" s="3">
        <f>E14*CONVERT(500,"lbm","kg")</f>
        <v>226.79618500000001</v>
      </c>
      <c r="F15" s="67" t="s">
        <v>59</v>
      </c>
      <c r="G15" s="66"/>
      <c r="H15" s="66"/>
    </row>
  </sheetData>
  <sheetProtection sheet="1" objects="1" scenarios="1" formatCells="0" formatColumns="0" formatRows="0" sort="0" autoFilter="0"/>
  <autoFilter ref="A1:H15" xr:uid="{091AF9E8-8E02-4F93-9612-81509323D1F6}">
    <filterColumn colId="0" showButton="0"/>
    <filterColumn colId="1" showButton="0"/>
    <filterColumn colId="2" showButton="0"/>
    <filterColumn colId="3" showButton="0"/>
    <filterColumn colId="4" showButton="0"/>
    <filterColumn colId="5" showButton="0"/>
  </autoFilter>
  <mergeCells count="11">
    <mergeCell ref="F14:H14"/>
    <mergeCell ref="F13:H13"/>
    <mergeCell ref="F15:H15"/>
    <mergeCell ref="A12:D12"/>
    <mergeCell ref="A14:D14"/>
    <mergeCell ref="A1:G1"/>
    <mergeCell ref="A2:G2"/>
    <mergeCell ref="A7:G7"/>
    <mergeCell ref="A13:D13"/>
    <mergeCell ref="F12:H12"/>
    <mergeCell ref="A11:H11"/>
  </mergeCells>
  <phoneticPr fontId="7"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9A528-7C24-48F7-B392-A934010049B2}">
  <sheetPr codeName="Sheet5">
    <tabColor rgb="FF5B9BD5"/>
  </sheetPr>
  <dimension ref="A1:AR332"/>
  <sheetViews>
    <sheetView zoomScaleNormal="100" workbookViewId="0">
      <pane ySplit="3" topLeftCell="A4" activePane="bottomLeft" state="frozen"/>
      <selection pane="bottomLeft"/>
    </sheetView>
  </sheetViews>
  <sheetFormatPr defaultColWidth="28" defaultRowHeight="14.5" x14ac:dyDescent="0.35"/>
  <cols>
    <col min="1" max="1" width="12.1796875" style="11" customWidth="1"/>
    <col min="2" max="2" width="16" style="11" customWidth="1"/>
    <col min="3" max="3" width="28" style="11"/>
    <col min="4" max="4" width="40.7265625" style="11" customWidth="1"/>
    <col min="5" max="5" width="28" style="11"/>
    <col min="6" max="6" width="22" style="11" customWidth="1"/>
    <col min="7" max="7" width="15.54296875" style="11" customWidth="1"/>
    <col min="8" max="8" width="18.81640625" style="11" customWidth="1"/>
    <col min="9" max="9" width="16" style="11" customWidth="1"/>
    <col min="10" max="10" width="15" style="11" customWidth="1"/>
    <col min="11" max="13" width="28" style="11"/>
    <col min="14" max="14" width="19.453125" style="11" customWidth="1"/>
    <col min="15" max="15" width="18.81640625" style="11" customWidth="1"/>
    <col min="16" max="16" width="16.7265625" style="11" customWidth="1"/>
    <col min="17" max="29" width="28" style="11"/>
    <col min="30" max="30" width="31.453125" style="11" customWidth="1"/>
    <col min="31" max="36" width="28" style="11"/>
    <col min="37" max="37" width="30.1796875" style="11" customWidth="1"/>
    <col min="38" max="43" width="28" style="11"/>
    <col min="44" max="44" width="31.1796875" style="11" customWidth="1"/>
    <col min="45" max="16384" width="28" style="11"/>
  </cols>
  <sheetData>
    <row r="1" spans="1:44" x14ac:dyDescent="0.35">
      <c r="A1" s="71"/>
      <c r="B1" s="39" t="str">
        <f>IF(AND(ISNUMBER(MATCH(H1, 'Processed Non-zero TRI Data'!$I$2:$I$23, FALSE)),ISNUMBER(MATCH(I1,#REF!, FALSE))),"Both TRI Form "&amp; VLOOKUP(H1, 'Processed Non-zero TRI Data'!$I$2:$K$23, 3, FALSE)&amp; " &amp; DMR", IFERROR("Only TRI Form "&amp; VLOOKUP(H1, 'Processed Non-zero TRI Data'!$I$2:$K$23, 3, FALSE), ""))</f>
        <v/>
      </c>
      <c r="C1" s="39"/>
      <c r="D1" s="39"/>
      <c r="H1" s="39"/>
      <c r="I1" s="39"/>
      <c r="J1" s="39"/>
      <c r="K1" s="39"/>
      <c r="L1" s="72"/>
      <c r="M1" s="39"/>
      <c r="O1" s="73"/>
      <c r="P1" s="73"/>
      <c r="Q1" s="74" t="s">
        <v>63</v>
      </c>
      <c r="R1" s="74"/>
      <c r="S1" s="74"/>
      <c r="T1" s="74"/>
      <c r="U1" s="74"/>
      <c r="V1" s="74"/>
      <c r="W1" s="74"/>
      <c r="X1" s="74"/>
      <c r="Y1" s="74"/>
      <c r="Z1" s="74"/>
      <c r="AA1" s="74"/>
      <c r="AB1" s="74"/>
      <c r="AC1" s="74"/>
      <c r="AD1" s="74"/>
      <c r="AE1" s="75" t="s">
        <v>64</v>
      </c>
      <c r="AF1" s="75"/>
      <c r="AG1" s="75"/>
      <c r="AH1" s="75"/>
      <c r="AI1" s="75"/>
      <c r="AJ1" s="75"/>
      <c r="AK1" s="75"/>
      <c r="AL1" s="75"/>
      <c r="AM1" s="75"/>
      <c r="AN1" s="75"/>
      <c r="AO1" s="75"/>
      <c r="AP1" s="75"/>
      <c r="AQ1" s="75"/>
      <c r="AR1" s="75"/>
    </row>
    <row r="2" spans="1:44" ht="15" thickBot="1" x14ac:dyDescent="0.4">
      <c r="A2" s="71"/>
      <c r="B2" s="39"/>
      <c r="C2" s="39"/>
      <c r="D2" s="39"/>
      <c r="H2" s="39"/>
      <c r="I2" s="39"/>
      <c r="J2" s="39"/>
      <c r="K2" s="39"/>
      <c r="L2" s="72"/>
      <c r="M2" s="39"/>
      <c r="O2" s="73"/>
      <c r="P2" s="73"/>
      <c r="Q2" s="76" t="s">
        <v>23</v>
      </c>
      <c r="R2" s="76"/>
      <c r="S2" s="76"/>
      <c r="T2" s="76"/>
      <c r="U2" s="76"/>
      <c r="V2" s="76"/>
      <c r="W2" s="76"/>
      <c r="X2" s="77" t="s">
        <v>44</v>
      </c>
      <c r="Y2" s="78"/>
      <c r="Z2" s="78"/>
      <c r="AA2" s="78"/>
      <c r="AB2" s="78"/>
      <c r="AC2" s="78"/>
      <c r="AD2" s="78"/>
      <c r="AE2" s="79" t="s">
        <v>65</v>
      </c>
      <c r="AF2" s="80"/>
      <c r="AG2" s="80"/>
      <c r="AH2" s="80"/>
      <c r="AI2" s="80"/>
      <c r="AJ2" s="80"/>
      <c r="AK2" s="80"/>
      <c r="AL2" s="81" t="s">
        <v>66</v>
      </c>
      <c r="AM2" s="82"/>
      <c r="AN2" s="82"/>
      <c r="AO2" s="82"/>
      <c r="AP2" s="82"/>
      <c r="AQ2" s="82"/>
      <c r="AR2" s="82"/>
    </row>
    <row r="3" spans="1:44" ht="43.5" x14ac:dyDescent="0.35">
      <c r="A3" s="83" t="s">
        <v>67</v>
      </c>
      <c r="B3" s="84" t="s">
        <v>68</v>
      </c>
      <c r="C3" s="85" t="s">
        <v>69</v>
      </c>
      <c r="D3" s="85" t="s">
        <v>26</v>
      </c>
      <c r="E3" s="86" t="s">
        <v>70</v>
      </c>
      <c r="F3" s="86" t="s">
        <v>71</v>
      </c>
      <c r="G3" s="86" t="s">
        <v>72</v>
      </c>
      <c r="H3" s="86" t="s">
        <v>73</v>
      </c>
      <c r="I3" s="87" t="s">
        <v>74</v>
      </c>
      <c r="J3" s="87" t="s">
        <v>75</v>
      </c>
      <c r="K3" s="88" t="s">
        <v>76</v>
      </c>
      <c r="L3" s="89" t="s">
        <v>77</v>
      </c>
      <c r="M3" s="90" t="s">
        <v>78</v>
      </c>
      <c r="N3" s="91" t="s">
        <v>79</v>
      </c>
      <c r="O3" s="92" t="s">
        <v>80</v>
      </c>
      <c r="P3" s="92" t="s">
        <v>81</v>
      </c>
      <c r="Q3" s="93" t="s">
        <v>82</v>
      </c>
      <c r="R3" s="94" t="s">
        <v>83</v>
      </c>
      <c r="S3" s="94" t="s">
        <v>84</v>
      </c>
      <c r="T3" s="94" t="s">
        <v>85</v>
      </c>
      <c r="U3" s="94" t="s">
        <v>86</v>
      </c>
      <c r="V3" s="94" t="s">
        <v>87</v>
      </c>
      <c r="W3" s="95" t="s">
        <v>88</v>
      </c>
      <c r="X3" s="96" t="s">
        <v>82</v>
      </c>
      <c r="Y3" s="97" t="s">
        <v>83</v>
      </c>
      <c r="Z3" s="97" t="s">
        <v>84</v>
      </c>
      <c r="AA3" s="97" t="s">
        <v>85</v>
      </c>
      <c r="AB3" s="97" t="s">
        <v>86</v>
      </c>
      <c r="AC3" s="97" t="s">
        <v>87</v>
      </c>
      <c r="AD3" s="98" t="s">
        <v>88</v>
      </c>
      <c r="AE3" s="99" t="s">
        <v>82</v>
      </c>
      <c r="AF3" s="100" t="s">
        <v>83</v>
      </c>
      <c r="AG3" s="100" t="s">
        <v>84</v>
      </c>
      <c r="AH3" s="100" t="s">
        <v>85</v>
      </c>
      <c r="AI3" s="100" t="s">
        <v>86</v>
      </c>
      <c r="AJ3" s="100" t="s">
        <v>87</v>
      </c>
      <c r="AK3" s="101" t="s">
        <v>88</v>
      </c>
      <c r="AL3" s="102" t="s">
        <v>82</v>
      </c>
      <c r="AM3" s="103" t="s">
        <v>83</v>
      </c>
      <c r="AN3" s="103" t="s">
        <v>84</v>
      </c>
      <c r="AO3" s="103" t="s">
        <v>85</v>
      </c>
      <c r="AP3" s="103" t="s">
        <v>86</v>
      </c>
      <c r="AQ3" s="103" t="s">
        <v>87</v>
      </c>
      <c r="AR3" s="104" t="s">
        <v>88</v>
      </c>
    </row>
    <row r="4" spans="1:44" ht="29" x14ac:dyDescent="0.35">
      <c r="A4" s="34">
        <v>1</v>
      </c>
      <c r="B4" s="33" t="str">
        <f>IFERROR("TRI Form "&amp;VLOOKUP(H4,'Processed Non-zero TRI Data'!$I$2:$K$23,3,FALSE),"DMR")</f>
        <v>TRI Form R</v>
      </c>
      <c r="C4" s="33" t="str">
        <f>VLOOKUP($D4, 'COU.OES Summary'!C:D, 2, FALSE)</f>
        <v> </v>
      </c>
      <c r="D4" s="33" t="str">
        <f>IFERROR(VLOOKUP($H4, 'Processed Non-zero TRI Data'!$I:$O, 7, FALSE), VLOOKUP($I4, 'Processed Non-zero DMR Data'!$K:$R, 8, FALSE))</f>
        <v>Manufacturing</v>
      </c>
      <c r="E4" s="34" t="s">
        <v>89</v>
      </c>
      <c r="F4" s="34" t="s">
        <v>90</v>
      </c>
      <c r="G4" s="34" t="s">
        <v>91</v>
      </c>
      <c r="H4" s="34" t="s">
        <v>92</v>
      </c>
      <c r="I4" s="105">
        <v>110000494894</v>
      </c>
      <c r="J4" s="33" t="str">
        <f>IFERROR(VLOOKUP($I4, 'Processed Non-zero DMR Data'!$K:$U, 11, FALSE),"")</f>
        <v>LA0000761</v>
      </c>
      <c r="K4" s="33" t="str">
        <f>IFERROR(VLOOKUP($I4, 'Processed Non-zero DMR Data'!$K:$V, 12, FALSE),"Not Reported")</f>
        <v>Maple Fork-Bayou D'Inde</v>
      </c>
      <c r="L4" s="106">
        <f>IFERROR(VLOOKUP($I4, 'Processed Non-zero DMR Data'!$K:$W, 13, FALSE),"No Reach Code Reported")</f>
        <v>80802060301</v>
      </c>
      <c r="M4" s="107" t="str">
        <f>IFERROR(IFERROR(VLOOKUP(H4, 'Off-site Locations'!$K$3:$O$5, 5, FALSE), VLOOKUP(H4, 'Off-site Locations'!$B$3:$E$4, 4, FALSE)), "No Offsite Transfers")</f>
        <v>No Offsite Transfers</v>
      </c>
      <c r="N4" s="33">
        <f>VLOOKUP($D4, 'COU.OES Summary'!C:E, 3, FALSE)</f>
        <v>350</v>
      </c>
      <c r="O4" s="108">
        <f t="shared" ref="O4:O67" si="0">MAX(AB4,AI4,AP4)</f>
        <v>14.968548210000002</v>
      </c>
      <c r="P4" s="108">
        <f t="shared" ref="P4:P67" si="1">MAX(U4)</f>
        <v>790.63782490000006</v>
      </c>
      <c r="Q4" s="109" cm="1">
        <f t="array" ref="Q4">IFERROR(_xlfn.XLOOKUP(1,  (MAX(IF(I4 = 'Processed Non-zero DMR Data'!$K:$K,'Processed Non-zero DMR Data'!$A:$A)) = 'Processed Non-zero DMR Data'!$A:$A)*('Processed Non-zero DMR Data'!$K:$K = I4),'Processed Non-zero DMR Data'!$T:$T), "N/A- Facility Does Not Report DMRs")</f>
        <v>48.838990500000001</v>
      </c>
      <c r="R4" s="33">
        <f>IFERROR(Q4/$N4, "N/A - Facility Does Not Report DMRs")</f>
        <v>0.13953997285714287</v>
      </c>
      <c r="S4" s="33" cm="1">
        <f t="array" ref="S4">IF(COUNTIF('Processed Non-zero DMR Data'!$K:$K,$I4)&gt;0,MEDIAN(IF('Processed Non-zero DMR Data'!$K:$K=I4,'Processed Non-zero DMR Data'!$T:$T)),"N/A - Facility Does Not Report DMRs")</f>
        <v>150.7961316375</v>
      </c>
      <c r="T4" s="33">
        <f>IFERROR(S4/$N4, "N/A - Facility Does Not Report DMRs")</f>
        <v>0.43084609039285715</v>
      </c>
      <c r="U4" s="33">
        <f>IF(COUNTIF('Processed Non-zero DMR Data'!$K:$K,$I4)&gt;0,_xlfn.MAXIFS('Processed Non-zero DMR Data'!$T:$T,'Processed Non-zero DMR Data'!$K:$K,$I4), "N/A - Facility Does Not Report DMRs")</f>
        <v>790.63782490000006</v>
      </c>
      <c r="V4" s="33">
        <f>IFERROR(U4/$N4, "N/A - Facility Does Not Report DMRs")</f>
        <v>2.2589652140000003</v>
      </c>
      <c r="W4" s="110" cm="1">
        <f t="array" ref="W4">IF(COUNTIF('Processed Non-zero DMR Data'!$K:$K,$I4)&gt;0,INDEX('Processed Non-zero DMR Data'!$A:$A,MATCH(1,($I4='Processed Non-zero DMR Data'!$K:$K)*($U4='Processed Non-zero DMR Data'!$T:$T),0)), "N/A - Facility Does Not Report DMRs")</f>
        <v>2021</v>
      </c>
      <c r="X4" s="109" cm="1">
        <f t="array" ref="X4">IFERROR(_xlfn.XLOOKUP(1,  (MAX(IF(H4 = 'Processed Non-zero TRI Data'!$I:$I,'Processed Non-zero TRI Data'!$A:$A)) = 'Processed Non-zero TRI Data'!$A:$A)*('Processed Non-zero TRI Data'!$I:$I = H4), 'Processed Non-zero TRI Data'!$S:$S), "N/A- Facility Does Not Report to TRI")</f>
        <v>10.886216879999999</v>
      </c>
      <c r="Y4" s="33">
        <f t="shared" ref="Y4:Y67" si="2">IFERROR(X4/$N4, "N/A - Facility Does Not Report to TRI")</f>
        <v>3.1103476799999998E-2</v>
      </c>
      <c r="Z4" s="33" cm="1">
        <f t="array" ref="Z4">IF(COUNTIF('Processed Non-zero TRI Data'!$I:$I,$H4)&gt;0,MEDIAN(IF('Processed Non-zero TRI Data'!$I:$I=H4,'Processed Non-zero TRI Data'!$S:$S)), "N/A - Facility Does Not Report to TRI")</f>
        <v>12.24699399</v>
      </c>
      <c r="AA4" s="33">
        <f t="shared" ref="AA4:AA67" si="3">IFERROR(Z4/$N4, "N/A - Facility Does Not Report to TRI")</f>
        <v>3.4991411399999998E-2</v>
      </c>
      <c r="AB4" s="33">
        <f>IF(COUNTIF('Processed Non-zero TRI Data'!$I:$I,$H4)&gt;0,_xlfn.MAXIFS('Processed Non-zero TRI Data'!$S:$S,'Processed Non-zero TRI Data'!$I:$I,$H4), "N/A - Facility Does Not Report to TRI")</f>
        <v>14.968548210000002</v>
      </c>
      <c r="AC4" s="33">
        <f t="shared" ref="AC4:AC67" si="4">IFERROR(AB4/$N4, "N/A - Facility Does Not Report to TRI")</f>
        <v>4.2767280600000006E-2</v>
      </c>
      <c r="AD4" s="110" cm="1">
        <f t="array" ref="AD4">IFERROR(IF(B4 = "TRI Form R", IF(AB4 = 0, "Facility has no on-site water discharges between 2019-2023.",  IF(COUNTIF('Processed Non-zero TRI Data'!$I:$I,$H4)&gt;0,INDEX('Processed Non-zero TRI Data'!$A:$A,MATCH(1,($H4='Processed Non-zero TRI Data'!$I:$I)*(AB4='Processed Non-zero TRI Data'!$S:$S),0)))), VLOOKUP(H4, 'Form A Recent Reporting'!$L:$M, 2, FALSE)), ("N/A - Facility Does Not Report to TRI"))</f>
        <v>2020</v>
      </c>
      <c r="AE4" s="109" cm="1">
        <f t="array" ref="AE4">IFERROR(_xlfn.XLOOKUP(1,  (MAX(IF(H4 = 'Processed Non-zero TRI Data'!$I:$I,'Processed Non-zero TRI Data'!$A:$A)) = 'Processed Non-zero TRI Data'!$A:$A)*('Processed Non-zero TRI Data'!$I:$I = H4), 'Processed Non-zero TRI Data'!$U:$U), "N/A- Facility Does Not Report to TRI")</f>
        <v>0</v>
      </c>
      <c r="AF4" s="33">
        <f t="shared" ref="AF4:AF67" si="5">IFERROR(AE4/$N4, "N/A - Facility Does Not Report to TRI")</f>
        <v>0</v>
      </c>
      <c r="AG4" s="33" cm="1">
        <f t="array" ref="AG4">IF(COUNTIF('Processed Non-zero TRI Data'!$I:$I,$H4)&gt;0,MEDIAN(IF('Processed Non-zero TRI Data'!$I:$I=H4,'Processed Non-zero TRI Data'!$U:$U)), "N/A - Facility Does Not Report to TRI")</f>
        <v>0</v>
      </c>
      <c r="AH4" s="33">
        <f t="shared" ref="AH4:AH67" si="6">IFERROR(AG4/$N4, "N/A - Facility Does Not Report to TRI")</f>
        <v>0</v>
      </c>
      <c r="AI4" s="33">
        <f>IF(COUNTIF('Processed Non-zero TRI Data'!$I:$I,$H4)&gt;0,_xlfn.MAXIFS('Processed Non-zero TRI Data'!$U:$U,'Processed Non-zero TRI Data'!$I:$I,$H4), "N/A - Facility Does Not Report to TRI")</f>
        <v>0</v>
      </c>
      <c r="AJ4" s="33">
        <f t="shared" ref="AJ4:AJ67" si="7">IFERROR(AI4/$N4, "N/A - Facility Does Not Report to TRI")</f>
        <v>0</v>
      </c>
      <c r="AK4" s="110" t="str" cm="1">
        <f t="array" ref="AK4">IF(B4="TRI Form A",AD4,IF(AI4=0,"Facility has no transfers to POTWs between 2019-2023.",IF(COUNTIF('Processed Non-zero TRI Data'!$I:$I,$H4)&gt;0,INDEX('Processed Non-zero TRI Data'!$A:$A,MATCH(1,($H4='Processed Non-zero TRI Data'!$I:$I)*(AI4='Processed Non-zero TRI Data'!$U:$U),0)),"N/A - Facility Does Not Report to TRI")))</f>
        <v>Facility has no transfers to POTWs between 2019-2023.</v>
      </c>
      <c r="AL4" s="109" cm="1">
        <f t="array" ref="AL4">IFERROR(_xlfn.XLOOKUP(1,  (MAX(IF(H4 = 'Processed Non-zero TRI Data'!$I$2:$I$23,'Processed Non-zero TRI Data'!$A$2:$A$23)) = 'Processed Non-zero TRI Data'!$A$2:$A$23)*('Processed Non-zero TRI Data'!$I$2:$I$23 = H4), 'Processed Non-zero TRI Data'!$W$2:$W$23), "N/A- Facility Does Not Report to TRI")</f>
        <v>0</v>
      </c>
      <c r="AM4" s="33">
        <f t="shared" ref="AM4:AM67" si="8">IFERROR(AL4/$N4, "N/A - Facility Does Not Report to TRI")</f>
        <v>0</v>
      </c>
      <c r="AN4" s="33" cm="1">
        <f t="array" ref="AN4">IF(COUNTIF('Processed Non-zero TRI Data'!$I:$I,$H4)&gt;0,MEDIAN(IF('Processed Non-zero TRI Data'!$I:$I=H4,'Processed Non-zero TRI Data'!$W:$W)), "N/A - Facility Does Not Report to TRI")</f>
        <v>0</v>
      </c>
      <c r="AO4" s="33">
        <f t="shared" ref="AO4:AO67" si="9">IFERROR(AN4/$N4, "N/A - Facility Does Not Report to TRI")</f>
        <v>0</v>
      </c>
      <c r="AP4" s="33">
        <f>IF(COUNTIF('Processed Non-zero TRI Data'!$I:$I,$H4)&gt;0,_xlfn.MAXIFS('Processed Non-zero TRI Data'!$W:$W,'Processed Non-zero TRI Data'!$I:$I,$H4), "N/A - Facility Does Not Report to TRI")</f>
        <v>0</v>
      </c>
      <c r="AQ4" s="33">
        <f t="shared" ref="AQ4:AQ67" si="10">IFERROR(AP4/$N4, "N/A - Facility Does Not Report to TRI")</f>
        <v>0</v>
      </c>
      <c r="AR4" s="110" t="str" cm="1">
        <f t="array" ref="AR4">IF(B4="TRI Form A",AD4,IF(AP4=0,"Facility has no transfers to non-POTWs between 2019-2023.",IF(COUNTIF('Processed Non-zero TRI Data'!$I:$I,$H4)&gt;0,INDEX('Processed Non-zero TRI Data'!$A:$A,MATCH(1,($H4='Processed Non-zero TRI Data'!$I:$I)*(AP4='Processed Non-zero TRI Data'!$W:$W),0)),"N/A - Facility Does Not Report to TRI")))</f>
        <v>Facility has no transfers to non-POTWs between 2019-2023.</v>
      </c>
    </row>
    <row r="5" spans="1:44" ht="29" x14ac:dyDescent="0.35">
      <c r="A5" s="34">
        <v>2</v>
      </c>
      <c r="B5" s="33" t="str">
        <f>IFERROR("TRI Form "&amp;VLOOKUP(H5,'Processed Non-zero TRI Data'!$I$2:$K$23,3,FALSE),"DMR")</f>
        <v>TRI Form A</v>
      </c>
      <c r="C5" s="33" t="str">
        <f>VLOOKUP($D5, 'COU.OES Summary'!C:D, 2, FALSE)</f>
        <v> </v>
      </c>
      <c r="D5" s="33" t="str">
        <f>IFERROR(VLOOKUP($H5, 'Processed Non-zero TRI Data'!$I:$O, 7, FALSE), VLOOKUP($I5, 'Processed Non-zero DMR Data'!$K:$R, 8, FALSE))</f>
        <v>Processing – incorporation into formulation, mixture or reaction product</v>
      </c>
      <c r="E5" s="34" t="s">
        <v>93</v>
      </c>
      <c r="F5" s="34" t="s">
        <v>94</v>
      </c>
      <c r="G5" s="34" t="s">
        <v>95</v>
      </c>
      <c r="H5" s="34" t="s">
        <v>96</v>
      </c>
      <c r="I5" s="105">
        <v>110000861755</v>
      </c>
      <c r="J5" s="33" t="str">
        <f>IFERROR(VLOOKUP($I5, 'Processed Non-zero DMR Data'!$K:$U, 11, FALSE),"")</f>
        <v/>
      </c>
      <c r="K5" s="33" t="str">
        <f>IFERROR(VLOOKUP($I5, 'Processed Non-zero DMR Data'!$K:$V, 12, FALSE),"Not Reported")</f>
        <v>Not Reported</v>
      </c>
      <c r="L5" s="106" t="str">
        <f>IFERROR(VLOOKUP($I5, 'Processed Non-zero DMR Data'!$K:$W, 13, FALSE),"No Reach Code Reported")</f>
        <v>No Reach Code Reported</v>
      </c>
      <c r="M5" s="107" t="str">
        <f>IFERROR(IFERROR(VLOOKUP(H5, 'Off-site Locations'!$K$3:$O$5, 5, FALSE), VLOOKUP(H5, 'Off-site Locations'!$B$3:$E$4, 4, FALSE)), "No Offsite Transfers")</f>
        <v>No Offsite Transfers</v>
      </c>
      <c r="N5" s="33">
        <f>VLOOKUP($D5, 'COU.OES Summary'!C:E, 3, FALSE)</f>
        <v>250</v>
      </c>
      <c r="O5" s="108">
        <f t="shared" si="0"/>
        <v>226.79618500000001</v>
      </c>
      <c r="P5" s="108">
        <f t="shared" si="1"/>
        <v>0</v>
      </c>
      <c r="Q5" s="109" t="str" cm="1">
        <f t="array" ref="Q5">IFERROR(_xlfn.XLOOKUP(1,  (MAX(IF(I5 = 'Processed Non-zero DMR Data'!$K:$K,'Processed Non-zero DMR Data'!$A:$A)) = 'Processed Non-zero DMR Data'!$A:$A)*('Processed Non-zero DMR Data'!$K:$K = I5),'Processed Non-zero DMR Data'!$T:$T), "N/A- Facility Does Not Report DMRs")</f>
        <v>N/A- Facility Does Not Report DMRs</v>
      </c>
      <c r="R5" s="33" t="str">
        <f t="shared" ref="R5:R68" si="11">IFERROR(Q5/$N5, "N/A - Facility Does Not Report DMRs")</f>
        <v>N/A - Facility Does Not Report DMRs</v>
      </c>
      <c r="S5" s="33" t="str" cm="1">
        <f t="array" ref="S5">IF(COUNTIF('Processed Non-zero DMR Data'!$K:$K,$I5)&gt;0,MEDIAN(IF('Processed Non-zero DMR Data'!$K:$K=I5,'Processed Non-zero DMR Data'!$T:$T)),"N/A - Facility Does Not Report DMRs")</f>
        <v>N/A - Facility Does Not Report DMRs</v>
      </c>
      <c r="T5" s="33" t="str">
        <f t="shared" ref="T5:T68" si="12">IFERROR(S5/$N5, "N/A - Facility Does Not Report DMRs")</f>
        <v>N/A - Facility Does Not Report DMRs</v>
      </c>
      <c r="U5" s="33" t="str">
        <f>IF(COUNTIF('Processed Non-zero DMR Data'!$K:$K,$I5)&gt;0,_xlfn.MAXIFS('Processed Non-zero DMR Data'!$T:$T,'Processed Non-zero DMR Data'!$K:$K,$I5), "N/A - Facility Does Not Report DMRs")</f>
        <v>N/A - Facility Does Not Report DMRs</v>
      </c>
      <c r="V5" s="33" t="str">
        <f t="shared" ref="V5:V68" si="13">IFERROR(U5/$N5, "N/A - Facility Does Not Report DMRs")</f>
        <v>N/A - Facility Does Not Report DMRs</v>
      </c>
      <c r="W5" s="110" t="str" cm="1">
        <f t="array" ref="W5">IF(COUNTIF('Processed Non-zero DMR Data'!$K:$K,$I5)&gt;0,INDEX('Processed Non-zero DMR Data'!$A:$A,MATCH(1,($I5='Processed Non-zero DMR Data'!$K:$K)*($U5='Processed Non-zero DMR Data'!$T:$T),0)), "N/A - Facility Does Not Report DMRs")</f>
        <v>N/A - Facility Does Not Report DMRs</v>
      </c>
      <c r="X5" s="109" cm="1">
        <f t="array" ref="X5">IFERROR(_xlfn.XLOOKUP(1,  (MAX(IF(H5 = 'Processed Non-zero TRI Data'!$I:$I,'Processed Non-zero TRI Data'!$A:$A)) = 'Processed Non-zero TRI Data'!$A:$A)*('Processed Non-zero TRI Data'!$I:$I = H5), 'Processed Non-zero TRI Data'!$S:$S), "N/A- Facility Does Not Report to TRI")</f>
        <v>226.79618500000001</v>
      </c>
      <c r="Y5" s="33">
        <f t="shared" si="2"/>
        <v>0.90718474000000004</v>
      </c>
      <c r="Z5" s="33" cm="1">
        <f t="array" ref="Z5">IF(COUNTIF('Processed Non-zero TRI Data'!$I:$I,$H5)&gt;0,MEDIAN(IF('Processed Non-zero TRI Data'!$I:$I=H5,'Processed Non-zero TRI Data'!$S:$S)), "N/A - Facility Does Not Report to TRI")</f>
        <v>226.79618500000001</v>
      </c>
      <c r="AA5" s="33">
        <f t="shared" si="3"/>
        <v>0.90718474000000004</v>
      </c>
      <c r="AB5" s="33">
        <f>IF(COUNTIF('Processed Non-zero TRI Data'!$I:$I,$H5)&gt;0,_xlfn.MAXIFS('Processed Non-zero TRI Data'!$S:$S,'Processed Non-zero TRI Data'!$I:$I,$H5), "N/A - Facility Does Not Report to TRI")</f>
        <v>226.79618500000001</v>
      </c>
      <c r="AC5" s="33">
        <f t="shared" si="4"/>
        <v>0.90718474000000004</v>
      </c>
      <c r="AD5" s="110" cm="1">
        <f t="array" ref="AD5">IFERROR(IF(B5 = "TRI Form R", IF(AB5 = 0, "Facility has no on-site water discharges between 2019-2023.",  IF(COUNTIF('Processed Non-zero TRI Data'!$I:$I,$H5)&gt;0,INDEX('Processed Non-zero TRI Data'!$A:$A,MATCH(1,($H5='Processed Non-zero TRI Data'!$I:$I)*(AB5='Processed Non-zero TRI Data'!$S:$S),0)))), VLOOKUP(H5, 'Form A Recent Reporting'!$L:$M, 2, FALSE)), ("N/A - Facility Does Not Report to TRI"))</f>
        <v>2023</v>
      </c>
      <c r="AE5" s="109" cm="1">
        <f t="array" ref="AE5">IFERROR(_xlfn.XLOOKUP(1,  (MAX(IF(H5 = 'Processed Non-zero TRI Data'!$I:$I,'Processed Non-zero TRI Data'!$A:$A)) = 'Processed Non-zero TRI Data'!$A:$A)*('Processed Non-zero TRI Data'!$I:$I = H5), 'Processed Non-zero TRI Data'!$U:$U), "N/A- Facility Does Not Report to TRI")</f>
        <v>226.79618500000001</v>
      </c>
      <c r="AF5" s="33">
        <f t="shared" si="5"/>
        <v>0.90718474000000004</v>
      </c>
      <c r="AG5" s="33" cm="1">
        <f t="array" ref="AG5">IF(COUNTIF('Processed Non-zero TRI Data'!$I:$I,$H5)&gt;0,MEDIAN(IF('Processed Non-zero TRI Data'!$I:$I=H5,'Processed Non-zero TRI Data'!$U:$U)), "N/A - Facility Does Not Report to TRI")</f>
        <v>226.79618500000001</v>
      </c>
      <c r="AH5" s="33">
        <f t="shared" si="6"/>
        <v>0.90718474000000004</v>
      </c>
      <c r="AI5" s="33">
        <f>IF(COUNTIF('Processed Non-zero TRI Data'!$I:$I,$H5)&gt;0,_xlfn.MAXIFS('Processed Non-zero TRI Data'!$U:$U,'Processed Non-zero TRI Data'!$I:$I,$H5), "N/A - Facility Does Not Report to TRI")</f>
        <v>226.79618500000001</v>
      </c>
      <c r="AJ5" s="33">
        <f t="shared" si="7"/>
        <v>0.90718474000000004</v>
      </c>
      <c r="AK5" s="110" cm="1">
        <f t="array" ref="AK5">IF(B5="TRI Form A",AD5,IF(AI5=0,"Facility has no transfers to POTWs between 2019-2023.",IF(COUNTIF('Processed Non-zero TRI Data'!$I:$I,$H5)&gt;0,INDEX('Processed Non-zero TRI Data'!$A:$A,MATCH(1,($H5='Processed Non-zero TRI Data'!$I:$I)*(AI5='Processed Non-zero TRI Data'!$U:$U),0)),"N/A - Facility Does Not Report to TRI")))</f>
        <v>2023</v>
      </c>
      <c r="AL5" s="109" cm="1">
        <f t="array" ref="AL5">IFERROR(_xlfn.XLOOKUP(1,  (MAX(IF(H5 = 'Processed Non-zero TRI Data'!$I$2:$I$23,'Processed Non-zero TRI Data'!$A$2:$A$23)) = 'Processed Non-zero TRI Data'!$A$2:$A$23)*('Processed Non-zero TRI Data'!$I$2:$I$23 = H5), 'Processed Non-zero TRI Data'!$W$2:$W$23), "N/A- Facility Does Not Report to TRI")</f>
        <v>226.79618500000001</v>
      </c>
      <c r="AM5" s="33">
        <f t="shared" si="8"/>
        <v>0.90718474000000004</v>
      </c>
      <c r="AN5" s="33" cm="1">
        <f t="array" ref="AN5">IF(COUNTIF('Processed Non-zero TRI Data'!$I:$I,$H5)&gt;0,MEDIAN(IF('Processed Non-zero TRI Data'!$I:$I=H5,'Processed Non-zero TRI Data'!$W:$W)), "N/A - Facility Does Not Report to TRI")</f>
        <v>226.79618500000001</v>
      </c>
      <c r="AO5" s="33">
        <f t="shared" si="9"/>
        <v>0.90718474000000004</v>
      </c>
      <c r="AP5" s="33">
        <f>IF(COUNTIF('Processed Non-zero TRI Data'!$I:$I,$H5)&gt;0,_xlfn.MAXIFS('Processed Non-zero TRI Data'!$W:$W,'Processed Non-zero TRI Data'!$I:$I,$H5), "N/A - Facility Does Not Report to TRI")</f>
        <v>226.79618500000001</v>
      </c>
      <c r="AQ5" s="33">
        <f t="shared" si="10"/>
        <v>0.90718474000000004</v>
      </c>
      <c r="AR5" s="110" cm="1">
        <f t="array" ref="AR5">IF(B5="TRI Form A",AD5,IF(AP5=0,"Facility has no transfers to non-POTWs between 2019-2023.",IF(COUNTIF('Processed Non-zero TRI Data'!$I:$I,$H5)&gt;0,INDEX('Processed Non-zero TRI Data'!$A:$A,MATCH(1,($H5='Processed Non-zero TRI Data'!$I:$I)*(AP5='Processed Non-zero TRI Data'!$W:$W),0)),"N/A - Facility Does Not Report to TRI")))</f>
        <v>2023</v>
      </c>
    </row>
    <row r="6" spans="1:44" ht="29" x14ac:dyDescent="0.35">
      <c r="A6" s="34">
        <v>3</v>
      </c>
      <c r="B6" s="33" t="str">
        <f>IFERROR("TRI Form "&amp;VLOOKUP(H6,'Processed Non-zero TRI Data'!$I$2:$K$23,3,FALSE),"DMR")</f>
        <v>TRI Form R</v>
      </c>
      <c r="C6" s="33" t="str">
        <f>VLOOKUP($D6, 'COU.OES Summary'!C:D, 2, FALSE)</f>
        <v> </v>
      </c>
      <c r="D6" s="33" t="str">
        <f>IFERROR(VLOOKUP($H6, 'Processed Non-zero TRI Data'!$I:$O, 7, FALSE), VLOOKUP($I6, 'Processed Non-zero DMR Data'!$K:$R, 8, FALSE))</f>
        <v>Manufacturing as a byproduct</v>
      </c>
      <c r="E6" s="34" t="s">
        <v>97</v>
      </c>
      <c r="F6" s="34" t="s">
        <v>98</v>
      </c>
      <c r="G6" s="34" t="s">
        <v>95</v>
      </c>
      <c r="H6" s="34" t="s">
        <v>99</v>
      </c>
      <c r="I6" s="105">
        <v>110066943605</v>
      </c>
      <c r="J6" s="33" t="str">
        <f>IFERROR(VLOOKUP($I6, 'Processed Non-zero DMR Data'!$K:$U, 11, FALSE),"")</f>
        <v/>
      </c>
      <c r="K6" s="33" t="str">
        <f>IFERROR(VLOOKUP($I6, 'Processed Non-zero DMR Data'!$K:$V, 12, FALSE),"Not Reported")</f>
        <v>Not Reported</v>
      </c>
      <c r="L6" s="106" t="str">
        <f>IFERROR(VLOOKUP($I6, 'Processed Non-zero DMR Data'!$K:$W, 13, FALSE),"No Reach Code Reported")</f>
        <v>No Reach Code Reported</v>
      </c>
      <c r="M6" s="107">
        <f>IFERROR(IFERROR(VLOOKUP(H6, 'Off-site Locations'!$K$3:$O$5, 5, FALSE), VLOOKUP(H6, 'Off-site Locations'!$B$3:$E$4, 4, FALSE)), "No Offsite Transfers")</f>
        <v>110008170237</v>
      </c>
      <c r="N6" s="33">
        <f>VLOOKUP($D6, 'COU.OES Summary'!C:E, 3, FALSE)</f>
        <v>350</v>
      </c>
      <c r="O6" s="108">
        <f t="shared" si="0"/>
        <v>36.74098197</v>
      </c>
      <c r="P6" s="108">
        <f t="shared" si="1"/>
        <v>0</v>
      </c>
      <c r="Q6" s="109" t="str" cm="1">
        <f t="array" ref="Q6">IFERROR(_xlfn.XLOOKUP(1,  (MAX(IF(I6 = 'Processed Non-zero DMR Data'!$K:$K,'Processed Non-zero DMR Data'!$A:$A)) = 'Processed Non-zero DMR Data'!$A:$A)*('Processed Non-zero DMR Data'!$K:$K = I6),'Processed Non-zero DMR Data'!$T:$T), "N/A- Facility Does Not Report DMRs")</f>
        <v>N/A- Facility Does Not Report DMRs</v>
      </c>
      <c r="R6" s="33" t="str">
        <f t="shared" si="11"/>
        <v>N/A - Facility Does Not Report DMRs</v>
      </c>
      <c r="S6" s="33" t="str" cm="1">
        <f t="array" ref="S6">IF(COUNTIF('Processed Non-zero DMR Data'!$K:$K,$I6)&gt;0,MEDIAN(IF('Processed Non-zero DMR Data'!$K:$K=I6,'Processed Non-zero DMR Data'!$T:$T)),"N/A - Facility Does Not Report DMRs")</f>
        <v>N/A - Facility Does Not Report DMRs</v>
      </c>
      <c r="T6" s="33" t="str">
        <f t="shared" si="12"/>
        <v>N/A - Facility Does Not Report DMRs</v>
      </c>
      <c r="U6" s="33" t="str">
        <f>IF(COUNTIF('Processed Non-zero DMR Data'!$K:$K,$I6)&gt;0,_xlfn.MAXIFS('Processed Non-zero DMR Data'!$T:$T,'Processed Non-zero DMR Data'!$K:$K,$I6), "N/A - Facility Does Not Report DMRs")</f>
        <v>N/A - Facility Does Not Report DMRs</v>
      </c>
      <c r="V6" s="33" t="str">
        <f t="shared" si="13"/>
        <v>N/A - Facility Does Not Report DMRs</v>
      </c>
      <c r="W6" s="110" t="str" cm="1">
        <f t="array" ref="W6">IF(COUNTIF('Processed Non-zero DMR Data'!$K:$K,$I6)&gt;0,INDEX('Processed Non-zero DMR Data'!$A:$A,MATCH(1,($I6='Processed Non-zero DMR Data'!$K:$K)*($U6='Processed Non-zero DMR Data'!$T:$T),0)), "N/A - Facility Does Not Report DMRs")</f>
        <v>N/A - Facility Does Not Report DMRs</v>
      </c>
      <c r="X6" s="109" cm="1">
        <f t="array" ref="X6">IFERROR(_xlfn.XLOOKUP(1,  (MAX(IF(H6 = 'Processed Non-zero TRI Data'!$I:$I,'Processed Non-zero TRI Data'!$A:$A)) = 'Processed Non-zero TRI Data'!$A:$A)*('Processed Non-zero TRI Data'!$I:$I = H6), 'Processed Non-zero TRI Data'!$S:$S), "N/A- Facility Does Not Report to TRI")</f>
        <v>0</v>
      </c>
      <c r="Y6" s="33">
        <f t="shared" si="2"/>
        <v>0</v>
      </c>
      <c r="Z6" s="33" cm="1">
        <f t="array" ref="Z6">IF(COUNTIF('Processed Non-zero TRI Data'!$I:$I,$H6)&gt;0,MEDIAN(IF('Processed Non-zero TRI Data'!$I:$I=H6,'Processed Non-zero TRI Data'!$S:$S)), "N/A - Facility Does Not Report to TRI")</f>
        <v>0</v>
      </c>
      <c r="AA6" s="33">
        <f t="shared" si="3"/>
        <v>0</v>
      </c>
      <c r="AB6" s="33">
        <f>IF(COUNTIF('Processed Non-zero TRI Data'!$I:$I,$H6)&gt;0,_xlfn.MAXIFS('Processed Non-zero TRI Data'!$S:$S,'Processed Non-zero TRI Data'!$I:$I,$H6), "N/A - Facility Does Not Report to TRI")</f>
        <v>0</v>
      </c>
      <c r="AC6" s="33">
        <f t="shared" si="4"/>
        <v>0</v>
      </c>
      <c r="AD6" s="110" t="str" cm="1">
        <f t="array" ref="AD6">IFERROR(IF(B6 = "TRI Form R", IF(AB6 = 0, "Facility has no on-site water discharges between 2019-2023.",  IF(COUNTIF('Processed Non-zero TRI Data'!$I:$I,$H6)&gt;0,INDEX('Processed Non-zero TRI Data'!$A:$A,MATCH(1,($H6='Processed Non-zero TRI Data'!$I:$I)*(AB6='Processed Non-zero TRI Data'!$S:$S),0)))), VLOOKUP(H6, 'Form A Recent Reporting'!$L:$M, 2, FALSE)), ("N/A - Facility Does Not Report to TRI"))</f>
        <v>Facility has no on-site water discharges between 2019-2023.</v>
      </c>
      <c r="AE6" s="109" cm="1">
        <f t="array" ref="AE6">IFERROR(_xlfn.XLOOKUP(1,  (MAX(IF(H6 = 'Processed Non-zero TRI Data'!$I:$I,'Processed Non-zero TRI Data'!$A:$A)) = 'Processed Non-zero TRI Data'!$A:$A)*('Processed Non-zero TRI Data'!$I:$I = H6), 'Processed Non-zero TRI Data'!$U:$U), "N/A- Facility Does Not Report to TRI")</f>
        <v>0</v>
      </c>
      <c r="AF6" s="33">
        <f t="shared" si="5"/>
        <v>0</v>
      </c>
      <c r="AG6" s="33" cm="1">
        <f t="array" ref="AG6">IF(COUNTIF('Processed Non-zero TRI Data'!$I:$I,$H6)&gt;0,MEDIAN(IF('Processed Non-zero TRI Data'!$I:$I=H6,'Processed Non-zero TRI Data'!$U:$U)), "N/A - Facility Does Not Report to TRI")</f>
        <v>0</v>
      </c>
      <c r="AH6" s="33">
        <f t="shared" si="6"/>
        <v>0</v>
      </c>
      <c r="AI6" s="33">
        <f>IF(COUNTIF('Processed Non-zero TRI Data'!$I:$I,$H6)&gt;0,_xlfn.MAXIFS('Processed Non-zero TRI Data'!$U:$U,'Processed Non-zero TRI Data'!$I:$I,$H6), "N/A - Facility Does Not Report to TRI")</f>
        <v>0</v>
      </c>
      <c r="AJ6" s="33">
        <f t="shared" si="7"/>
        <v>0</v>
      </c>
      <c r="AK6" s="110" t="str" cm="1">
        <f t="array" ref="AK6">IF(B6="TRI Form A",AD6,IF(AI6=0,"Facility has no transfers to POTWs between 2019-2023.",IF(COUNTIF('Processed Non-zero TRI Data'!$I:$I,$H6)&gt;0,INDEX('Processed Non-zero TRI Data'!$A:$A,MATCH(1,($H6='Processed Non-zero TRI Data'!$I:$I)*(AI6='Processed Non-zero TRI Data'!$U:$U),0)),"N/A - Facility Does Not Report to TRI")))</f>
        <v>Facility has no transfers to POTWs between 2019-2023.</v>
      </c>
      <c r="AL6" s="109" cm="1">
        <f t="array" ref="AL6">IFERROR(_xlfn.XLOOKUP(1,  (MAX(IF(H6 = 'Processed Non-zero TRI Data'!$I$2:$I$23,'Processed Non-zero TRI Data'!$A$2:$A$23)) = 'Processed Non-zero TRI Data'!$A$2:$A$23)*('Processed Non-zero TRI Data'!$I$2:$I$23 = H6), 'Processed Non-zero TRI Data'!$W$2:$W$23), "N/A- Facility Does Not Report to TRI")</f>
        <v>20.86524902</v>
      </c>
      <c r="AM6" s="33">
        <f t="shared" si="8"/>
        <v>5.9614997199999999E-2</v>
      </c>
      <c r="AN6" s="33" cm="1">
        <f t="array" ref="AN6">IF(COUNTIF('Processed Non-zero TRI Data'!$I:$I,$H6)&gt;0,MEDIAN(IF('Processed Non-zero TRI Data'!$I:$I=H6,'Processed Non-zero TRI Data'!$W:$W)), "N/A - Facility Does Not Report to TRI")</f>
        <v>35.833797230000002</v>
      </c>
      <c r="AO6" s="33">
        <f t="shared" si="9"/>
        <v>0.1023822778</v>
      </c>
      <c r="AP6" s="33">
        <f>IF(COUNTIF('Processed Non-zero TRI Data'!$I:$I,$H6)&gt;0,_xlfn.MAXIFS('Processed Non-zero TRI Data'!$W:$W,'Processed Non-zero TRI Data'!$I:$I,$H6), "N/A - Facility Does Not Report to TRI")</f>
        <v>36.74098197</v>
      </c>
      <c r="AQ6" s="33">
        <f t="shared" si="10"/>
        <v>0.1049742342</v>
      </c>
      <c r="AR6" s="110" cm="1">
        <f t="array" ref="AR6">IF(B6="TRI Form A",AD6,IF(AP6=0,"Facility has no transfers to non-POTWs between 2019-2023.",IF(COUNTIF('Processed Non-zero TRI Data'!$I:$I,$H6)&gt;0,INDEX('Processed Non-zero TRI Data'!$A:$A,MATCH(1,($H6='Processed Non-zero TRI Data'!$I:$I)*(AP6='Processed Non-zero TRI Data'!$W:$W),0)),"N/A - Facility Does Not Report to TRI")))</f>
        <v>2019</v>
      </c>
    </row>
    <row r="7" spans="1:44" ht="29" x14ac:dyDescent="0.35">
      <c r="A7" s="34">
        <v>4</v>
      </c>
      <c r="B7" s="33" t="str">
        <f>IFERROR("TRI Form "&amp;VLOOKUP(H7,'Processed Non-zero TRI Data'!$I$2:$K$23,3,FALSE),"DMR")</f>
        <v>TRI Form R</v>
      </c>
      <c r="C7" s="33" t="str">
        <f>VLOOKUP($D7, 'COU.OES Summary'!C:D, 2, FALSE)</f>
        <v> </v>
      </c>
      <c r="D7" s="33" t="str">
        <f>IFERROR(VLOOKUP($H7, 'Processed Non-zero TRI Data'!$I:$O, 7, FALSE), VLOOKUP($I7, 'Processed Non-zero DMR Data'!$K:$R, 8, FALSE))</f>
        <v>Processing – incorporation into formulation, mixture or reaction product</v>
      </c>
      <c r="E7" s="34" t="s">
        <v>100</v>
      </c>
      <c r="F7" s="34" t="s">
        <v>101</v>
      </c>
      <c r="G7" s="34" t="s">
        <v>102</v>
      </c>
      <c r="H7" s="34" t="s">
        <v>103</v>
      </c>
      <c r="I7" s="105">
        <v>110000478509</v>
      </c>
      <c r="J7" s="33" t="str">
        <f>IFERROR(VLOOKUP($I7, 'Processed Non-zero DMR Data'!$K:$U, 11, FALSE),"")</f>
        <v/>
      </c>
      <c r="K7" s="33" t="str">
        <f>IFERROR(VLOOKUP($I7, 'Processed Non-zero DMR Data'!$K:$V, 12, FALSE),"Not Reported")</f>
        <v>Not Reported</v>
      </c>
      <c r="L7" s="106" t="str">
        <f>IFERROR(VLOOKUP($I7, 'Processed Non-zero DMR Data'!$K:$W, 13, FALSE),"No Reach Code Reported")</f>
        <v>No Reach Code Reported</v>
      </c>
      <c r="M7" s="107">
        <f>IFERROR(IFERROR(VLOOKUP(H7, 'Off-site Locations'!$K$3:$O$5, 5, FALSE), VLOOKUP(H7, 'Off-site Locations'!$B$3:$E$4, 4, FALSE)), "No Offsite Transfers")</f>
        <v>110000520632</v>
      </c>
      <c r="N7" s="33">
        <f>VLOOKUP($D7, 'COU.OES Summary'!C:E, 3, FALSE)</f>
        <v>250</v>
      </c>
      <c r="O7" s="108">
        <f t="shared" si="0"/>
        <v>0.45359237000000002</v>
      </c>
      <c r="P7" s="108">
        <f t="shared" si="1"/>
        <v>0</v>
      </c>
      <c r="Q7" s="109" t="str" cm="1">
        <f t="array" ref="Q7">IFERROR(_xlfn.XLOOKUP(1,  (MAX(IF(I7 = 'Processed Non-zero DMR Data'!$K:$K,'Processed Non-zero DMR Data'!$A:$A)) = 'Processed Non-zero DMR Data'!$A:$A)*('Processed Non-zero DMR Data'!$K:$K = I7),'Processed Non-zero DMR Data'!$T:$T), "N/A- Facility Does Not Report DMRs")</f>
        <v>N/A- Facility Does Not Report DMRs</v>
      </c>
      <c r="R7" s="33" t="str">
        <f t="shared" si="11"/>
        <v>N/A - Facility Does Not Report DMRs</v>
      </c>
      <c r="S7" s="33" t="str" cm="1">
        <f t="array" ref="S7">IF(COUNTIF('Processed Non-zero DMR Data'!$K:$K,$I7)&gt;0,MEDIAN(IF('Processed Non-zero DMR Data'!$K:$K=I7,'Processed Non-zero DMR Data'!$T:$T)),"N/A - Facility Does Not Report DMRs")</f>
        <v>N/A - Facility Does Not Report DMRs</v>
      </c>
      <c r="T7" s="33" t="str">
        <f t="shared" si="12"/>
        <v>N/A - Facility Does Not Report DMRs</v>
      </c>
      <c r="U7" s="33" t="str">
        <f>IF(COUNTIF('Processed Non-zero DMR Data'!$K:$K,$I7)&gt;0,_xlfn.MAXIFS('Processed Non-zero DMR Data'!$T:$T,'Processed Non-zero DMR Data'!$K:$K,$I7), "N/A - Facility Does Not Report DMRs")</f>
        <v>N/A - Facility Does Not Report DMRs</v>
      </c>
      <c r="V7" s="33" t="str">
        <f t="shared" si="13"/>
        <v>N/A - Facility Does Not Report DMRs</v>
      </c>
      <c r="W7" s="110" t="str" cm="1">
        <f t="array" ref="W7">IF(COUNTIF('Processed Non-zero DMR Data'!$K:$K,$I7)&gt;0,INDEX('Processed Non-zero DMR Data'!$A:$A,MATCH(1,($I7='Processed Non-zero DMR Data'!$K:$K)*($U7='Processed Non-zero DMR Data'!$T:$T),0)), "N/A - Facility Does Not Report DMRs")</f>
        <v>N/A - Facility Does Not Report DMRs</v>
      </c>
      <c r="X7" s="109" cm="1">
        <f t="array" ref="X7">IFERROR(_xlfn.XLOOKUP(1,  (MAX(IF(H7 = 'Processed Non-zero TRI Data'!$I:$I,'Processed Non-zero TRI Data'!$A:$A)) = 'Processed Non-zero TRI Data'!$A:$A)*('Processed Non-zero TRI Data'!$I:$I = H7), 'Processed Non-zero TRI Data'!$S:$S), "N/A- Facility Does Not Report to TRI")</f>
        <v>0</v>
      </c>
      <c r="Y7" s="33">
        <f t="shared" si="2"/>
        <v>0</v>
      </c>
      <c r="Z7" s="33" cm="1">
        <f t="array" ref="Z7">IF(COUNTIF('Processed Non-zero TRI Data'!$I:$I,$H7)&gt;0,MEDIAN(IF('Processed Non-zero TRI Data'!$I:$I=H7,'Processed Non-zero TRI Data'!$S:$S)), "N/A - Facility Does Not Report to TRI")</f>
        <v>0</v>
      </c>
      <c r="AA7" s="33">
        <f t="shared" si="3"/>
        <v>0</v>
      </c>
      <c r="AB7" s="33">
        <f>IF(COUNTIF('Processed Non-zero TRI Data'!$I:$I,$H7)&gt;0,_xlfn.MAXIFS('Processed Non-zero TRI Data'!$S:$S,'Processed Non-zero TRI Data'!$I:$I,$H7), "N/A - Facility Does Not Report to TRI")</f>
        <v>0</v>
      </c>
      <c r="AC7" s="33">
        <f t="shared" si="4"/>
        <v>0</v>
      </c>
      <c r="AD7" s="110" t="str" cm="1">
        <f t="array" ref="AD7">IFERROR(IF(B7 = "TRI Form R", IF(AB7 = 0, "Facility has no on-site water discharges between 2019-2023.",  IF(COUNTIF('Processed Non-zero TRI Data'!$I:$I,$H7)&gt;0,INDEX('Processed Non-zero TRI Data'!$A:$A,MATCH(1,($H7='Processed Non-zero TRI Data'!$I:$I)*(AB7='Processed Non-zero TRI Data'!$S:$S),0)))), VLOOKUP(H7, 'Form A Recent Reporting'!$L:$M, 2, FALSE)), ("N/A - Facility Does Not Report to TRI"))</f>
        <v>Facility has no on-site water discharges between 2019-2023.</v>
      </c>
      <c r="AE7" s="109" cm="1">
        <f t="array" ref="AE7">IFERROR(_xlfn.XLOOKUP(1,  (MAX(IF(H7 = 'Processed Non-zero TRI Data'!$I:$I,'Processed Non-zero TRI Data'!$A:$A)) = 'Processed Non-zero TRI Data'!$A:$A)*('Processed Non-zero TRI Data'!$I:$I = H7), 'Processed Non-zero TRI Data'!$U:$U), "N/A- Facility Does Not Report to TRI")</f>
        <v>0.45359237000000002</v>
      </c>
      <c r="AF7" s="33">
        <f t="shared" si="5"/>
        <v>1.8143694800000002E-3</v>
      </c>
      <c r="AG7" s="33" cm="1">
        <f t="array" ref="AG7">IF(COUNTIF('Processed Non-zero TRI Data'!$I:$I,$H7)&gt;0,MEDIAN(IF('Processed Non-zero TRI Data'!$I:$I=H7,'Processed Non-zero TRI Data'!$U:$U)), "N/A - Facility Does Not Report to TRI")</f>
        <v>0.45359237000000002</v>
      </c>
      <c r="AH7" s="33">
        <f t="shared" si="6"/>
        <v>1.8143694800000002E-3</v>
      </c>
      <c r="AI7" s="33">
        <f>IF(COUNTIF('Processed Non-zero TRI Data'!$I:$I,$H7)&gt;0,_xlfn.MAXIFS('Processed Non-zero TRI Data'!$U:$U,'Processed Non-zero TRI Data'!$I:$I,$H7), "N/A - Facility Does Not Report to TRI")</f>
        <v>0.45359237000000002</v>
      </c>
      <c r="AJ7" s="33">
        <f t="shared" si="7"/>
        <v>1.8143694800000002E-3</v>
      </c>
      <c r="AK7" s="110" cm="1">
        <f t="array" ref="AK7">IF(B7="TRI Form A",AD7,IF(AI7=0,"Facility has no transfers to POTWs between 2019-2023.",IF(COUNTIF('Processed Non-zero TRI Data'!$I:$I,$H7)&gt;0,INDEX('Processed Non-zero TRI Data'!$A:$A,MATCH(1,($H7='Processed Non-zero TRI Data'!$I:$I)*(AI7='Processed Non-zero TRI Data'!$U:$U),0)),"N/A - Facility Does Not Report to TRI")))</f>
        <v>2020</v>
      </c>
      <c r="AL7" s="109" cm="1">
        <f t="array" ref="AL7">IFERROR(_xlfn.XLOOKUP(1,  (MAX(IF(H7 = 'Processed Non-zero TRI Data'!$I$2:$I$23,'Processed Non-zero TRI Data'!$A$2:$A$23)) = 'Processed Non-zero TRI Data'!$A$2:$A$23)*('Processed Non-zero TRI Data'!$I$2:$I$23 = H7), 'Processed Non-zero TRI Data'!$W$2:$W$23), "N/A- Facility Does Not Report to TRI")</f>
        <v>0</v>
      </c>
      <c r="AM7" s="33">
        <f t="shared" si="8"/>
        <v>0</v>
      </c>
      <c r="AN7" s="33" cm="1">
        <f t="array" ref="AN7">IF(COUNTIF('Processed Non-zero TRI Data'!$I:$I,$H7)&gt;0,MEDIAN(IF('Processed Non-zero TRI Data'!$I:$I=H7,'Processed Non-zero TRI Data'!$W:$W)), "N/A - Facility Does Not Report to TRI")</f>
        <v>0</v>
      </c>
      <c r="AO7" s="33">
        <f t="shared" si="9"/>
        <v>0</v>
      </c>
      <c r="AP7" s="33">
        <f>IF(COUNTIF('Processed Non-zero TRI Data'!$I:$I,$H7)&gt;0,_xlfn.MAXIFS('Processed Non-zero TRI Data'!$W:$W,'Processed Non-zero TRI Data'!$I:$I,$H7), "N/A - Facility Does Not Report to TRI")</f>
        <v>0</v>
      </c>
      <c r="AQ7" s="33">
        <f t="shared" si="10"/>
        <v>0</v>
      </c>
      <c r="AR7" s="110" t="str" cm="1">
        <f t="array" ref="AR7">IF(B7="TRI Form A",AD7,IF(AP7=0,"Facility has no transfers to non-POTWs between 2019-2023.",IF(COUNTIF('Processed Non-zero TRI Data'!$I:$I,$H7)&gt;0,INDEX('Processed Non-zero TRI Data'!$A:$A,MATCH(1,($H7='Processed Non-zero TRI Data'!$I:$I)*(AP7='Processed Non-zero TRI Data'!$W:$W),0)),"N/A - Facility Does Not Report to TRI")))</f>
        <v>Facility has no transfers to non-POTWs between 2019-2023.</v>
      </c>
    </row>
    <row r="8" spans="1:44" s="118" customFormat="1" ht="29" x14ac:dyDescent="0.35">
      <c r="A8" s="111">
        <v>5</v>
      </c>
      <c r="B8" s="45" t="str">
        <f>IFERROR("TRI Form "&amp;VLOOKUP(H8,'Processed Non-zero TRI Data'!$I$2:$K$23,3,FALSE),"DMR")</f>
        <v>DMR</v>
      </c>
      <c r="C8" s="45" t="str">
        <f>VLOOKUP($D8, 'COU.OES Summary'!C:D, 2, FALSE)</f>
        <v> </v>
      </c>
      <c r="D8" s="45" t="str">
        <f>IFERROR(VLOOKUP($H8, 'Processed Non-zero TRI Data'!$I:$O, 7, FALSE), VLOOKUP($I8, 'Processed Non-zero DMR Data'!$K:$R, 8, FALSE))</f>
        <v>Waste handling, treatment, and disposal - POTW</v>
      </c>
      <c r="E8" s="111" t="s">
        <v>104</v>
      </c>
      <c r="F8" s="111" t="s">
        <v>105</v>
      </c>
      <c r="G8" s="111" t="s">
        <v>95</v>
      </c>
      <c r="H8" s="111"/>
      <c r="I8" s="112">
        <v>110034247580</v>
      </c>
      <c r="J8" s="45" t="str">
        <f>IFERROR(VLOOKUP($I8, 'Processed Non-zero DMR Data'!$K:$U, 11, FALSE),"")</f>
        <v>TX0023418</v>
      </c>
      <c r="K8" s="45" t="str">
        <f>IFERROR(VLOOKUP($I8, 'Processed Non-zero DMR Data'!$K:$V, 12, FALSE),"Not Reported")</f>
        <v>Tranquitas Creek</v>
      </c>
      <c r="L8" s="113">
        <f>IFERROR(VLOOKUP($I8, 'Processed Non-zero DMR Data'!$K:$W, 13, FALSE),"No Reach Code Reported")</f>
        <v>121102040409</v>
      </c>
      <c r="M8" s="114" t="str">
        <f>IFERROR(IFERROR(VLOOKUP(H8, 'Off-site Locations'!$K$3:$O$5, 5, FALSE), VLOOKUP(H8, 'Off-site Locations'!$B$3:$E$4, 4, FALSE)), "No Offsite Transfers")</f>
        <v>No Offsite Transfers</v>
      </c>
      <c r="N8" s="45">
        <f>VLOOKUP($D8, 'COU.OES Summary'!C:E, 3, FALSE)</f>
        <v>365</v>
      </c>
      <c r="O8" s="115">
        <f t="shared" si="0"/>
        <v>0</v>
      </c>
      <c r="P8" s="115">
        <f t="shared" si="1"/>
        <v>26769.313364384001</v>
      </c>
      <c r="Q8" s="116" cm="1">
        <f t="array" ref="Q8">IFERROR(_xlfn.XLOOKUP(1,  (MAX(IF(I8 = 'Processed Non-zero DMR Data'!$K:$K,'Processed Non-zero DMR Data'!$A:$A)) = 'Processed Non-zero DMR Data'!$A:$A)*('Processed Non-zero DMR Data'!$K:$K = I8),'Processed Non-zero DMR Data'!$T:$T), "N/A- Facility Does Not Report DMRs")</f>
        <v>0.36065533</v>
      </c>
      <c r="R8" s="45">
        <f t="shared" si="11"/>
        <v>9.8809679452054803E-4</v>
      </c>
      <c r="S8" s="45" cm="1">
        <f t="array" ref="S8">IF(COUNTIF('Processed Non-zero DMR Data'!$K:$K,$I8)&gt;0,MEDIAN(IF('Processed Non-zero DMR Data'!$K:$K=I8,'Processed Non-zero DMR Data'!$T:$T)),"N/A - Facility Does Not Report DMRs")</f>
        <v>0.43568291599999998</v>
      </c>
      <c r="T8" s="45">
        <f t="shared" si="12"/>
        <v>1.1936518246575341E-3</v>
      </c>
      <c r="U8" s="45">
        <f>IF(COUNTIF('Processed Non-zero DMR Data'!$K:$K,$I8)&gt;0,_xlfn.MAXIFS('Processed Non-zero DMR Data'!$T:$T,'Processed Non-zero DMR Data'!$K:$K,$I8), "N/A - Facility Does Not Report DMRs")</f>
        <v>26769.313364384001</v>
      </c>
      <c r="V8" s="45">
        <f t="shared" si="13"/>
        <v>73.34058455995617</v>
      </c>
      <c r="W8" s="117" cm="1">
        <f t="array" ref="W8">IF(COUNTIF('Processed Non-zero DMR Data'!$K:$K,$I8)&gt;0,INDEX('Processed Non-zero DMR Data'!$A:$A,MATCH(1,($I8='Processed Non-zero DMR Data'!$K:$K)*($U8='Processed Non-zero DMR Data'!$T:$T),0)), "N/A - Facility Does Not Report DMRs")</f>
        <v>2022</v>
      </c>
      <c r="X8" s="116" cm="1">
        <f t="array" ref="X8">IFERROR(_xlfn.XLOOKUP(1,  (MAX(IF(H8 = 'Processed Non-zero TRI Data'!$I:$I,'Processed Non-zero TRI Data'!$A:$A)) = 'Processed Non-zero TRI Data'!$A:$A)*('Processed Non-zero TRI Data'!$I:$I = H8), 'Processed Non-zero TRI Data'!$S:$S), "N/A- Facility Does Not Report to TRI")</f>
        <v>0</v>
      </c>
      <c r="Y8" s="45">
        <f t="shared" si="2"/>
        <v>0</v>
      </c>
      <c r="Z8" s="45" t="str" cm="1">
        <f t="array" ref="Z8">IF(COUNTIF('Processed Non-zero TRI Data'!$I:$I,$H8)&gt;0,MEDIAN(IF('Processed Non-zero TRI Data'!$I:$I=H8,'Processed Non-zero TRI Data'!$S:$S)), "N/A - Facility Does Not Report to TRI")</f>
        <v>N/A - Facility Does Not Report to TRI</v>
      </c>
      <c r="AA8" s="45" t="str">
        <f t="shared" si="3"/>
        <v>N/A - Facility Does Not Report to TRI</v>
      </c>
      <c r="AB8" s="45" t="str">
        <f>IF(COUNTIF('Processed Non-zero TRI Data'!$I:$I,$H8)&gt;0,_xlfn.MAXIFS('Processed Non-zero TRI Data'!$S:$S,'Processed Non-zero TRI Data'!$I:$I,$H8), "N/A - Facility Does Not Report to TRI")</f>
        <v>N/A - Facility Does Not Report to TRI</v>
      </c>
      <c r="AC8" s="45" t="str">
        <f t="shared" si="4"/>
        <v>N/A - Facility Does Not Report to TRI</v>
      </c>
      <c r="AD8" s="117" t="str" cm="1">
        <f t="array" ref="AD8">IFERROR(IF(B8 = "TRI Form R", IF(AB8 = 0, "Facility has no on-site water discharges between 2019-2023.",  IF(COUNTIF('Processed Non-zero TRI Data'!$I:$I,$H8)&gt;0,INDEX('Processed Non-zero TRI Data'!$A:$A,MATCH(1,($H8='Processed Non-zero TRI Data'!$I:$I)*(AB8='Processed Non-zero TRI Data'!$S:$S),0)))), VLOOKUP(H8, 'Form A Recent Reporting'!$L:$M, 2, FALSE)), ("N/A - Facility Does Not Report to TRI"))</f>
        <v>N/A - Facility Does Not Report to TRI</v>
      </c>
      <c r="AE8" s="116" cm="1">
        <f t="array" ref="AE8">IFERROR(_xlfn.XLOOKUP(1,  (MAX(IF(H8 = 'Processed Non-zero TRI Data'!$I:$I,'Processed Non-zero TRI Data'!$A:$A)) = 'Processed Non-zero TRI Data'!$A:$A)*('Processed Non-zero TRI Data'!$I:$I = H8), 'Processed Non-zero TRI Data'!$U:$U), "N/A- Facility Does Not Report to TRI")</f>
        <v>0</v>
      </c>
      <c r="AF8" s="45">
        <f t="shared" si="5"/>
        <v>0</v>
      </c>
      <c r="AG8" s="45" t="str" cm="1">
        <f t="array" ref="AG8">IF(COUNTIF('Processed Non-zero TRI Data'!$I:$I,$H8)&gt;0,MEDIAN(IF('Processed Non-zero TRI Data'!$I:$I=H8,'Processed Non-zero TRI Data'!$U:$U)), "N/A - Facility Does Not Report to TRI")</f>
        <v>N/A - Facility Does Not Report to TRI</v>
      </c>
      <c r="AH8" s="45" t="str">
        <f t="shared" si="6"/>
        <v>N/A - Facility Does Not Report to TRI</v>
      </c>
      <c r="AI8" s="45" t="str">
        <f>IF(COUNTIF('Processed Non-zero TRI Data'!$I:$I,$H8)&gt;0,_xlfn.MAXIFS('Processed Non-zero TRI Data'!$U:$U,'Processed Non-zero TRI Data'!$I:$I,$H8), "N/A - Facility Does Not Report to TRI")</f>
        <v>N/A - Facility Does Not Report to TRI</v>
      </c>
      <c r="AJ8" s="45" t="str">
        <f t="shared" si="7"/>
        <v>N/A - Facility Does Not Report to TRI</v>
      </c>
      <c r="AK8" s="117" t="str" cm="1">
        <f t="array" ref="AK8">IF(B8="TRI Form A",AD8,IF(AI8=0,"Facility has no transfers to POTWs between 2019-2023.",IF(COUNTIF('Processed Non-zero TRI Data'!$I:$I,$H8)&gt;0,INDEX('Processed Non-zero TRI Data'!$A:$A,MATCH(1,($H8='Processed Non-zero TRI Data'!$I:$I)*(AI8='Processed Non-zero TRI Data'!$U:$U),0)),"N/A - Facility Does Not Report to TRI")))</f>
        <v>N/A - Facility Does Not Report to TRI</v>
      </c>
      <c r="AL8" s="116" cm="1">
        <f t="array" ref="AL8">IFERROR(_xlfn.XLOOKUP(1,  (MAX(IF(H8 = 'Processed Non-zero TRI Data'!$I$2:$I$23,'Processed Non-zero TRI Data'!$A$2:$A$23)) = 'Processed Non-zero TRI Data'!$A$2:$A$23)*('Processed Non-zero TRI Data'!$I$2:$I$23 = H8), 'Processed Non-zero TRI Data'!$W$2:$W$23), "N/A- Facility Does Not Report to TRI")</f>
        <v>0</v>
      </c>
      <c r="AM8" s="45">
        <f t="shared" si="8"/>
        <v>0</v>
      </c>
      <c r="AN8" s="45" t="str" cm="1">
        <f t="array" ref="AN8">IF(COUNTIF('Processed Non-zero TRI Data'!$I:$I,$H8)&gt;0,MEDIAN(IF('Processed Non-zero TRI Data'!$I:$I=H8,'Processed Non-zero TRI Data'!$W:$W)), "N/A - Facility Does Not Report to TRI")</f>
        <v>N/A - Facility Does Not Report to TRI</v>
      </c>
      <c r="AO8" s="45" t="str">
        <f t="shared" si="9"/>
        <v>N/A - Facility Does Not Report to TRI</v>
      </c>
      <c r="AP8" s="45" t="str">
        <f>IF(COUNTIF('Processed Non-zero TRI Data'!$I:$I,$H8)&gt;0,_xlfn.MAXIFS('Processed Non-zero TRI Data'!$W:$W,'Processed Non-zero TRI Data'!$I:$I,$H8), "N/A - Facility Does Not Report to TRI")</f>
        <v>N/A - Facility Does Not Report to TRI</v>
      </c>
      <c r="AQ8" s="45" t="str">
        <f t="shared" si="10"/>
        <v>N/A - Facility Does Not Report to TRI</v>
      </c>
      <c r="AR8" s="117" t="str" cm="1">
        <f t="array" ref="AR8">IF(B8="TRI Form A",AD8,IF(AP8=0,"Facility has no transfers to non-POTWs between 2019-2023.",IF(COUNTIF('Processed Non-zero TRI Data'!$I:$I,$H8)&gt;0,INDEX('Processed Non-zero TRI Data'!$A:$A,MATCH(1,($H8='Processed Non-zero TRI Data'!$I:$I)*(AP8='Processed Non-zero TRI Data'!$W:$W),0)),"N/A - Facility Does Not Report to TRI")))</f>
        <v>N/A - Facility Does Not Report to TRI</v>
      </c>
    </row>
    <row r="9" spans="1:44" ht="29" x14ac:dyDescent="0.35">
      <c r="A9" s="34">
        <v>6</v>
      </c>
      <c r="B9" s="33" t="str">
        <f>IFERROR("TRI Form "&amp;VLOOKUP(H9,'Processed Non-zero TRI Data'!$I$2:$K$23,3,FALSE),"DMR")</f>
        <v>DMR</v>
      </c>
      <c r="C9" s="33" t="str">
        <f>VLOOKUP($D9, 'COU.OES Summary'!C:D, 2, FALSE)</f>
        <v> </v>
      </c>
      <c r="D9" s="33" t="str">
        <f>IFERROR(VLOOKUP($H9, 'Processed Non-zero TRI Data'!$I:$O, 7, FALSE), VLOOKUP($I9, 'Processed Non-zero DMR Data'!$K:$R, 8, FALSE))</f>
        <v>Waste handling, treatment, and disposal - POTW</v>
      </c>
      <c r="E9" s="34" t="s">
        <v>106</v>
      </c>
      <c r="F9" s="34" t="s">
        <v>107</v>
      </c>
      <c r="G9" s="34" t="s">
        <v>108</v>
      </c>
      <c r="H9" s="34"/>
      <c r="I9" s="105">
        <v>110000732379</v>
      </c>
      <c r="J9" s="33" t="str">
        <f>IFERROR(VLOOKUP($I9, 'Processed Non-zero DMR Data'!$K:$U, 11, FALSE),"")</f>
        <v>KY0078956</v>
      </c>
      <c r="K9" s="33" t="str">
        <f>IFERROR(VLOOKUP($I9, 'Processed Non-zero DMR Data'!$K:$V, 12, FALSE),"Not Reported")</f>
        <v>Fall Run-Ohio River</v>
      </c>
      <c r="L9" s="106">
        <f>IFERROR(VLOOKUP($I9, 'Processed Non-zero DMR Data'!$K:$W, 13, FALSE),"No Reach Code Reported")</f>
        <v>51401010904</v>
      </c>
      <c r="M9" s="107" t="str">
        <f>IFERROR(IFERROR(VLOOKUP(H9, 'Off-site Locations'!$K$3:$O$5, 5, FALSE), VLOOKUP(H9, 'Off-site Locations'!$B$3:$E$4, 4, FALSE)), "No Offsite Transfers")</f>
        <v>No Offsite Transfers</v>
      </c>
      <c r="N9" s="33">
        <f>VLOOKUP($D9, 'COU.OES Summary'!C:E, 3, FALSE)</f>
        <v>365</v>
      </c>
      <c r="O9" s="108">
        <f t="shared" si="0"/>
        <v>0</v>
      </c>
      <c r="P9" s="108">
        <f t="shared" si="1"/>
        <v>212.68922756250001</v>
      </c>
      <c r="Q9" s="109" cm="1">
        <f t="array" ref="Q9">IFERROR(_xlfn.XLOOKUP(1,  (MAX(IF(I9 = 'Processed Non-zero DMR Data'!$K:$K,'Processed Non-zero DMR Data'!$A:$A)) = 'Processed Non-zero DMR Data'!$A:$A)*('Processed Non-zero DMR Data'!$K:$K = I9),'Processed Non-zero DMR Data'!$T:$T), "N/A- Facility Does Not Report DMRs")</f>
        <v>87.896074312500005</v>
      </c>
      <c r="R9" s="33">
        <f t="shared" si="11"/>
        <v>0.24081116250000001</v>
      </c>
      <c r="S9" s="33" cm="1">
        <f t="array" ref="S9">IF(COUNTIF('Processed Non-zero DMR Data'!$K:$K,$I9)&gt;0,MEDIAN(IF('Processed Non-zero DMR Data'!$K:$K=I9,'Processed Non-zero DMR Data'!$T:$T)),"N/A - Facility Does Not Report DMRs")</f>
        <v>123.61194937499999</v>
      </c>
      <c r="T9" s="33">
        <f t="shared" si="12"/>
        <v>0.33866287499999997</v>
      </c>
      <c r="U9" s="33">
        <f>IF(COUNTIF('Processed Non-zero DMR Data'!$K:$K,$I9)&gt;0,_xlfn.MAXIFS('Processed Non-zero DMR Data'!$T:$T,'Processed Non-zero DMR Data'!$K:$K,$I9), "N/A - Facility Does Not Report DMRs")</f>
        <v>212.68922756250001</v>
      </c>
      <c r="V9" s="33">
        <f t="shared" si="13"/>
        <v>0.58271021249999999</v>
      </c>
      <c r="W9" s="110" cm="1">
        <f t="array" ref="W9">IF(COUNTIF('Processed Non-zero DMR Data'!$K:$K,$I9)&gt;0,INDEX('Processed Non-zero DMR Data'!$A:$A,MATCH(1,($I9='Processed Non-zero DMR Data'!$K:$K)*($U9='Processed Non-zero DMR Data'!$T:$T),0)), "N/A - Facility Does Not Report DMRs")</f>
        <v>2019</v>
      </c>
      <c r="X9" s="109" cm="1">
        <f t="array" ref="X9">IFERROR(_xlfn.XLOOKUP(1,  (MAX(IF(H9 = 'Processed Non-zero TRI Data'!$I:$I,'Processed Non-zero TRI Data'!$A:$A)) = 'Processed Non-zero TRI Data'!$A:$A)*('Processed Non-zero TRI Data'!$I:$I = H9), 'Processed Non-zero TRI Data'!$S:$S), "N/A- Facility Does Not Report to TRI")</f>
        <v>0</v>
      </c>
      <c r="Y9" s="33">
        <f t="shared" si="2"/>
        <v>0</v>
      </c>
      <c r="Z9" s="33" t="str" cm="1">
        <f t="array" ref="Z9">IF(COUNTIF('Processed Non-zero TRI Data'!$I:$I,$H9)&gt;0,MEDIAN(IF('Processed Non-zero TRI Data'!$I:$I=H9,'Processed Non-zero TRI Data'!$S:$S)), "N/A - Facility Does Not Report to TRI")</f>
        <v>N/A - Facility Does Not Report to TRI</v>
      </c>
      <c r="AA9" s="33" t="str">
        <f t="shared" si="3"/>
        <v>N/A - Facility Does Not Report to TRI</v>
      </c>
      <c r="AB9" s="33" t="str">
        <f>IF(COUNTIF('Processed Non-zero TRI Data'!$I:$I,$H9)&gt;0,_xlfn.MAXIFS('Processed Non-zero TRI Data'!$S:$S,'Processed Non-zero TRI Data'!$I:$I,$H9), "N/A - Facility Does Not Report to TRI")</f>
        <v>N/A - Facility Does Not Report to TRI</v>
      </c>
      <c r="AC9" s="33" t="str">
        <f t="shared" si="4"/>
        <v>N/A - Facility Does Not Report to TRI</v>
      </c>
      <c r="AD9" s="110" t="str" cm="1">
        <f t="array" ref="AD9">IFERROR(IF(B9 = "TRI Form R", IF(AB9 = 0, "Facility has no on-site water discharges between 2019-2023.",  IF(COUNTIF('Processed Non-zero TRI Data'!$I:$I,$H9)&gt;0,INDEX('Processed Non-zero TRI Data'!$A:$A,MATCH(1,($H9='Processed Non-zero TRI Data'!$I:$I)*(AB9='Processed Non-zero TRI Data'!$S:$S),0)))), VLOOKUP(H9, 'Form A Recent Reporting'!$L:$M, 2, FALSE)), ("N/A - Facility Does Not Report to TRI"))</f>
        <v>N/A - Facility Does Not Report to TRI</v>
      </c>
      <c r="AE9" s="109" cm="1">
        <f t="array" ref="AE9">IFERROR(_xlfn.XLOOKUP(1,  (MAX(IF(H9 = 'Processed Non-zero TRI Data'!$I:$I,'Processed Non-zero TRI Data'!$A:$A)) = 'Processed Non-zero TRI Data'!$A:$A)*('Processed Non-zero TRI Data'!$I:$I = H9), 'Processed Non-zero TRI Data'!$U:$U), "N/A- Facility Does Not Report to TRI")</f>
        <v>0</v>
      </c>
      <c r="AF9" s="33">
        <f t="shared" si="5"/>
        <v>0</v>
      </c>
      <c r="AG9" s="33" t="str" cm="1">
        <f t="array" ref="AG9">IF(COUNTIF('Processed Non-zero TRI Data'!$I:$I,$H9)&gt;0,MEDIAN(IF('Processed Non-zero TRI Data'!$I:$I=H9,'Processed Non-zero TRI Data'!$U:$U)), "N/A - Facility Does Not Report to TRI")</f>
        <v>N/A - Facility Does Not Report to TRI</v>
      </c>
      <c r="AH9" s="33" t="str">
        <f t="shared" si="6"/>
        <v>N/A - Facility Does Not Report to TRI</v>
      </c>
      <c r="AI9" s="33" t="str">
        <f>IF(COUNTIF('Processed Non-zero TRI Data'!$I:$I,$H9)&gt;0,_xlfn.MAXIFS('Processed Non-zero TRI Data'!$U:$U,'Processed Non-zero TRI Data'!$I:$I,$H9), "N/A - Facility Does Not Report to TRI")</f>
        <v>N/A - Facility Does Not Report to TRI</v>
      </c>
      <c r="AJ9" s="33" t="str">
        <f t="shared" si="7"/>
        <v>N/A - Facility Does Not Report to TRI</v>
      </c>
      <c r="AK9" s="110" t="str" cm="1">
        <f t="array" ref="AK9">IF(B9="TRI Form A",AD9,IF(AI9=0,"Facility has no transfers to POTWs between 2019-2023.",IF(COUNTIF('Processed Non-zero TRI Data'!$I:$I,$H9)&gt;0,INDEX('Processed Non-zero TRI Data'!$A:$A,MATCH(1,($H9='Processed Non-zero TRI Data'!$I:$I)*(AI9='Processed Non-zero TRI Data'!$U:$U),0)),"N/A - Facility Does Not Report to TRI")))</f>
        <v>N/A - Facility Does Not Report to TRI</v>
      </c>
      <c r="AL9" s="109" cm="1">
        <f t="array" ref="AL9">IFERROR(_xlfn.XLOOKUP(1,  (MAX(IF(H9 = 'Processed Non-zero TRI Data'!$I$2:$I$23,'Processed Non-zero TRI Data'!$A$2:$A$23)) = 'Processed Non-zero TRI Data'!$A$2:$A$23)*('Processed Non-zero TRI Data'!$I$2:$I$23 = H9), 'Processed Non-zero TRI Data'!$W$2:$W$23), "N/A- Facility Does Not Report to TRI")</f>
        <v>0</v>
      </c>
      <c r="AM9" s="33">
        <f t="shared" si="8"/>
        <v>0</v>
      </c>
      <c r="AN9" s="33" t="str" cm="1">
        <f t="array" ref="AN9">IF(COUNTIF('Processed Non-zero TRI Data'!$I:$I,$H9)&gt;0,MEDIAN(IF('Processed Non-zero TRI Data'!$I:$I=H9,'Processed Non-zero TRI Data'!$W:$W)), "N/A - Facility Does Not Report to TRI")</f>
        <v>N/A - Facility Does Not Report to TRI</v>
      </c>
      <c r="AO9" s="33" t="str">
        <f t="shared" si="9"/>
        <v>N/A - Facility Does Not Report to TRI</v>
      </c>
      <c r="AP9" s="33" t="str">
        <f>IF(COUNTIF('Processed Non-zero TRI Data'!$I:$I,$H9)&gt;0,_xlfn.MAXIFS('Processed Non-zero TRI Data'!$W:$W,'Processed Non-zero TRI Data'!$I:$I,$H9), "N/A - Facility Does Not Report to TRI")</f>
        <v>N/A - Facility Does Not Report to TRI</v>
      </c>
      <c r="AQ9" s="33" t="str">
        <f t="shared" si="10"/>
        <v>N/A - Facility Does Not Report to TRI</v>
      </c>
      <c r="AR9" s="110" t="str" cm="1">
        <f t="array" ref="AR9">IF(B9="TRI Form A",AD9,IF(AP9=0,"Facility has no transfers to non-POTWs between 2019-2023.",IF(COUNTIF('Processed Non-zero TRI Data'!$I:$I,$H9)&gt;0,INDEX('Processed Non-zero TRI Data'!$A:$A,MATCH(1,($H9='Processed Non-zero TRI Data'!$I:$I)*(AP9='Processed Non-zero TRI Data'!$W:$W),0)),"N/A - Facility Does Not Report to TRI")))</f>
        <v>N/A - Facility Does Not Report to TRI</v>
      </c>
    </row>
    <row r="10" spans="1:44" ht="29" x14ac:dyDescent="0.35">
      <c r="A10" s="34">
        <v>7</v>
      </c>
      <c r="B10" s="33" t="str">
        <f>IFERROR("TRI Form "&amp;VLOOKUP(H10,'Processed Non-zero TRI Data'!$I$2:$K$23,3,FALSE),"DMR")</f>
        <v>DMR</v>
      </c>
      <c r="C10" s="33" t="str">
        <f>VLOOKUP($D10, 'COU.OES Summary'!C:D, 2, FALSE)</f>
        <v> </v>
      </c>
      <c r="D10" s="33" t="str">
        <f>IFERROR(VLOOKUP($H10, 'Processed Non-zero TRI Data'!$I:$O, 7, FALSE), VLOOKUP($I10, 'Processed Non-zero DMR Data'!$K:$R, 8, FALSE))</f>
        <v>Waste handling, treatment, and disposal - Remediation or Monitoring</v>
      </c>
      <c r="E10" s="34" t="s">
        <v>109</v>
      </c>
      <c r="F10" s="34" t="s">
        <v>110</v>
      </c>
      <c r="G10" s="34" t="s">
        <v>111</v>
      </c>
      <c r="H10" s="34"/>
      <c r="I10" s="105">
        <v>110018199377</v>
      </c>
      <c r="J10" s="33" t="str">
        <f>IFERROR(VLOOKUP($I10, 'Processed Non-zero DMR Data'!$K:$U, 11, FALSE),"")</f>
        <v>IL0005126</v>
      </c>
      <c r="K10" s="33" t="str">
        <f>IFERROR(VLOOKUP($I10, 'Processed Non-zero DMR Data'!$K:$V, 12, FALSE),"Not Reported")</f>
        <v>Maple Lake-Chicago Sanitary and Ship Canal</v>
      </c>
      <c r="L10" s="106">
        <f>IFERROR(VLOOKUP($I10, 'Processed Non-zero DMR Data'!$K:$W, 13, FALSE),"No Reach Code Reported")</f>
        <v>71200040705</v>
      </c>
      <c r="M10" s="107" t="str">
        <f>IFERROR(IFERROR(VLOOKUP(H10, 'Off-site Locations'!$K$3:$O$5, 5, FALSE), VLOOKUP(H10, 'Off-site Locations'!$B$3:$E$4, 4, FALSE)), "No Offsite Transfers")</f>
        <v>No Offsite Transfers</v>
      </c>
      <c r="N10" s="33">
        <f>VLOOKUP($D10, 'COU.OES Summary'!C:E, 3, FALSE)</f>
        <v>365</v>
      </c>
      <c r="O10" s="108">
        <f t="shared" si="0"/>
        <v>0</v>
      </c>
      <c r="P10" s="108">
        <f t="shared" si="1"/>
        <v>85.501478922499999</v>
      </c>
      <c r="Q10" s="109" cm="1">
        <f t="array" ref="Q10">IFERROR(_xlfn.XLOOKUP(1,  (MAX(IF(I10 = 'Processed Non-zero DMR Data'!$K:$K,'Processed Non-zero DMR Data'!$A:$A)) = 'Processed Non-zero DMR Data'!$A:$A)*('Processed Non-zero DMR Data'!$K:$K = I10),'Processed Non-zero DMR Data'!$T:$T), "N/A- Facility Does Not Report DMRs")</f>
        <v>0.23110831499999998</v>
      </c>
      <c r="R10" s="33">
        <f t="shared" si="11"/>
        <v>6.3317346575342466E-4</v>
      </c>
      <c r="S10" s="33" cm="1">
        <f t="array" ref="S10">IF(COUNTIF('Processed Non-zero DMR Data'!$K:$K,$I10)&gt;0,MEDIAN(IF('Processed Non-zero DMR Data'!$K:$K=I10,'Processed Non-zero DMR Data'!$T:$T)),"N/A - Facility Does Not Report DMRs")</f>
        <v>0.43551724000000003</v>
      </c>
      <c r="T10" s="33">
        <f t="shared" si="12"/>
        <v>1.1931979178082192E-3</v>
      </c>
      <c r="U10" s="33">
        <f>IF(COUNTIF('Processed Non-zero DMR Data'!$K:$K,$I10)&gt;0,_xlfn.MAXIFS('Processed Non-zero DMR Data'!$T:$T,'Processed Non-zero DMR Data'!$K:$K,$I10), "N/A - Facility Does Not Report DMRs")</f>
        <v>85.501478922499999</v>
      </c>
      <c r="V10" s="33">
        <f t="shared" si="13"/>
        <v>0.2342506271849315</v>
      </c>
      <c r="W10" s="110" cm="1">
        <f t="array" ref="W10">IF(COUNTIF('Processed Non-zero DMR Data'!$K:$K,$I10)&gt;0,INDEX('Processed Non-zero DMR Data'!$A:$A,MATCH(1,($I10='Processed Non-zero DMR Data'!$K:$K)*($U10='Processed Non-zero DMR Data'!$T:$T),0)), "N/A - Facility Does Not Report DMRs")</f>
        <v>2021</v>
      </c>
      <c r="X10" s="109" cm="1">
        <f t="array" ref="X10">IFERROR(_xlfn.XLOOKUP(1,  (MAX(IF(H10 = 'Processed Non-zero TRI Data'!$I:$I,'Processed Non-zero TRI Data'!$A:$A)) = 'Processed Non-zero TRI Data'!$A:$A)*('Processed Non-zero TRI Data'!$I:$I = H10), 'Processed Non-zero TRI Data'!$S:$S), "N/A- Facility Does Not Report to TRI")</f>
        <v>0</v>
      </c>
      <c r="Y10" s="33">
        <f t="shared" si="2"/>
        <v>0</v>
      </c>
      <c r="Z10" s="33" t="str" cm="1">
        <f t="array" ref="Z10">IF(COUNTIF('Processed Non-zero TRI Data'!$I:$I,$H10)&gt;0,MEDIAN(IF('Processed Non-zero TRI Data'!$I:$I=H10,'Processed Non-zero TRI Data'!$S:$S)), "N/A - Facility Does Not Report to TRI")</f>
        <v>N/A - Facility Does Not Report to TRI</v>
      </c>
      <c r="AA10" s="33" t="str">
        <f t="shared" si="3"/>
        <v>N/A - Facility Does Not Report to TRI</v>
      </c>
      <c r="AB10" s="33" t="str">
        <f>IF(COUNTIF('Processed Non-zero TRI Data'!$I:$I,$H10)&gt;0,_xlfn.MAXIFS('Processed Non-zero TRI Data'!$S:$S,'Processed Non-zero TRI Data'!$I:$I,$H10), "N/A - Facility Does Not Report to TRI")</f>
        <v>N/A - Facility Does Not Report to TRI</v>
      </c>
      <c r="AC10" s="33" t="str">
        <f t="shared" si="4"/>
        <v>N/A - Facility Does Not Report to TRI</v>
      </c>
      <c r="AD10" s="110" t="str" cm="1">
        <f t="array" ref="AD10">IFERROR(IF(B10 = "TRI Form R", IF(AB10 = 0, "Facility has no on-site water discharges between 2019-2023.",  IF(COUNTIF('Processed Non-zero TRI Data'!$I:$I,$H10)&gt;0,INDEX('Processed Non-zero TRI Data'!$A:$A,MATCH(1,($H10='Processed Non-zero TRI Data'!$I:$I)*(AB10='Processed Non-zero TRI Data'!$S:$S),0)))), VLOOKUP(H10, 'Form A Recent Reporting'!$L:$M, 2, FALSE)), ("N/A - Facility Does Not Report to TRI"))</f>
        <v>N/A - Facility Does Not Report to TRI</v>
      </c>
      <c r="AE10" s="109" cm="1">
        <f t="array" ref="AE10">IFERROR(_xlfn.XLOOKUP(1,  (MAX(IF(H10 = 'Processed Non-zero TRI Data'!$I:$I,'Processed Non-zero TRI Data'!$A:$A)) = 'Processed Non-zero TRI Data'!$A:$A)*('Processed Non-zero TRI Data'!$I:$I = H10), 'Processed Non-zero TRI Data'!$U:$U), "N/A- Facility Does Not Report to TRI")</f>
        <v>0</v>
      </c>
      <c r="AF10" s="33">
        <f t="shared" si="5"/>
        <v>0</v>
      </c>
      <c r="AG10" s="33" t="str" cm="1">
        <f t="array" ref="AG10">IF(COUNTIF('Processed Non-zero TRI Data'!$I:$I,$H10)&gt;0,MEDIAN(IF('Processed Non-zero TRI Data'!$I:$I=H10,'Processed Non-zero TRI Data'!$U:$U)), "N/A - Facility Does Not Report to TRI")</f>
        <v>N/A - Facility Does Not Report to TRI</v>
      </c>
      <c r="AH10" s="33" t="str">
        <f t="shared" si="6"/>
        <v>N/A - Facility Does Not Report to TRI</v>
      </c>
      <c r="AI10" s="33" t="str">
        <f>IF(COUNTIF('Processed Non-zero TRI Data'!$I:$I,$H10)&gt;0,_xlfn.MAXIFS('Processed Non-zero TRI Data'!$U:$U,'Processed Non-zero TRI Data'!$I:$I,$H10), "N/A - Facility Does Not Report to TRI")</f>
        <v>N/A - Facility Does Not Report to TRI</v>
      </c>
      <c r="AJ10" s="33" t="str">
        <f t="shared" si="7"/>
        <v>N/A - Facility Does Not Report to TRI</v>
      </c>
      <c r="AK10" s="110" t="str" cm="1">
        <f t="array" ref="AK10">IF(B10="TRI Form A",AD10,IF(AI10=0,"Facility has no transfers to POTWs between 2019-2023.",IF(COUNTIF('Processed Non-zero TRI Data'!$I:$I,$H10)&gt;0,INDEX('Processed Non-zero TRI Data'!$A:$A,MATCH(1,($H10='Processed Non-zero TRI Data'!$I:$I)*(AI10='Processed Non-zero TRI Data'!$U:$U),0)),"N/A - Facility Does Not Report to TRI")))</f>
        <v>N/A - Facility Does Not Report to TRI</v>
      </c>
      <c r="AL10" s="109" cm="1">
        <f t="array" ref="AL10">IFERROR(_xlfn.XLOOKUP(1,  (MAX(IF(H10 = 'Processed Non-zero TRI Data'!$I$2:$I$23,'Processed Non-zero TRI Data'!$A$2:$A$23)) = 'Processed Non-zero TRI Data'!$A$2:$A$23)*('Processed Non-zero TRI Data'!$I$2:$I$23 = H10), 'Processed Non-zero TRI Data'!$W$2:$W$23), "N/A- Facility Does Not Report to TRI")</f>
        <v>0</v>
      </c>
      <c r="AM10" s="33">
        <f t="shared" si="8"/>
        <v>0</v>
      </c>
      <c r="AN10" s="33" t="str" cm="1">
        <f t="array" ref="AN10">IF(COUNTIF('Processed Non-zero TRI Data'!$I:$I,$H10)&gt;0,MEDIAN(IF('Processed Non-zero TRI Data'!$I:$I=H10,'Processed Non-zero TRI Data'!$W:$W)), "N/A - Facility Does Not Report to TRI")</f>
        <v>N/A - Facility Does Not Report to TRI</v>
      </c>
      <c r="AO10" s="33" t="str">
        <f t="shared" si="9"/>
        <v>N/A - Facility Does Not Report to TRI</v>
      </c>
      <c r="AP10" s="33" t="str">
        <f>IF(COUNTIF('Processed Non-zero TRI Data'!$I:$I,$H10)&gt;0,_xlfn.MAXIFS('Processed Non-zero TRI Data'!$W:$W,'Processed Non-zero TRI Data'!$I:$I,$H10), "N/A - Facility Does Not Report to TRI")</f>
        <v>N/A - Facility Does Not Report to TRI</v>
      </c>
      <c r="AQ10" s="33" t="str">
        <f t="shared" si="10"/>
        <v>N/A - Facility Does Not Report to TRI</v>
      </c>
      <c r="AR10" s="110" t="str" cm="1">
        <f t="array" ref="AR10">IF(B10="TRI Form A",AD10,IF(AP10=0,"Facility has no transfers to non-POTWs between 2019-2023.",IF(COUNTIF('Processed Non-zero TRI Data'!$I:$I,$H10)&gt;0,INDEX('Processed Non-zero TRI Data'!$A:$A,MATCH(1,($H10='Processed Non-zero TRI Data'!$I:$I)*(AP10='Processed Non-zero TRI Data'!$W:$W),0)),"N/A - Facility Does Not Report to TRI")))</f>
        <v>N/A - Facility Does Not Report to TRI</v>
      </c>
    </row>
    <row r="11" spans="1:44" ht="29" x14ac:dyDescent="0.35">
      <c r="A11" s="34">
        <v>8</v>
      </c>
      <c r="B11" s="33" t="str">
        <f>IFERROR("TRI Form "&amp;VLOOKUP(H11,'Processed Non-zero TRI Data'!$I$2:$K$23,3,FALSE),"DMR")</f>
        <v>DMR</v>
      </c>
      <c r="C11" s="33" t="str">
        <f>VLOOKUP($D11, 'COU.OES Summary'!C:D, 2, FALSE)</f>
        <v> </v>
      </c>
      <c r="D11" s="33" t="str">
        <f>IFERROR(VLOOKUP($H11, 'Processed Non-zero TRI Data'!$I:$O, 7, FALSE), VLOOKUP($I11, 'Processed Non-zero DMR Data'!$K:$R, 8, FALSE))</f>
        <v>Waste handling, treatment, and disposal - Remediation or Monitoring</v>
      </c>
      <c r="E11" s="34" t="s">
        <v>112</v>
      </c>
      <c r="F11" s="34" t="s">
        <v>113</v>
      </c>
      <c r="G11" s="34" t="s">
        <v>111</v>
      </c>
      <c r="H11" s="34"/>
      <c r="I11" s="105">
        <v>110041049950</v>
      </c>
      <c r="J11" s="33" t="str">
        <f>IFERROR(VLOOKUP($I11, 'Processed Non-zero DMR Data'!$K:$U, 11, FALSE),"")</f>
        <v>IL0059145</v>
      </c>
      <c r="K11" s="33" t="str">
        <f>IFERROR(VLOOKUP($I11, 'Processed Non-zero DMR Data'!$K:$V, 12, FALSE),"Not Reported")</f>
        <v>Nippersink Creek</v>
      </c>
      <c r="L11" s="106">
        <f>IFERROR(VLOOKUP($I11, 'Processed Non-zero DMR Data'!$K:$W, 13, FALSE),"No Reach Code Reported")</f>
        <v>71200060907</v>
      </c>
      <c r="M11" s="107" t="str">
        <f>IFERROR(IFERROR(VLOOKUP(H11, 'Off-site Locations'!$K$3:$O$5, 5, FALSE), VLOOKUP(H11, 'Off-site Locations'!$B$3:$E$4, 4, FALSE)), "No Offsite Transfers")</f>
        <v>No Offsite Transfers</v>
      </c>
      <c r="N11" s="33">
        <f>VLOOKUP($D11, 'COU.OES Summary'!C:E, 3, FALSE)</f>
        <v>365</v>
      </c>
      <c r="O11" s="108">
        <f t="shared" si="0"/>
        <v>0</v>
      </c>
      <c r="P11" s="108">
        <f t="shared" si="1"/>
        <v>84.481200000000001</v>
      </c>
      <c r="Q11" s="109" cm="1">
        <f t="array" ref="Q11">IFERROR(_xlfn.XLOOKUP(1,  (MAX(IF(I11 = 'Processed Non-zero DMR Data'!$K:$K,'Processed Non-zero DMR Data'!$A:$A)) = 'Processed Non-zero DMR Data'!$A:$A)*('Processed Non-zero DMR Data'!$K:$K = I11),'Processed Non-zero DMR Data'!$T:$T), "N/A- Facility Does Not Report DMRs")</f>
        <v>1.3626</v>
      </c>
      <c r="R11" s="33">
        <f t="shared" si="11"/>
        <v>3.7331506849315071E-3</v>
      </c>
      <c r="S11" s="33" cm="1">
        <f t="array" ref="S11">IF(COUNTIF('Processed Non-zero DMR Data'!$K:$K,$I11)&gt;0,MEDIAN(IF('Processed Non-zero DMR Data'!$K:$K=I11,'Processed Non-zero DMR Data'!$T:$T)),"N/A - Facility Does Not Report DMRs")</f>
        <v>27.956009999999999</v>
      </c>
      <c r="T11" s="33">
        <f t="shared" si="12"/>
        <v>7.6591808219178076E-2</v>
      </c>
      <c r="U11" s="33">
        <f>IF(COUNTIF('Processed Non-zero DMR Data'!$K:$K,$I11)&gt;0,_xlfn.MAXIFS('Processed Non-zero DMR Data'!$T:$T,'Processed Non-zero DMR Data'!$K:$K,$I11), "N/A - Facility Does Not Report DMRs")</f>
        <v>84.481200000000001</v>
      </c>
      <c r="V11" s="33">
        <f t="shared" si="13"/>
        <v>0.23145534246575342</v>
      </c>
      <c r="W11" s="110" cm="1">
        <f t="array" ref="W11">IF(COUNTIF('Processed Non-zero DMR Data'!$K:$K,$I11)&gt;0,INDEX('Processed Non-zero DMR Data'!$A:$A,MATCH(1,($I11='Processed Non-zero DMR Data'!$K:$K)*($U11='Processed Non-zero DMR Data'!$T:$T),0)), "N/A - Facility Does Not Report DMRs")</f>
        <v>2019</v>
      </c>
      <c r="X11" s="109" cm="1">
        <f t="array" ref="X11">IFERROR(_xlfn.XLOOKUP(1,  (MAX(IF(H11 = 'Processed Non-zero TRI Data'!$I:$I,'Processed Non-zero TRI Data'!$A:$A)) = 'Processed Non-zero TRI Data'!$A:$A)*('Processed Non-zero TRI Data'!$I:$I = H11), 'Processed Non-zero TRI Data'!$S:$S), "N/A- Facility Does Not Report to TRI")</f>
        <v>0</v>
      </c>
      <c r="Y11" s="33">
        <f t="shared" si="2"/>
        <v>0</v>
      </c>
      <c r="Z11" s="33" t="str" cm="1">
        <f t="array" ref="Z11">IF(COUNTIF('Processed Non-zero TRI Data'!$I:$I,$H11)&gt;0,MEDIAN(IF('Processed Non-zero TRI Data'!$I:$I=H11,'Processed Non-zero TRI Data'!$S:$S)), "N/A - Facility Does Not Report to TRI")</f>
        <v>N/A - Facility Does Not Report to TRI</v>
      </c>
      <c r="AA11" s="33" t="str">
        <f t="shared" si="3"/>
        <v>N/A - Facility Does Not Report to TRI</v>
      </c>
      <c r="AB11" s="33" t="str">
        <f>IF(COUNTIF('Processed Non-zero TRI Data'!$I:$I,$H11)&gt;0,_xlfn.MAXIFS('Processed Non-zero TRI Data'!$S:$S,'Processed Non-zero TRI Data'!$I:$I,$H11), "N/A - Facility Does Not Report to TRI")</f>
        <v>N/A - Facility Does Not Report to TRI</v>
      </c>
      <c r="AC11" s="33" t="str">
        <f t="shared" si="4"/>
        <v>N/A - Facility Does Not Report to TRI</v>
      </c>
      <c r="AD11" s="110" t="str" cm="1">
        <f t="array" ref="AD11">IFERROR(IF(B11 = "TRI Form R", IF(AB11 = 0, "Facility has no on-site water discharges between 2019-2023.",  IF(COUNTIF('Processed Non-zero TRI Data'!$I:$I,$H11)&gt;0,INDEX('Processed Non-zero TRI Data'!$A:$A,MATCH(1,($H11='Processed Non-zero TRI Data'!$I:$I)*(AB11='Processed Non-zero TRI Data'!$S:$S),0)))), VLOOKUP(H11, 'Form A Recent Reporting'!$L:$M, 2, FALSE)), ("N/A - Facility Does Not Report to TRI"))</f>
        <v>N/A - Facility Does Not Report to TRI</v>
      </c>
      <c r="AE11" s="109" cm="1">
        <f t="array" ref="AE11">IFERROR(_xlfn.XLOOKUP(1,  (MAX(IF(H11 = 'Processed Non-zero TRI Data'!$I:$I,'Processed Non-zero TRI Data'!$A:$A)) = 'Processed Non-zero TRI Data'!$A:$A)*('Processed Non-zero TRI Data'!$I:$I = H11), 'Processed Non-zero TRI Data'!$U:$U), "N/A- Facility Does Not Report to TRI")</f>
        <v>0</v>
      </c>
      <c r="AF11" s="33">
        <f t="shared" si="5"/>
        <v>0</v>
      </c>
      <c r="AG11" s="33" t="str" cm="1">
        <f t="array" ref="AG11">IF(COUNTIF('Processed Non-zero TRI Data'!$I:$I,$H11)&gt;0,MEDIAN(IF('Processed Non-zero TRI Data'!$I:$I=H11,'Processed Non-zero TRI Data'!$U:$U)), "N/A - Facility Does Not Report to TRI")</f>
        <v>N/A - Facility Does Not Report to TRI</v>
      </c>
      <c r="AH11" s="33" t="str">
        <f t="shared" si="6"/>
        <v>N/A - Facility Does Not Report to TRI</v>
      </c>
      <c r="AI11" s="33" t="str">
        <f>IF(COUNTIF('Processed Non-zero TRI Data'!$I:$I,$H11)&gt;0,_xlfn.MAXIFS('Processed Non-zero TRI Data'!$U:$U,'Processed Non-zero TRI Data'!$I:$I,$H11), "N/A - Facility Does Not Report to TRI")</f>
        <v>N/A - Facility Does Not Report to TRI</v>
      </c>
      <c r="AJ11" s="33" t="str">
        <f t="shared" si="7"/>
        <v>N/A - Facility Does Not Report to TRI</v>
      </c>
      <c r="AK11" s="110" t="str" cm="1">
        <f t="array" ref="AK11">IF(B11="TRI Form A",AD11,IF(AI11=0,"Facility has no transfers to POTWs between 2019-2023.",IF(COUNTIF('Processed Non-zero TRI Data'!$I:$I,$H11)&gt;0,INDEX('Processed Non-zero TRI Data'!$A:$A,MATCH(1,($H11='Processed Non-zero TRI Data'!$I:$I)*(AI11='Processed Non-zero TRI Data'!$U:$U),0)),"N/A - Facility Does Not Report to TRI")))</f>
        <v>N/A - Facility Does Not Report to TRI</v>
      </c>
      <c r="AL11" s="109" cm="1">
        <f t="array" ref="AL11">IFERROR(_xlfn.XLOOKUP(1,  (MAX(IF(H11 = 'Processed Non-zero TRI Data'!$I$2:$I$23,'Processed Non-zero TRI Data'!$A$2:$A$23)) = 'Processed Non-zero TRI Data'!$A$2:$A$23)*('Processed Non-zero TRI Data'!$I$2:$I$23 = H11), 'Processed Non-zero TRI Data'!$W$2:$W$23), "N/A- Facility Does Not Report to TRI")</f>
        <v>0</v>
      </c>
      <c r="AM11" s="33">
        <f t="shared" si="8"/>
        <v>0</v>
      </c>
      <c r="AN11" s="33" t="str" cm="1">
        <f t="array" ref="AN11">IF(COUNTIF('Processed Non-zero TRI Data'!$I:$I,$H11)&gt;0,MEDIAN(IF('Processed Non-zero TRI Data'!$I:$I=H11,'Processed Non-zero TRI Data'!$W:$W)), "N/A - Facility Does Not Report to TRI")</f>
        <v>N/A - Facility Does Not Report to TRI</v>
      </c>
      <c r="AO11" s="33" t="str">
        <f t="shared" si="9"/>
        <v>N/A - Facility Does Not Report to TRI</v>
      </c>
      <c r="AP11" s="33" t="str">
        <f>IF(COUNTIF('Processed Non-zero TRI Data'!$I:$I,$H11)&gt;0,_xlfn.MAXIFS('Processed Non-zero TRI Data'!$W:$W,'Processed Non-zero TRI Data'!$I:$I,$H11), "N/A - Facility Does Not Report to TRI")</f>
        <v>N/A - Facility Does Not Report to TRI</v>
      </c>
      <c r="AQ11" s="33" t="str">
        <f t="shared" si="10"/>
        <v>N/A - Facility Does Not Report to TRI</v>
      </c>
      <c r="AR11" s="110" t="str" cm="1">
        <f t="array" ref="AR11">IF(B11="TRI Form A",AD11,IF(AP11=0,"Facility has no transfers to non-POTWs between 2019-2023.",IF(COUNTIF('Processed Non-zero TRI Data'!$I:$I,$H11)&gt;0,INDEX('Processed Non-zero TRI Data'!$A:$A,MATCH(1,($H11='Processed Non-zero TRI Data'!$I:$I)*(AP11='Processed Non-zero TRI Data'!$W:$W),0)),"N/A - Facility Does Not Report to TRI")))</f>
        <v>N/A - Facility Does Not Report to TRI</v>
      </c>
    </row>
    <row r="12" spans="1:44" ht="29" x14ac:dyDescent="0.35">
      <c r="A12" s="34">
        <v>9</v>
      </c>
      <c r="B12" s="33" t="str">
        <f>IFERROR("TRI Form "&amp;VLOOKUP(H12,'Processed Non-zero TRI Data'!$I$2:$K$23,3,FALSE),"DMR")</f>
        <v>DMR</v>
      </c>
      <c r="C12" s="33" t="str">
        <f>VLOOKUP($D12, 'COU.OES Summary'!C:D, 2, FALSE)</f>
        <v> </v>
      </c>
      <c r="D12" s="33" t="str">
        <f>IFERROR(VLOOKUP($H12, 'Processed Non-zero TRI Data'!$I:$O, 7, FALSE), VLOOKUP($I12, 'Processed Non-zero DMR Data'!$K:$R, 8, FALSE))</f>
        <v>Waste handling, treatment, and disposal - POTW</v>
      </c>
      <c r="E12" s="34" t="s">
        <v>114</v>
      </c>
      <c r="F12" s="34" t="s">
        <v>115</v>
      </c>
      <c r="G12" s="34" t="s">
        <v>108</v>
      </c>
      <c r="H12" s="34"/>
      <c r="I12" s="105">
        <v>110039998214</v>
      </c>
      <c r="J12" s="33" t="str">
        <f>IFERROR(VLOOKUP($I12, 'Processed Non-zero DMR Data'!$K:$U, 11, FALSE),"")</f>
        <v>KY0020095</v>
      </c>
      <c r="K12" s="33" t="str">
        <f>IFERROR(VLOOKUP($I12, 'Processed Non-zero DMR Data'!$K:$V, 12, FALSE),"Not Reported")</f>
        <v>Jackson Creek-Ohio River</v>
      </c>
      <c r="L12" s="106">
        <f>IFERROR(VLOOKUP($I12, 'Processed Non-zero DMR Data'!$K:$W, 13, FALSE),"No Reach Code Reported")</f>
        <v>51402011202</v>
      </c>
      <c r="M12" s="107" t="str">
        <f>IFERROR(IFERROR(VLOOKUP(H12, 'Off-site Locations'!$K$3:$O$5, 5, FALSE), VLOOKUP(H12, 'Off-site Locations'!$B$3:$E$4, 4, FALSE)), "No Offsite Transfers")</f>
        <v>No Offsite Transfers</v>
      </c>
      <c r="N12" s="33">
        <f>VLOOKUP($D12, 'COU.OES Summary'!C:E, 3, FALSE)</f>
        <v>365</v>
      </c>
      <c r="O12" s="108">
        <f t="shared" si="0"/>
        <v>0</v>
      </c>
      <c r="P12" s="108">
        <f t="shared" si="1"/>
        <v>49.955944000000002</v>
      </c>
      <c r="Q12" s="109" cm="1">
        <f t="array" ref="Q12">IFERROR(_xlfn.XLOOKUP(1,  (MAX(IF(I12 = 'Processed Non-zero DMR Data'!$K:$K,'Processed Non-zero DMR Data'!$A:$A)) = 'Processed Non-zero DMR Data'!$A:$A)*('Processed Non-zero DMR Data'!$K:$K = I12),'Processed Non-zero DMR Data'!$T:$T), "N/A- Facility Does Not Report DMRs")</f>
        <v>9.6015987500000008</v>
      </c>
      <c r="R12" s="33">
        <f t="shared" si="11"/>
        <v>2.6305750000000003E-2</v>
      </c>
      <c r="S12" s="33" cm="1">
        <f t="array" ref="S12">IF(COUNTIF('Processed Non-zero DMR Data'!$K:$K,$I12)&gt;0,MEDIAN(IF('Processed Non-zero DMR Data'!$K:$K=I12,'Processed Non-zero DMR Data'!$T:$T)),"N/A - Facility Does Not Report DMRs")</f>
        <v>18.809462875000001</v>
      </c>
      <c r="T12" s="33">
        <f t="shared" si="12"/>
        <v>5.1532775000000003E-2</v>
      </c>
      <c r="U12" s="33">
        <f>IF(COUNTIF('Processed Non-zero DMR Data'!$K:$K,$I12)&gt;0,_xlfn.MAXIFS('Processed Non-zero DMR Data'!$T:$T,'Processed Non-zero DMR Data'!$K:$K,$I12), "N/A - Facility Does Not Report DMRs")</f>
        <v>49.955944000000002</v>
      </c>
      <c r="V12" s="33">
        <f t="shared" si="13"/>
        <v>0.1368656</v>
      </c>
      <c r="W12" s="110" cm="1">
        <f t="array" ref="W12">IF(COUNTIF('Processed Non-zero DMR Data'!$K:$K,$I12)&gt;0,INDEX('Processed Non-zero DMR Data'!$A:$A,MATCH(1,($I12='Processed Non-zero DMR Data'!$K:$K)*($U12='Processed Non-zero DMR Data'!$T:$T),0)), "N/A - Facility Does Not Report DMRs")</f>
        <v>2020</v>
      </c>
      <c r="X12" s="109" cm="1">
        <f t="array" ref="X12">IFERROR(_xlfn.XLOOKUP(1,  (MAX(IF(H12 = 'Processed Non-zero TRI Data'!$I:$I,'Processed Non-zero TRI Data'!$A:$A)) = 'Processed Non-zero TRI Data'!$A:$A)*('Processed Non-zero TRI Data'!$I:$I = H12), 'Processed Non-zero TRI Data'!$S:$S), "N/A- Facility Does Not Report to TRI")</f>
        <v>0</v>
      </c>
      <c r="Y12" s="33">
        <f t="shared" si="2"/>
        <v>0</v>
      </c>
      <c r="Z12" s="33" t="str" cm="1">
        <f t="array" ref="Z12">IF(COUNTIF('Processed Non-zero TRI Data'!$I:$I,$H12)&gt;0,MEDIAN(IF('Processed Non-zero TRI Data'!$I:$I=H12,'Processed Non-zero TRI Data'!$S:$S)), "N/A - Facility Does Not Report to TRI")</f>
        <v>N/A - Facility Does Not Report to TRI</v>
      </c>
      <c r="AA12" s="33" t="str">
        <f t="shared" si="3"/>
        <v>N/A - Facility Does Not Report to TRI</v>
      </c>
      <c r="AB12" s="33" t="str">
        <f>IF(COUNTIF('Processed Non-zero TRI Data'!$I:$I,$H12)&gt;0,_xlfn.MAXIFS('Processed Non-zero TRI Data'!$S:$S,'Processed Non-zero TRI Data'!$I:$I,$H12), "N/A - Facility Does Not Report to TRI")</f>
        <v>N/A - Facility Does Not Report to TRI</v>
      </c>
      <c r="AC12" s="33" t="str">
        <f t="shared" si="4"/>
        <v>N/A - Facility Does Not Report to TRI</v>
      </c>
      <c r="AD12" s="110" t="str" cm="1">
        <f t="array" ref="AD12">IFERROR(IF(B12 = "TRI Form R", IF(AB12 = 0, "Facility has no on-site water discharges between 2019-2023.",  IF(COUNTIF('Processed Non-zero TRI Data'!$I:$I,$H12)&gt;0,INDEX('Processed Non-zero TRI Data'!$A:$A,MATCH(1,($H12='Processed Non-zero TRI Data'!$I:$I)*(AB12='Processed Non-zero TRI Data'!$S:$S),0)))), VLOOKUP(H12, 'Form A Recent Reporting'!$L:$M, 2, FALSE)), ("N/A - Facility Does Not Report to TRI"))</f>
        <v>N/A - Facility Does Not Report to TRI</v>
      </c>
      <c r="AE12" s="109" cm="1">
        <f t="array" ref="AE12">IFERROR(_xlfn.XLOOKUP(1,  (MAX(IF(H12 = 'Processed Non-zero TRI Data'!$I:$I,'Processed Non-zero TRI Data'!$A:$A)) = 'Processed Non-zero TRI Data'!$A:$A)*('Processed Non-zero TRI Data'!$I:$I = H12), 'Processed Non-zero TRI Data'!$U:$U), "N/A- Facility Does Not Report to TRI")</f>
        <v>0</v>
      </c>
      <c r="AF12" s="33">
        <f t="shared" si="5"/>
        <v>0</v>
      </c>
      <c r="AG12" s="33" t="str" cm="1">
        <f t="array" ref="AG12">IF(COUNTIF('Processed Non-zero TRI Data'!$I:$I,$H12)&gt;0,MEDIAN(IF('Processed Non-zero TRI Data'!$I:$I=H12,'Processed Non-zero TRI Data'!$U:$U)), "N/A - Facility Does Not Report to TRI")</f>
        <v>N/A - Facility Does Not Report to TRI</v>
      </c>
      <c r="AH12" s="33" t="str">
        <f t="shared" si="6"/>
        <v>N/A - Facility Does Not Report to TRI</v>
      </c>
      <c r="AI12" s="33" t="str">
        <f>IF(COUNTIF('Processed Non-zero TRI Data'!$I:$I,$H12)&gt;0,_xlfn.MAXIFS('Processed Non-zero TRI Data'!$U:$U,'Processed Non-zero TRI Data'!$I:$I,$H12), "N/A - Facility Does Not Report to TRI")</f>
        <v>N/A - Facility Does Not Report to TRI</v>
      </c>
      <c r="AJ12" s="33" t="str">
        <f t="shared" si="7"/>
        <v>N/A - Facility Does Not Report to TRI</v>
      </c>
      <c r="AK12" s="110" t="str" cm="1">
        <f t="array" ref="AK12">IF(B12="TRI Form A",AD12,IF(AI12=0,"Facility has no transfers to POTWs between 2019-2023.",IF(COUNTIF('Processed Non-zero TRI Data'!$I:$I,$H12)&gt;0,INDEX('Processed Non-zero TRI Data'!$A:$A,MATCH(1,($H12='Processed Non-zero TRI Data'!$I:$I)*(AI12='Processed Non-zero TRI Data'!$U:$U),0)),"N/A - Facility Does Not Report to TRI")))</f>
        <v>N/A - Facility Does Not Report to TRI</v>
      </c>
      <c r="AL12" s="109" cm="1">
        <f t="array" ref="AL12">IFERROR(_xlfn.XLOOKUP(1,  (MAX(IF(H12 = 'Processed Non-zero TRI Data'!$I$2:$I$23,'Processed Non-zero TRI Data'!$A$2:$A$23)) = 'Processed Non-zero TRI Data'!$A$2:$A$23)*('Processed Non-zero TRI Data'!$I$2:$I$23 = H12), 'Processed Non-zero TRI Data'!$W$2:$W$23), "N/A- Facility Does Not Report to TRI")</f>
        <v>0</v>
      </c>
      <c r="AM12" s="33">
        <f t="shared" si="8"/>
        <v>0</v>
      </c>
      <c r="AN12" s="33" t="str" cm="1">
        <f t="array" ref="AN12">IF(COUNTIF('Processed Non-zero TRI Data'!$I:$I,$H12)&gt;0,MEDIAN(IF('Processed Non-zero TRI Data'!$I:$I=H12,'Processed Non-zero TRI Data'!$W:$W)), "N/A - Facility Does Not Report to TRI")</f>
        <v>N/A - Facility Does Not Report to TRI</v>
      </c>
      <c r="AO12" s="33" t="str">
        <f t="shared" si="9"/>
        <v>N/A - Facility Does Not Report to TRI</v>
      </c>
      <c r="AP12" s="33" t="str">
        <f>IF(COUNTIF('Processed Non-zero TRI Data'!$I:$I,$H12)&gt;0,_xlfn.MAXIFS('Processed Non-zero TRI Data'!$W:$W,'Processed Non-zero TRI Data'!$I:$I,$H12), "N/A - Facility Does Not Report to TRI")</f>
        <v>N/A - Facility Does Not Report to TRI</v>
      </c>
      <c r="AQ12" s="33" t="str">
        <f t="shared" si="10"/>
        <v>N/A - Facility Does Not Report to TRI</v>
      </c>
      <c r="AR12" s="110" t="str" cm="1">
        <f t="array" ref="AR12">IF(B12="TRI Form A",AD12,IF(AP12=0,"Facility has no transfers to non-POTWs between 2019-2023.",IF(COUNTIF('Processed Non-zero TRI Data'!$I:$I,$H12)&gt;0,INDEX('Processed Non-zero TRI Data'!$A:$A,MATCH(1,($H12='Processed Non-zero TRI Data'!$I:$I)*(AP12='Processed Non-zero TRI Data'!$W:$W),0)),"N/A - Facility Does Not Report to TRI")))</f>
        <v>N/A - Facility Does Not Report to TRI</v>
      </c>
    </row>
    <row r="13" spans="1:44" ht="29" x14ac:dyDescent="0.35">
      <c r="A13" s="34">
        <v>10</v>
      </c>
      <c r="B13" s="33" t="str">
        <f>IFERROR("TRI Form "&amp;VLOOKUP(H13,'Processed Non-zero TRI Data'!$I$2:$K$23,3,FALSE),"DMR")</f>
        <v>DMR</v>
      </c>
      <c r="C13" s="33" t="str">
        <f>VLOOKUP($D13, 'COU.OES Summary'!C:D, 2, FALSE)</f>
        <v> </v>
      </c>
      <c r="D13" s="33" t="str">
        <f>IFERROR(VLOOKUP($H13, 'Processed Non-zero TRI Data'!$I:$O, 7, FALSE), VLOOKUP($I13, 'Processed Non-zero DMR Data'!$K:$R, 8, FALSE))</f>
        <v>Waste handling, treatment, and disposal - POTW</v>
      </c>
      <c r="E13" s="34" t="s">
        <v>116</v>
      </c>
      <c r="F13" s="34" t="s">
        <v>117</v>
      </c>
      <c r="G13" s="34" t="s">
        <v>108</v>
      </c>
      <c r="H13" s="34"/>
      <c r="I13" s="105">
        <v>110000571373</v>
      </c>
      <c r="J13" s="33" t="str">
        <f>IFERROR(VLOOKUP($I13, 'Processed Non-zero DMR Data'!$K:$U, 11, FALSE),"")</f>
        <v>KY0022039</v>
      </c>
      <c r="K13" s="33" t="str">
        <f>IFERROR(VLOOKUP($I13, 'Processed Non-zero DMR Data'!$K:$V, 12, FALSE),"Not Reported")</f>
        <v>Lower Valley Creek</v>
      </c>
      <c r="L13" s="106">
        <f>IFERROR(VLOOKUP($I13, 'Processed Non-zero DMR Data'!$K:$W, 13, FALSE),"No Reach Code Reported")</f>
        <v>51100011004</v>
      </c>
      <c r="M13" s="107" t="str">
        <f>IFERROR(IFERROR(VLOOKUP(H13, 'Off-site Locations'!$K$3:$O$5, 5, FALSE), VLOOKUP(H13, 'Off-site Locations'!$B$3:$E$4, 4, FALSE)), "No Offsite Transfers")</f>
        <v>No Offsite Transfers</v>
      </c>
      <c r="N13" s="33">
        <f>VLOOKUP($D13, 'COU.OES Summary'!C:E, 3, FALSE)</f>
        <v>365</v>
      </c>
      <c r="O13" s="108">
        <f t="shared" si="0"/>
        <v>0</v>
      </c>
      <c r="P13" s="108">
        <f t="shared" si="1"/>
        <v>40.754987499999999</v>
      </c>
      <c r="Q13" s="109" cm="1">
        <f t="array" ref="Q13">IFERROR(_xlfn.XLOOKUP(1,  (MAX(IF(I13 = 'Processed Non-zero DMR Data'!$K:$K,'Processed Non-zero DMR Data'!$A:$A)) = 'Processed Non-zero DMR Data'!$A:$A)*('Processed Non-zero DMR Data'!$K:$K = I13),'Processed Non-zero DMR Data'!$T:$T), "N/A- Facility Does Not Report DMRs")</f>
        <v>1.6578299999999999</v>
      </c>
      <c r="R13" s="33">
        <f t="shared" si="11"/>
        <v>4.542E-3</v>
      </c>
      <c r="S13" s="33" cm="1">
        <f t="array" ref="S13">IF(COUNTIF('Processed Non-zero DMR Data'!$K:$K,$I13)&gt;0,MEDIAN(IF('Processed Non-zero DMR Data'!$K:$K=I13,'Processed Non-zero DMR Data'!$T:$T)),"N/A - Facility Does Not Report DMRs")</f>
        <v>22.7951625</v>
      </c>
      <c r="T13" s="33">
        <f t="shared" si="12"/>
        <v>6.2452500000000001E-2</v>
      </c>
      <c r="U13" s="33">
        <f>IF(COUNTIF('Processed Non-zero DMR Data'!$K:$K,$I13)&gt;0,_xlfn.MAXIFS('Processed Non-zero DMR Data'!$T:$T,'Processed Non-zero DMR Data'!$K:$K,$I13), "N/A - Facility Does Not Report DMRs")</f>
        <v>40.754987499999999</v>
      </c>
      <c r="V13" s="33">
        <f t="shared" si="13"/>
        <v>0.11165749999999999</v>
      </c>
      <c r="W13" s="110" cm="1">
        <f t="array" ref="W13">IF(COUNTIF('Processed Non-zero DMR Data'!$K:$K,$I13)&gt;0,INDEX('Processed Non-zero DMR Data'!$A:$A,MATCH(1,($I13='Processed Non-zero DMR Data'!$K:$K)*($U13='Processed Non-zero DMR Data'!$T:$T),0)), "N/A - Facility Does Not Report DMRs")</f>
        <v>2020</v>
      </c>
      <c r="X13" s="109" cm="1">
        <f t="array" ref="X13">IFERROR(_xlfn.XLOOKUP(1,  (MAX(IF(H13 = 'Processed Non-zero TRI Data'!$I:$I,'Processed Non-zero TRI Data'!$A:$A)) = 'Processed Non-zero TRI Data'!$A:$A)*('Processed Non-zero TRI Data'!$I:$I = H13), 'Processed Non-zero TRI Data'!$S:$S), "N/A- Facility Does Not Report to TRI")</f>
        <v>0</v>
      </c>
      <c r="Y13" s="33">
        <f t="shared" si="2"/>
        <v>0</v>
      </c>
      <c r="Z13" s="33" t="str" cm="1">
        <f t="array" ref="Z13">IF(COUNTIF('Processed Non-zero TRI Data'!$I:$I,$H13)&gt;0,MEDIAN(IF('Processed Non-zero TRI Data'!$I:$I=H13,'Processed Non-zero TRI Data'!$S:$S)), "N/A - Facility Does Not Report to TRI")</f>
        <v>N/A - Facility Does Not Report to TRI</v>
      </c>
      <c r="AA13" s="33" t="str">
        <f t="shared" si="3"/>
        <v>N/A - Facility Does Not Report to TRI</v>
      </c>
      <c r="AB13" s="33" t="str">
        <f>IF(COUNTIF('Processed Non-zero TRI Data'!$I:$I,$H13)&gt;0,_xlfn.MAXIFS('Processed Non-zero TRI Data'!$S:$S,'Processed Non-zero TRI Data'!$I:$I,$H13), "N/A - Facility Does Not Report to TRI")</f>
        <v>N/A - Facility Does Not Report to TRI</v>
      </c>
      <c r="AC13" s="33" t="str">
        <f t="shared" si="4"/>
        <v>N/A - Facility Does Not Report to TRI</v>
      </c>
      <c r="AD13" s="110" t="str" cm="1">
        <f t="array" ref="AD13">IFERROR(IF(B13 = "TRI Form R", IF(AB13 = 0, "Facility has no on-site water discharges between 2019-2023.",  IF(COUNTIF('Processed Non-zero TRI Data'!$I:$I,$H13)&gt;0,INDEX('Processed Non-zero TRI Data'!$A:$A,MATCH(1,($H13='Processed Non-zero TRI Data'!$I:$I)*(AB13='Processed Non-zero TRI Data'!$S:$S),0)))), VLOOKUP(H13, 'Form A Recent Reporting'!$L:$M, 2, FALSE)), ("N/A - Facility Does Not Report to TRI"))</f>
        <v>N/A - Facility Does Not Report to TRI</v>
      </c>
      <c r="AE13" s="109" cm="1">
        <f t="array" ref="AE13">IFERROR(_xlfn.XLOOKUP(1,  (MAX(IF(H13 = 'Processed Non-zero TRI Data'!$I:$I,'Processed Non-zero TRI Data'!$A:$A)) = 'Processed Non-zero TRI Data'!$A:$A)*('Processed Non-zero TRI Data'!$I:$I = H13), 'Processed Non-zero TRI Data'!$U:$U), "N/A- Facility Does Not Report to TRI")</f>
        <v>0</v>
      </c>
      <c r="AF13" s="33">
        <f t="shared" si="5"/>
        <v>0</v>
      </c>
      <c r="AG13" s="33" t="str" cm="1">
        <f t="array" ref="AG13">IF(COUNTIF('Processed Non-zero TRI Data'!$I:$I,$H13)&gt;0,MEDIAN(IF('Processed Non-zero TRI Data'!$I:$I=H13,'Processed Non-zero TRI Data'!$U:$U)), "N/A - Facility Does Not Report to TRI")</f>
        <v>N/A - Facility Does Not Report to TRI</v>
      </c>
      <c r="AH13" s="33" t="str">
        <f t="shared" si="6"/>
        <v>N/A - Facility Does Not Report to TRI</v>
      </c>
      <c r="AI13" s="33" t="str">
        <f>IF(COUNTIF('Processed Non-zero TRI Data'!$I:$I,$H13)&gt;0,_xlfn.MAXIFS('Processed Non-zero TRI Data'!$U:$U,'Processed Non-zero TRI Data'!$I:$I,$H13), "N/A - Facility Does Not Report to TRI")</f>
        <v>N/A - Facility Does Not Report to TRI</v>
      </c>
      <c r="AJ13" s="33" t="str">
        <f t="shared" si="7"/>
        <v>N/A - Facility Does Not Report to TRI</v>
      </c>
      <c r="AK13" s="110" t="str" cm="1">
        <f t="array" ref="AK13">IF(B13="TRI Form A",AD13,IF(AI13=0,"Facility has no transfers to POTWs between 2019-2023.",IF(COUNTIF('Processed Non-zero TRI Data'!$I:$I,$H13)&gt;0,INDEX('Processed Non-zero TRI Data'!$A:$A,MATCH(1,($H13='Processed Non-zero TRI Data'!$I:$I)*(AI13='Processed Non-zero TRI Data'!$U:$U),0)),"N/A - Facility Does Not Report to TRI")))</f>
        <v>N/A - Facility Does Not Report to TRI</v>
      </c>
      <c r="AL13" s="109" cm="1">
        <f t="array" ref="AL13">IFERROR(_xlfn.XLOOKUP(1,  (MAX(IF(H13 = 'Processed Non-zero TRI Data'!$I$2:$I$23,'Processed Non-zero TRI Data'!$A$2:$A$23)) = 'Processed Non-zero TRI Data'!$A$2:$A$23)*('Processed Non-zero TRI Data'!$I$2:$I$23 = H13), 'Processed Non-zero TRI Data'!$W$2:$W$23), "N/A- Facility Does Not Report to TRI")</f>
        <v>0</v>
      </c>
      <c r="AM13" s="33">
        <f t="shared" si="8"/>
        <v>0</v>
      </c>
      <c r="AN13" s="33" t="str" cm="1">
        <f t="array" ref="AN13">IF(COUNTIF('Processed Non-zero TRI Data'!$I:$I,$H13)&gt;0,MEDIAN(IF('Processed Non-zero TRI Data'!$I:$I=H13,'Processed Non-zero TRI Data'!$W:$W)), "N/A - Facility Does Not Report to TRI")</f>
        <v>N/A - Facility Does Not Report to TRI</v>
      </c>
      <c r="AO13" s="33" t="str">
        <f t="shared" si="9"/>
        <v>N/A - Facility Does Not Report to TRI</v>
      </c>
      <c r="AP13" s="33" t="str">
        <f>IF(COUNTIF('Processed Non-zero TRI Data'!$I:$I,$H13)&gt;0,_xlfn.MAXIFS('Processed Non-zero TRI Data'!$W:$W,'Processed Non-zero TRI Data'!$I:$I,$H13), "N/A - Facility Does Not Report to TRI")</f>
        <v>N/A - Facility Does Not Report to TRI</v>
      </c>
      <c r="AQ13" s="33" t="str">
        <f t="shared" si="10"/>
        <v>N/A - Facility Does Not Report to TRI</v>
      </c>
      <c r="AR13" s="110" t="str" cm="1">
        <f t="array" ref="AR13">IF(B13="TRI Form A",AD13,IF(AP13=0,"Facility has no transfers to non-POTWs between 2019-2023.",IF(COUNTIF('Processed Non-zero TRI Data'!$I:$I,$H13)&gt;0,INDEX('Processed Non-zero TRI Data'!$A:$A,MATCH(1,($H13='Processed Non-zero TRI Data'!$I:$I)*(AP13='Processed Non-zero TRI Data'!$W:$W),0)),"N/A - Facility Does Not Report to TRI")))</f>
        <v>N/A - Facility Does Not Report to TRI</v>
      </c>
    </row>
    <row r="14" spans="1:44" ht="29" x14ac:dyDescent="0.35">
      <c r="A14" s="34">
        <v>11</v>
      </c>
      <c r="B14" s="33" t="str">
        <f>IFERROR("TRI Form "&amp;VLOOKUP(H14,'Processed Non-zero TRI Data'!$I$2:$K$23,3,FALSE),"DMR")</f>
        <v>DMR</v>
      </c>
      <c r="C14" s="33" t="str">
        <f>VLOOKUP($D14, 'COU.OES Summary'!C:D, 2, FALSE)</f>
        <v> </v>
      </c>
      <c r="D14" s="33" t="str">
        <f>IFERROR(VLOOKUP($H14, 'Processed Non-zero TRI Data'!$I:$O, 7, FALSE), VLOOKUP($I14, 'Processed Non-zero DMR Data'!$K:$R, 8, FALSE))</f>
        <v>Waste handling, treatment, and disposal - POTW</v>
      </c>
      <c r="E14" s="34" t="s">
        <v>118</v>
      </c>
      <c r="F14" s="34" t="s">
        <v>119</v>
      </c>
      <c r="G14" s="34" t="s">
        <v>108</v>
      </c>
      <c r="H14" s="34"/>
      <c r="I14" s="105">
        <v>110031112659</v>
      </c>
      <c r="J14" s="33" t="str">
        <f>IFERROR(VLOOKUP($I14, 'Processed Non-zero DMR Data'!$K:$U, 11, FALSE),"")</f>
        <v>KY0107107</v>
      </c>
      <c r="K14" s="33" t="str">
        <f>IFERROR(VLOOKUP($I14, 'Processed Non-zero DMR Data'!$K:$V, 12, FALSE),"Not Reported")</f>
        <v>Upper Otter Creek</v>
      </c>
      <c r="L14" s="106" t="str">
        <f>IFERROR(VLOOKUP($I14, 'Processed Non-zero DMR Data'!$K:$W, 13, FALSE),"No Reach Code Reported")</f>
        <v>051002050105</v>
      </c>
      <c r="M14" s="107" t="str">
        <f>IFERROR(IFERROR(VLOOKUP(H14, 'Off-site Locations'!$K$3:$O$5, 5, FALSE), VLOOKUP(H14, 'Off-site Locations'!$B$3:$E$4, 4, FALSE)), "No Offsite Transfers")</f>
        <v>No Offsite Transfers</v>
      </c>
      <c r="N14" s="33">
        <f>VLOOKUP($D14, 'COU.OES Summary'!C:E, 3, FALSE)</f>
        <v>365</v>
      </c>
      <c r="O14" s="108">
        <f t="shared" si="0"/>
        <v>0</v>
      </c>
      <c r="P14" s="108">
        <f t="shared" si="1"/>
        <v>34.448325875000002</v>
      </c>
      <c r="Q14" s="109" cm="1">
        <f t="array" ref="Q14">IFERROR(_xlfn.XLOOKUP(1,  (MAX(IF(I14 = 'Processed Non-zero DMR Data'!$K:$K,'Processed Non-zero DMR Data'!$A:$A)) = 'Processed Non-zero DMR Data'!$A:$A)*('Processed Non-zero DMR Data'!$K:$K = I14),'Processed Non-zero DMR Data'!$T:$T), "N/A- Facility Does Not Report DMRs")</f>
        <v>27.865359250000001</v>
      </c>
      <c r="R14" s="33">
        <f t="shared" si="11"/>
        <v>7.6343450000000007E-2</v>
      </c>
      <c r="S14" s="33" cm="1">
        <f t="array" ref="S14">IF(COUNTIF('Processed Non-zero DMR Data'!$K:$K,$I14)&gt;0,MEDIAN(IF('Processed Non-zero DMR Data'!$K:$K=I14,'Processed Non-zero DMR Data'!$T:$T)),"N/A - Facility Does Not Report DMRs")</f>
        <v>31.156842562500003</v>
      </c>
      <c r="T14" s="33">
        <f t="shared" si="12"/>
        <v>8.5361212500000005E-2</v>
      </c>
      <c r="U14" s="33">
        <f>IF(COUNTIF('Processed Non-zero DMR Data'!$K:$K,$I14)&gt;0,_xlfn.MAXIFS('Processed Non-zero DMR Data'!$T:$T,'Processed Non-zero DMR Data'!$K:$K,$I14), "N/A - Facility Does Not Report DMRs")</f>
        <v>34.448325875000002</v>
      </c>
      <c r="V14" s="33">
        <f t="shared" si="13"/>
        <v>9.4378975000000004E-2</v>
      </c>
      <c r="W14" s="110" cm="1">
        <f t="array" ref="W14">IF(COUNTIF('Processed Non-zero DMR Data'!$K:$K,$I14)&gt;0,INDEX('Processed Non-zero DMR Data'!$A:$A,MATCH(1,($I14='Processed Non-zero DMR Data'!$K:$K)*($U14='Processed Non-zero DMR Data'!$T:$T),0)), "N/A - Facility Does Not Report DMRs")</f>
        <v>2022</v>
      </c>
      <c r="X14" s="109" cm="1">
        <f t="array" ref="X14">IFERROR(_xlfn.XLOOKUP(1,  (MAX(IF(H14 = 'Processed Non-zero TRI Data'!$I:$I,'Processed Non-zero TRI Data'!$A:$A)) = 'Processed Non-zero TRI Data'!$A:$A)*('Processed Non-zero TRI Data'!$I:$I = H14), 'Processed Non-zero TRI Data'!$S:$S), "N/A- Facility Does Not Report to TRI")</f>
        <v>0</v>
      </c>
      <c r="Y14" s="33">
        <f t="shared" si="2"/>
        <v>0</v>
      </c>
      <c r="Z14" s="33" t="str" cm="1">
        <f t="array" ref="Z14">IF(COUNTIF('Processed Non-zero TRI Data'!$I:$I,$H14)&gt;0,MEDIAN(IF('Processed Non-zero TRI Data'!$I:$I=H14,'Processed Non-zero TRI Data'!$S:$S)), "N/A - Facility Does Not Report to TRI")</f>
        <v>N/A - Facility Does Not Report to TRI</v>
      </c>
      <c r="AA14" s="33" t="str">
        <f t="shared" si="3"/>
        <v>N/A - Facility Does Not Report to TRI</v>
      </c>
      <c r="AB14" s="33" t="str">
        <f>IF(COUNTIF('Processed Non-zero TRI Data'!$I:$I,$H14)&gt;0,_xlfn.MAXIFS('Processed Non-zero TRI Data'!$S:$S,'Processed Non-zero TRI Data'!$I:$I,$H14), "N/A - Facility Does Not Report to TRI")</f>
        <v>N/A - Facility Does Not Report to TRI</v>
      </c>
      <c r="AC14" s="33" t="str">
        <f t="shared" si="4"/>
        <v>N/A - Facility Does Not Report to TRI</v>
      </c>
      <c r="AD14" s="110" t="str" cm="1">
        <f t="array" ref="AD14">IFERROR(IF(B14 = "TRI Form R", IF(AB14 = 0, "Facility has no on-site water discharges between 2019-2023.",  IF(COUNTIF('Processed Non-zero TRI Data'!$I:$I,$H14)&gt;0,INDEX('Processed Non-zero TRI Data'!$A:$A,MATCH(1,($H14='Processed Non-zero TRI Data'!$I:$I)*(AB14='Processed Non-zero TRI Data'!$S:$S),0)))), VLOOKUP(H14, 'Form A Recent Reporting'!$L:$M, 2, FALSE)), ("N/A - Facility Does Not Report to TRI"))</f>
        <v>N/A - Facility Does Not Report to TRI</v>
      </c>
      <c r="AE14" s="109" cm="1">
        <f t="array" ref="AE14">IFERROR(_xlfn.XLOOKUP(1,  (MAX(IF(H14 = 'Processed Non-zero TRI Data'!$I:$I,'Processed Non-zero TRI Data'!$A:$A)) = 'Processed Non-zero TRI Data'!$A:$A)*('Processed Non-zero TRI Data'!$I:$I = H14), 'Processed Non-zero TRI Data'!$U:$U), "N/A- Facility Does Not Report to TRI")</f>
        <v>0</v>
      </c>
      <c r="AF14" s="33">
        <f t="shared" si="5"/>
        <v>0</v>
      </c>
      <c r="AG14" s="33" t="str" cm="1">
        <f t="array" ref="AG14">IF(COUNTIF('Processed Non-zero TRI Data'!$I:$I,$H14)&gt;0,MEDIAN(IF('Processed Non-zero TRI Data'!$I:$I=H14,'Processed Non-zero TRI Data'!$U:$U)), "N/A - Facility Does Not Report to TRI")</f>
        <v>N/A - Facility Does Not Report to TRI</v>
      </c>
      <c r="AH14" s="33" t="str">
        <f t="shared" si="6"/>
        <v>N/A - Facility Does Not Report to TRI</v>
      </c>
      <c r="AI14" s="33" t="str">
        <f>IF(COUNTIF('Processed Non-zero TRI Data'!$I:$I,$H14)&gt;0,_xlfn.MAXIFS('Processed Non-zero TRI Data'!$U:$U,'Processed Non-zero TRI Data'!$I:$I,$H14), "N/A - Facility Does Not Report to TRI")</f>
        <v>N/A - Facility Does Not Report to TRI</v>
      </c>
      <c r="AJ14" s="33" t="str">
        <f t="shared" si="7"/>
        <v>N/A - Facility Does Not Report to TRI</v>
      </c>
      <c r="AK14" s="110" t="str" cm="1">
        <f t="array" ref="AK14">IF(B14="TRI Form A",AD14,IF(AI14=0,"Facility has no transfers to POTWs between 2019-2023.",IF(COUNTIF('Processed Non-zero TRI Data'!$I:$I,$H14)&gt;0,INDEX('Processed Non-zero TRI Data'!$A:$A,MATCH(1,($H14='Processed Non-zero TRI Data'!$I:$I)*(AI14='Processed Non-zero TRI Data'!$U:$U),0)),"N/A - Facility Does Not Report to TRI")))</f>
        <v>N/A - Facility Does Not Report to TRI</v>
      </c>
      <c r="AL14" s="109" cm="1">
        <f t="array" ref="AL14">IFERROR(_xlfn.XLOOKUP(1,  (MAX(IF(H14 = 'Processed Non-zero TRI Data'!$I$2:$I$23,'Processed Non-zero TRI Data'!$A$2:$A$23)) = 'Processed Non-zero TRI Data'!$A$2:$A$23)*('Processed Non-zero TRI Data'!$I$2:$I$23 = H14), 'Processed Non-zero TRI Data'!$W$2:$W$23), "N/A- Facility Does Not Report to TRI")</f>
        <v>0</v>
      </c>
      <c r="AM14" s="33">
        <f t="shared" si="8"/>
        <v>0</v>
      </c>
      <c r="AN14" s="33" t="str" cm="1">
        <f t="array" ref="AN14">IF(COUNTIF('Processed Non-zero TRI Data'!$I:$I,$H14)&gt;0,MEDIAN(IF('Processed Non-zero TRI Data'!$I:$I=H14,'Processed Non-zero TRI Data'!$W:$W)), "N/A - Facility Does Not Report to TRI")</f>
        <v>N/A - Facility Does Not Report to TRI</v>
      </c>
      <c r="AO14" s="33" t="str">
        <f t="shared" si="9"/>
        <v>N/A - Facility Does Not Report to TRI</v>
      </c>
      <c r="AP14" s="33" t="str">
        <f>IF(COUNTIF('Processed Non-zero TRI Data'!$I:$I,$H14)&gt;0,_xlfn.MAXIFS('Processed Non-zero TRI Data'!$W:$W,'Processed Non-zero TRI Data'!$I:$I,$H14), "N/A - Facility Does Not Report to TRI")</f>
        <v>N/A - Facility Does Not Report to TRI</v>
      </c>
      <c r="AQ14" s="33" t="str">
        <f t="shared" si="10"/>
        <v>N/A - Facility Does Not Report to TRI</v>
      </c>
      <c r="AR14" s="110" t="str" cm="1">
        <f t="array" ref="AR14">IF(B14="TRI Form A",AD14,IF(AP14=0,"Facility has no transfers to non-POTWs between 2019-2023.",IF(COUNTIF('Processed Non-zero TRI Data'!$I:$I,$H14)&gt;0,INDEX('Processed Non-zero TRI Data'!$A:$A,MATCH(1,($H14='Processed Non-zero TRI Data'!$I:$I)*(AP14='Processed Non-zero TRI Data'!$W:$W),0)),"N/A - Facility Does Not Report to TRI")))</f>
        <v>N/A - Facility Does Not Report to TRI</v>
      </c>
    </row>
    <row r="15" spans="1:44" ht="29" x14ac:dyDescent="0.35">
      <c r="A15" s="34">
        <v>12</v>
      </c>
      <c r="B15" s="33" t="str">
        <f>IFERROR("TRI Form "&amp;VLOOKUP(H15,'Processed Non-zero TRI Data'!$I$2:$K$23,3,FALSE),"DMR")</f>
        <v>DMR</v>
      </c>
      <c r="C15" s="33" t="str">
        <f>VLOOKUP($D15, 'COU.OES Summary'!C:D, 2, FALSE)</f>
        <v> </v>
      </c>
      <c r="D15" s="33" t="str">
        <f>IFERROR(VLOOKUP($H15, 'Processed Non-zero TRI Data'!$I:$O, 7, FALSE), VLOOKUP($I15, 'Processed Non-zero DMR Data'!$K:$R, 8, FALSE))</f>
        <v>Waste handling, treatment, and disposal - POTW</v>
      </c>
      <c r="E15" s="34" t="s">
        <v>120</v>
      </c>
      <c r="F15" s="34" t="s">
        <v>115</v>
      </c>
      <c r="G15" s="34" t="s">
        <v>108</v>
      </c>
      <c r="H15" s="34"/>
      <c r="I15" s="105">
        <v>110043734983</v>
      </c>
      <c r="J15" s="33" t="str">
        <f>IFERROR(VLOOKUP($I15, 'Processed Non-zero DMR Data'!$K:$U, 11, FALSE),"")</f>
        <v>KY0073377</v>
      </c>
      <c r="K15" s="33" t="str">
        <f>IFERROR(VLOOKUP($I15, 'Processed Non-zero DMR Data'!$K:$V, 12, FALSE),"Not Reported")</f>
        <v>Yellow Creek</v>
      </c>
      <c r="L15" s="106">
        <f>IFERROR(VLOOKUP($I15, 'Processed Non-zero DMR Data'!$K:$W, 13, FALSE),"No Reach Code Reported")</f>
        <v>51402011201</v>
      </c>
      <c r="M15" s="107" t="str">
        <f>IFERROR(IFERROR(VLOOKUP(H15, 'Off-site Locations'!$K$3:$O$5, 5, FALSE), VLOOKUP(H15, 'Off-site Locations'!$B$3:$E$4, 4, FALSE)), "No Offsite Transfers")</f>
        <v>No Offsite Transfers</v>
      </c>
      <c r="N15" s="33">
        <f>VLOOKUP($D15, 'COU.OES Summary'!C:E, 3, FALSE)</f>
        <v>365</v>
      </c>
      <c r="O15" s="108">
        <f t="shared" si="0"/>
        <v>0</v>
      </c>
      <c r="P15" s="108">
        <f t="shared" si="1"/>
        <v>29.9790925</v>
      </c>
      <c r="Q15" s="109" cm="1">
        <f t="array" ref="Q15">IFERROR(_xlfn.XLOOKUP(1,  (MAX(IF(I15 = 'Processed Non-zero DMR Data'!$K:$K,'Processed Non-zero DMR Data'!$A:$A)) = 'Processed Non-zero DMR Data'!$A:$A)*('Processed Non-zero DMR Data'!$K:$K = I15),'Processed Non-zero DMR Data'!$T:$T), "N/A- Facility Does Not Report DMRs")</f>
        <v>4.7248155000000001</v>
      </c>
      <c r="R15" s="33">
        <f t="shared" si="11"/>
        <v>1.29447E-2</v>
      </c>
      <c r="S15" s="33" cm="1">
        <f t="array" ref="S15">IF(COUNTIF('Processed Non-zero DMR Data'!$K:$K,$I15)&gt;0,MEDIAN(IF('Processed Non-zero DMR Data'!$K:$K=I15,'Processed Non-zero DMR Data'!$T:$T)),"N/A - Facility Does Not Report DMRs")</f>
        <v>14.333321874999999</v>
      </c>
      <c r="T15" s="33">
        <f t="shared" si="12"/>
        <v>3.9269374999999995E-2</v>
      </c>
      <c r="U15" s="33">
        <f>IF(COUNTIF('Processed Non-zero DMR Data'!$K:$K,$I15)&gt;0,_xlfn.MAXIFS('Processed Non-zero DMR Data'!$T:$T,'Processed Non-zero DMR Data'!$K:$K,$I15), "N/A - Facility Does Not Report DMRs")</f>
        <v>29.9790925</v>
      </c>
      <c r="V15" s="33">
        <f t="shared" si="13"/>
        <v>8.2134499999999999E-2</v>
      </c>
      <c r="W15" s="110" cm="1">
        <f t="array" ref="W15">IF(COUNTIF('Processed Non-zero DMR Data'!$K:$K,$I15)&gt;0,INDEX('Processed Non-zero DMR Data'!$A:$A,MATCH(1,($I15='Processed Non-zero DMR Data'!$K:$K)*($U15='Processed Non-zero DMR Data'!$T:$T),0)), "N/A - Facility Does Not Report DMRs")</f>
        <v>2020</v>
      </c>
      <c r="X15" s="109" cm="1">
        <f t="array" ref="X15">IFERROR(_xlfn.XLOOKUP(1,  (MAX(IF(H15 = 'Processed Non-zero TRI Data'!$I:$I,'Processed Non-zero TRI Data'!$A:$A)) = 'Processed Non-zero TRI Data'!$A:$A)*('Processed Non-zero TRI Data'!$I:$I = H15), 'Processed Non-zero TRI Data'!$S:$S), "N/A- Facility Does Not Report to TRI")</f>
        <v>0</v>
      </c>
      <c r="Y15" s="33">
        <f t="shared" si="2"/>
        <v>0</v>
      </c>
      <c r="Z15" s="33" t="str" cm="1">
        <f t="array" ref="Z15">IF(COUNTIF('Processed Non-zero TRI Data'!$I:$I,$H15)&gt;0,MEDIAN(IF('Processed Non-zero TRI Data'!$I:$I=H15,'Processed Non-zero TRI Data'!$S:$S)), "N/A - Facility Does Not Report to TRI")</f>
        <v>N/A - Facility Does Not Report to TRI</v>
      </c>
      <c r="AA15" s="33" t="str">
        <f t="shared" si="3"/>
        <v>N/A - Facility Does Not Report to TRI</v>
      </c>
      <c r="AB15" s="33" t="str">
        <f>IF(COUNTIF('Processed Non-zero TRI Data'!$I:$I,$H15)&gt;0,_xlfn.MAXIFS('Processed Non-zero TRI Data'!$S:$S,'Processed Non-zero TRI Data'!$I:$I,$H15), "N/A - Facility Does Not Report to TRI")</f>
        <v>N/A - Facility Does Not Report to TRI</v>
      </c>
      <c r="AC15" s="33" t="str">
        <f t="shared" si="4"/>
        <v>N/A - Facility Does Not Report to TRI</v>
      </c>
      <c r="AD15" s="110" t="str" cm="1">
        <f t="array" ref="AD15">IFERROR(IF(B15 = "TRI Form R", IF(AB15 = 0, "Facility has no on-site water discharges between 2019-2023.",  IF(COUNTIF('Processed Non-zero TRI Data'!$I:$I,$H15)&gt;0,INDEX('Processed Non-zero TRI Data'!$A:$A,MATCH(1,($H15='Processed Non-zero TRI Data'!$I:$I)*(AB15='Processed Non-zero TRI Data'!$S:$S),0)))), VLOOKUP(H15, 'Form A Recent Reporting'!$L:$M, 2, FALSE)), ("N/A - Facility Does Not Report to TRI"))</f>
        <v>N/A - Facility Does Not Report to TRI</v>
      </c>
      <c r="AE15" s="109" cm="1">
        <f t="array" ref="AE15">IFERROR(_xlfn.XLOOKUP(1,  (MAX(IF(H15 = 'Processed Non-zero TRI Data'!$I:$I,'Processed Non-zero TRI Data'!$A:$A)) = 'Processed Non-zero TRI Data'!$A:$A)*('Processed Non-zero TRI Data'!$I:$I = H15), 'Processed Non-zero TRI Data'!$U:$U), "N/A- Facility Does Not Report to TRI")</f>
        <v>0</v>
      </c>
      <c r="AF15" s="33">
        <f t="shared" si="5"/>
        <v>0</v>
      </c>
      <c r="AG15" s="33" t="str" cm="1">
        <f t="array" ref="AG15">IF(COUNTIF('Processed Non-zero TRI Data'!$I:$I,$H15)&gt;0,MEDIAN(IF('Processed Non-zero TRI Data'!$I:$I=H15,'Processed Non-zero TRI Data'!$U:$U)), "N/A - Facility Does Not Report to TRI")</f>
        <v>N/A - Facility Does Not Report to TRI</v>
      </c>
      <c r="AH15" s="33" t="str">
        <f t="shared" si="6"/>
        <v>N/A - Facility Does Not Report to TRI</v>
      </c>
      <c r="AI15" s="33" t="str">
        <f>IF(COUNTIF('Processed Non-zero TRI Data'!$I:$I,$H15)&gt;0,_xlfn.MAXIFS('Processed Non-zero TRI Data'!$U:$U,'Processed Non-zero TRI Data'!$I:$I,$H15), "N/A - Facility Does Not Report to TRI")</f>
        <v>N/A - Facility Does Not Report to TRI</v>
      </c>
      <c r="AJ15" s="33" t="str">
        <f t="shared" si="7"/>
        <v>N/A - Facility Does Not Report to TRI</v>
      </c>
      <c r="AK15" s="110" t="str" cm="1">
        <f t="array" ref="AK15">IF(B15="TRI Form A",AD15,IF(AI15=0,"Facility has no transfers to POTWs between 2019-2023.",IF(COUNTIF('Processed Non-zero TRI Data'!$I:$I,$H15)&gt;0,INDEX('Processed Non-zero TRI Data'!$A:$A,MATCH(1,($H15='Processed Non-zero TRI Data'!$I:$I)*(AI15='Processed Non-zero TRI Data'!$U:$U),0)),"N/A - Facility Does Not Report to TRI")))</f>
        <v>N/A - Facility Does Not Report to TRI</v>
      </c>
      <c r="AL15" s="109" cm="1">
        <f t="array" ref="AL15">IFERROR(_xlfn.XLOOKUP(1,  (MAX(IF(H15 = 'Processed Non-zero TRI Data'!$I$2:$I$23,'Processed Non-zero TRI Data'!$A$2:$A$23)) = 'Processed Non-zero TRI Data'!$A$2:$A$23)*('Processed Non-zero TRI Data'!$I$2:$I$23 = H15), 'Processed Non-zero TRI Data'!$W$2:$W$23), "N/A- Facility Does Not Report to TRI")</f>
        <v>0</v>
      </c>
      <c r="AM15" s="33">
        <f t="shared" si="8"/>
        <v>0</v>
      </c>
      <c r="AN15" s="33" t="str" cm="1">
        <f t="array" ref="AN15">IF(COUNTIF('Processed Non-zero TRI Data'!$I:$I,$H15)&gt;0,MEDIAN(IF('Processed Non-zero TRI Data'!$I:$I=H15,'Processed Non-zero TRI Data'!$W:$W)), "N/A - Facility Does Not Report to TRI")</f>
        <v>N/A - Facility Does Not Report to TRI</v>
      </c>
      <c r="AO15" s="33" t="str">
        <f t="shared" si="9"/>
        <v>N/A - Facility Does Not Report to TRI</v>
      </c>
      <c r="AP15" s="33" t="str">
        <f>IF(COUNTIF('Processed Non-zero TRI Data'!$I:$I,$H15)&gt;0,_xlfn.MAXIFS('Processed Non-zero TRI Data'!$W:$W,'Processed Non-zero TRI Data'!$I:$I,$H15), "N/A - Facility Does Not Report to TRI")</f>
        <v>N/A - Facility Does Not Report to TRI</v>
      </c>
      <c r="AQ15" s="33" t="str">
        <f t="shared" si="10"/>
        <v>N/A - Facility Does Not Report to TRI</v>
      </c>
      <c r="AR15" s="110" t="str" cm="1">
        <f t="array" ref="AR15">IF(B15="TRI Form A",AD15,IF(AP15=0,"Facility has no transfers to non-POTWs between 2019-2023.",IF(COUNTIF('Processed Non-zero TRI Data'!$I:$I,$H15)&gt;0,INDEX('Processed Non-zero TRI Data'!$A:$A,MATCH(1,($H15='Processed Non-zero TRI Data'!$I:$I)*(AP15='Processed Non-zero TRI Data'!$W:$W),0)),"N/A - Facility Does Not Report to TRI")))</f>
        <v>N/A - Facility Does Not Report to TRI</v>
      </c>
    </row>
    <row r="16" spans="1:44" ht="29" x14ac:dyDescent="0.35">
      <c r="A16" s="34">
        <v>13</v>
      </c>
      <c r="B16" s="33" t="str">
        <f>IFERROR("TRI Form "&amp;VLOOKUP(H16,'Processed Non-zero TRI Data'!$I$2:$K$23,3,FALSE),"DMR")</f>
        <v>DMR</v>
      </c>
      <c r="C16" s="33" t="str">
        <f>VLOOKUP($D16, 'COU.OES Summary'!C:D, 2, FALSE)</f>
        <v> </v>
      </c>
      <c r="D16" s="33" t="str">
        <f>IFERROR(VLOOKUP($H16, 'Processed Non-zero TRI Data'!$I:$O, 7, FALSE), VLOOKUP($I16, 'Processed Non-zero DMR Data'!$K:$R, 8, FALSE))</f>
        <v>Waste handling, treatment, and disposal - Remediation or Monitoring</v>
      </c>
      <c r="E16" s="34" t="s">
        <v>121</v>
      </c>
      <c r="F16" s="34" t="s">
        <v>122</v>
      </c>
      <c r="G16" s="34" t="s">
        <v>111</v>
      </c>
      <c r="H16" s="34"/>
      <c r="I16" s="105">
        <v>110000746211</v>
      </c>
      <c r="J16" s="33" t="str">
        <f>IFERROR(VLOOKUP($I16, 'Processed Non-zero DMR Data'!$K:$U, 11, FALSE),"")</f>
        <v>IL0000141</v>
      </c>
      <c r="K16" s="33" t="str">
        <f>IFERROR(VLOOKUP($I16, 'Processed Non-zero DMR Data'!$K:$V, 12, FALSE),"Not Reported")</f>
        <v>Town of Ficklin-Kaskaskia River</v>
      </c>
      <c r="L16" s="106">
        <f>IFERROR(VLOOKUP($I16, 'Processed Non-zero DMR Data'!$K:$W, 13, FALSE),"No Reach Code Reported")</f>
        <v>71402010206</v>
      </c>
      <c r="M16" s="107" t="str">
        <f>IFERROR(IFERROR(VLOOKUP(H16, 'Off-site Locations'!$K$3:$O$5, 5, FALSE), VLOOKUP(H16, 'Off-site Locations'!$B$3:$E$4, 4, FALSE)), "No Offsite Transfers")</f>
        <v>No Offsite Transfers</v>
      </c>
      <c r="N16" s="33">
        <f>VLOOKUP($D16, 'COU.OES Summary'!C:E, 3, FALSE)</f>
        <v>365</v>
      </c>
      <c r="O16" s="108">
        <f t="shared" si="0"/>
        <v>0</v>
      </c>
      <c r="P16" s="108">
        <f t="shared" si="1"/>
        <v>28.0687246153846</v>
      </c>
      <c r="Q16" s="109" cm="1">
        <f t="array" ref="Q16">IFERROR(_xlfn.XLOOKUP(1,  (MAX(IF(I16 = 'Processed Non-zero DMR Data'!$K:$K,'Processed Non-zero DMR Data'!$A:$A)) = 'Processed Non-zero DMR Data'!$A:$A)*('Processed Non-zero DMR Data'!$K:$K = I16),'Processed Non-zero DMR Data'!$T:$T), "N/A- Facility Does Not Report DMRs")</f>
        <v>18.096893999999999</v>
      </c>
      <c r="R16" s="33">
        <f t="shared" si="11"/>
        <v>4.958053150684931E-2</v>
      </c>
      <c r="S16" s="33" cm="1">
        <f t="array" ref="S16">IF(COUNTIF('Processed Non-zero DMR Data'!$K:$K,$I16)&gt;0,MEDIAN(IF('Processed Non-zero DMR Data'!$K:$K=I16,'Processed Non-zero DMR Data'!$T:$T)),"N/A - Facility Does Not Report DMRs")</f>
        <v>19.222586999999997</v>
      </c>
      <c r="T16" s="33">
        <f t="shared" si="12"/>
        <v>5.2664621917808213E-2</v>
      </c>
      <c r="U16" s="33">
        <f>IF(COUNTIF('Processed Non-zero DMR Data'!$K:$K,$I16)&gt;0,_xlfn.MAXIFS('Processed Non-zero DMR Data'!$T:$T,'Processed Non-zero DMR Data'!$K:$K,$I16), "N/A - Facility Does Not Report DMRs")</f>
        <v>28.0687246153846</v>
      </c>
      <c r="V16" s="33">
        <f t="shared" si="13"/>
        <v>7.6900615384615345E-2</v>
      </c>
      <c r="W16" s="110" cm="1">
        <f t="array" ref="W16">IF(COUNTIF('Processed Non-zero DMR Data'!$K:$K,$I16)&gt;0,INDEX('Processed Non-zero DMR Data'!$A:$A,MATCH(1,($I16='Processed Non-zero DMR Data'!$K:$K)*($U16='Processed Non-zero DMR Data'!$T:$T),0)), "N/A - Facility Does Not Report DMRs")</f>
        <v>2020</v>
      </c>
      <c r="X16" s="109" cm="1">
        <f t="array" ref="X16">IFERROR(_xlfn.XLOOKUP(1,  (MAX(IF(H16 = 'Processed Non-zero TRI Data'!$I:$I,'Processed Non-zero TRI Data'!$A:$A)) = 'Processed Non-zero TRI Data'!$A:$A)*('Processed Non-zero TRI Data'!$I:$I = H16), 'Processed Non-zero TRI Data'!$S:$S), "N/A- Facility Does Not Report to TRI")</f>
        <v>0</v>
      </c>
      <c r="Y16" s="33">
        <f t="shared" si="2"/>
        <v>0</v>
      </c>
      <c r="Z16" s="33" t="str" cm="1">
        <f t="array" ref="Z16">IF(COUNTIF('Processed Non-zero TRI Data'!$I:$I,$H16)&gt;0,MEDIAN(IF('Processed Non-zero TRI Data'!$I:$I=H16,'Processed Non-zero TRI Data'!$S:$S)), "N/A - Facility Does Not Report to TRI")</f>
        <v>N/A - Facility Does Not Report to TRI</v>
      </c>
      <c r="AA16" s="33" t="str">
        <f t="shared" si="3"/>
        <v>N/A - Facility Does Not Report to TRI</v>
      </c>
      <c r="AB16" s="33" t="str">
        <f>IF(COUNTIF('Processed Non-zero TRI Data'!$I:$I,$H16)&gt;0,_xlfn.MAXIFS('Processed Non-zero TRI Data'!$S:$S,'Processed Non-zero TRI Data'!$I:$I,$H16), "N/A - Facility Does Not Report to TRI")</f>
        <v>N/A - Facility Does Not Report to TRI</v>
      </c>
      <c r="AC16" s="33" t="str">
        <f t="shared" si="4"/>
        <v>N/A - Facility Does Not Report to TRI</v>
      </c>
      <c r="AD16" s="110" t="str" cm="1">
        <f t="array" ref="AD16">IFERROR(IF(B16 = "TRI Form R", IF(AB16 = 0, "Facility has no on-site water discharges between 2019-2023.",  IF(COUNTIF('Processed Non-zero TRI Data'!$I:$I,$H16)&gt;0,INDEX('Processed Non-zero TRI Data'!$A:$A,MATCH(1,($H16='Processed Non-zero TRI Data'!$I:$I)*(AB16='Processed Non-zero TRI Data'!$S:$S),0)))), VLOOKUP(H16, 'Form A Recent Reporting'!$L:$M, 2, FALSE)), ("N/A - Facility Does Not Report to TRI"))</f>
        <v>N/A - Facility Does Not Report to TRI</v>
      </c>
      <c r="AE16" s="109" cm="1">
        <f t="array" ref="AE16">IFERROR(_xlfn.XLOOKUP(1,  (MAX(IF(H16 = 'Processed Non-zero TRI Data'!$I:$I,'Processed Non-zero TRI Data'!$A:$A)) = 'Processed Non-zero TRI Data'!$A:$A)*('Processed Non-zero TRI Data'!$I:$I = H16), 'Processed Non-zero TRI Data'!$U:$U), "N/A- Facility Does Not Report to TRI")</f>
        <v>0</v>
      </c>
      <c r="AF16" s="33">
        <f t="shared" si="5"/>
        <v>0</v>
      </c>
      <c r="AG16" s="33" t="str" cm="1">
        <f t="array" ref="AG16">IF(COUNTIF('Processed Non-zero TRI Data'!$I:$I,$H16)&gt;0,MEDIAN(IF('Processed Non-zero TRI Data'!$I:$I=H16,'Processed Non-zero TRI Data'!$U:$U)), "N/A - Facility Does Not Report to TRI")</f>
        <v>N/A - Facility Does Not Report to TRI</v>
      </c>
      <c r="AH16" s="33" t="str">
        <f t="shared" si="6"/>
        <v>N/A - Facility Does Not Report to TRI</v>
      </c>
      <c r="AI16" s="33" t="str">
        <f>IF(COUNTIF('Processed Non-zero TRI Data'!$I:$I,$H16)&gt;0,_xlfn.MAXIFS('Processed Non-zero TRI Data'!$U:$U,'Processed Non-zero TRI Data'!$I:$I,$H16), "N/A - Facility Does Not Report to TRI")</f>
        <v>N/A - Facility Does Not Report to TRI</v>
      </c>
      <c r="AJ16" s="33" t="str">
        <f t="shared" si="7"/>
        <v>N/A - Facility Does Not Report to TRI</v>
      </c>
      <c r="AK16" s="110" t="str" cm="1">
        <f t="array" ref="AK16">IF(B16="TRI Form A",AD16,IF(AI16=0,"Facility has no transfers to POTWs between 2019-2023.",IF(COUNTIF('Processed Non-zero TRI Data'!$I:$I,$H16)&gt;0,INDEX('Processed Non-zero TRI Data'!$A:$A,MATCH(1,($H16='Processed Non-zero TRI Data'!$I:$I)*(AI16='Processed Non-zero TRI Data'!$U:$U),0)),"N/A - Facility Does Not Report to TRI")))</f>
        <v>N/A - Facility Does Not Report to TRI</v>
      </c>
      <c r="AL16" s="109" cm="1">
        <f t="array" ref="AL16">IFERROR(_xlfn.XLOOKUP(1,  (MAX(IF(H16 = 'Processed Non-zero TRI Data'!$I$2:$I$23,'Processed Non-zero TRI Data'!$A$2:$A$23)) = 'Processed Non-zero TRI Data'!$A$2:$A$23)*('Processed Non-zero TRI Data'!$I$2:$I$23 = H16), 'Processed Non-zero TRI Data'!$W$2:$W$23), "N/A- Facility Does Not Report to TRI")</f>
        <v>0</v>
      </c>
      <c r="AM16" s="33">
        <f t="shared" si="8"/>
        <v>0</v>
      </c>
      <c r="AN16" s="33" t="str" cm="1">
        <f t="array" ref="AN16">IF(COUNTIF('Processed Non-zero TRI Data'!$I:$I,$H16)&gt;0,MEDIAN(IF('Processed Non-zero TRI Data'!$I:$I=H16,'Processed Non-zero TRI Data'!$W:$W)), "N/A - Facility Does Not Report to TRI")</f>
        <v>N/A - Facility Does Not Report to TRI</v>
      </c>
      <c r="AO16" s="33" t="str">
        <f t="shared" si="9"/>
        <v>N/A - Facility Does Not Report to TRI</v>
      </c>
      <c r="AP16" s="33" t="str">
        <f>IF(COUNTIF('Processed Non-zero TRI Data'!$I:$I,$H16)&gt;0,_xlfn.MAXIFS('Processed Non-zero TRI Data'!$W:$W,'Processed Non-zero TRI Data'!$I:$I,$H16), "N/A - Facility Does Not Report to TRI")</f>
        <v>N/A - Facility Does Not Report to TRI</v>
      </c>
      <c r="AQ16" s="33" t="str">
        <f t="shared" si="10"/>
        <v>N/A - Facility Does Not Report to TRI</v>
      </c>
      <c r="AR16" s="110" t="str" cm="1">
        <f t="array" ref="AR16">IF(B16="TRI Form A",AD16,IF(AP16=0,"Facility has no transfers to non-POTWs between 2019-2023.",IF(COUNTIF('Processed Non-zero TRI Data'!$I:$I,$H16)&gt;0,INDEX('Processed Non-zero TRI Data'!$A:$A,MATCH(1,($H16='Processed Non-zero TRI Data'!$I:$I)*(AP16='Processed Non-zero TRI Data'!$W:$W),0)),"N/A - Facility Does Not Report to TRI")))</f>
        <v>N/A - Facility Does Not Report to TRI</v>
      </c>
    </row>
    <row r="17" spans="1:44" ht="29" x14ac:dyDescent="0.35">
      <c r="A17" s="34">
        <v>14</v>
      </c>
      <c r="B17" s="33" t="str">
        <f>IFERROR("TRI Form "&amp;VLOOKUP(H17,'Processed Non-zero TRI Data'!$I$2:$K$23,3,FALSE),"DMR")</f>
        <v>DMR</v>
      </c>
      <c r="C17" s="33" t="str">
        <f>VLOOKUP($D17, 'COU.OES Summary'!C:D, 2, FALSE)</f>
        <v> </v>
      </c>
      <c r="D17" s="33" t="str">
        <f>IFERROR(VLOOKUP($H17, 'Processed Non-zero TRI Data'!$I:$O, 7, FALSE), VLOOKUP($I17, 'Processed Non-zero DMR Data'!$K:$R, 8, FALSE))</f>
        <v>Waste handling, treatment, and disposal - POTW</v>
      </c>
      <c r="E17" s="34" t="s">
        <v>123</v>
      </c>
      <c r="F17" s="34" t="s">
        <v>107</v>
      </c>
      <c r="G17" s="34" t="s">
        <v>108</v>
      </c>
      <c r="H17" s="34"/>
      <c r="I17" s="105">
        <v>110043485421</v>
      </c>
      <c r="J17" s="33" t="str">
        <f>IFERROR(VLOOKUP($I17, 'Processed Non-zero DMR Data'!$K:$U, 11, FALSE),"")</f>
        <v>KY0098540</v>
      </c>
      <c r="K17" s="33" t="str">
        <f>IFERROR(VLOOKUP($I17, 'Processed Non-zero DMR Data'!$K:$V, 12, FALSE),"Not Reported")</f>
        <v>Pennsylvania Run-Cedar Creek</v>
      </c>
      <c r="L17" s="106">
        <f>IFERROR(VLOOKUP($I17, 'Processed Non-zero DMR Data'!$K:$W, 13, FALSE),"No Reach Code Reported")</f>
        <v>51401021002</v>
      </c>
      <c r="M17" s="107" t="str">
        <f>IFERROR(IFERROR(VLOOKUP(H17, 'Off-site Locations'!$K$3:$O$5, 5, FALSE), VLOOKUP(H17, 'Off-site Locations'!$B$3:$E$4, 4, FALSE)), "No Offsite Transfers")</f>
        <v>No Offsite Transfers</v>
      </c>
      <c r="N17" s="33">
        <f>VLOOKUP($D17, 'COU.OES Summary'!C:E, 3, FALSE)</f>
        <v>365</v>
      </c>
      <c r="O17" s="108">
        <f t="shared" si="0"/>
        <v>0</v>
      </c>
      <c r="P17" s="108">
        <f t="shared" si="1"/>
        <v>27.7651986875</v>
      </c>
      <c r="Q17" s="109" cm="1">
        <f t="array" ref="Q17">IFERROR(_xlfn.XLOOKUP(1,  (MAX(IF(I17 = 'Processed Non-zero DMR Data'!$K:$K,'Processed Non-zero DMR Data'!$A:$A)) = 'Processed Non-zero DMR Data'!$A:$A)*('Processed Non-zero DMR Data'!$K:$K = I17),'Processed Non-zero DMR Data'!$T:$T), "N/A- Facility Does Not Report DMRs")</f>
        <v>16.3192640625</v>
      </c>
      <c r="R17" s="33">
        <f t="shared" si="11"/>
        <v>4.4710312500000002E-2</v>
      </c>
      <c r="S17" s="33" cm="1">
        <f t="array" ref="S17">IF(COUNTIF('Processed Non-zero DMR Data'!$K:$K,$I17)&gt;0,MEDIAN(IF('Processed Non-zero DMR Data'!$K:$K=I17,'Processed Non-zero DMR Data'!$T:$T)),"N/A - Facility Does Not Report DMRs")</f>
        <v>21.130424874999999</v>
      </c>
      <c r="T17" s="33">
        <f t="shared" si="12"/>
        <v>5.7891575000000001E-2</v>
      </c>
      <c r="U17" s="33">
        <f>IF(COUNTIF('Processed Non-zero DMR Data'!$K:$K,$I17)&gt;0,_xlfn.MAXIFS('Processed Non-zero DMR Data'!$T:$T,'Processed Non-zero DMR Data'!$K:$K,$I17), "N/A - Facility Does Not Report DMRs")</f>
        <v>27.7651986875</v>
      </c>
      <c r="V17" s="33">
        <f t="shared" si="13"/>
        <v>7.6069037500000006E-2</v>
      </c>
      <c r="W17" s="110" cm="1">
        <f t="array" ref="W17">IF(COUNTIF('Processed Non-zero DMR Data'!$K:$K,$I17)&gt;0,INDEX('Processed Non-zero DMR Data'!$A:$A,MATCH(1,($I17='Processed Non-zero DMR Data'!$K:$K)*($U17='Processed Non-zero DMR Data'!$T:$T),0)), "N/A - Facility Does Not Report DMRs")</f>
        <v>2019</v>
      </c>
      <c r="X17" s="109" cm="1">
        <f t="array" ref="X17">IFERROR(_xlfn.XLOOKUP(1,  (MAX(IF(H17 = 'Processed Non-zero TRI Data'!$I:$I,'Processed Non-zero TRI Data'!$A:$A)) = 'Processed Non-zero TRI Data'!$A:$A)*('Processed Non-zero TRI Data'!$I:$I = H17), 'Processed Non-zero TRI Data'!$S:$S), "N/A- Facility Does Not Report to TRI")</f>
        <v>0</v>
      </c>
      <c r="Y17" s="33">
        <f t="shared" si="2"/>
        <v>0</v>
      </c>
      <c r="Z17" s="33" t="str" cm="1">
        <f t="array" ref="Z17">IF(COUNTIF('Processed Non-zero TRI Data'!$I:$I,$H17)&gt;0,MEDIAN(IF('Processed Non-zero TRI Data'!$I:$I=H17,'Processed Non-zero TRI Data'!$S:$S)), "N/A - Facility Does Not Report to TRI")</f>
        <v>N/A - Facility Does Not Report to TRI</v>
      </c>
      <c r="AA17" s="33" t="str">
        <f t="shared" si="3"/>
        <v>N/A - Facility Does Not Report to TRI</v>
      </c>
      <c r="AB17" s="33" t="str">
        <f>IF(COUNTIF('Processed Non-zero TRI Data'!$I:$I,$H17)&gt;0,_xlfn.MAXIFS('Processed Non-zero TRI Data'!$S:$S,'Processed Non-zero TRI Data'!$I:$I,$H17), "N/A - Facility Does Not Report to TRI")</f>
        <v>N/A - Facility Does Not Report to TRI</v>
      </c>
      <c r="AC17" s="33" t="str">
        <f t="shared" si="4"/>
        <v>N/A - Facility Does Not Report to TRI</v>
      </c>
      <c r="AD17" s="110" t="str" cm="1">
        <f t="array" ref="AD17">IFERROR(IF(B17 = "TRI Form R", IF(AB17 = 0, "Facility has no on-site water discharges between 2019-2023.",  IF(COUNTIF('Processed Non-zero TRI Data'!$I:$I,$H17)&gt;0,INDEX('Processed Non-zero TRI Data'!$A:$A,MATCH(1,($H17='Processed Non-zero TRI Data'!$I:$I)*(AB17='Processed Non-zero TRI Data'!$S:$S),0)))), VLOOKUP(H17, 'Form A Recent Reporting'!$L:$M, 2, FALSE)), ("N/A - Facility Does Not Report to TRI"))</f>
        <v>N/A - Facility Does Not Report to TRI</v>
      </c>
      <c r="AE17" s="109" cm="1">
        <f t="array" ref="AE17">IFERROR(_xlfn.XLOOKUP(1,  (MAX(IF(H17 = 'Processed Non-zero TRI Data'!$I:$I,'Processed Non-zero TRI Data'!$A:$A)) = 'Processed Non-zero TRI Data'!$A:$A)*('Processed Non-zero TRI Data'!$I:$I = H17), 'Processed Non-zero TRI Data'!$U:$U), "N/A- Facility Does Not Report to TRI")</f>
        <v>0</v>
      </c>
      <c r="AF17" s="33">
        <f t="shared" si="5"/>
        <v>0</v>
      </c>
      <c r="AG17" s="33" t="str" cm="1">
        <f t="array" ref="AG17">IF(COUNTIF('Processed Non-zero TRI Data'!$I:$I,$H17)&gt;0,MEDIAN(IF('Processed Non-zero TRI Data'!$I:$I=H17,'Processed Non-zero TRI Data'!$U:$U)), "N/A - Facility Does Not Report to TRI")</f>
        <v>N/A - Facility Does Not Report to TRI</v>
      </c>
      <c r="AH17" s="33" t="str">
        <f t="shared" si="6"/>
        <v>N/A - Facility Does Not Report to TRI</v>
      </c>
      <c r="AI17" s="33" t="str">
        <f>IF(COUNTIF('Processed Non-zero TRI Data'!$I:$I,$H17)&gt;0,_xlfn.MAXIFS('Processed Non-zero TRI Data'!$U:$U,'Processed Non-zero TRI Data'!$I:$I,$H17), "N/A - Facility Does Not Report to TRI")</f>
        <v>N/A - Facility Does Not Report to TRI</v>
      </c>
      <c r="AJ17" s="33" t="str">
        <f t="shared" si="7"/>
        <v>N/A - Facility Does Not Report to TRI</v>
      </c>
      <c r="AK17" s="110" t="str" cm="1">
        <f t="array" ref="AK17">IF(B17="TRI Form A",AD17,IF(AI17=0,"Facility has no transfers to POTWs between 2019-2023.",IF(COUNTIF('Processed Non-zero TRI Data'!$I:$I,$H17)&gt;0,INDEX('Processed Non-zero TRI Data'!$A:$A,MATCH(1,($H17='Processed Non-zero TRI Data'!$I:$I)*(AI17='Processed Non-zero TRI Data'!$U:$U),0)),"N/A - Facility Does Not Report to TRI")))</f>
        <v>N/A - Facility Does Not Report to TRI</v>
      </c>
      <c r="AL17" s="109" cm="1">
        <f t="array" ref="AL17">IFERROR(_xlfn.XLOOKUP(1,  (MAX(IF(H17 = 'Processed Non-zero TRI Data'!$I$2:$I$23,'Processed Non-zero TRI Data'!$A$2:$A$23)) = 'Processed Non-zero TRI Data'!$A$2:$A$23)*('Processed Non-zero TRI Data'!$I$2:$I$23 = H17), 'Processed Non-zero TRI Data'!$W$2:$W$23), "N/A- Facility Does Not Report to TRI")</f>
        <v>0</v>
      </c>
      <c r="AM17" s="33">
        <f t="shared" si="8"/>
        <v>0</v>
      </c>
      <c r="AN17" s="33" t="str" cm="1">
        <f t="array" ref="AN17">IF(COUNTIF('Processed Non-zero TRI Data'!$I:$I,$H17)&gt;0,MEDIAN(IF('Processed Non-zero TRI Data'!$I:$I=H17,'Processed Non-zero TRI Data'!$W:$W)), "N/A - Facility Does Not Report to TRI")</f>
        <v>N/A - Facility Does Not Report to TRI</v>
      </c>
      <c r="AO17" s="33" t="str">
        <f t="shared" si="9"/>
        <v>N/A - Facility Does Not Report to TRI</v>
      </c>
      <c r="AP17" s="33" t="str">
        <f>IF(COUNTIF('Processed Non-zero TRI Data'!$I:$I,$H17)&gt;0,_xlfn.MAXIFS('Processed Non-zero TRI Data'!$W:$W,'Processed Non-zero TRI Data'!$I:$I,$H17), "N/A - Facility Does Not Report to TRI")</f>
        <v>N/A - Facility Does Not Report to TRI</v>
      </c>
      <c r="AQ17" s="33" t="str">
        <f t="shared" si="10"/>
        <v>N/A - Facility Does Not Report to TRI</v>
      </c>
      <c r="AR17" s="110" t="str" cm="1">
        <f t="array" ref="AR17">IF(B17="TRI Form A",AD17,IF(AP17=0,"Facility has no transfers to non-POTWs between 2019-2023.",IF(COUNTIF('Processed Non-zero TRI Data'!$I:$I,$H17)&gt;0,INDEX('Processed Non-zero TRI Data'!$A:$A,MATCH(1,($H17='Processed Non-zero TRI Data'!$I:$I)*(AP17='Processed Non-zero TRI Data'!$W:$W),0)),"N/A - Facility Does Not Report to TRI")))</f>
        <v>N/A - Facility Does Not Report to TRI</v>
      </c>
    </row>
    <row r="18" spans="1:44" ht="29" x14ac:dyDescent="0.35">
      <c r="A18" s="34">
        <v>15</v>
      </c>
      <c r="B18" s="33" t="str">
        <f>IFERROR("TRI Form "&amp;VLOOKUP(H18,'Processed Non-zero TRI Data'!$I$2:$K$23,3,FALSE),"DMR")</f>
        <v>DMR</v>
      </c>
      <c r="C18" s="33" t="str">
        <f>VLOOKUP($D18, 'COU.OES Summary'!C:D, 2, FALSE)</f>
        <v> </v>
      </c>
      <c r="D18" s="33" t="str">
        <f>IFERROR(VLOOKUP($H18, 'Processed Non-zero TRI Data'!$I:$O, 7, FALSE), VLOOKUP($I18, 'Processed Non-zero DMR Data'!$K:$R, 8, FALSE))</f>
        <v>Waste handling, treatment, and disposal - Remediation or Monitoring</v>
      </c>
      <c r="E18" s="34" t="s">
        <v>124</v>
      </c>
      <c r="F18" s="34" t="s">
        <v>125</v>
      </c>
      <c r="G18" s="34" t="s">
        <v>126</v>
      </c>
      <c r="H18" s="34"/>
      <c r="I18" s="105">
        <v>110000326521</v>
      </c>
      <c r="J18" s="33" t="str">
        <f>IFERROR(VLOOKUP($I18, 'Processed Non-zero DMR Data'!$K:$U, 11, FALSE),"")</f>
        <v>NY0000558</v>
      </c>
      <c r="K18" s="33" t="str">
        <f>IFERROR(VLOOKUP($I18, 'Processed Non-zero DMR Data'!$K:$V, 12, FALSE),"Not Reported")</f>
        <v>Headwaters Eighteenmile Creek</v>
      </c>
      <c r="L18" s="106">
        <f>IFERROR(VLOOKUP($I18, 'Processed Non-zero DMR Data'!$K:$W, 13, FALSE),"No Reach Code Reported")</f>
        <v>41300010703</v>
      </c>
      <c r="M18" s="107" t="str">
        <f>IFERROR(IFERROR(VLOOKUP(H18, 'Off-site Locations'!$K$3:$O$5, 5, FALSE), VLOOKUP(H18, 'Off-site Locations'!$B$3:$E$4, 4, FALSE)), "No Offsite Transfers")</f>
        <v>No Offsite Transfers</v>
      </c>
      <c r="N18" s="33">
        <f>VLOOKUP($D18, 'COU.OES Summary'!C:E, 3, FALSE)</f>
        <v>365</v>
      </c>
      <c r="O18" s="108">
        <f t="shared" si="0"/>
        <v>0</v>
      </c>
      <c r="P18" s="108">
        <f t="shared" si="1"/>
        <v>35.320512508999997</v>
      </c>
      <c r="Q18" s="109" cm="1">
        <f t="array" ref="Q18">IFERROR(_xlfn.XLOOKUP(1,  (MAX(IF(I18 = 'Processed Non-zero DMR Data'!$K:$K,'Processed Non-zero DMR Data'!$A:$A)) = 'Processed Non-zero DMR Data'!$A:$A)*('Processed Non-zero DMR Data'!$K:$K = I18),'Processed Non-zero DMR Data'!$T:$T), "N/A- Facility Does Not Report DMRs")</f>
        <v>35.320512508999997</v>
      </c>
      <c r="R18" s="33">
        <f t="shared" si="11"/>
        <v>9.6768527421917799E-2</v>
      </c>
      <c r="S18" s="33" cm="1">
        <f t="array" ref="S18">IF(COUNTIF('Processed Non-zero DMR Data'!$K:$K,$I18)&gt;0,MEDIAN(IF('Processed Non-zero DMR Data'!$K:$K=I18,'Processed Non-zero DMR Data'!$T:$T)),"N/A - Facility Does Not Report DMRs")</f>
        <v>1.0243080550000001</v>
      </c>
      <c r="T18" s="33">
        <f t="shared" si="12"/>
        <v>2.8063234383561646E-3</v>
      </c>
      <c r="U18" s="33">
        <f>IF(COUNTIF('Processed Non-zero DMR Data'!$K:$K,$I18)&gt;0,_xlfn.MAXIFS('Processed Non-zero DMR Data'!$T:$T,'Processed Non-zero DMR Data'!$K:$K,$I18), "N/A - Facility Does Not Report DMRs")</f>
        <v>35.320512508999997</v>
      </c>
      <c r="V18" s="33">
        <f t="shared" si="13"/>
        <v>9.6768527421917799E-2</v>
      </c>
      <c r="W18" s="110" cm="1">
        <f t="array" ref="W18">IF(COUNTIF('Processed Non-zero DMR Data'!$K:$K,$I18)&gt;0,INDEX('Processed Non-zero DMR Data'!$A:$A,MATCH(1,($I18='Processed Non-zero DMR Data'!$K:$K)*($U18='Processed Non-zero DMR Data'!$T:$T),0)), "N/A - Facility Does Not Report DMRs")</f>
        <v>2023</v>
      </c>
      <c r="X18" s="109" cm="1">
        <f t="array" ref="X18">IFERROR(_xlfn.XLOOKUP(1,  (MAX(IF(H18 = 'Processed Non-zero TRI Data'!$I:$I,'Processed Non-zero TRI Data'!$A:$A)) = 'Processed Non-zero TRI Data'!$A:$A)*('Processed Non-zero TRI Data'!$I:$I = H18), 'Processed Non-zero TRI Data'!$S:$S), "N/A- Facility Does Not Report to TRI")</f>
        <v>0</v>
      </c>
      <c r="Y18" s="33">
        <f t="shared" si="2"/>
        <v>0</v>
      </c>
      <c r="Z18" s="33" t="str" cm="1">
        <f t="array" ref="Z18">IF(COUNTIF('Processed Non-zero TRI Data'!$I:$I,$H18)&gt;0,MEDIAN(IF('Processed Non-zero TRI Data'!$I:$I=H18,'Processed Non-zero TRI Data'!$S:$S)), "N/A - Facility Does Not Report to TRI")</f>
        <v>N/A - Facility Does Not Report to TRI</v>
      </c>
      <c r="AA18" s="33" t="str">
        <f t="shared" si="3"/>
        <v>N/A - Facility Does Not Report to TRI</v>
      </c>
      <c r="AB18" s="33" t="str">
        <f>IF(COUNTIF('Processed Non-zero TRI Data'!$I:$I,$H18)&gt;0,_xlfn.MAXIFS('Processed Non-zero TRI Data'!$S:$S,'Processed Non-zero TRI Data'!$I:$I,$H18), "N/A - Facility Does Not Report to TRI")</f>
        <v>N/A - Facility Does Not Report to TRI</v>
      </c>
      <c r="AC18" s="33" t="str">
        <f t="shared" si="4"/>
        <v>N/A - Facility Does Not Report to TRI</v>
      </c>
      <c r="AD18" s="110" t="str" cm="1">
        <f t="array" ref="AD18">IFERROR(IF(B18 = "TRI Form R", IF(AB18 = 0, "Facility has no on-site water discharges between 2019-2023.",  IF(COUNTIF('Processed Non-zero TRI Data'!$I:$I,$H18)&gt;0,INDEX('Processed Non-zero TRI Data'!$A:$A,MATCH(1,($H18='Processed Non-zero TRI Data'!$I:$I)*(AB18='Processed Non-zero TRI Data'!$S:$S),0)))), VLOOKUP(H18, 'Form A Recent Reporting'!$L:$M, 2, FALSE)), ("N/A - Facility Does Not Report to TRI"))</f>
        <v>N/A - Facility Does Not Report to TRI</v>
      </c>
      <c r="AE18" s="109" cm="1">
        <f t="array" ref="AE18">IFERROR(_xlfn.XLOOKUP(1,  (MAX(IF(H18 = 'Processed Non-zero TRI Data'!$I:$I,'Processed Non-zero TRI Data'!$A:$A)) = 'Processed Non-zero TRI Data'!$A:$A)*('Processed Non-zero TRI Data'!$I:$I = H18), 'Processed Non-zero TRI Data'!$U:$U), "N/A- Facility Does Not Report to TRI")</f>
        <v>0</v>
      </c>
      <c r="AF18" s="33">
        <f t="shared" si="5"/>
        <v>0</v>
      </c>
      <c r="AG18" s="33" t="str" cm="1">
        <f t="array" ref="AG18">IF(COUNTIF('Processed Non-zero TRI Data'!$I:$I,$H18)&gt;0,MEDIAN(IF('Processed Non-zero TRI Data'!$I:$I=H18,'Processed Non-zero TRI Data'!$U:$U)), "N/A - Facility Does Not Report to TRI")</f>
        <v>N/A - Facility Does Not Report to TRI</v>
      </c>
      <c r="AH18" s="33" t="str">
        <f t="shared" si="6"/>
        <v>N/A - Facility Does Not Report to TRI</v>
      </c>
      <c r="AI18" s="33" t="str">
        <f>IF(COUNTIF('Processed Non-zero TRI Data'!$I:$I,$H18)&gt;0,_xlfn.MAXIFS('Processed Non-zero TRI Data'!$U:$U,'Processed Non-zero TRI Data'!$I:$I,$H18), "N/A - Facility Does Not Report to TRI")</f>
        <v>N/A - Facility Does Not Report to TRI</v>
      </c>
      <c r="AJ18" s="33" t="str">
        <f t="shared" si="7"/>
        <v>N/A - Facility Does Not Report to TRI</v>
      </c>
      <c r="AK18" s="110" t="str" cm="1">
        <f t="array" ref="AK18">IF(B18="TRI Form A",AD18,IF(AI18=0,"Facility has no transfers to POTWs between 2019-2023.",IF(COUNTIF('Processed Non-zero TRI Data'!$I:$I,$H18)&gt;0,INDEX('Processed Non-zero TRI Data'!$A:$A,MATCH(1,($H18='Processed Non-zero TRI Data'!$I:$I)*(AI18='Processed Non-zero TRI Data'!$U:$U),0)),"N/A - Facility Does Not Report to TRI")))</f>
        <v>N/A - Facility Does Not Report to TRI</v>
      </c>
      <c r="AL18" s="109" cm="1">
        <f t="array" ref="AL18">IFERROR(_xlfn.XLOOKUP(1,  (MAX(IF(H18 = 'Processed Non-zero TRI Data'!$I$2:$I$23,'Processed Non-zero TRI Data'!$A$2:$A$23)) = 'Processed Non-zero TRI Data'!$A$2:$A$23)*('Processed Non-zero TRI Data'!$I$2:$I$23 = H18), 'Processed Non-zero TRI Data'!$W$2:$W$23), "N/A- Facility Does Not Report to TRI")</f>
        <v>0</v>
      </c>
      <c r="AM18" s="33">
        <f t="shared" si="8"/>
        <v>0</v>
      </c>
      <c r="AN18" s="33" t="str" cm="1">
        <f t="array" ref="AN18">IF(COUNTIF('Processed Non-zero TRI Data'!$I:$I,$H18)&gt;0,MEDIAN(IF('Processed Non-zero TRI Data'!$I:$I=H18,'Processed Non-zero TRI Data'!$W:$W)), "N/A - Facility Does Not Report to TRI")</f>
        <v>N/A - Facility Does Not Report to TRI</v>
      </c>
      <c r="AO18" s="33" t="str">
        <f t="shared" si="9"/>
        <v>N/A - Facility Does Not Report to TRI</v>
      </c>
      <c r="AP18" s="33" t="str">
        <f>IF(COUNTIF('Processed Non-zero TRI Data'!$I:$I,$H18)&gt;0,_xlfn.MAXIFS('Processed Non-zero TRI Data'!$W:$W,'Processed Non-zero TRI Data'!$I:$I,$H18), "N/A - Facility Does Not Report to TRI")</f>
        <v>N/A - Facility Does Not Report to TRI</v>
      </c>
      <c r="AQ18" s="33" t="str">
        <f t="shared" si="10"/>
        <v>N/A - Facility Does Not Report to TRI</v>
      </c>
      <c r="AR18" s="110" t="str" cm="1">
        <f t="array" ref="AR18">IF(B18="TRI Form A",AD18,IF(AP18=0,"Facility has no transfers to non-POTWs between 2019-2023.",IF(COUNTIF('Processed Non-zero TRI Data'!$I:$I,$H18)&gt;0,INDEX('Processed Non-zero TRI Data'!$A:$A,MATCH(1,($H18='Processed Non-zero TRI Data'!$I:$I)*(AP18='Processed Non-zero TRI Data'!$W:$W),0)),"N/A - Facility Does Not Report to TRI")))</f>
        <v>N/A - Facility Does Not Report to TRI</v>
      </c>
    </row>
    <row r="19" spans="1:44" ht="29" x14ac:dyDescent="0.35">
      <c r="A19" s="34">
        <v>16</v>
      </c>
      <c r="B19" s="33" t="str">
        <f>IFERROR("TRI Form "&amp;VLOOKUP(H19,'Processed Non-zero TRI Data'!$I$2:$K$23,3,FALSE),"DMR")</f>
        <v>DMR</v>
      </c>
      <c r="C19" s="33" t="str">
        <f>VLOOKUP($D19, 'COU.OES Summary'!C:D, 2, FALSE)</f>
        <v> </v>
      </c>
      <c r="D19" s="33" t="str">
        <f>IFERROR(VLOOKUP($H19, 'Processed Non-zero TRI Data'!$I:$O, 7, FALSE), VLOOKUP($I19, 'Processed Non-zero DMR Data'!$K:$R, 8, FALSE))</f>
        <v>Waste handling, treatment, and disposal - POTW</v>
      </c>
      <c r="E19" s="34" t="s">
        <v>127</v>
      </c>
      <c r="F19" s="34" t="s">
        <v>128</v>
      </c>
      <c r="G19" s="34" t="s">
        <v>129</v>
      </c>
      <c r="H19" s="34"/>
      <c r="I19" s="105">
        <v>110000737123</v>
      </c>
      <c r="J19" s="33" t="str">
        <f>IFERROR(VLOOKUP($I19, 'Processed Non-zero DMR Data'!$K:$U, 11, FALSE),"")</f>
        <v>MO0025810</v>
      </c>
      <c r="K19" s="33" t="str">
        <f>IFERROR(VLOOKUP($I19, 'Processed Non-zero DMR Data'!$K:$V, 12, FALSE),"Not Reported")</f>
        <v>Dubois Creek-Missouri River</v>
      </c>
      <c r="L19" s="106">
        <f>IFERROR(VLOOKUP($I19, 'Processed Non-zero DMR Data'!$K:$W, 13, FALSE),"No Reach Code Reported")</f>
        <v>103002000601</v>
      </c>
      <c r="M19" s="107" t="str">
        <f>IFERROR(IFERROR(VLOOKUP(H19, 'Off-site Locations'!$K$3:$O$5, 5, FALSE), VLOOKUP(H19, 'Off-site Locations'!$B$3:$E$4, 4, FALSE)), "No Offsite Transfers")</f>
        <v>No Offsite Transfers</v>
      </c>
      <c r="N19" s="33">
        <f>VLOOKUP($D19, 'COU.OES Summary'!C:E, 3, FALSE)</f>
        <v>365</v>
      </c>
      <c r="O19" s="108">
        <f t="shared" si="0"/>
        <v>0</v>
      </c>
      <c r="P19" s="108">
        <f t="shared" si="1"/>
        <v>25.57316325</v>
      </c>
      <c r="Q19" s="109" cm="1">
        <f t="array" ref="Q19">IFERROR(_xlfn.XLOOKUP(1,  (MAX(IF(I19 = 'Processed Non-zero DMR Data'!$K:$K,'Processed Non-zero DMR Data'!$A:$A)) = 'Processed Non-zero DMR Data'!$A:$A)*('Processed Non-zero DMR Data'!$K:$K = I19),'Processed Non-zero DMR Data'!$T:$T), "N/A- Facility Does Not Report DMRs")</f>
        <v>18.269438000000001</v>
      </c>
      <c r="R19" s="33">
        <f t="shared" si="11"/>
        <v>5.0053254794520552E-2</v>
      </c>
      <c r="S19" s="33" cm="1">
        <f t="array" ref="S19">IF(COUNTIF('Processed Non-zero DMR Data'!$K:$K,$I19)&gt;0,MEDIAN(IF('Processed Non-zero DMR Data'!$K:$K=I19,'Processed Non-zero DMR Data'!$T:$T)),"N/A - Facility Does Not Report DMRs")</f>
        <v>18.269438000000001</v>
      </c>
      <c r="T19" s="33">
        <f t="shared" si="12"/>
        <v>5.0053254794520552E-2</v>
      </c>
      <c r="U19" s="33">
        <f>IF(COUNTIF('Processed Non-zero DMR Data'!$K:$K,$I19)&gt;0,_xlfn.MAXIFS('Processed Non-zero DMR Data'!$T:$T,'Processed Non-zero DMR Data'!$K:$K,$I19), "N/A - Facility Does Not Report DMRs")</f>
        <v>25.57316325</v>
      </c>
      <c r="V19" s="33">
        <f t="shared" si="13"/>
        <v>7.0063460958904117E-2</v>
      </c>
      <c r="W19" s="110" cm="1">
        <f t="array" ref="W19">IF(COUNTIF('Processed Non-zero DMR Data'!$K:$K,$I19)&gt;0,INDEX('Processed Non-zero DMR Data'!$A:$A,MATCH(1,($I19='Processed Non-zero DMR Data'!$K:$K)*($U19='Processed Non-zero DMR Data'!$T:$T),0)), "N/A - Facility Does Not Report DMRs")</f>
        <v>2019</v>
      </c>
      <c r="X19" s="109" cm="1">
        <f t="array" ref="X19">IFERROR(_xlfn.XLOOKUP(1,  (MAX(IF(H19 = 'Processed Non-zero TRI Data'!$I:$I,'Processed Non-zero TRI Data'!$A:$A)) = 'Processed Non-zero TRI Data'!$A:$A)*('Processed Non-zero TRI Data'!$I:$I = H19), 'Processed Non-zero TRI Data'!$S:$S), "N/A- Facility Does Not Report to TRI")</f>
        <v>0</v>
      </c>
      <c r="Y19" s="33">
        <f t="shared" si="2"/>
        <v>0</v>
      </c>
      <c r="Z19" s="33" t="str" cm="1">
        <f t="array" ref="Z19">IF(COUNTIF('Processed Non-zero TRI Data'!$I:$I,$H19)&gt;0,MEDIAN(IF('Processed Non-zero TRI Data'!$I:$I=H19,'Processed Non-zero TRI Data'!$S:$S)), "N/A - Facility Does Not Report to TRI")</f>
        <v>N/A - Facility Does Not Report to TRI</v>
      </c>
      <c r="AA19" s="33" t="str">
        <f t="shared" si="3"/>
        <v>N/A - Facility Does Not Report to TRI</v>
      </c>
      <c r="AB19" s="33" t="str">
        <f>IF(COUNTIF('Processed Non-zero TRI Data'!$I:$I,$H19)&gt;0,_xlfn.MAXIFS('Processed Non-zero TRI Data'!$S:$S,'Processed Non-zero TRI Data'!$I:$I,$H19), "N/A - Facility Does Not Report to TRI")</f>
        <v>N/A - Facility Does Not Report to TRI</v>
      </c>
      <c r="AC19" s="33" t="str">
        <f t="shared" si="4"/>
        <v>N/A - Facility Does Not Report to TRI</v>
      </c>
      <c r="AD19" s="110" t="str" cm="1">
        <f t="array" ref="AD19">IFERROR(IF(B19 = "TRI Form R", IF(AB19 = 0, "Facility has no on-site water discharges between 2019-2023.",  IF(COUNTIF('Processed Non-zero TRI Data'!$I:$I,$H19)&gt;0,INDEX('Processed Non-zero TRI Data'!$A:$A,MATCH(1,($H19='Processed Non-zero TRI Data'!$I:$I)*(AB19='Processed Non-zero TRI Data'!$S:$S),0)))), VLOOKUP(H19, 'Form A Recent Reporting'!$L:$M, 2, FALSE)), ("N/A - Facility Does Not Report to TRI"))</f>
        <v>N/A - Facility Does Not Report to TRI</v>
      </c>
      <c r="AE19" s="109" cm="1">
        <f t="array" ref="AE19">IFERROR(_xlfn.XLOOKUP(1,  (MAX(IF(H19 = 'Processed Non-zero TRI Data'!$I:$I,'Processed Non-zero TRI Data'!$A:$A)) = 'Processed Non-zero TRI Data'!$A:$A)*('Processed Non-zero TRI Data'!$I:$I = H19), 'Processed Non-zero TRI Data'!$U:$U), "N/A- Facility Does Not Report to TRI")</f>
        <v>0</v>
      </c>
      <c r="AF19" s="33">
        <f t="shared" si="5"/>
        <v>0</v>
      </c>
      <c r="AG19" s="33" t="str" cm="1">
        <f t="array" ref="AG19">IF(COUNTIF('Processed Non-zero TRI Data'!$I:$I,$H19)&gt;0,MEDIAN(IF('Processed Non-zero TRI Data'!$I:$I=H19,'Processed Non-zero TRI Data'!$U:$U)), "N/A - Facility Does Not Report to TRI")</f>
        <v>N/A - Facility Does Not Report to TRI</v>
      </c>
      <c r="AH19" s="33" t="str">
        <f t="shared" si="6"/>
        <v>N/A - Facility Does Not Report to TRI</v>
      </c>
      <c r="AI19" s="33" t="str">
        <f>IF(COUNTIF('Processed Non-zero TRI Data'!$I:$I,$H19)&gt;0,_xlfn.MAXIFS('Processed Non-zero TRI Data'!$U:$U,'Processed Non-zero TRI Data'!$I:$I,$H19), "N/A - Facility Does Not Report to TRI")</f>
        <v>N/A - Facility Does Not Report to TRI</v>
      </c>
      <c r="AJ19" s="33" t="str">
        <f t="shared" si="7"/>
        <v>N/A - Facility Does Not Report to TRI</v>
      </c>
      <c r="AK19" s="110" t="str" cm="1">
        <f t="array" ref="AK19">IF(B19="TRI Form A",AD19,IF(AI19=0,"Facility has no transfers to POTWs between 2019-2023.",IF(COUNTIF('Processed Non-zero TRI Data'!$I:$I,$H19)&gt;0,INDEX('Processed Non-zero TRI Data'!$A:$A,MATCH(1,($H19='Processed Non-zero TRI Data'!$I:$I)*(AI19='Processed Non-zero TRI Data'!$U:$U),0)),"N/A - Facility Does Not Report to TRI")))</f>
        <v>N/A - Facility Does Not Report to TRI</v>
      </c>
      <c r="AL19" s="109" cm="1">
        <f t="array" ref="AL19">IFERROR(_xlfn.XLOOKUP(1,  (MAX(IF(H19 = 'Processed Non-zero TRI Data'!$I$2:$I$23,'Processed Non-zero TRI Data'!$A$2:$A$23)) = 'Processed Non-zero TRI Data'!$A$2:$A$23)*('Processed Non-zero TRI Data'!$I$2:$I$23 = H19), 'Processed Non-zero TRI Data'!$W$2:$W$23), "N/A- Facility Does Not Report to TRI")</f>
        <v>0</v>
      </c>
      <c r="AM19" s="33">
        <f t="shared" si="8"/>
        <v>0</v>
      </c>
      <c r="AN19" s="33" t="str" cm="1">
        <f t="array" ref="AN19">IF(COUNTIF('Processed Non-zero TRI Data'!$I:$I,$H19)&gt;0,MEDIAN(IF('Processed Non-zero TRI Data'!$I:$I=H19,'Processed Non-zero TRI Data'!$W:$W)), "N/A - Facility Does Not Report to TRI")</f>
        <v>N/A - Facility Does Not Report to TRI</v>
      </c>
      <c r="AO19" s="33" t="str">
        <f t="shared" si="9"/>
        <v>N/A - Facility Does Not Report to TRI</v>
      </c>
      <c r="AP19" s="33" t="str">
        <f>IF(COUNTIF('Processed Non-zero TRI Data'!$I:$I,$H19)&gt;0,_xlfn.MAXIFS('Processed Non-zero TRI Data'!$W:$W,'Processed Non-zero TRI Data'!$I:$I,$H19), "N/A - Facility Does Not Report to TRI")</f>
        <v>N/A - Facility Does Not Report to TRI</v>
      </c>
      <c r="AQ19" s="33" t="str">
        <f t="shared" si="10"/>
        <v>N/A - Facility Does Not Report to TRI</v>
      </c>
      <c r="AR19" s="110" t="str" cm="1">
        <f t="array" ref="AR19">IF(B19="TRI Form A",AD19,IF(AP19=0,"Facility has no transfers to non-POTWs between 2019-2023.",IF(COUNTIF('Processed Non-zero TRI Data'!$I:$I,$H19)&gt;0,INDEX('Processed Non-zero TRI Data'!$A:$A,MATCH(1,($H19='Processed Non-zero TRI Data'!$I:$I)*(AP19='Processed Non-zero TRI Data'!$W:$W),0)),"N/A - Facility Does Not Report to TRI")))</f>
        <v>N/A - Facility Does Not Report to TRI</v>
      </c>
    </row>
    <row r="20" spans="1:44" ht="29" x14ac:dyDescent="0.35">
      <c r="A20" s="34">
        <v>17</v>
      </c>
      <c r="B20" s="33" t="str">
        <f>IFERROR("TRI Form "&amp;VLOOKUP(H20,'Processed Non-zero TRI Data'!$I$2:$K$23,3,FALSE),"DMR")</f>
        <v>DMR</v>
      </c>
      <c r="C20" s="33" t="str">
        <f>VLOOKUP($D20, 'COU.OES Summary'!C:D, 2, FALSE)</f>
        <v> </v>
      </c>
      <c r="D20" s="33" t="str">
        <f>IFERROR(VLOOKUP($H20, 'Processed Non-zero TRI Data'!$I:$O, 7, FALSE), VLOOKUP($I20, 'Processed Non-zero DMR Data'!$K:$R, 8, FALSE))</f>
        <v>Waste handling, treatment, and disposal - POTW</v>
      </c>
      <c r="E20" s="34" t="s">
        <v>130</v>
      </c>
      <c r="F20" s="34" t="s">
        <v>131</v>
      </c>
      <c r="G20" s="34" t="s">
        <v>108</v>
      </c>
      <c r="H20" s="34"/>
      <c r="I20" s="105">
        <v>110000732351</v>
      </c>
      <c r="J20" s="33" t="str">
        <f>IFERROR(VLOOKUP($I20, 'Processed Non-zero DMR Data'!$K:$U, 11, FALSE),"")</f>
        <v>KY0057193</v>
      </c>
      <c r="K20" s="33" t="str">
        <f>IFERROR(VLOOKUP($I20, 'Processed Non-zero DMR Data'!$K:$V, 12, FALSE),"Not Reported")</f>
        <v>Clarks Run</v>
      </c>
      <c r="L20" s="106">
        <f>IFERROR(VLOOKUP($I20, 'Processed Non-zero DMR Data'!$K:$W, 13, FALSE),"No Reach Code Reported")</f>
        <v>51002050505</v>
      </c>
      <c r="M20" s="107" t="str">
        <f>IFERROR(IFERROR(VLOOKUP(H20, 'Off-site Locations'!$K$3:$O$5, 5, FALSE), VLOOKUP(H20, 'Off-site Locations'!$B$3:$E$4, 4, FALSE)), "No Offsite Transfers")</f>
        <v>No Offsite Transfers</v>
      </c>
      <c r="N20" s="33">
        <f>VLOOKUP($D20, 'COU.OES Summary'!C:E, 3, FALSE)</f>
        <v>365</v>
      </c>
      <c r="O20" s="108">
        <f t="shared" si="0"/>
        <v>0</v>
      </c>
      <c r="P20" s="108">
        <f t="shared" si="1"/>
        <v>25.316445625</v>
      </c>
      <c r="Q20" s="109" cm="1">
        <f t="array" ref="Q20">IFERROR(_xlfn.XLOOKUP(1,  (MAX(IF(I20 = 'Processed Non-zero DMR Data'!$K:$K,'Processed Non-zero DMR Data'!$A:$A)) = 'Processed Non-zero DMR Data'!$A:$A)*('Processed Non-zero DMR Data'!$K:$K = I20),'Processed Non-zero DMR Data'!$T:$T), "N/A- Facility Does Not Report DMRs")</f>
        <v>15.404003749999999</v>
      </c>
      <c r="R20" s="33">
        <f t="shared" si="11"/>
        <v>4.2202749999999997E-2</v>
      </c>
      <c r="S20" s="33" cm="1">
        <f t="array" ref="S20">IF(COUNTIF('Processed Non-zero DMR Data'!$K:$K,$I20)&gt;0,MEDIAN(IF('Processed Non-zero DMR Data'!$K:$K=I20,'Processed Non-zero DMR Data'!$T:$T)),"N/A - Facility Does Not Report DMRs")</f>
        <v>20.412031875</v>
      </c>
      <c r="T20" s="33">
        <f t="shared" si="12"/>
        <v>5.5923374999999997E-2</v>
      </c>
      <c r="U20" s="33">
        <f>IF(COUNTIF('Processed Non-zero DMR Data'!$K:$K,$I20)&gt;0,_xlfn.MAXIFS('Processed Non-zero DMR Data'!$T:$T,'Processed Non-zero DMR Data'!$K:$K,$I20), "N/A - Facility Does Not Report DMRs")</f>
        <v>25.316445625</v>
      </c>
      <c r="V20" s="33">
        <f t="shared" si="13"/>
        <v>6.9360124999999995E-2</v>
      </c>
      <c r="W20" s="110" cm="1">
        <f t="array" ref="W20">IF(COUNTIF('Processed Non-zero DMR Data'!$K:$K,$I20)&gt;0,INDEX('Processed Non-zero DMR Data'!$A:$A,MATCH(1,($I20='Processed Non-zero DMR Data'!$K:$K)*($U20='Processed Non-zero DMR Data'!$T:$T),0)), "N/A - Facility Does Not Report DMRs")</f>
        <v>2021</v>
      </c>
      <c r="X20" s="109" cm="1">
        <f t="array" ref="X20">IFERROR(_xlfn.XLOOKUP(1,  (MAX(IF(H20 = 'Processed Non-zero TRI Data'!$I:$I,'Processed Non-zero TRI Data'!$A:$A)) = 'Processed Non-zero TRI Data'!$A:$A)*('Processed Non-zero TRI Data'!$I:$I = H20), 'Processed Non-zero TRI Data'!$S:$S), "N/A- Facility Does Not Report to TRI")</f>
        <v>0</v>
      </c>
      <c r="Y20" s="33">
        <f t="shared" si="2"/>
        <v>0</v>
      </c>
      <c r="Z20" s="33" t="str" cm="1">
        <f t="array" ref="Z20">IF(COUNTIF('Processed Non-zero TRI Data'!$I:$I,$H20)&gt;0,MEDIAN(IF('Processed Non-zero TRI Data'!$I:$I=H20,'Processed Non-zero TRI Data'!$S:$S)), "N/A - Facility Does Not Report to TRI")</f>
        <v>N/A - Facility Does Not Report to TRI</v>
      </c>
      <c r="AA20" s="33" t="str">
        <f t="shared" si="3"/>
        <v>N/A - Facility Does Not Report to TRI</v>
      </c>
      <c r="AB20" s="33" t="str">
        <f>IF(COUNTIF('Processed Non-zero TRI Data'!$I:$I,$H20)&gt;0,_xlfn.MAXIFS('Processed Non-zero TRI Data'!$S:$S,'Processed Non-zero TRI Data'!$I:$I,$H20), "N/A - Facility Does Not Report to TRI")</f>
        <v>N/A - Facility Does Not Report to TRI</v>
      </c>
      <c r="AC20" s="33" t="str">
        <f t="shared" si="4"/>
        <v>N/A - Facility Does Not Report to TRI</v>
      </c>
      <c r="AD20" s="110" t="str" cm="1">
        <f t="array" ref="AD20">IFERROR(IF(B20 = "TRI Form R", IF(AB20 = 0, "Facility has no on-site water discharges between 2019-2023.",  IF(COUNTIF('Processed Non-zero TRI Data'!$I:$I,$H20)&gt;0,INDEX('Processed Non-zero TRI Data'!$A:$A,MATCH(1,($H20='Processed Non-zero TRI Data'!$I:$I)*(AB20='Processed Non-zero TRI Data'!$S:$S),0)))), VLOOKUP(H20, 'Form A Recent Reporting'!$L:$M, 2, FALSE)), ("N/A - Facility Does Not Report to TRI"))</f>
        <v>N/A - Facility Does Not Report to TRI</v>
      </c>
      <c r="AE20" s="109" cm="1">
        <f t="array" ref="AE20">IFERROR(_xlfn.XLOOKUP(1,  (MAX(IF(H20 = 'Processed Non-zero TRI Data'!$I:$I,'Processed Non-zero TRI Data'!$A:$A)) = 'Processed Non-zero TRI Data'!$A:$A)*('Processed Non-zero TRI Data'!$I:$I = H20), 'Processed Non-zero TRI Data'!$U:$U), "N/A- Facility Does Not Report to TRI")</f>
        <v>0</v>
      </c>
      <c r="AF20" s="33">
        <f t="shared" si="5"/>
        <v>0</v>
      </c>
      <c r="AG20" s="33" t="str" cm="1">
        <f t="array" ref="AG20">IF(COUNTIF('Processed Non-zero TRI Data'!$I:$I,$H20)&gt;0,MEDIAN(IF('Processed Non-zero TRI Data'!$I:$I=H20,'Processed Non-zero TRI Data'!$U:$U)), "N/A - Facility Does Not Report to TRI")</f>
        <v>N/A - Facility Does Not Report to TRI</v>
      </c>
      <c r="AH20" s="33" t="str">
        <f t="shared" si="6"/>
        <v>N/A - Facility Does Not Report to TRI</v>
      </c>
      <c r="AI20" s="33" t="str">
        <f>IF(COUNTIF('Processed Non-zero TRI Data'!$I:$I,$H20)&gt;0,_xlfn.MAXIFS('Processed Non-zero TRI Data'!$U:$U,'Processed Non-zero TRI Data'!$I:$I,$H20), "N/A - Facility Does Not Report to TRI")</f>
        <v>N/A - Facility Does Not Report to TRI</v>
      </c>
      <c r="AJ20" s="33" t="str">
        <f t="shared" si="7"/>
        <v>N/A - Facility Does Not Report to TRI</v>
      </c>
      <c r="AK20" s="110" t="str" cm="1">
        <f t="array" ref="AK20">IF(B20="TRI Form A",AD20,IF(AI20=0,"Facility has no transfers to POTWs between 2019-2023.",IF(COUNTIF('Processed Non-zero TRI Data'!$I:$I,$H20)&gt;0,INDEX('Processed Non-zero TRI Data'!$A:$A,MATCH(1,($H20='Processed Non-zero TRI Data'!$I:$I)*(AI20='Processed Non-zero TRI Data'!$U:$U),0)),"N/A - Facility Does Not Report to TRI")))</f>
        <v>N/A - Facility Does Not Report to TRI</v>
      </c>
      <c r="AL20" s="109" cm="1">
        <f t="array" ref="AL20">IFERROR(_xlfn.XLOOKUP(1,  (MAX(IF(H20 = 'Processed Non-zero TRI Data'!$I$2:$I$23,'Processed Non-zero TRI Data'!$A$2:$A$23)) = 'Processed Non-zero TRI Data'!$A$2:$A$23)*('Processed Non-zero TRI Data'!$I$2:$I$23 = H20), 'Processed Non-zero TRI Data'!$W$2:$W$23), "N/A- Facility Does Not Report to TRI")</f>
        <v>0</v>
      </c>
      <c r="AM20" s="33">
        <f t="shared" si="8"/>
        <v>0</v>
      </c>
      <c r="AN20" s="33" t="str" cm="1">
        <f t="array" ref="AN20">IF(COUNTIF('Processed Non-zero TRI Data'!$I:$I,$H20)&gt;0,MEDIAN(IF('Processed Non-zero TRI Data'!$I:$I=H20,'Processed Non-zero TRI Data'!$W:$W)), "N/A - Facility Does Not Report to TRI")</f>
        <v>N/A - Facility Does Not Report to TRI</v>
      </c>
      <c r="AO20" s="33" t="str">
        <f t="shared" si="9"/>
        <v>N/A - Facility Does Not Report to TRI</v>
      </c>
      <c r="AP20" s="33" t="str">
        <f>IF(COUNTIF('Processed Non-zero TRI Data'!$I:$I,$H20)&gt;0,_xlfn.MAXIFS('Processed Non-zero TRI Data'!$W:$W,'Processed Non-zero TRI Data'!$I:$I,$H20), "N/A - Facility Does Not Report to TRI")</f>
        <v>N/A - Facility Does Not Report to TRI</v>
      </c>
      <c r="AQ20" s="33" t="str">
        <f t="shared" si="10"/>
        <v>N/A - Facility Does Not Report to TRI</v>
      </c>
      <c r="AR20" s="110" t="str" cm="1">
        <f t="array" ref="AR20">IF(B20="TRI Form A",AD20,IF(AP20=0,"Facility has no transfers to non-POTWs between 2019-2023.",IF(COUNTIF('Processed Non-zero TRI Data'!$I:$I,$H20)&gt;0,INDEX('Processed Non-zero TRI Data'!$A:$A,MATCH(1,($H20='Processed Non-zero TRI Data'!$I:$I)*(AP20='Processed Non-zero TRI Data'!$W:$W),0)),"N/A - Facility Does Not Report to TRI")))</f>
        <v>N/A - Facility Does Not Report to TRI</v>
      </c>
    </row>
    <row r="21" spans="1:44" ht="29" x14ac:dyDescent="0.35">
      <c r="A21" s="34">
        <v>18</v>
      </c>
      <c r="B21" s="33" t="str">
        <f>IFERROR("TRI Form "&amp;VLOOKUP(H21,'Processed Non-zero TRI Data'!$I$2:$K$23,3,FALSE),"DMR")</f>
        <v>DMR</v>
      </c>
      <c r="C21" s="33" t="str">
        <f>VLOOKUP($D21, 'COU.OES Summary'!C:D, 2, FALSE)</f>
        <v> </v>
      </c>
      <c r="D21" s="33" t="str">
        <f>IFERROR(VLOOKUP($H21, 'Processed Non-zero TRI Data'!$I:$O, 7, FALSE), VLOOKUP($I21, 'Processed Non-zero DMR Data'!$K:$R, 8, FALSE))</f>
        <v>Waste handling, treatment, and disposal - POTW</v>
      </c>
      <c r="E21" s="34" t="s">
        <v>132</v>
      </c>
      <c r="F21" s="34" t="s">
        <v>133</v>
      </c>
      <c r="G21" s="34" t="s">
        <v>108</v>
      </c>
      <c r="H21" s="34"/>
      <c r="I21" s="105">
        <v>110000732244</v>
      </c>
      <c r="J21" s="33" t="str">
        <f>IFERROR(VLOOKUP($I21, 'Processed Non-zero DMR Data'!$K:$U, 11, FALSE),"")</f>
        <v>KY0022373</v>
      </c>
      <c r="K21" s="33" t="str">
        <f>IFERROR(VLOOKUP($I21, 'Processed Non-zero DMR Data'!$K:$V, 12, FALSE),"Not Reported")</f>
        <v>Solida Creek-Ohio River</v>
      </c>
      <c r="L21" s="106">
        <f>IFERROR(VLOOKUP($I21, 'Processed Non-zero DMR Data'!$K:$W, 13, FALSE),"No Reach Code Reported")</f>
        <v>50901030101</v>
      </c>
      <c r="M21" s="107" t="str">
        <f>IFERROR(IFERROR(VLOOKUP(H21, 'Off-site Locations'!$K$3:$O$5, 5, FALSE), VLOOKUP(H21, 'Off-site Locations'!$B$3:$E$4, 4, FALSE)), "No Offsite Transfers")</f>
        <v>No Offsite Transfers</v>
      </c>
      <c r="N21" s="33">
        <f>VLOOKUP($D21, 'COU.OES Summary'!C:E, 3, FALSE)</f>
        <v>365</v>
      </c>
      <c r="O21" s="108">
        <f t="shared" si="0"/>
        <v>0</v>
      </c>
      <c r="P21" s="108">
        <f t="shared" si="1"/>
        <v>24.038535</v>
      </c>
      <c r="Q21" s="109" cm="1">
        <f t="array" ref="Q21">IFERROR(_xlfn.XLOOKUP(1,  (MAX(IF(I21 = 'Processed Non-zero DMR Data'!$K:$K,'Processed Non-zero DMR Data'!$A:$A)) = 'Processed Non-zero DMR Data'!$A:$A)*('Processed Non-zero DMR Data'!$K:$K = I21),'Processed Non-zero DMR Data'!$T:$T), "N/A- Facility Does Not Report DMRs")</f>
        <v>24.038535</v>
      </c>
      <c r="R21" s="33">
        <f t="shared" si="11"/>
        <v>6.5859000000000001E-2</v>
      </c>
      <c r="S21" s="33" cm="1">
        <f t="array" ref="S21">IF(COUNTIF('Processed Non-zero DMR Data'!$K:$K,$I21)&gt;0,MEDIAN(IF('Processed Non-zero DMR Data'!$K:$K=I21,'Processed Non-zero DMR Data'!$T:$T)),"N/A - Facility Does Not Report DMRs")</f>
        <v>24.038535</v>
      </c>
      <c r="T21" s="33">
        <f t="shared" si="12"/>
        <v>6.5859000000000001E-2</v>
      </c>
      <c r="U21" s="33">
        <f>IF(COUNTIF('Processed Non-zero DMR Data'!$K:$K,$I21)&gt;0,_xlfn.MAXIFS('Processed Non-zero DMR Data'!$T:$T,'Processed Non-zero DMR Data'!$K:$K,$I21), "N/A - Facility Does Not Report DMRs")</f>
        <v>24.038535</v>
      </c>
      <c r="V21" s="33">
        <f t="shared" si="13"/>
        <v>6.5859000000000001E-2</v>
      </c>
      <c r="W21" s="110" cm="1">
        <f t="array" ref="W21">IF(COUNTIF('Processed Non-zero DMR Data'!$K:$K,$I21)&gt;0,INDEX('Processed Non-zero DMR Data'!$A:$A,MATCH(1,($I21='Processed Non-zero DMR Data'!$K:$K)*($U21='Processed Non-zero DMR Data'!$T:$T),0)), "N/A - Facility Does Not Report DMRs")</f>
        <v>2019</v>
      </c>
      <c r="X21" s="109" cm="1">
        <f t="array" ref="X21">IFERROR(_xlfn.XLOOKUP(1,  (MAX(IF(H21 = 'Processed Non-zero TRI Data'!$I:$I,'Processed Non-zero TRI Data'!$A:$A)) = 'Processed Non-zero TRI Data'!$A:$A)*('Processed Non-zero TRI Data'!$I:$I = H21), 'Processed Non-zero TRI Data'!$S:$S), "N/A- Facility Does Not Report to TRI")</f>
        <v>0</v>
      </c>
      <c r="Y21" s="33">
        <f t="shared" si="2"/>
        <v>0</v>
      </c>
      <c r="Z21" s="33" t="str" cm="1">
        <f t="array" ref="Z21">IF(COUNTIF('Processed Non-zero TRI Data'!$I:$I,$H21)&gt;0,MEDIAN(IF('Processed Non-zero TRI Data'!$I:$I=H21,'Processed Non-zero TRI Data'!$S:$S)), "N/A - Facility Does Not Report to TRI")</f>
        <v>N/A - Facility Does Not Report to TRI</v>
      </c>
      <c r="AA21" s="33" t="str">
        <f t="shared" si="3"/>
        <v>N/A - Facility Does Not Report to TRI</v>
      </c>
      <c r="AB21" s="33" t="str">
        <f>IF(COUNTIF('Processed Non-zero TRI Data'!$I:$I,$H21)&gt;0,_xlfn.MAXIFS('Processed Non-zero TRI Data'!$S:$S,'Processed Non-zero TRI Data'!$I:$I,$H21), "N/A - Facility Does Not Report to TRI")</f>
        <v>N/A - Facility Does Not Report to TRI</v>
      </c>
      <c r="AC21" s="33" t="str">
        <f t="shared" si="4"/>
        <v>N/A - Facility Does Not Report to TRI</v>
      </c>
      <c r="AD21" s="110" t="str" cm="1">
        <f t="array" ref="AD21">IFERROR(IF(B21 = "TRI Form R", IF(AB21 = 0, "Facility has no on-site water discharges between 2019-2023.",  IF(COUNTIF('Processed Non-zero TRI Data'!$I:$I,$H21)&gt;0,INDEX('Processed Non-zero TRI Data'!$A:$A,MATCH(1,($H21='Processed Non-zero TRI Data'!$I:$I)*(AB21='Processed Non-zero TRI Data'!$S:$S),0)))), VLOOKUP(H21, 'Form A Recent Reporting'!$L:$M, 2, FALSE)), ("N/A - Facility Does Not Report to TRI"))</f>
        <v>N/A - Facility Does Not Report to TRI</v>
      </c>
      <c r="AE21" s="109" cm="1">
        <f t="array" ref="AE21">IFERROR(_xlfn.XLOOKUP(1,  (MAX(IF(H21 = 'Processed Non-zero TRI Data'!$I:$I,'Processed Non-zero TRI Data'!$A:$A)) = 'Processed Non-zero TRI Data'!$A:$A)*('Processed Non-zero TRI Data'!$I:$I = H21), 'Processed Non-zero TRI Data'!$U:$U), "N/A- Facility Does Not Report to TRI")</f>
        <v>0</v>
      </c>
      <c r="AF21" s="33">
        <f t="shared" si="5"/>
        <v>0</v>
      </c>
      <c r="AG21" s="33" t="str" cm="1">
        <f t="array" ref="AG21">IF(COUNTIF('Processed Non-zero TRI Data'!$I:$I,$H21)&gt;0,MEDIAN(IF('Processed Non-zero TRI Data'!$I:$I=H21,'Processed Non-zero TRI Data'!$U:$U)), "N/A - Facility Does Not Report to TRI")</f>
        <v>N/A - Facility Does Not Report to TRI</v>
      </c>
      <c r="AH21" s="33" t="str">
        <f t="shared" si="6"/>
        <v>N/A - Facility Does Not Report to TRI</v>
      </c>
      <c r="AI21" s="33" t="str">
        <f>IF(COUNTIF('Processed Non-zero TRI Data'!$I:$I,$H21)&gt;0,_xlfn.MAXIFS('Processed Non-zero TRI Data'!$U:$U,'Processed Non-zero TRI Data'!$I:$I,$H21), "N/A - Facility Does Not Report to TRI")</f>
        <v>N/A - Facility Does Not Report to TRI</v>
      </c>
      <c r="AJ21" s="33" t="str">
        <f t="shared" si="7"/>
        <v>N/A - Facility Does Not Report to TRI</v>
      </c>
      <c r="AK21" s="110" t="str" cm="1">
        <f t="array" ref="AK21">IF(B21="TRI Form A",AD21,IF(AI21=0,"Facility has no transfers to POTWs between 2019-2023.",IF(COUNTIF('Processed Non-zero TRI Data'!$I:$I,$H21)&gt;0,INDEX('Processed Non-zero TRI Data'!$A:$A,MATCH(1,($H21='Processed Non-zero TRI Data'!$I:$I)*(AI21='Processed Non-zero TRI Data'!$U:$U),0)),"N/A - Facility Does Not Report to TRI")))</f>
        <v>N/A - Facility Does Not Report to TRI</v>
      </c>
      <c r="AL21" s="109" cm="1">
        <f t="array" ref="AL21">IFERROR(_xlfn.XLOOKUP(1,  (MAX(IF(H21 = 'Processed Non-zero TRI Data'!$I$2:$I$23,'Processed Non-zero TRI Data'!$A$2:$A$23)) = 'Processed Non-zero TRI Data'!$A$2:$A$23)*('Processed Non-zero TRI Data'!$I$2:$I$23 = H21), 'Processed Non-zero TRI Data'!$W$2:$W$23), "N/A- Facility Does Not Report to TRI")</f>
        <v>0</v>
      </c>
      <c r="AM21" s="33">
        <f t="shared" si="8"/>
        <v>0</v>
      </c>
      <c r="AN21" s="33" t="str" cm="1">
        <f t="array" ref="AN21">IF(COUNTIF('Processed Non-zero TRI Data'!$I:$I,$H21)&gt;0,MEDIAN(IF('Processed Non-zero TRI Data'!$I:$I=H21,'Processed Non-zero TRI Data'!$W:$W)), "N/A - Facility Does Not Report to TRI")</f>
        <v>N/A - Facility Does Not Report to TRI</v>
      </c>
      <c r="AO21" s="33" t="str">
        <f t="shared" si="9"/>
        <v>N/A - Facility Does Not Report to TRI</v>
      </c>
      <c r="AP21" s="33" t="str">
        <f>IF(COUNTIF('Processed Non-zero TRI Data'!$I:$I,$H21)&gt;0,_xlfn.MAXIFS('Processed Non-zero TRI Data'!$W:$W,'Processed Non-zero TRI Data'!$I:$I,$H21), "N/A - Facility Does Not Report to TRI")</f>
        <v>N/A - Facility Does Not Report to TRI</v>
      </c>
      <c r="AQ21" s="33" t="str">
        <f t="shared" si="10"/>
        <v>N/A - Facility Does Not Report to TRI</v>
      </c>
      <c r="AR21" s="110" t="str" cm="1">
        <f t="array" ref="AR21">IF(B21="TRI Form A",AD21,IF(AP21=0,"Facility has no transfers to non-POTWs between 2019-2023.",IF(COUNTIF('Processed Non-zero TRI Data'!$I:$I,$H21)&gt;0,INDEX('Processed Non-zero TRI Data'!$A:$A,MATCH(1,($H21='Processed Non-zero TRI Data'!$I:$I)*(AP21='Processed Non-zero TRI Data'!$W:$W),0)),"N/A - Facility Does Not Report to TRI")))</f>
        <v>N/A - Facility Does Not Report to TRI</v>
      </c>
    </row>
    <row r="22" spans="1:44" ht="29" x14ac:dyDescent="0.35">
      <c r="A22" s="34">
        <v>19</v>
      </c>
      <c r="B22" s="33" t="str">
        <f>IFERROR("TRI Form "&amp;VLOOKUP(H22,'Processed Non-zero TRI Data'!$I$2:$K$23,3,FALSE),"DMR")</f>
        <v>DMR</v>
      </c>
      <c r="C22" s="33" t="str">
        <f>VLOOKUP($D22, 'COU.OES Summary'!C:D, 2, FALSE)</f>
        <v> </v>
      </c>
      <c r="D22" s="33" t="str">
        <f>IFERROR(VLOOKUP($H22, 'Processed Non-zero TRI Data'!$I:$O, 7, FALSE), VLOOKUP($I22, 'Processed Non-zero DMR Data'!$K:$R, 8, FALSE))</f>
        <v>Waste handling, treatment, and disposal - POTW</v>
      </c>
      <c r="E22" s="34" t="s">
        <v>134</v>
      </c>
      <c r="F22" s="34" t="s">
        <v>135</v>
      </c>
      <c r="G22" s="34" t="s">
        <v>108</v>
      </c>
      <c r="H22" s="34"/>
      <c r="I22" s="105">
        <v>110039639736</v>
      </c>
      <c r="J22" s="33" t="str">
        <f>IFERROR(VLOOKUP($I22, 'Processed Non-zero DMR Data'!$K:$U, 11, FALSE),"")</f>
        <v>KY0021466</v>
      </c>
      <c r="K22" s="33" t="str">
        <f>IFERROR(VLOOKUP($I22, 'Processed Non-zero DMR Data'!$K:$V, 12, FALSE),"Not Reported")</f>
        <v>Dry Creek-Ohio River</v>
      </c>
      <c r="L22" s="106">
        <f>IFERROR(VLOOKUP($I22, 'Processed Non-zero DMR Data'!$K:$W, 13, FALSE),"No Reach Code Reported")</f>
        <v>50902030202</v>
      </c>
      <c r="M22" s="107" t="str">
        <f>IFERROR(IFERROR(VLOOKUP(H22, 'Off-site Locations'!$K$3:$O$5, 5, FALSE), VLOOKUP(H22, 'Off-site Locations'!$B$3:$E$4, 4, FALSE)), "No Offsite Transfers")</f>
        <v>No Offsite Transfers</v>
      </c>
      <c r="N22" s="33">
        <f>VLOOKUP($D22, 'COU.OES Summary'!C:E, 3, FALSE)</f>
        <v>365</v>
      </c>
      <c r="O22" s="108">
        <f t="shared" si="0"/>
        <v>0</v>
      </c>
      <c r="P22" s="108">
        <f t="shared" si="1"/>
        <v>22.366889749999999</v>
      </c>
      <c r="Q22" s="109" cm="1">
        <f t="array" ref="Q22">IFERROR(_xlfn.XLOOKUP(1,  (MAX(IF(I22 = 'Processed Non-zero DMR Data'!$K:$K,'Processed Non-zero DMR Data'!$A:$A)) = 'Processed Non-zero DMR Data'!$A:$A)*('Processed Non-zero DMR Data'!$K:$K = I22),'Processed Non-zero DMR Data'!$T:$T), "N/A- Facility Does Not Report DMRs")</f>
        <v>22.366889749999999</v>
      </c>
      <c r="R22" s="33">
        <f t="shared" si="11"/>
        <v>6.1279149999999998E-2</v>
      </c>
      <c r="S22" s="33" cm="1">
        <f t="array" ref="S22">IF(COUNTIF('Processed Non-zero DMR Data'!$K:$K,$I22)&gt;0,MEDIAN(IF('Processed Non-zero DMR Data'!$K:$K=I22,'Processed Non-zero DMR Data'!$T:$T)),"N/A - Facility Does Not Report DMRs")</f>
        <v>11.1919170770625</v>
      </c>
      <c r="T22" s="33">
        <f t="shared" si="12"/>
        <v>3.0662786512500002E-2</v>
      </c>
      <c r="U22" s="33">
        <f>IF(COUNTIF('Processed Non-zero DMR Data'!$K:$K,$I22)&gt;0,_xlfn.MAXIFS('Processed Non-zero DMR Data'!$T:$T,'Processed Non-zero DMR Data'!$K:$K,$I22), "N/A - Facility Does Not Report DMRs")</f>
        <v>22.366889749999999</v>
      </c>
      <c r="V22" s="33">
        <f t="shared" si="13"/>
        <v>6.1279149999999998E-2</v>
      </c>
      <c r="W22" s="110" cm="1">
        <f t="array" ref="W22">IF(COUNTIF('Processed Non-zero DMR Data'!$K:$K,$I22)&gt;0,INDEX('Processed Non-zero DMR Data'!$A:$A,MATCH(1,($I22='Processed Non-zero DMR Data'!$K:$K)*($U22='Processed Non-zero DMR Data'!$T:$T),0)), "N/A - Facility Does Not Report DMRs")</f>
        <v>2021</v>
      </c>
      <c r="X22" s="109" cm="1">
        <f t="array" ref="X22">IFERROR(_xlfn.XLOOKUP(1,  (MAX(IF(H22 = 'Processed Non-zero TRI Data'!$I:$I,'Processed Non-zero TRI Data'!$A:$A)) = 'Processed Non-zero TRI Data'!$A:$A)*('Processed Non-zero TRI Data'!$I:$I = H22), 'Processed Non-zero TRI Data'!$S:$S), "N/A- Facility Does Not Report to TRI")</f>
        <v>0</v>
      </c>
      <c r="Y22" s="33">
        <f t="shared" si="2"/>
        <v>0</v>
      </c>
      <c r="Z22" s="33" t="str" cm="1">
        <f t="array" ref="Z22">IF(COUNTIF('Processed Non-zero TRI Data'!$I:$I,$H22)&gt;0,MEDIAN(IF('Processed Non-zero TRI Data'!$I:$I=H22,'Processed Non-zero TRI Data'!$S:$S)), "N/A - Facility Does Not Report to TRI")</f>
        <v>N/A - Facility Does Not Report to TRI</v>
      </c>
      <c r="AA22" s="33" t="str">
        <f t="shared" si="3"/>
        <v>N/A - Facility Does Not Report to TRI</v>
      </c>
      <c r="AB22" s="33" t="str">
        <f>IF(COUNTIF('Processed Non-zero TRI Data'!$I:$I,$H22)&gt;0,_xlfn.MAXIFS('Processed Non-zero TRI Data'!$S:$S,'Processed Non-zero TRI Data'!$I:$I,$H22), "N/A - Facility Does Not Report to TRI")</f>
        <v>N/A - Facility Does Not Report to TRI</v>
      </c>
      <c r="AC22" s="33" t="str">
        <f t="shared" si="4"/>
        <v>N/A - Facility Does Not Report to TRI</v>
      </c>
      <c r="AD22" s="110" t="str" cm="1">
        <f t="array" ref="AD22">IFERROR(IF(B22 = "TRI Form R", IF(AB22 = 0, "Facility has no on-site water discharges between 2019-2023.",  IF(COUNTIF('Processed Non-zero TRI Data'!$I:$I,$H22)&gt;0,INDEX('Processed Non-zero TRI Data'!$A:$A,MATCH(1,($H22='Processed Non-zero TRI Data'!$I:$I)*(AB22='Processed Non-zero TRI Data'!$S:$S),0)))), VLOOKUP(H22, 'Form A Recent Reporting'!$L:$M, 2, FALSE)), ("N/A - Facility Does Not Report to TRI"))</f>
        <v>N/A - Facility Does Not Report to TRI</v>
      </c>
      <c r="AE22" s="109" cm="1">
        <f t="array" ref="AE22">IFERROR(_xlfn.XLOOKUP(1,  (MAX(IF(H22 = 'Processed Non-zero TRI Data'!$I:$I,'Processed Non-zero TRI Data'!$A:$A)) = 'Processed Non-zero TRI Data'!$A:$A)*('Processed Non-zero TRI Data'!$I:$I = H22), 'Processed Non-zero TRI Data'!$U:$U), "N/A- Facility Does Not Report to TRI")</f>
        <v>0</v>
      </c>
      <c r="AF22" s="33">
        <f t="shared" si="5"/>
        <v>0</v>
      </c>
      <c r="AG22" s="33" t="str" cm="1">
        <f t="array" ref="AG22">IF(COUNTIF('Processed Non-zero TRI Data'!$I:$I,$H22)&gt;0,MEDIAN(IF('Processed Non-zero TRI Data'!$I:$I=H22,'Processed Non-zero TRI Data'!$U:$U)), "N/A - Facility Does Not Report to TRI")</f>
        <v>N/A - Facility Does Not Report to TRI</v>
      </c>
      <c r="AH22" s="33" t="str">
        <f t="shared" si="6"/>
        <v>N/A - Facility Does Not Report to TRI</v>
      </c>
      <c r="AI22" s="33" t="str">
        <f>IF(COUNTIF('Processed Non-zero TRI Data'!$I:$I,$H22)&gt;0,_xlfn.MAXIFS('Processed Non-zero TRI Data'!$U:$U,'Processed Non-zero TRI Data'!$I:$I,$H22), "N/A - Facility Does Not Report to TRI")</f>
        <v>N/A - Facility Does Not Report to TRI</v>
      </c>
      <c r="AJ22" s="33" t="str">
        <f t="shared" si="7"/>
        <v>N/A - Facility Does Not Report to TRI</v>
      </c>
      <c r="AK22" s="110" t="str" cm="1">
        <f t="array" ref="AK22">IF(B22="TRI Form A",AD22,IF(AI22=0,"Facility has no transfers to POTWs between 2019-2023.",IF(COUNTIF('Processed Non-zero TRI Data'!$I:$I,$H22)&gt;0,INDEX('Processed Non-zero TRI Data'!$A:$A,MATCH(1,($H22='Processed Non-zero TRI Data'!$I:$I)*(AI22='Processed Non-zero TRI Data'!$U:$U),0)),"N/A - Facility Does Not Report to TRI")))</f>
        <v>N/A - Facility Does Not Report to TRI</v>
      </c>
      <c r="AL22" s="109" cm="1">
        <f t="array" ref="AL22">IFERROR(_xlfn.XLOOKUP(1,  (MAX(IF(H22 = 'Processed Non-zero TRI Data'!$I$2:$I$23,'Processed Non-zero TRI Data'!$A$2:$A$23)) = 'Processed Non-zero TRI Data'!$A$2:$A$23)*('Processed Non-zero TRI Data'!$I$2:$I$23 = H22), 'Processed Non-zero TRI Data'!$W$2:$W$23), "N/A- Facility Does Not Report to TRI")</f>
        <v>0</v>
      </c>
      <c r="AM22" s="33">
        <f t="shared" si="8"/>
        <v>0</v>
      </c>
      <c r="AN22" s="33" t="str" cm="1">
        <f t="array" ref="AN22">IF(COUNTIF('Processed Non-zero TRI Data'!$I:$I,$H22)&gt;0,MEDIAN(IF('Processed Non-zero TRI Data'!$I:$I=H22,'Processed Non-zero TRI Data'!$W:$W)), "N/A - Facility Does Not Report to TRI")</f>
        <v>N/A - Facility Does Not Report to TRI</v>
      </c>
      <c r="AO22" s="33" t="str">
        <f t="shared" si="9"/>
        <v>N/A - Facility Does Not Report to TRI</v>
      </c>
      <c r="AP22" s="33" t="str">
        <f>IF(COUNTIF('Processed Non-zero TRI Data'!$I:$I,$H22)&gt;0,_xlfn.MAXIFS('Processed Non-zero TRI Data'!$W:$W,'Processed Non-zero TRI Data'!$I:$I,$H22), "N/A - Facility Does Not Report to TRI")</f>
        <v>N/A - Facility Does Not Report to TRI</v>
      </c>
      <c r="AQ22" s="33" t="str">
        <f t="shared" si="10"/>
        <v>N/A - Facility Does Not Report to TRI</v>
      </c>
      <c r="AR22" s="110" t="str" cm="1">
        <f t="array" ref="AR22">IF(B22="TRI Form A",AD22,IF(AP22=0,"Facility has no transfers to non-POTWs between 2019-2023.",IF(COUNTIF('Processed Non-zero TRI Data'!$I:$I,$H22)&gt;0,INDEX('Processed Non-zero TRI Data'!$A:$A,MATCH(1,($H22='Processed Non-zero TRI Data'!$I:$I)*(AP22='Processed Non-zero TRI Data'!$W:$W),0)),"N/A - Facility Does Not Report to TRI")))</f>
        <v>N/A - Facility Does Not Report to TRI</v>
      </c>
    </row>
    <row r="23" spans="1:44" ht="29" x14ac:dyDescent="0.35">
      <c r="A23" s="34">
        <v>20</v>
      </c>
      <c r="B23" s="33" t="str">
        <f>IFERROR("TRI Form "&amp;VLOOKUP(H23,'Processed Non-zero TRI Data'!$I$2:$K$23,3,FALSE),"DMR")</f>
        <v>DMR</v>
      </c>
      <c r="C23" s="33" t="str">
        <f>VLOOKUP($D23, 'COU.OES Summary'!C:D, 2, FALSE)</f>
        <v> </v>
      </c>
      <c r="D23" s="33" t="str">
        <f>IFERROR(VLOOKUP($H23, 'Processed Non-zero TRI Data'!$I:$O, 7, FALSE), VLOOKUP($I23, 'Processed Non-zero DMR Data'!$K:$R, 8, FALSE))</f>
        <v>Waste handling, treatment, and disposal - POTW</v>
      </c>
      <c r="E23" s="34" t="s">
        <v>136</v>
      </c>
      <c r="F23" s="34" t="s">
        <v>137</v>
      </c>
      <c r="G23" s="34" t="s">
        <v>108</v>
      </c>
      <c r="H23" s="34"/>
      <c r="I23" s="105">
        <v>110002041380</v>
      </c>
      <c r="J23" s="33" t="str">
        <f>IFERROR(VLOOKUP($I23, 'Processed Non-zero DMR Data'!$K:$U, 11, FALSE),"")</f>
        <v>KY0098043</v>
      </c>
      <c r="K23" s="33" t="str">
        <f>IFERROR(VLOOKUP($I23, 'Processed Non-zero DMR Data'!$K:$V, 12, FALSE),"Not Reported")</f>
        <v>Greasy Creek-Clear Creek</v>
      </c>
      <c r="L23" s="106">
        <f>IFERROR(VLOOKUP($I23, 'Processed Non-zero DMR Data'!$K:$W, 13, FALSE),"No Reach Code Reported")</f>
        <v>51402050202</v>
      </c>
      <c r="M23" s="107" t="str">
        <f>IFERROR(IFERROR(VLOOKUP(H23, 'Off-site Locations'!$K$3:$O$5, 5, FALSE), VLOOKUP(H23, 'Off-site Locations'!$B$3:$E$4, 4, FALSE)), "No Offsite Transfers")</f>
        <v>No Offsite Transfers</v>
      </c>
      <c r="N23" s="33">
        <f>VLOOKUP($D23, 'COU.OES Summary'!C:E, 3, FALSE)</f>
        <v>365</v>
      </c>
      <c r="O23" s="108">
        <f t="shared" si="0"/>
        <v>0</v>
      </c>
      <c r="P23" s="108">
        <f t="shared" si="1"/>
        <v>19.372434312500001</v>
      </c>
      <c r="Q23" s="109" cm="1">
        <f t="array" ref="Q23">IFERROR(_xlfn.XLOOKUP(1,  (MAX(IF(I23 = 'Processed Non-zero DMR Data'!$K:$K,'Processed Non-zero DMR Data'!$A:$A)) = 'Processed Non-zero DMR Data'!$A:$A)*('Processed Non-zero DMR Data'!$K:$K = I23),'Processed Non-zero DMR Data'!$T:$T), "N/A- Facility Does Not Report DMRs")</f>
        <v>6.4088944750000003</v>
      </c>
      <c r="R23" s="33">
        <f t="shared" si="11"/>
        <v>1.7558615E-2</v>
      </c>
      <c r="S23" s="33" cm="1">
        <f t="array" ref="S23">IF(COUNTIF('Processed Non-zero DMR Data'!$K:$K,$I23)&gt;0,MEDIAN(IF('Processed Non-zero DMR Data'!$K:$K=I23,'Processed Non-zero DMR Data'!$T:$T)),"N/A - Facility Does Not Report DMRs")</f>
        <v>6.6741472750000002</v>
      </c>
      <c r="T23" s="33">
        <f t="shared" si="12"/>
        <v>1.8285335E-2</v>
      </c>
      <c r="U23" s="33">
        <f>IF(COUNTIF('Processed Non-zero DMR Data'!$K:$K,$I23)&gt;0,_xlfn.MAXIFS('Processed Non-zero DMR Data'!$T:$T,'Processed Non-zero DMR Data'!$K:$K,$I23), "N/A - Facility Does Not Report DMRs")</f>
        <v>19.372434312500001</v>
      </c>
      <c r="V23" s="33">
        <f t="shared" si="13"/>
        <v>5.3075162500000002E-2</v>
      </c>
      <c r="W23" s="110" cm="1">
        <f t="array" ref="W23">IF(COUNTIF('Processed Non-zero DMR Data'!$K:$K,$I23)&gt;0,INDEX('Processed Non-zero DMR Data'!$A:$A,MATCH(1,($I23='Processed Non-zero DMR Data'!$K:$K)*($U23='Processed Non-zero DMR Data'!$T:$T),0)), "N/A - Facility Does Not Report DMRs")</f>
        <v>2021</v>
      </c>
      <c r="X23" s="109" cm="1">
        <f t="array" ref="X23">IFERROR(_xlfn.XLOOKUP(1,  (MAX(IF(H23 = 'Processed Non-zero TRI Data'!$I:$I,'Processed Non-zero TRI Data'!$A:$A)) = 'Processed Non-zero TRI Data'!$A:$A)*('Processed Non-zero TRI Data'!$I:$I = H23), 'Processed Non-zero TRI Data'!$S:$S), "N/A- Facility Does Not Report to TRI")</f>
        <v>0</v>
      </c>
      <c r="Y23" s="33">
        <f t="shared" si="2"/>
        <v>0</v>
      </c>
      <c r="Z23" s="33" t="str" cm="1">
        <f t="array" ref="Z23">IF(COUNTIF('Processed Non-zero TRI Data'!$I:$I,$H23)&gt;0,MEDIAN(IF('Processed Non-zero TRI Data'!$I:$I=H23,'Processed Non-zero TRI Data'!$S:$S)), "N/A - Facility Does Not Report to TRI")</f>
        <v>N/A - Facility Does Not Report to TRI</v>
      </c>
      <c r="AA23" s="33" t="str">
        <f t="shared" si="3"/>
        <v>N/A - Facility Does Not Report to TRI</v>
      </c>
      <c r="AB23" s="33" t="str">
        <f>IF(COUNTIF('Processed Non-zero TRI Data'!$I:$I,$H23)&gt;0,_xlfn.MAXIFS('Processed Non-zero TRI Data'!$S:$S,'Processed Non-zero TRI Data'!$I:$I,$H23), "N/A - Facility Does Not Report to TRI")</f>
        <v>N/A - Facility Does Not Report to TRI</v>
      </c>
      <c r="AC23" s="33" t="str">
        <f t="shared" si="4"/>
        <v>N/A - Facility Does Not Report to TRI</v>
      </c>
      <c r="AD23" s="110" t="str" cm="1">
        <f t="array" ref="AD23">IFERROR(IF(B23 = "TRI Form R", IF(AB23 = 0, "Facility has no on-site water discharges between 2019-2023.",  IF(COUNTIF('Processed Non-zero TRI Data'!$I:$I,$H23)&gt;0,INDEX('Processed Non-zero TRI Data'!$A:$A,MATCH(1,($H23='Processed Non-zero TRI Data'!$I:$I)*(AB23='Processed Non-zero TRI Data'!$S:$S),0)))), VLOOKUP(H23, 'Form A Recent Reporting'!$L:$M, 2, FALSE)), ("N/A - Facility Does Not Report to TRI"))</f>
        <v>N/A - Facility Does Not Report to TRI</v>
      </c>
      <c r="AE23" s="109" cm="1">
        <f t="array" ref="AE23">IFERROR(_xlfn.XLOOKUP(1,  (MAX(IF(H23 = 'Processed Non-zero TRI Data'!$I:$I,'Processed Non-zero TRI Data'!$A:$A)) = 'Processed Non-zero TRI Data'!$A:$A)*('Processed Non-zero TRI Data'!$I:$I = H23), 'Processed Non-zero TRI Data'!$U:$U), "N/A- Facility Does Not Report to TRI")</f>
        <v>0</v>
      </c>
      <c r="AF23" s="33">
        <f t="shared" si="5"/>
        <v>0</v>
      </c>
      <c r="AG23" s="33" t="str" cm="1">
        <f t="array" ref="AG23">IF(COUNTIF('Processed Non-zero TRI Data'!$I:$I,$H23)&gt;0,MEDIAN(IF('Processed Non-zero TRI Data'!$I:$I=H23,'Processed Non-zero TRI Data'!$U:$U)), "N/A - Facility Does Not Report to TRI")</f>
        <v>N/A - Facility Does Not Report to TRI</v>
      </c>
      <c r="AH23" s="33" t="str">
        <f t="shared" si="6"/>
        <v>N/A - Facility Does Not Report to TRI</v>
      </c>
      <c r="AI23" s="33" t="str">
        <f>IF(COUNTIF('Processed Non-zero TRI Data'!$I:$I,$H23)&gt;0,_xlfn.MAXIFS('Processed Non-zero TRI Data'!$U:$U,'Processed Non-zero TRI Data'!$I:$I,$H23), "N/A - Facility Does Not Report to TRI")</f>
        <v>N/A - Facility Does Not Report to TRI</v>
      </c>
      <c r="AJ23" s="33" t="str">
        <f t="shared" si="7"/>
        <v>N/A - Facility Does Not Report to TRI</v>
      </c>
      <c r="AK23" s="110" t="str" cm="1">
        <f t="array" ref="AK23">IF(B23="TRI Form A",AD23,IF(AI23=0,"Facility has no transfers to POTWs between 2019-2023.",IF(COUNTIF('Processed Non-zero TRI Data'!$I:$I,$H23)&gt;0,INDEX('Processed Non-zero TRI Data'!$A:$A,MATCH(1,($H23='Processed Non-zero TRI Data'!$I:$I)*(AI23='Processed Non-zero TRI Data'!$U:$U),0)),"N/A - Facility Does Not Report to TRI")))</f>
        <v>N/A - Facility Does Not Report to TRI</v>
      </c>
      <c r="AL23" s="109" cm="1">
        <f t="array" ref="AL23">IFERROR(_xlfn.XLOOKUP(1,  (MAX(IF(H23 = 'Processed Non-zero TRI Data'!$I$2:$I$23,'Processed Non-zero TRI Data'!$A$2:$A$23)) = 'Processed Non-zero TRI Data'!$A$2:$A$23)*('Processed Non-zero TRI Data'!$I$2:$I$23 = H23), 'Processed Non-zero TRI Data'!$W$2:$W$23), "N/A- Facility Does Not Report to TRI")</f>
        <v>0</v>
      </c>
      <c r="AM23" s="33">
        <f t="shared" si="8"/>
        <v>0</v>
      </c>
      <c r="AN23" s="33" t="str" cm="1">
        <f t="array" ref="AN23">IF(COUNTIF('Processed Non-zero TRI Data'!$I:$I,$H23)&gt;0,MEDIAN(IF('Processed Non-zero TRI Data'!$I:$I=H23,'Processed Non-zero TRI Data'!$W:$W)), "N/A - Facility Does Not Report to TRI")</f>
        <v>N/A - Facility Does Not Report to TRI</v>
      </c>
      <c r="AO23" s="33" t="str">
        <f t="shared" si="9"/>
        <v>N/A - Facility Does Not Report to TRI</v>
      </c>
      <c r="AP23" s="33" t="str">
        <f>IF(COUNTIF('Processed Non-zero TRI Data'!$I:$I,$H23)&gt;0,_xlfn.MAXIFS('Processed Non-zero TRI Data'!$W:$W,'Processed Non-zero TRI Data'!$I:$I,$H23), "N/A - Facility Does Not Report to TRI")</f>
        <v>N/A - Facility Does Not Report to TRI</v>
      </c>
      <c r="AQ23" s="33" t="str">
        <f t="shared" si="10"/>
        <v>N/A - Facility Does Not Report to TRI</v>
      </c>
      <c r="AR23" s="110" t="str" cm="1">
        <f t="array" ref="AR23">IF(B23="TRI Form A",AD23,IF(AP23=0,"Facility has no transfers to non-POTWs between 2019-2023.",IF(COUNTIF('Processed Non-zero TRI Data'!$I:$I,$H23)&gt;0,INDEX('Processed Non-zero TRI Data'!$A:$A,MATCH(1,($H23='Processed Non-zero TRI Data'!$I:$I)*(AP23='Processed Non-zero TRI Data'!$W:$W),0)),"N/A - Facility Does Not Report to TRI")))</f>
        <v>N/A - Facility Does Not Report to TRI</v>
      </c>
    </row>
    <row r="24" spans="1:44" ht="29" x14ac:dyDescent="0.35">
      <c r="A24" s="34">
        <v>21</v>
      </c>
      <c r="B24" s="33" t="str">
        <f>IFERROR("TRI Form "&amp;VLOOKUP(H24,'Processed Non-zero TRI Data'!$I$2:$K$23,3,FALSE),"DMR")</f>
        <v>DMR</v>
      </c>
      <c r="C24" s="33" t="str">
        <f>VLOOKUP($D24, 'COU.OES Summary'!C:D, 2, FALSE)</f>
        <v> </v>
      </c>
      <c r="D24" s="33" t="str">
        <f>IFERROR(VLOOKUP($H24, 'Processed Non-zero TRI Data'!$I:$O, 7, FALSE), VLOOKUP($I24, 'Processed Non-zero DMR Data'!$K:$R, 8, FALSE))</f>
        <v>Waste handling, treatment, and disposal - POTW</v>
      </c>
      <c r="E24" s="34" t="s">
        <v>138</v>
      </c>
      <c r="F24" s="34" t="s">
        <v>107</v>
      </c>
      <c r="G24" s="34" t="s">
        <v>108</v>
      </c>
      <c r="H24" s="34"/>
      <c r="I24" s="105">
        <v>110043486457</v>
      </c>
      <c r="J24" s="33" t="str">
        <f>IFERROR(VLOOKUP($I24, 'Processed Non-zero DMR Data'!$K:$U, 11, FALSE),"")</f>
        <v>KY0102784</v>
      </c>
      <c r="K24" s="33" t="str">
        <f>IFERROR(VLOOKUP($I24, 'Processed Non-zero DMR Data'!$K:$V, 12, FALSE),"Not Reported")</f>
        <v>Brush Run-Floyds Fork</v>
      </c>
      <c r="L24" s="106">
        <f>IFERROR(VLOOKUP($I24, 'Processed Non-zero DMR Data'!$K:$W, 13, FALSE),"No Reach Code Reported")</f>
        <v>51401020804</v>
      </c>
      <c r="M24" s="107" t="str">
        <f>IFERROR(IFERROR(VLOOKUP(H24, 'Off-site Locations'!$K$3:$O$5, 5, FALSE), VLOOKUP(H24, 'Off-site Locations'!$B$3:$E$4, 4, FALSE)), "No Offsite Transfers")</f>
        <v>No Offsite Transfers</v>
      </c>
      <c r="N24" s="33">
        <f>VLOOKUP($D24, 'COU.OES Summary'!C:E, 3, FALSE)</f>
        <v>365</v>
      </c>
      <c r="O24" s="108">
        <f t="shared" si="0"/>
        <v>0</v>
      </c>
      <c r="P24" s="108">
        <f t="shared" si="1"/>
        <v>15.645770625000001</v>
      </c>
      <c r="Q24" s="109" cm="1">
        <f t="array" ref="Q24">IFERROR(_xlfn.XLOOKUP(1,  (MAX(IF(I24 = 'Processed Non-zero DMR Data'!$K:$K,'Processed Non-zero DMR Data'!$A:$A)) = 'Processed Non-zero DMR Data'!$A:$A)*('Processed Non-zero DMR Data'!$K:$K = I24),'Processed Non-zero DMR Data'!$T:$T), "N/A- Facility Does Not Report DMRs")</f>
        <v>11.722239625</v>
      </c>
      <c r="R24" s="33">
        <f t="shared" si="11"/>
        <v>3.2115724999999998E-2</v>
      </c>
      <c r="S24" s="33" cm="1">
        <f t="array" ref="S24">IF(COUNTIF('Processed Non-zero DMR Data'!$K:$K,$I24)&gt;0,MEDIAN(IF('Processed Non-zero DMR Data'!$K:$K=I24,'Processed Non-zero DMR Data'!$T:$T)),"N/A - Facility Does Not Report DMRs")</f>
        <v>12.817098187499999</v>
      </c>
      <c r="T24" s="33">
        <f t="shared" si="12"/>
        <v>3.5115337499999996E-2</v>
      </c>
      <c r="U24" s="33">
        <f>IF(COUNTIF('Processed Non-zero DMR Data'!$K:$K,$I24)&gt;0,_xlfn.MAXIFS('Processed Non-zero DMR Data'!$T:$T,'Processed Non-zero DMR Data'!$K:$K,$I24), "N/A - Facility Does Not Report DMRs")</f>
        <v>15.645770625000001</v>
      </c>
      <c r="V24" s="33">
        <f t="shared" si="13"/>
        <v>4.2865125000000004E-2</v>
      </c>
      <c r="W24" s="110" cm="1">
        <f t="array" ref="W24">IF(COUNTIF('Processed Non-zero DMR Data'!$K:$K,$I24)&gt;0,INDEX('Processed Non-zero DMR Data'!$A:$A,MATCH(1,($I24='Processed Non-zero DMR Data'!$K:$K)*($U24='Processed Non-zero DMR Data'!$T:$T),0)), "N/A - Facility Does Not Report DMRs")</f>
        <v>2019</v>
      </c>
      <c r="X24" s="109" cm="1">
        <f t="array" ref="X24">IFERROR(_xlfn.XLOOKUP(1,  (MAX(IF(H24 = 'Processed Non-zero TRI Data'!$I:$I,'Processed Non-zero TRI Data'!$A:$A)) = 'Processed Non-zero TRI Data'!$A:$A)*('Processed Non-zero TRI Data'!$I:$I = H24), 'Processed Non-zero TRI Data'!$S:$S), "N/A- Facility Does Not Report to TRI")</f>
        <v>0</v>
      </c>
      <c r="Y24" s="33">
        <f t="shared" si="2"/>
        <v>0</v>
      </c>
      <c r="Z24" s="33" t="str" cm="1">
        <f t="array" ref="Z24">IF(COUNTIF('Processed Non-zero TRI Data'!$I:$I,$H24)&gt;0,MEDIAN(IF('Processed Non-zero TRI Data'!$I:$I=H24,'Processed Non-zero TRI Data'!$S:$S)), "N/A - Facility Does Not Report to TRI")</f>
        <v>N/A - Facility Does Not Report to TRI</v>
      </c>
      <c r="AA24" s="33" t="str">
        <f t="shared" si="3"/>
        <v>N/A - Facility Does Not Report to TRI</v>
      </c>
      <c r="AB24" s="33" t="str">
        <f>IF(COUNTIF('Processed Non-zero TRI Data'!$I:$I,$H24)&gt;0,_xlfn.MAXIFS('Processed Non-zero TRI Data'!$S:$S,'Processed Non-zero TRI Data'!$I:$I,$H24), "N/A - Facility Does Not Report to TRI")</f>
        <v>N/A - Facility Does Not Report to TRI</v>
      </c>
      <c r="AC24" s="33" t="str">
        <f t="shared" si="4"/>
        <v>N/A - Facility Does Not Report to TRI</v>
      </c>
      <c r="AD24" s="110" t="str" cm="1">
        <f t="array" ref="AD24">IFERROR(IF(B24 = "TRI Form R", IF(AB24 = 0, "Facility has no on-site water discharges between 2019-2023.",  IF(COUNTIF('Processed Non-zero TRI Data'!$I:$I,$H24)&gt;0,INDEX('Processed Non-zero TRI Data'!$A:$A,MATCH(1,($H24='Processed Non-zero TRI Data'!$I:$I)*(AB24='Processed Non-zero TRI Data'!$S:$S),0)))), VLOOKUP(H24, 'Form A Recent Reporting'!$L:$M, 2, FALSE)), ("N/A - Facility Does Not Report to TRI"))</f>
        <v>N/A - Facility Does Not Report to TRI</v>
      </c>
      <c r="AE24" s="109" cm="1">
        <f t="array" ref="AE24">IFERROR(_xlfn.XLOOKUP(1,  (MAX(IF(H24 = 'Processed Non-zero TRI Data'!$I:$I,'Processed Non-zero TRI Data'!$A:$A)) = 'Processed Non-zero TRI Data'!$A:$A)*('Processed Non-zero TRI Data'!$I:$I = H24), 'Processed Non-zero TRI Data'!$U:$U), "N/A- Facility Does Not Report to TRI")</f>
        <v>0</v>
      </c>
      <c r="AF24" s="33">
        <f t="shared" si="5"/>
        <v>0</v>
      </c>
      <c r="AG24" s="33" t="str" cm="1">
        <f t="array" ref="AG24">IF(COUNTIF('Processed Non-zero TRI Data'!$I:$I,$H24)&gt;0,MEDIAN(IF('Processed Non-zero TRI Data'!$I:$I=H24,'Processed Non-zero TRI Data'!$U:$U)), "N/A - Facility Does Not Report to TRI")</f>
        <v>N/A - Facility Does Not Report to TRI</v>
      </c>
      <c r="AH24" s="33" t="str">
        <f t="shared" si="6"/>
        <v>N/A - Facility Does Not Report to TRI</v>
      </c>
      <c r="AI24" s="33" t="str">
        <f>IF(COUNTIF('Processed Non-zero TRI Data'!$I:$I,$H24)&gt;0,_xlfn.MAXIFS('Processed Non-zero TRI Data'!$U:$U,'Processed Non-zero TRI Data'!$I:$I,$H24), "N/A - Facility Does Not Report to TRI")</f>
        <v>N/A - Facility Does Not Report to TRI</v>
      </c>
      <c r="AJ24" s="33" t="str">
        <f t="shared" si="7"/>
        <v>N/A - Facility Does Not Report to TRI</v>
      </c>
      <c r="AK24" s="110" t="str" cm="1">
        <f t="array" ref="AK24">IF(B24="TRI Form A",AD24,IF(AI24=0,"Facility has no transfers to POTWs between 2019-2023.",IF(COUNTIF('Processed Non-zero TRI Data'!$I:$I,$H24)&gt;0,INDEX('Processed Non-zero TRI Data'!$A:$A,MATCH(1,($H24='Processed Non-zero TRI Data'!$I:$I)*(AI24='Processed Non-zero TRI Data'!$U:$U),0)),"N/A - Facility Does Not Report to TRI")))</f>
        <v>N/A - Facility Does Not Report to TRI</v>
      </c>
      <c r="AL24" s="109" cm="1">
        <f t="array" ref="AL24">IFERROR(_xlfn.XLOOKUP(1,  (MAX(IF(H24 = 'Processed Non-zero TRI Data'!$I$2:$I$23,'Processed Non-zero TRI Data'!$A$2:$A$23)) = 'Processed Non-zero TRI Data'!$A$2:$A$23)*('Processed Non-zero TRI Data'!$I$2:$I$23 = H24), 'Processed Non-zero TRI Data'!$W$2:$W$23), "N/A- Facility Does Not Report to TRI")</f>
        <v>0</v>
      </c>
      <c r="AM24" s="33">
        <f t="shared" si="8"/>
        <v>0</v>
      </c>
      <c r="AN24" s="33" t="str" cm="1">
        <f t="array" ref="AN24">IF(COUNTIF('Processed Non-zero TRI Data'!$I:$I,$H24)&gt;0,MEDIAN(IF('Processed Non-zero TRI Data'!$I:$I=H24,'Processed Non-zero TRI Data'!$W:$W)), "N/A - Facility Does Not Report to TRI")</f>
        <v>N/A - Facility Does Not Report to TRI</v>
      </c>
      <c r="AO24" s="33" t="str">
        <f t="shared" si="9"/>
        <v>N/A - Facility Does Not Report to TRI</v>
      </c>
      <c r="AP24" s="33" t="str">
        <f>IF(COUNTIF('Processed Non-zero TRI Data'!$I:$I,$H24)&gt;0,_xlfn.MAXIFS('Processed Non-zero TRI Data'!$W:$W,'Processed Non-zero TRI Data'!$I:$I,$H24), "N/A - Facility Does Not Report to TRI")</f>
        <v>N/A - Facility Does Not Report to TRI</v>
      </c>
      <c r="AQ24" s="33" t="str">
        <f t="shared" si="10"/>
        <v>N/A - Facility Does Not Report to TRI</v>
      </c>
      <c r="AR24" s="110" t="str" cm="1">
        <f t="array" ref="AR24">IF(B24="TRI Form A",AD24,IF(AP24=0,"Facility has no transfers to non-POTWs between 2019-2023.",IF(COUNTIF('Processed Non-zero TRI Data'!$I:$I,$H24)&gt;0,INDEX('Processed Non-zero TRI Data'!$A:$A,MATCH(1,($H24='Processed Non-zero TRI Data'!$I:$I)*(AP24='Processed Non-zero TRI Data'!$W:$W),0)),"N/A - Facility Does Not Report to TRI")))</f>
        <v>N/A - Facility Does Not Report to TRI</v>
      </c>
    </row>
    <row r="25" spans="1:44" ht="29" x14ac:dyDescent="0.35">
      <c r="A25" s="34">
        <v>22</v>
      </c>
      <c r="B25" s="33" t="str">
        <f>IFERROR("TRI Form "&amp;VLOOKUP(H25,'Processed Non-zero TRI Data'!$I$2:$K$23,3,FALSE),"DMR")</f>
        <v>DMR</v>
      </c>
      <c r="C25" s="33" t="str">
        <f>VLOOKUP($D25, 'COU.OES Summary'!C:D, 2, FALSE)</f>
        <v> </v>
      </c>
      <c r="D25" s="33" t="str">
        <f>IFERROR(VLOOKUP($H25, 'Processed Non-zero TRI Data'!$I:$O, 7, FALSE), VLOOKUP($I25, 'Processed Non-zero DMR Data'!$K:$R, 8, FALSE))</f>
        <v>Waste handling, treatment, and disposal - POTW</v>
      </c>
      <c r="E25" s="34" t="s">
        <v>139</v>
      </c>
      <c r="F25" s="34" t="s">
        <v>107</v>
      </c>
      <c r="G25" s="34" t="s">
        <v>108</v>
      </c>
      <c r="H25" s="34"/>
      <c r="I25" s="105">
        <v>110000732271</v>
      </c>
      <c r="J25" s="33" t="str">
        <f>IFERROR(VLOOKUP($I25, 'Processed Non-zero DMR Data'!$K:$U, 11, FALSE),"")</f>
        <v>KY0022420</v>
      </c>
      <c r="K25" s="33" t="str">
        <f>IFERROR(VLOOKUP($I25, 'Processed Non-zero DMR Data'!$K:$V, 12, FALSE),"Not Reported")</f>
        <v>South Fork Harrods Creek</v>
      </c>
      <c r="L25" s="106">
        <f>IFERROR(VLOOKUP($I25, 'Processed Non-zero DMR Data'!$K:$W, 13, FALSE),"No Reach Code Reported")</f>
        <v>51401010504</v>
      </c>
      <c r="M25" s="107" t="str">
        <f>IFERROR(IFERROR(VLOOKUP(H25, 'Off-site Locations'!$K$3:$O$5, 5, FALSE), VLOOKUP(H25, 'Off-site Locations'!$B$3:$E$4, 4, FALSE)), "No Offsite Transfers")</f>
        <v>No Offsite Transfers</v>
      </c>
      <c r="N25" s="33">
        <f>VLOOKUP($D25, 'COU.OES Summary'!C:E, 3, FALSE)</f>
        <v>365</v>
      </c>
      <c r="O25" s="108">
        <f t="shared" si="0"/>
        <v>0</v>
      </c>
      <c r="P25" s="108">
        <f t="shared" si="1"/>
        <v>14.702879812500001</v>
      </c>
      <c r="Q25" s="109" cm="1">
        <f t="array" ref="Q25">IFERROR(_xlfn.XLOOKUP(1,  (MAX(IF(I25 = 'Processed Non-zero DMR Data'!$K:$K,'Processed Non-zero DMR Data'!$A:$A)) = 'Processed Non-zero DMR Data'!$A:$A)*('Processed Non-zero DMR Data'!$K:$K = I25),'Processed Non-zero DMR Data'!$T:$T), "N/A- Facility Does Not Report DMRs")</f>
        <v>14.24352275</v>
      </c>
      <c r="R25" s="33">
        <f t="shared" si="11"/>
        <v>3.9023349999999998E-2</v>
      </c>
      <c r="S25" s="33" cm="1">
        <f t="array" ref="S25">IF(COUNTIF('Processed Non-zero DMR Data'!$K:$K,$I25)&gt;0,MEDIAN(IF('Processed Non-zero DMR Data'!$K:$K=I25,'Processed Non-zero DMR Data'!$T:$T)),"N/A - Facility Does Not Report DMRs")</f>
        <v>14.378221437500001</v>
      </c>
      <c r="T25" s="33">
        <f t="shared" si="12"/>
        <v>3.9392387500000001E-2</v>
      </c>
      <c r="U25" s="33">
        <f>IF(COUNTIF('Processed Non-zero DMR Data'!$K:$K,$I25)&gt;0,_xlfn.MAXIFS('Processed Non-zero DMR Data'!$T:$T,'Processed Non-zero DMR Data'!$K:$K,$I25), "N/A - Facility Does Not Report DMRs")</f>
        <v>14.702879812500001</v>
      </c>
      <c r="V25" s="33">
        <f t="shared" si="13"/>
        <v>4.0281862500000001E-2</v>
      </c>
      <c r="W25" s="110" cm="1">
        <f t="array" ref="W25">IF(COUNTIF('Processed Non-zero DMR Data'!$K:$K,$I25)&gt;0,INDEX('Processed Non-zero DMR Data'!$A:$A,MATCH(1,($I25='Processed Non-zero DMR Data'!$K:$K)*($U25='Processed Non-zero DMR Data'!$T:$T),0)), "N/A - Facility Does Not Report DMRs")</f>
        <v>2021</v>
      </c>
      <c r="X25" s="109" cm="1">
        <f t="array" ref="X25">IFERROR(_xlfn.XLOOKUP(1,  (MAX(IF(H25 = 'Processed Non-zero TRI Data'!$I:$I,'Processed Non-zero TRI Data'!$A:$A)) = 'Processed Non-zero TRI Data'!$A:$A)*('Processed Non-zero TRI Data'!$I:$I = H25), 'Processed Non-zero TRI Data'!$S:$S), "N/A- Facility Does Not Report to TRI")</f>
        <v>0</v>
      </c>
      <c r="Y25" s="33">
        <f t="shared" si="2"/>
        <v>0</v>
      </c>
      <c r="Z25" s="33" t="str" cm="1">
        <f t="array" ref="Z25">IF(COUNTIF('Processed Non-zero TRI Data'!$I:$I,$H25)&gt;0,MEDIAN(IF('Processed Non-zero TRI Data'!$I:$I=H25,'Processed Non-zero TRI Data'!$S:$S)), "N/A - Facility Does Not Report to TRI")</f>
        <v>N/A - Facility Does Not Report to TRI</v>
      </c>
      <c r="AA25" s="33" t="str">
        <f t="shared" si="3"/>
        <v>N/A - Facility Does Not Report to TRI</v>
      </c>
      <c r="AB25" s="33" t="str">
        <f>IF(COUNTIF('Processed Non-zero TRI Data'!$I:$I,$H25)&gt;0,_xlfn.MAXIFS('Processed Non-zero TRI Data'!$S:$S,'Processed Non-zero TRI Data'!$I:$I,$H25), "N/A - Facility Does Not Report to TRI")</f>
        <v>N/A - Facility Does Not Report to TRI</v>
      </c>
      <c r="AC25" s="33" t="str">
        <f t="shared" si="4"/>
        <v>N/A - Facility Does Not Report to TRI</v>
      </c>
      <c r="AD25" s="110" t="str" cm="1">
        <f t="array" ref="AD25">IFERROR(IF(B25 = "TRI Form R", IF(AB25 = 0, "Facility has no on-site water discharges between 2019-2023.",  IF(COUNTIF('Processed Non-zero TRI Data'!$I:$I,$H25)&gt;0,INDEX('Processed Non-zero TRI Data'!$A:$A,MATCH(1,($H25='Processed Non-zero TRI Data'!$I:$I)*(AB25='Processed Non-zero TRI Data'!$S:$S),0)))), VLOOKUP(H25, 'Form A Recent Reporting'!$L:$M, 2, FALSE)), ("N/A - Facility Does Not Report to TRI"))</f>
        <v>N/A - Facility Does Not Report to TRI</v>
      </c>
      <c r="AE25" s="109" cm="1">
        <f t="array" ref="AE25">IFERROR(_xlfn.XLOOKUP(1,  (MAX(IF(H25 = 'Processed Non-zero TRI Data'!$I:$I,'Processed Non-zero TRI Data'!$A:$A)) = 'Processed Non-zero TRI Data'!$A:$A)*('Processed Non-zero TRI Data'!$I:$I = H25), 'Processed Non-zero TRI Data'!$U:$U), "N/A- Facility Does Not Report to TRI")</f>
        <v>0</v>
      </c>
      <c r="AF25" s="33">
        <f t="shared" si="5"/>
        <v>0</v>
      </c>
      <c r="AG25" s="33" t="str" cm="1">
        <f t="array" ref="AG25">IF(COUNTIF('Processed Non-zero TRI Data'!$I:$I,$H25)&gt;0,MEDIAN(IF('Processed Non-zero TRI Data'!$I:$I=H25,'Processed Non-zero TRI Data'!$U:$U)), "N/A - Facility Does Not Report to TRI")</f>
        <v>N/A - Facility Does Not Report to TRI</v>
      </c>
      <c r="AH25" s="33" t="str">
        <f t="shared" si="6"/>
        <v>N/A - Facility Does Not Report to TRI</v>
      </c>
      <c r="AI25" s="33" t="str">
        <f>IF(COUNTIF('Processed Non-zero TRI Data'!$I:$I,$H25)&gt;0,_xlfn.MAXIFS('Processed Non-zero TRI Data'!$U:$U,'Processed Non-zero TRI Data'!$I:$I,$H25), "N/A - Facility Does Not Report to TRI")</f>
        <v>N/A - Facility Does Not Report to TRI</v>
      </c>
      <c r="AJ25" s="33" t="str">
        <f t="shared" si="7"/>
        <v>N/A - Facility Does Not Report to TRI</v>
      </c>
      <c r="AK25" s="110" t="str" cm="1">
        <f t="array" ref="AK25">IF(B25="TRI Form A",AD25,IF(AI25=0,"Facility has no transfers to POTWs between 2019-2023.",IF(COUNTIF('Processed Non-zero TRI Data'!$I:$I,$H25)&gt;0,INDEX('Processed Non-zero TRI Data'!$A:$A,MATCH(1,($H25='Processed Non-zero TRI Data'!$I:$I)*(AI25='Processed Non-zero TRI Data'!$U:$U),0)),"N/A - Facility Does Not Report to TRI")))</f>
        <v>N/A - Facility Does Not Report to TRI</v>
      </c>
      <c r="AL25" s="109" cm="1">
        <f t="array" ref="AL25">IFERROR(_xlfn.XLOOKUP(1,  (MAX(IF(H25 = 'Processed Non-zero TRI Data'!$I$2:$I$23,'Processed Non-zero TRI Data'!$A$2:$A$23)) = 'Processed Non-zero TRI Data'!$A$2:$A$23)*('Processed Non-zero TRI Data'!$I$2:$I$23 = H25), 'Processed Non-zero TRI Data'!$W$2:$W$23), "N/A- Facility Does Not Report to TRI")</f>
        <v>0</v>
      </c>
      <c r="AM25" s="33">
        <f t="shared" si="8"/>
        <v>0</v>
      </c>
      <c r="AN25" s="33" t="str" cm="1">
        <f t="array" ref="AN25">IF(COUNTIF('Processed Non-zero TRI Data'!$I:$I,$H25)&gt;0,MEDIAN(IF('Processed Non-zero TRI Data'!$I:$I=H25,'Processed Non-zero TRI Data'!$W:$W)), "N/A - Facility Does Not Report to TRI")</f>
        <v>N/A - Facility Does Not Report to TRI</v>
      </c>
      <c r="AO25" s="33" t="str">
        <f t="shared" si="9"/>
        <v>N/A - Facility Does Not Report to TRI</v>
      </c>
      <c r="AP25" s="33" t="str">
        <f>IF(COUNTIF('Processed Non-zero TRI Data'!$I:$I,$H25)&gt;0,_xlfn.MAXIFS('Processed Non-zero TRI Data'!$W:$W,'Processed Non-zero TRI Data'!$I:$I,$H25), "N/A - Facility Does Not Report to TRI")</f>
        <v>N/A - Facility Does Not Report to TRI</v>
      </c>
      <c r="AQ25" s="33" t="str">
        <f t="shared" si="10"/>
        <v>N/A - Facility Does Not Report to TRI</v>
      </c>
      <c r="AR25" s="110" t="str" cm="1">
        <f t="array" ref="AR25">IF(B25="TRI Form A",AD25,IF(AP25=0,"Facility has no transfers to non-POTWs between 2019-2023.",IF(COUNTIF('Processed Non-zero TRI Data'!$I:$I,$H25)&gt;0,INDEX('Processed Non-zero TRI Data'!$A:$A,MATCH(1,($H25='Processed Non-zero TRI Data'!$I:$I)*(AP25='Processed Non-zero TRI Data'!$W:$W),0)),"N/A - Facility Does Not Report to TRI")))</f>
        <v>N/A - Facility Does Not Report to TRI</v>
      </c>
    </row>
    <row r="26" spans="1:44" ht="29" x14ac:dyDescent="0.35">
      <c r="A26" s="34">
        <v>23</v>
      </c>
      <c r="B26" s="33" t="str">
        <f>IFERROR("TRI Form "&amp;VLOOKUP(H26,'Processed Non-zero TRI Data'!$I$2:$K$23,3,FALSE),"DMR")</f>
        <v>DMR</v>
      </c>
      <c r="C26" s="33" t="str">
        <f>VLOOKUP($D26, 'COU.OES Summary'!C:D, 2, FALSE)</f>
        <v> </v>
      </c>
      <c r="D26" s="33" t="str">
        <f>IFERROR(VLOOKUP($H26, 'Processed Non-zero TRI Data'!$I:$O, 7, FALSE), VLOOKUP($I26, 'Processed Non-zero DMR Data'!$K:$R, 8, FALSE))</f>
        <v>Waste handling, treatment, and disposal - POTW</v>
      </c>
      <c r="E26" s="34" t="s">
        <v>140</v>
      </c>
      <c r="F26" s="34" t="s">
        <v>141</v>
      </c>
      <c r="G26" s="34" t="s">
        <v>108</v>
      </c>
      <c r="H26" s="34"/>
      <c r="I26" s="105">
        <v>110000732253</v>
      </c>
      <c r="J26" s="33" t="str">
        <f>IFERROR(VLOOKUP($I26, 'Processed Non-zero DMR Data'!$K:$U, 11, FALSE),"")</f>
        <v>KY0022390</v>
      </c>
      <c r="K26" s="33" t="str">
        <f>IFERROR(VLOOKUP($I26, 'Processed Non-zero DMR Data'!$K:$V, 12, FALSE),"Not Reported")</f>
        <v>Lower Mill Creek</v>
      </c>
      <c r="L26" s="106">
        <f>IFERROR(VLOOKUP($I26, 'Processed Non-zero DMR Data'!$K:$W, 13, FALSE),"No Reach Code Reported")</f>
        <v>51401021302</v>
      </c>
      <c r="M26" s="107" t="str">
        <f>IFERROR(IFERROR(VLOOKUP(H26, 'Off-site Locations'!$K$3:$O$5, 5, FALSE), VLOOKUP(H26, 'Off-site Locations'!$B$3:$E$4, 4, FALSE)), "No Offsite Transfers")</f>
        <v>No Offsite Transfers</v>
      </c>
      <c r="N26" s="33">
        <f>VLOOKUP($D26, 'COU.OES Summary'!C:E, 3, FALSE)</f>
        <v>365</v>
      </c>
      <c r="O26" s="108">
        <f t="shared" si="0"/>
        <v>0</v>
      </c>
      <c r="P26" s="108">
        <f t="shared" si="1"/>
        <v>13.5216759375</v>
      </c>
      <c r="Q26" s="109" cm="1">
        <f t="array" ref="Q26">IFERROR(_xlfn.XLOOKUP(1,  (MAX(IF(I26 = 'Processed Non-zero DMR Data'!$K:$K,'Processed Non-zero DMR Data'!$A:$A)) = 'Processed Non-zero DMR Data'!$A:$A)*('Processed Non-zero DMR Data'!$K:$K = I26),'Processed Non-zero DMR Data'!$T:$T), "N/A- Facility Does Not Report DMRs")</f>
        <v>8.8935671875000004</v>
      </c>
      <c r="R26" s="33">
        <f t="shared" si="11"/>
        <v>2.43659375E-2</v>
      </c>
      <c r="S26" s="33" cm="1">
        <f t="array" ref="S26">IF(COUNTIF('Processed Non-zero DMR Data'!$K:$K,$I26)&gt;0,MEDIAN(IF('Processed Non-zero DMR Data'!$K:$K=I26,'Processed Non-zero DMR Data'!$T:$T)),"N/A - Facility Does Not Report DMRs")</f>
        <v>8.8935671875000004</v>
      </c>
      <c r="T26" s="33">
        <f t="shared" si="12"/>
        <v>2.43659375E-2</v>
      </c>
      <c r="U26" s="33">
        <f>IF(COUNTIF('Processed Non-zero DMR Data'!$K:$K,$I26)&gt;0,_xlfn.MAXIFS('Processed Non-zero DMR Data'!$T:$T,'Processed Non-zero DMR Data'!$K:$K,$I26), "N/A - Facility Does Not Report DMRs")</f>
        <v>13.5216759375</v>
      </c>
      <c r="V26" s="33">
        <f t="shared" si="13"/>
        <v>3.70456875E-2</v>
      </c>
      <c r="W26" s="110" cm="1">
        <f t="array" ref="W26">IF(COUNTIF('Processed Non-zero DMR Data'!$K:$K,$I26)&gt;0,INDEX('Processed Non-zero DMR Data'!$A:$A,MATCH(1,($I26='Processed Non-zero DMR Data'!$K:$K)*($U26='Processed Non-zero DMR Data'!$T:$T),0)), "N/A - Facility Does Not Report DMRs")</f>
        <v>2019</v>
      </c>
      <c r="X26" s="109" cm="1">
        <f t="array" ref="X26">IFERROR(_xlfn.XLOOKUP(1,  (MAX(IF(H26 = 'Processed Non-zero TRI Data'!$I:$I,'Processed Non-zero TRI Data'!$A:$A)) = 'Processed Non-zero TRI Data'!$A:$A)*('Processed Non-zero TRI Data'!$I:$I = H26), 'Processed Non-zero TRI Data'!$S:$S), "N/A- Facility Does Not Report to TRI")</f>
        <v>0</v>
      </c>
      <c r="Y26" s="33">
        <f t="shared" si="2"/>
        <v>0</v>
      </c>
      <c r="Z26" s="33" t="str" cm="1">
        <f t="array" ref="Z26">IF(COUNTIF('Processed Non-zero TRI Data'!$I:$I,$H26)&gt;0,MEDIAN(IF('Processed Non-zero TRI Data'!$I:$I=H26,'Processed Non-zero TRI Data'!$S:$S)), "N/A - Facility Does Not Report to TRI")</f>
        <v>N/A - Facility Does Not Report to TRI</v>
      </c>
      <c r="AA26" s="33" t="str">
        <f t="shared" si="3"/>
        <v>N/A - Facility Does Not Report to TRI</v>
      </c>
      <c r="AB26" s="33" t="str">
        <f>IF(COUNTIF('Processed Non-zero TRI Data'!$I:$I,$H26)&gt;0,_xlfn.MAXIFS('Processed Non-zero TRI Data'!$S:$S,'Processed Non-zero TRI Data'!$I:$I,$H26), "N/A - Facility Does Not Report to TRI")</f>
        <v>N/A - Facility Does Not Report to TRI</v>
      </c>
      <c r="AC26" s="33" t="str">
        <f t="shared" si="4"/>
        <v>N/A - Facility Does Not Report to TRI</v>
      </c>
      <c r="AD26" s="110" t="str" cm="1">
        <f t="array" ref="AD26">IFERROR(IF(B26 = "TRI Form R", IF(AB26 = 0, "Facility has no on-site water discharges between 2019-2023.",  IF(COUNTIF('Processed Non-zero TRI Data'!$I:$I,$H26)&gt;0,INDEX('Processed Non-zero TRI Data'!$A:$A,MATCH(1,($H26='Processed Non-zero TRI Data'!$I:$I)*(AB26='Processed Non-zero TRI Data'!$S:$S),0)))), VLOOKUP(H26, 'Form A Recent Reporting'!$L:$M, 2, FALSE)), ("N/A - Facility Does Not Report to TRI"))</f>
        <v>N/A - Facility Does Not Report to TRI</v>
      </c>
      <c r="AE26" s="109" cm="1">
        <f t="array" ref="AE26">IFERROR(_xlfn.XLOOKUP(1,  (MAX(IF(H26 = 'Processed Non-zero TRI Data'!$I:$I,'Processed Non-zero TRI Data'!$A:$A)) = 'Processed Non-zero TRI Data'!$A:$A)*('Processed Non-zero TRI Data'!$I:$I = H26), 'Processed Non-zero TRI Data'!$U:$U), "N/A- Facility Does Not Report to TRI")</f>
        <v>0</v>
      </c>
      <c r="AF26" s="33">
        <f t="shared" si="5"/>
        <v>0</v>
      </c>
      <c r="AG26" s="33" t="str" cm="1">
        <f t="array" ref="AG26">IF(COUNTIF('Processed Non-zero TRI Data'!$I:$I,$H26)&gt;0,MEDIAN(IF('Processed Non-zero TRI Data'!$I:$I=H26,'Processed Non-zero TRI Data'!$U:$U)), "N/A - Facility Does Not Report to TRI")</f>
        <v>N/A - Facility Does Not Report to TRI</v>
      </c>
      <c r="AH26" s="33" t="str">
        <f t="shared" si="6"/>
        <v>N/A - Facility Does Not Report to TRI</v>
      </c>
      <c r="AI26" s="33" t="str">
        <f>IF(COUNTIF('Processed Non-zero TRI Data'!$I:$I,$H26)&gt;0,_xlfn.MAXIFS('Processed Non-zero TRI Data'!$U:$U,'Processed Non-zero TRI Data'!$I:$I,$H26), "N/A - Facility Does Not Report to TRI")</f>
        <v>N/A - Facility Does Not Report to TRI</v>
      </c>
      <c r="AJ26" s="33" t="str">
        <f t="shared" si="7"/>
        <v>N/A - Facility Does Not Report to TRI</v>
      </c>
      <c r="AK26" s="110" t="str" cm="1">
        <f t="array" ref="AK26">IF(B26="TRI Form A",AD26,IF(AI26=0,"Facility has no transfers to POTWs between 2019-2023.",IF(COUNTIF('Processed Non-zero TRI Data'!$I:$I,$H26)&gt;0,INDEX('Processed Non-zero TRI Data'!$A:$A,MATCH(1,($H26='Processed Non-zero TRI Data'!$I:$I)*(AI26='Processed Non-zero TRI Data'!$U:$U),0)),"N/A - Facility Does Not Report to TRI")))</f>
        <v>N/A - Facility Does Not Report to TRI</v>
      </c>
      <c r="AL26" s="109" cm="1">
        <f t="array" ref="AL26">IFERROR(_xlfn.XLOOKUP(1,  (MAX(IF(H26 = 'Processed Non-zero TRI Data'!$I$2:$I$23,'Processed Non-zero TRI Data'!$A$2:$A$23)) = 'Processed Non-zero TRI Data'!$A$2:$A$23)*('Processed Non-zero TRI Data'!$I$2:$I$23 = H26), 'Processed Non-zero TRI Data'!$W$2:$W$23), "N/A- Facility Does Not Report to TRI")</f>
        <v>0</v>
      </c>
      <c r="AM26" s="33">
        <f t="shared" si="8"/>
        <v>0</v>
      </c>
      <c r="AN26" s="33" t="str" cm="1">
        <f t="array" ref="AN26">IF(COUNTIF('Processed Non-zero TRI Data'!$I:$I,$H26)&gt;0,MEDIAN(IF('Processed Non-zero TRI Data'!$I:$I=H26,'Processed Non-zero TRI Data'!$W:$W)), "N/A - Facility Does Not Report to TRI")</f>
        <v>N/A - Facility Does Not Report to TRI</v>
      </c>
      <c r="AO26" s="33" t="str">
        <f t="shared" si="9"/>
        <v>N/A - Facility Does Not Report to TRI</v>
      </c>
      <c r="AP26" s="33" t="str">
        <f>IF(COUNTIF('Processed Non-zero TRI Data'!$I:$I,$H26)&gt;0,_xlfn.MAXIFS('Processed Non-zero TRI Data'!$W:$W,'Processed Non-zero TRI Data'!$I:$I,$H26), "N/A - Facility Does Not Report to TRI")</f>
        <v>N/A - Facility Does Not Report to TRI</v>
      </c>
      <c r="AQ26" s="33" t="str">
        <f t="shared" si="10"/>
        <v>N/A - Facility Does Not Report to TRI</v>
      </c>
      <c r="AR26" s="110" t="str" cm="1">
        <f t="array" ref="AR26">IF(B26="TRI Form A",AD26,IF(AP26=0,"Facility has no transfers to non-POTWs between 2019-2023.",IF(COUNTIF('Processed Non-zero TRI Data'!$I:$I,$H26)&gt;0,INDEX('Processed Non-zero TRI Data'!$A:$A,MATCH(1,($H26='Processed Non-zero TRI Data'!$I:$I)*(AP26='Processed Non-zero TRI Data'!$W:$W),0)),"N/A - Facility Does Not Report to TRI")))</f>
        <v>N/A - Facility Does Not Report to TRI</v>
      </c>
    </row>
    <row r="27" spans="1:44" ht="29" x14ac:dyDescent="0.35">
      <c r="A27" s="34">
        <v>24</v>
      </c>
      <c r="B27" s="33" t="str">
        <f>IFERROR("TRI Form "&amp;VLOOKUP(H27,'Processed Non-zero TRI Data'!$I$2:$K$23,3,FALSE),"DMR")</f>
        <v>DMR</v>
      </c>
      <c r="C27" s="33" t="str">
        <f>VLOOKUP($D27, 'COU.OES Summary'!C:D, 2, FALSE)</f>
        <v> </v>
      </c>
      <c r="D27" s="33" t="str">
        <f>IFERROR(VLOOKUP($H27, 'Processed Non-zero TRI Data'!$I:$O, 7, FALSE), VLOOKUP($I27, 'Processed Non-zero DMR Data'!$K:$R, 8, FALSE))</f>
        <v>Waste handling, treatment, and disposal - POTW</v>
      </c>
      <c r="E27" s="34" t="s">
        <v>142</v>
      </c>
      <c r="F27" s="34" t="s">
        <v>143</v>
      </c>
      <c r="G27" s="34" t="s">
        <v>108</v>
      </c>
      <c r="H27" s="34"/>
      <c r="I27" s="105">
        <v>110000732299</v>
      </c>
      <c r="J27" s="33" t="str">
        <f>IFERROR(VLOOKUP($I27, 'Processed Non-zero DMR Data'!$K:$U, 11, FALSE),"")</f>
        <v>KY0022861</v>
      </c>
      <c r="K27" s="33" t="str">
        <f>IFERROR(VLOOKUP($I27, 'Processed Non-zero DMR Data'!$K:$V, 12, FALSE),"Not Reported")</f>
        <v>Stony Creek-Kentucky River</v>
      </c>
      <c r="L27" s="106" t="str">
        <f>IFERROR(VLOOKUP($I27, 'Processed Non-zero DMR Data'!$K:$W, 13, FALSE),"No Reach Code Reported")</f>
        <v>051002051501</v>
      </c>
      <c r="M27" s="107" t="str">
        <f>IFERROR(IFERROR(VLOOKUP(H27, 'Off-site Locations'!$K$3:$O$5, 5, FALSE), VLOOKUP(H27, 'Off-site Locations'!$B$3:$E$4, 4, FALSE)), "No Offsite Transfers")</f>
        <v>No Offsite Transfers</v>
      </c>
      <c r="N27" s="33">
        <f>VLOOKUP($D27, 'COU.OES Summary'!C:E, 3, FALSE)</f>
        <v>365</v>
      </c>
      <c r="O27" s="108">
        <f t="shared" si="0"/>
        <v>0</v>
      </c>
      <c r="P27" s="108">
        <f t="shared" si="1"/>
        <v>13.4007925</v>
      </c>
      <c r="Q27" s="109" cm="1">
        <f t="array" ref="Q27">IFERROR(_xlfn.XLOOKUP(1,  (MAX(IF(I27 = 'Processed Non-zero DMR Data'!$K:$K,'Processed Non-zero DMR Data'!$A:$A)) = 'Processed Non-zero DMR Data'!$A:$A)*('Processed Non-zero DMR Data'!$K:$K = I27),'Processed Non-zero DMR Data'!$T:$T), "N/A- Facility Does Not Report DMRs")</f>
        <v>13.4007925</v>
      </c>
      <c r="R27" s="33">
        <f t="shared" si="11"/>
        <v>3.6714499999999997E-2</v>
      </c>
      <c r="S27" s="33" cm="1">
        <f t="array" ref="S27">IF(COUNTIF('Processed Non-zero DMR Data'!$K:$K,$I27)&gt;0,MEDIAN(IF('Processed Non-zero DMR Data'!$K:$K=I27,'Processed Non-zero DMR Data'!$T:$T)),"N/A - Facility Does Not Report DMRs")</f>
        <v>13.4007925</v>
      </c>
      <c r="T27" s="33">
        <f t="shared" si="12"/>
        <v>3.6714499999999997E-2</v>
      </c>
      <c r="U27" s="33">
        <f>IF(COUNTIF('Processed Non-zero DMR Data'!$K:$K,$I27)&gt;0,_xlfn.MAXIFS('Processed Non-zero DMR Data'!$T:$T,'Processed Non-zero DMR Data'!$K:$K,$I27), "N/A - Facility Does Not Report DMRs")</f>
        <v>13.4007925</v>
      </c>
      <c r="V27" s="33">
        <f t="shared" si="13"/>
        <v>3.6714499999999997E-2</v>
      </c>
      <c r="W27" s="110" cm="1">
        <f t="array" ref="W27">IF(COUNTIF('Processed Non-zero DMR Data'!$K:$K,$I27)&gt;0,INDEX('Processed Non-zero DMR Data'!$A:$A,MATCH(1,($I27='Processed Non-zero DMR Data'!$K:$K)*($U27='Processed Non-zero DMR Data'!$T:$T),0)), "N/A - Facility Does Not Report DMRs")</f>
        <v>2023</v>
      </c>
      <c r="X27" s="109" cm="1">
        <f t="array" ref="X27">IFERROR(_xlfn.XLOOKUP(1,  (MAX(IF(H27 = 'Processed Non-zero TRI Data'!$I:$I,'Processed Non-zero TRI Data'!$A:$A)) = 'Processed Non-zero TRI Data'!$A:$A)*('Processed Non-zero TRI Data'!$I:$I = H27), 'Processed Non-zero TRI Data'!$S:$S), "N/A- Facility Does Not Report to TRI")</f>
        <v>0</v>
      </c>
      <c r="Y27" s="33">
        <f t="shared" si="2"/>
        <v>0</v>
      </c>
      <c r="Z27" s="33" t="str" cm="1">
        <f t="array" ref="Z27">IF(COUNTIF('Processed Non-zero TRI Data'!$I:$I,$H27)&gt;0,MEDIAN(IF('Processed Non-zero TRI Data'!$I:$I=H27,'Processed Non-zero TRI Data'!$S:$S)), "N/A - Facility Does Not Report to TRI")</f>
        <v>N/A - Facility Does Not Report to TRI</v>
      </c>
      <c r="AA27" s="33" t="str">
        <f t="shared" si="3"/>
        <v>N/A - Facility Does Not Report to TRI</v>
      </c>
      <c r="AB27" s="33" t="str">
        <f>IF(COUNTIF('Processed Non-zero TRI Data'!$I:$I,$H27)&gt;0,_xlfn.MAXIFS('Processed Non-zero TRI Data'!$S:$S,'Processed Non-zero TRI Data'!$I:$I,$H27), "N/A - Facility Does Not Report to TRI")</f>
        <v>N/A - Facility Does Not Report to TRI</v>
      </c>
      <c r="AC27" s="33" t="str">
        <f t="shared" si="4"/>
        <v>N/A - Facility Does Not Report to TRI</v>
      </c>
      <c r="AD27" s="110" t="str" cm="1">
        <f t="array" ref="AD27">IFERROR(IF(B27 = "TRI Form R", IF(AB27 = 0, "Facility has no on-site water discharges between 2019-2023.",  IF(COUNTIF('Processed Non-zero TRI Data'!$I:$I,$H27)&gt;0,INDEX('Processed Non-zero TRI Data'!$A:$A,MATCH(1,($H27='Processed Non-zero TRI Data'!$I:$I)*(AB27='Processed Non-zero TRI Data'!$S:$S),0)))), VLOOKUP(H27, 'Form A Recent Reporting'!$L:$M, 2, FALSE)), ("N/A - Facility Does Not Report to TRI"))</f>
        <v>N/A - Facility Does Not Report to TRI</v>
      </c>
      <c r="AE27" s="109" cm="1">
        <f t="array" ref="AE27">IFERROR(_xlfn.XLOOKUP(1,  (MAX(IF(H27 = 'Processed Non-zero TRI Data'!$I:$I,'Processed Non-zero TRI Data'!$A:$A)) = 'Processed Non-zero TRI Data'!$A:$A)*('Processed Non-zero TRI Data'!$I:$I = H27), 'Processed Non-zero TRI Data'!$U:$U), "N/A- Facility Does Not Report to TRI")</f>
        <v>0</v>
      </c>
      <c r="AF27" s="33">
        <f t="shared" si="5"/>
        <v>0</v>
      </c>
      <c r="AG27" s="33" t="str" cm="1">
        <f t="array" ref="AG27">IF(COUNTIF('Processed Non-zero TRI Data'!$I:$I,$H27)&gt;0,MEDIAN(IF('Processed Non-zero TRI Data'!$I:$I=H27,'Processed Non-zero TRI Data'!$U:$U)), "N/A - Facility Does Not Report to TRI")</f>
        <v>N/A - Facility Does Not Report to TRI</v>
      </c>
      <c r="AH27" s="33" t="str">
        <f t="shared" si="6"/>
        <v>N/A - Facility Does Not Report to TRI</v>
      </c>
      <c r="AI27" s="33" t="str">
        <f>IF(COUNTIF('Processed Non-zero TRI Data'!$I:$I,$H27)&gt;0,_xlfn.MAXIFS('Processed Non-zero TRI Data'!$U:$U,'Processed Non-zero TRI Data'!$I:$I,$H27), "N/A - Facility Does Not Report to TRI")</f>
        <v>N/A - Facility Does Not Report to TRI</v>
      </c>
      <c r="AJ27" s="33" t="str">
        <f t="shared" si="7"/>
        <v>N/A - Facility Does Not Report to TRI</v>
      </c>
      <c r="AK27" s="110" t="str" cm="1">
        <f t="array" ref="AK27">IF(B27="TRI Form A",AD27,IF(AI27=0,"Facility has no transfers to POTWs between 2019-2023.",IF(COUNTIF('Processed Non-zero TRI Data'!$I:$I,$H27)&gt;0,INDEX('Processed Non-zero TRI Data'!$A:$A,MATCH(1,($H27='Processed Non-zero TRI Data'!$I:$I)*(AI27='Processed Non-zero TRI Data'!$U:$U),0)),"N/A - Facility Does Not Report to TRI")))</f>
        <v>N/A - Facility Does Not Report to TRI</v>
      </c>
      <c r="AL27" s="109" cm="1">
        <f t="array" ref="AL27">IFERROR(_xlfn.XLOOKUP(1,  (MAX(IF(H27 = 'Processed Non-zero TRI Data'!$I$2:$I$23,'Processed Non-zero TRI Data'!$A$2:$A$23)) = 'Processed Non-zero TRI Data'!$A$2:$A$23)*('Processed Non-zero TRI Data'!$I$2:$I$23 = H27), 'Processed Non-zero TRI Data'!$W$2:$W$23), "N/A- Facility Does Not Report to TRI")</f>
        <v>0</v>
      </c>
      <c r="AM27" s="33">
        <f t="shared" si="8"/>
        <v>0</v>
      </c>
      <c r="AN27" s="33" t="str" cm="1">
        <f t="array" ref="AN27">IF(COUNTIF('Processed Non-zero TRI Data'!$I:$I,$H27)&gt;0,MEDIAN(IF('Processed Non-zero TRI Data'!$I:$I=H27,'Processed Non-zero TRI Data'!$W:$W)), "N/A - Facility Does Not Report to TRI")</f>
        <v>N/A - Facility Does Not Report to TRI</v>
      </c>
      <c r="AO27" s="33" t="str">
        <f t="shared" si="9"/>
        <v>N/A - Facility Does Not Report to TRI</v>
      </c>
      <c r="AP27" s="33" t="str">
        <f>IF(COUNTIF('Processed Non-zero TRI Data'!$I:$I,$H27)&gt;0,_xlfn.MAXIFS('Processed Non-zero TRI Data'!$W:$W,'Processed Non-zero TRI Data'!$I:$I,$H27), "N/A - Facility Does Not Report to TRI")</f>
        <v>N/A - Facility Does Not Report to TRI</v>
      </c>
      <c r="AQ27" s="33" t="str">
        <f t="shared" si="10"/>
        <v>N/A - Facility Does Not Report to TRI</v>
      </c>
      <c r="AR27" s="110" t="str" cm="1">
        <f t="array" ref="AR27">IF(B27="TRI Form A",AD27,IF(AP27=0,"Facility has no transfers to non-POTWs between 2019-2023.",IF(COUNTIF('Processed Non-zero TRI Data'!$I:$I,$H27)&gt;0,INDEX('Processed Non-zero TRI Data'!$A:$A,MATCH(1,($H27='Processed Non-zero TRI Data'!$I:$I)*(AP27='Processed Non-zero TRI Data'!$W:$W),0)),"N/A - Facility Does Not Report to TRI")))</f>
        <v>N/A - Facility Does Not Report to TRI</v>
      </c>
    </row>
    <row r="28" spans="1:44" ht="29" x14ac:dyDescent="0.35">
      <c r="A28" s="34">
        <v>25</v>
      </c>
      <c r="B28" s="33" t="str">
        <f>IFERROR("TRI Form "&amp;VLOOKUP(H28,'Processed Non-zero TRI Data'!$I$2:$K$23,3,FALSE),"DMR")</f>
        <v>DMR</v>
      </c>
      <c r="C28" s="33" t="str">
        <f>VLOOKUP($D28, 'COU.OES Summary'!C:D, 2, FALSE)</f>
        <v> </v>
      </c>
      <c r="D28" s="33" t="str">
        <f>IFERROR(VLOOKUP($H28, 'Processed Non-zero TRI Data'!$I:$O, 7, FALSE), VLOOKUP($I28, 'Processed Non-zero DMR Data'!$K:$R, 8, FALSE))</f>
        <v>Waste handling, treatment, and disposal - POTW</v>
      </c>
      <c r="E28" s="34" t="s">
        <v>144</v>
      </c>
      <c r="F28" s="34" t="s">
        <v>145</v>
      </c>
      <c r="G28" s="34" t="s">
        <v>108</v>
      </c>
      <c r="H28" s="34"/>
      <c r="I28" s="105">
        <v>110039994897</v>
      </c>
      <c r="J28" s="33" t="str">
        <f>IFERROR(VLOOKUP($I28, 'Processed Non-zero DMR Data'!$K:$U, 11, FALSE),"")</f>
        <v>KY0066532</v>
      </c>
      <c r="K28" s="33" t="str">
        <f>IFERROR(VLOOKUP($I28, 'Processed Non-zero DMR Data'!$K:$V, 12, FALSE),"Not Reported")</f>
        <v>North Fork Little River</v>
      </c>
      <c r="L28" s="106">
        <f>IFERROR(VLOOKUP($I28, 'Processed Non-zero DMR Data'!$K:$W, 13, FALSE),"No Reach Code Reported")</f>
        <v>51302050503</v>
      </c>
      <c r="M28" s="107" t="str">
        <f>IFERROR(IFERROR(VLOOKUP(H28, 'Off-site Locations'!$K$3:$O$5, 5, FALSE), VLOOKUP(H28, 'Off-site Locations'!$B$3:$E$4, 4, FALSE)), "No Offsite Transfers")</f>
        <v>No Offsite Transfers</v>
      </c>
      <c r="N28" s="33">
        <f>VLOOKUP($D28, 'COU.OES Summary'!C:E, 3, FALSE)</f>
        <v>365</v>
      </c>
      <c r="O28" s="108">
        <f t="shared" si="0"/>
        <v>0</v>
      </c>
      <c r="P28" s="108">
        <f t="shared" si="1"/>
        <v>13.0519574375</v>
      </c>
      <c r="Q28" s="109" cm="1">
        <f t="array" ref="Q28">IFERROR(_xlfn.XLOOKUP(1,  (MAX(IF(I28 = 'Processed Non-zero DMR Data'!$K:$K,'Processed Non-zero DMR Data'!$A:$A)) = 'Processed Non-zero DMR Data'!$A:$A)*('Processed Non-zero DMR Data'!$K:$K = I28),'Processed Non-zero DMR Data'!$T:$T), "N/A- Facility Does Not Report DMRs")</f>
        <v>13.0519574375</v>
      </c>
      <c r="R28" s="33">
        <f t="shared" si="11"/>
        <v>3.57587875E-2</v>
      </c>
      <c r="S28" s="33" cm="1">
        <f t="array" ref="S28">IF(COUNTIF('Processed Non-zero DMR Data'!$K:$K,$I28)&gt;0,MEDIAN(IF('Processed Non-zero DMR Data'!$K:$K=I28,'Processed Non-zero DMR Data'!$T:$T)),"N/A - Facility Does Not Report DMRs")</f>
        <v>5.709842825</v>
      </c>
      <c r="T28" s="33">
        <f t="shared" si="12"/>
        <v>1.5643404999999999E-2</v>
      </c>
      <c r="U28" s="33">
        <f>IF(COUNTIF('Processed Non-zero DMR Data'!$K:$K,$I28)&gt;0,_xlfn.MAXIFS('Processed Non-zero DMR Data'!$T:$T,'Processed Non-zero DMR Data'!$K:$K,$I28), "N/A - Facility Does Not Report DMRs")</f>
        <v>13.0519574375</v>
      </c>
      <c r="V28" s="33">
        <f t="shared" si="13"/>
        <v>3.57587875E-2</v>
      </c>
      <c r="W28" s="110" cm="1">
        <f t="array" ref="W28">IF(COUNTIF('Processed Non-zero DMR Data'!$K:$K,$I28)&gt;0,INDEX('Processed Non-zero DMR Data'!$A:$A,MATCH(1,($I28='Processed Non-zero DMR Data'!$K:$K)*($U28='Processed Non-zero DMR Data'!$T:$T),0)), "N/A - Facility Does Not Report DMRs")</f>
        <v>2021</v>
      </c>
      <c r="X28" s="109" cm="1">
        <f t="array" ref="X28">IFERROR(_xlfn.XLOOKUP(1,  (MAX(IF(H28 = 'Processed Non-zero TRI Data'!$I:$I,'Processed Non-zero TRI Data'!$A:$A)) = 'Processed Non-zero TRI Data'!$A:$A)*('Processed Non-zero TRI Data'!$I:$I = H28), 'Processed Non-zero TRI Data'!$S:$S), "N/A- Facility Does Not Report to TRI")</f>
        <v>0</v>
      </c>
      <c r="Y28" s="33">
        <f t="shared" si="2"/>
        <v>0</v>
      </c>
      <c r="Z28" s="33" t="str" cm="1">
        <f t="array" ref="Z28">IF(COUNTIF('Processed Non-zero TRI Data'!$I:$I,$H28)&gt;0,MEDIAN(IF('Processed Non-zero TRI Data'!$I:$I=H28,'Processed Non-zero TRI Data'!$S:$S)), "N/A - Facility Does Not Report to TRI")</f>
        <v>N/A - Facility Does Not Report to TRI</v>
      </c>
      <c r="AA28" s="33" t="str">
        <f t="shared" si="3"/>
        <v>N/A - Facility Does Not Report to TRI</v>
      </c>
      <c r="AB28" s="33" t="str">
        <f>IF(COUNTIF('Processed Non-zero TRI Data'!$I:$I,$H28)&gt;0,_xlfn.MAXIFS('Processed Non-zero TRI Data'!$S:$S,'Processed Non-zero TRI Data'!$I:$I,$H28), "N/A - Facility Does Not Report to TRI")</f>
        <v>N/A - Facility Does Not Report to TRI</v>
      </c>
      <c r="AC28" s="33" t="str">
        <f t="shared" si="4"/>
        <v>N/A - Facility Does Not Report to TRI</v>
      </c>
      <c r="AD28" s="110" t="str" cm="1">
        <f t="array" ref="AD28">IFERROR(IF(B28 = "TRI Form R", IF(AB28 = 0, "Facility has no on-site water discharges between 2019-2023.",  IF(COUNTIF('Processed Non-zero TRI Data'!$I:$I,$H28)&gt;0,INDEX('Processed Non-zero TRI Data'!$A:$A,MATCH(1,($H28='Processed Non-zero TRI Data'!$I:$I)*(AB28='Processed Non-zero TRI Data'!$S:$S),0)))), VLOOKUP(H28, 'Form A Recent Reporting'!$L:$M, 2, FALSE)), ("N/A - Facility Does Not Report to TRI"))</f>
        <v>N/A - Facility Does Not Report to TRI</v>
      </c>
      <c r="AE28" s="109" cm="1">
        <f t="array" ref="AE28">IFERROR(_xlfn.XLOOKUP(1,  (MAX(IF(H28 = 'Processed Non-zero TRI Data'!$I:$I,'Processed Non-zero TRI Data'!$A:$A)) = 'Processed Non-zero TRI Data'!$A:$A)*('Processed Non-zero TRI Data'!$I:$I = H28), 'Processed Non-zero TRI Data'!$U:$U), "N/A- Facility Does Not Report to TRI")</f>
        <v>0</v>
      </c>
      <c r="AF28" s="33">
        <f t="shared" si="5"/>
        <v>0</v>
      </c>
      <c r="AG28" s="33" t="str" cm="1">
        <f t="array" ref="AG28">IF(COUNTIF('Processed Non-zero TRI Data'!$I:$I,$H28)&gt;0,MEDIAN(IF('Processed Non-zero TRI Data'!$I:$I=H28,'Processed Non-zero TRI Data'!$U:$U)), "N/A - Facility Does Not Report to TRI")</f>
        <v>N/A - Facility Does Not Report to TRI</v>
      </c>
      <c r="AH28" s="33" t="str">
        <f t="shared" si="6"/>
        <v>N/A - Facility Does Not Report to TRI</v>
      </c>
      <c r="AI28" s="33" t="str">
        <f>IF(COUNTIF('Processed Non-zero TRI Data'!$I:$I,$H28)&gt;0,_xlfn.MAXIFS('Processed Non-zero TRI Data'!$U:$U,'Processed Non-zero TRI Data'!$I:$I,$H28), "N/A - Facility Does Not Report to TRI")</f>
        <v>N/A - Facility Does Not Report to TRI</v>
      </c>
      <c r="AJ28" s="33" t="str">
        <f t="shared" si="7"/>
        <v>N/A - Facility Does Not Report to TRI</v>
      </c>
      <c r="AK28" s="110" t="str" cm="1">
        <f t="array" ref="AK28">IF(B28="TRI Form A",AD28,IF(AI28=0,"Facility has no transfers to POTWs between 2019-2023.",IF(COUNTIF('Processed Non-zero TRI Data'!$I:$I,$H28)&gt;0,INDEX('Processed Non-zero TRI Data'!$A:$A,MATCH(1,($H28='Processed Non-zero TRI Data'!$I:$I)*(AI28='Processed Non-zero TRI Data'!$U:$U),0)),"N/A - Facility Does Not Report to TRI")))</f>
        <v>N/A - Facility Does Not Report to TRI</v>
      </c>
      <c r="AL28" s="109" cm="1">
        <f t="array" ref="AL28">IFERROR(_xlfn.XLOOKUP(1,  (MAX(IF(H28 = 'Processed Non-zero TRI Data'!$I$2:$I$23,'Processed Non-zero TRI Data'!$A$2:$A$23)) = 'Processed Non-zero TRI Data'!$A$2:$A$23)*('Processed Non-zero TRI Data'!$I$2:$I$23 = H28), 'Processed Non-zero TRI Data'!$W$2:$W$23), "N/A- Facility Does Not Report to TRI")</f>
        <v>0</v>
      </c>
      <c r="AM28" s="33">
        <f t="shared" si="8"/>
        <v>0</v>
      </c>
      <c r="AN28" s="33" t="str" cm="1">
        <f t="array" ref="AN28">IF(COUNTIF('Processed Non-zero TRI Data'!$I:$I,$H28)&gt;0,MEDIAN(IF('Processed Non-zero TRI Data'!$I:$I=H28,'Processed Non-zero TRI Data'!$W:$W)), "N/A - Facility Does Not Report to TRI")</f>
        <v>N/A - Facility Does Not Report to TRI</v>
      </c>
      <c r="AO28" s="33" t="str">
        <f t="shared" si="9"/>
        <v>N/A - Facility Does Not Report to TRI</v>
      </c>
      <c r="AP28" s="33" t="str">
        <f>IF(COUNTIF('Processed Non-zero TRI Data'!$I:$I,$H28)&gt;0,_xlfn.MAXIFS('Processed Non-zero TRI Data'!$W:$W,'Processed Non-zero TRI Data'!$I:$I,$H28), "N/A - Facility Does Not Report to TRI")</f>
        <v>N/A - Facility Does Not Report to TRI</v>
      </c>
      <c r="AQ28" s="33" t="str">
        <f t="shared" si="10"/>
        <v>N/A - Facility Does Not Report to TRI</v>
      </c>
      <c r="AR28" s="110" t="str" cm="1">
        <f t="array" ref="AR28">IF(B28="TRI Form A",AD28,IF(AP28=0,"Facility has no transfers to non-POTWs between 2019-2023.",IF(COUNTIF('Processed Non-zero TRI Data'!$I:$I,$H28)&gt;0,INDEX('Processed Non-zero TRI Data'!$A:$A,MATCH(1,($H28='Processed Non-zero TRI Data'!$I:$I)*(AP28='Processed Non-zero TRI Data'!$W:$W),0)),"N/A - Facility Does Not Report to TRI")))</f>
        <v>N/A - Facility Does Not Report to TRI</v>
      </c>
    </row>
    <row r="29" spans="1:44" ht="29" x14ac:dyDescent="0.35">
      <c r="A29" s="34">
        <v>26</v>
      </c>
      <c r="B29" s="33" t="str">
        <f>IFERROR("TRI Form "&amp;VLOOKUP(H29,'Processed Non-zero TRI Data'!$I$2:$K$23,3,FALSE),"DMR")</f>
        <v>DMR</v>
      </c>
      <c r="C29" s="33" t="str">
        <f>VLOOKUP($D29, 'COU.OES Summary'!C:D, 2, FALSE)</f>
        <v> </v>
      </c>
      <c r="D29" s="33" t="str">
        <f>IFERROR(VLOOKUP($H29, 'Processed Non-zero TRI Data'!$I:$O, 7, FALSE), VLOOKUP($I29, 'Processed Non-zero DMR Data'!$K:$R, 8, FALSE))</f>
        <v>Waste handling, treatment, and disposal - Remediation or Monitoring</v>
      </c>
      <c r="E29" s="34" t="s">
        <v>146</v>
      </c>
      <c r="F29" s="34" t="s">
        <v>94</v>
      </c>
      <c r="G29" s="34" t="s">
        <v>95</v>
      </c>
      <c r="H29" s="34"/>
      <c r="I29" s="105">
        <v>110000460901</v>
      </c>
      <c r="J29" s="33" t="str">
        <f>IFERROR(VLOOKUP($I29, 'Processed Non-zero DMR Data'!$K:$U, 11, FALSE),"")</f>
        <v>TX0007072</v>
      </c>
      <c r="K29" s="33" t="str">
        <f>IFERROR(VLOOKUP($I29, 'Processed Non-zero DMR Data'!$K:$V, 12, FALSE),"Not Reported")</f>
        <v>Lower Sims Bayou</v>
      </c>
      <c r="L29" s="106">
        <f>IFERROR(VLOOKUP($I29, 'Processed Non-zero DMR Data'!$K:$W, 13, FALSE),"No Reach Code Reported")</f>
        <v>120401040502</v>
      </c>
      <c r="M29" s="107" t="str">
        <f>IFERROR(IFERROR(VLOOKUP(H29, 'Off-site Locations'!$K$3:$O$5, 5, FALSE), VLOOKUP(H29, 'Off-site Locations'!$B$3:$E$4, 4, FALSE)), "No Offsite Transfers")</f>
        <v>No Offsite Transfers</v>
      </c>
      <c r="N29" s="33">
        <f>VLOOKUP($D29, 'COU.OES Summary'!C:E, 3, FALSE)</f>
        <v>365</v>
      </c>
      <c r="O29" s="108">
        <f t="shared" si="0"/>
        <v>0</v>
      </c>
      <c r="P29" s="108">
        <f t="shared" si="1"/>
        <v>33.773060000000001</v>
      </c>
      <c r="Q29" s="109" cm="1">
        <f t="array" ref="Q29">IFERROR(_xlfn.XLOOKUP(1,  (MAX(IF(I29 = 'Processed Non-zero DMR Data'!$K:$K,'Processed Non-zero DMR Data'!$A:$A)) = 'Processed Non-zero DMR Data'!$A:$A)*('Processed Non-zero DMR Data'!$K:$K = I29),'Processed Non-zero DMR Data'!$T:$T), "N/A- Facility Does Not Report DMRs")</f>
        <v>23.199400000000001</v>
      </c>
      <c r="R29" s="33">
        <f t="shared" si="11"/>
        <v>6.3560000000000005E-2</v>
      </c>
      <c r="S29" s="33" cm="1">
        <f t="array" ref="S29">IF(COUNTIF('Processed Non-zero DMR Data'!$K:$K,$I29)&gt;0,MEDIAN(IF('Processed Non-zero DMR Data'!$K:$K=I29,'Processed Non-zero DMR Data'!$T:$T)),"N/A - Facility Does Not Report DMRs")</f>
        <v>10.77796</v>
      </c>
      <c r="T29" s="33">
        <f t="shared" si="12"/>
        <v>2.9528657534246577E-2</v>
      </c>
      <c r="U29" s="33">
        <f>IF(COUNTIF('Processed Non-zero DMR Data'!$K:$K,$I29)&gt;0,_xlfn.MAXIFS('Processed Non-zero DMR Data'!$T:$T,'Processed Non-zero DMR Data'!$K:$K,$I29), "N/A - Facility Does Not Report DMRs")</f>
        <v>33.773060000000001</v>
      </c>
      <c r="V29" s="33">
        <f t="shared" si="13"/>
        <v>9.2528931506849321E-2</v>
      </c>
      <c r="W29" s="110" cm="1">
        <f t="array" ref="W29">IF(COUNTIF('Processed Non-zero DMR Data'!$K:$K,$I29)&gt;0,INDEX('Processed Non-zero DMR Data'!$A:$A,MATCH(1,($I29='Processed Non-zero DMR Data'!$K:$K)*($U29='Processed Non-zero DMR Data'!$T:$T),0)), "N/A - Facility Does Not Report DMRs")</f>
        <v>2022</v>
      </c>
      <c r="X29" s="109" cm="1">
        <f t="array" ref="X29">IFERROR(_xlfn.XLOOKUP(1,  (MAX(IF(H29 = 'Processed Non-zero TRI Data'!$I:$I,'Processed Non-zero TRI Data'!$A:$A)) = 'Processed Non-zero TRI Data'!$A:$A)*('Processed Non-zero TRI Data'!$I:$I = H29), 'Processed Non-zero TRI Data'!$S:$S), "N/A- Facility Does Not Report to TRI")</f>
        <v>0</v>
      </c>
      <c r="Y29" s="33">
        <f t="shared" si="2"/>
        <v>0</v>
      </c>
      <c r="Z29" s="33" t="str" cm="1">
        <f t="array" ref="Z29">IF(COUNTIF('Processed Non-zero TRI Data'!$I:$I,$H29)&gt;0,MEDIAN(IF('Processed Non-zero TRI Data'!$I:$I=H29,'Processed Non-zero TRI Data'!$S:$S)), "N/A - Facility Does Not Report to TRI")</f>
        <v>N/A - Facility Does Not Report to TRI</v>
      </c>
      <c r="AA29" s="33" t="str">
        <f t="shared" si="3"/>
        <v>N/A - Facility Does Not Report to TRI</v>
      </c>
      <c r="AB29" s="33" t="str">
        <f>IF(COUNTIF('Processed Non-zero TRI Data'!$I:$I,$H29)&gt;0,_xlfn.MAXIFS('Processed Non-zero TRI Data'!$S:$S,'Processed Non-zero TRI Data'!$I:$I,$H29), "N/A - Facility Does Not Report to TRI")</f>
        <v>N/A - Facility Does Not Report to TRI</v>
      </c>
      <c r="AC29" s="33" t="str">
        <f t="shared" si="4"/>
        <v>N/A - Facility Does Not Report to TRI</v>
      </c>
      <c r="AD29" s="110" t="str" cm="1">
        <f t="array" ref="AD29">IFERROR(IF(B29 = "TRI Form R", IF(AB29 = 0, "Facility has no on-site water discharges between 2019-2023.",  IF(COUNTIF('Processed Non-zero TRI Data'!$I:$I,$H29)&gt;0,INDEX('Processed Non-zero TRI Data'!$A:$A,MATCH(1,($H29='Processed Non-zero TRI Data'!$I:$I)*(AB29='Processed Non-zero TRI Data'!$S:$S),0)))), VLOOKUP(H29, 'Form A Recent Reporting'!$L:$M, 2, FALSE)), ("N/A - Facility Does Not Report to TRI"))</f>
        <v>N/A - Facility Does Not Report to TRI</v>
      </c>
      <c r="AE29" s="109" cm="1">
        <f t="array" ref="AE29">IFERROR(_xlfn.XLOOKUP(1,  (MAX(IF(H29 = 'Processed Non-zero TRI Data'!$I:$I,'Processed Non-zero TRI Data'!$A:$A)) = 'Processed Non-zero TRI Data'!$A:$A)*('Processed Non-zero TRI Data'!$I:$I = H29), 'Processed Non-zero TRI Data'!$U:$U), "N/A- Facility Does Not Report to TRI")</f>
        <v>0</v>
      </c>
      <c r="AF29" s="33">
        <f t="shared" si="5"/>
        <v>0</v>
      </c>
      <c r="AG29" s="33" t="str" cm="1">
        <f t="array" ref="AG29">IF(COUNTIF('Processed Non-zero TRI Data'!$I:$I,$H29)&gt;0,MEDIAN(IF('Processed Non-zero TRI Data'!$I:$I=H29,'Processed Non-zero TRI Data'!$U:$U)), "N/A - Facility Does Not Report to TRI")</f>
        <v>N/A - Facility Does Not Report to TRI</v>
      </c>
      <c r="AH29" s="33" t="str">
        <f t="shared" si="6"/>
        <v>N/A - Facility Does Not Report to TRI</v>
      </c>
      <c r="AI29" s="33" t="str">
        <f>IF(COUNTIF('Processed Non-zero TRI Data'!$I:$I,$H29)&gt;0,_xlfn.MAXIFS('Processed Non-zero TRI Data'!$U:$U,'Processed Non-zero TRI Data'!$I:$I,$H29), "N/A - Facility Does Not Report to TRI")</f>
        <v>N/A - Facility Does Not Report to TRI</v>
      </c>
      <c r="AJ29" s="33" t="str">
        <f t="shared" si="7"/>
        <v>N/A - Facility Does Not Report to TRI</v>
      </c>
      <c r="AK29" s="110" t="str" cm="1">
        <f t="array" ref="AK29">IF(B29="TRI Form A",AD29,IF(AI29=0,"Facility has no transfers to POTWs between 2019-2023.",IF(COUNTIF('Processed Non-zero TRI Data'!$I:$I,$H29)&gt;0,INDEX('Processed Non-zero TRI Data'!$A:$A,MATCH(1,($H29='Processed Non-zero TRI Data'!$I:$I)*(AI29='Processed Non-zero TRI Data'!$U:$U),0)),"N/A - Facility Does Not Report to TRI")))</f>
        <v>N/A - Facility Does Not Report to TRI</v>
      </c>
      <c r="AL29" s="109" cm="1">
        <f t="array" ref="AL29">IFERROR(_xlfn.XLOOKUP(1,  (MAX(IF(H29 = 'Processed Non-zero TRI Data'!$I$2:$I$23,'Processed Non-zero TRI Data'!$A$2:$A$23)) = 'Processed Non-zero TRI Data'!$A$2:$A$23)*('Processed Non-zero TRI Data'!$I$2:$I$23 = H29), 'Processed Non-zero TRI Data'!$W$2:$W$23), "N/A- Facility Does Not Report to TRI")</f>
        <v>0</v>
      </c>
      <c r="AM29" s="33">
        <f t="shared" si="8"/>
        <v>0</v>
      </c>
      <c r="AN29" s="33" t="str" cm="1">
        <f t="array" ref="AN29">IF(COUNTIF('Processed Non-zero TRI Data'!$I:$I,$H29)&gt;0,MEDIAN(IF('Processed Non-zero TRI Data'!$I:$I=H29,'Processed Non-zero TRI Data'!$W:$W)), "N/A - Facility Does Not Report to TRI")</f>
        <v>N/A - Facility Does Not Report to TRI</v>
      </c>
      <c r="AO29" s="33" t="str">
        <f t="shared" si="9"/>
        <v>N/A - Facility Does Not Report to TRI</v>
      </c>
      <c r="AP29" s="33" t="str">
        <f>IF(COUNTIF('Processed Non-zero TRI Data'!$I:$I,$H29)&gt;0,_xlfn.MAXIFS('Processed Non-zero TRI Data'!$W:$W,'Processed Non-zero TRI Data'!$I:$I,$H29), "N/A - Facility Does Not Report to TRI")</f>
        <v>N/A - Facility Does Not Report to TRI</v>
      </c>
      <c r="AQ29" s="33" t="str">
        <f t="shared" si="10"/>
        <v>N/A - Facility Does Not Report to TRI</v>
      </c>
      <c r="AR29" s="110" t="str" cm="1">
        <f t="array" ref="AR29">IF(B29="TRI Form A",AD29,IF(AP29=0,"Facility has no transfers to non-POTWs between 2019-2023.",IF(COUNTIF('Processed Non-zero TRI Data'!$I:$I,$H29)&gt;0,INDEX('Processed Non-zero TRI Data'!$A:$A,MATCH(1,($H29='Processed Non-zero TRI Data'!$I:$I)*(AP29='Processed Non-zero TRI Data'!$W:$W),0)),"N/A - Facility Does Not Report to TRI")))</f>
        <v>N/A - Facility Does Not Report to TRI</v>
      </c>
    </row>
    <row r="30" spans="1:44" ht="29" x14ac:dyDescent="0.35">
      <c r="A30" s="34">
        <v>27</v>
      </c>
      <c r="B30" s="33" t="str">
        <f>IFERROR("TRI Form "&amp;VLOOKUP(H30,'Processed Non-zero TRI Data'!$I$2:$K$23,3,FALSE),"DMR")</f>
        <v>DMR</v>
      </c>
      <c r="C30" s="33" t="str">
        <f>VLOOKUP($D30, 'COU.OES Summary'!C:D, 2, FALSE)</f>
        <v> </v>
      </c>
      <c r="D30" s="33" t="str">
        <f>IFERROR(VLOOKUP($H30, 'Processed Non-zero TRI Data'!$I:$O, 7, FALSE), VLOOKUP($I30, 'Processed Non-zero DMR Data'!$K:$R, 8, FALSE))</f>
        <v>Waste handling, treatment, and disposal - POTW</v>
      </c>
      <c r="E30" s="34" t="s">
        <v>147</v>
      </c>
      <c r="F30" s="34" t="s">
        <v>148</v>
      </c>
      <c r="G30" s="34" t="s">
        <v>108</v>
      </c>
      <c r="H30" s="34"/>
      <c r="I30" s="105">
        <v>110039705361</v>
      </c>
      <c r="J30" s="33" t="str">
        <f>IFERROR(VLOOKUP($I30, 'Processed Non-zero DMR Data'!$K:$U, 11, FALSE),"")</f>
        <v>KY0104400</v>
      </c>
      <c r="K30" s="33" t="str">
        <f>IFERROR(VLOOKUP($I30, 'Processed Non-zero DMR Data'!$K:$V, 12, FALSE),"Not Reported")</f>
        <v>Headwaters Hinkston Creek</v>
      </c>
      <c r="L30" s="106">
        <f>IFERROR(VLOOKUP($I30, 'Processed Non-zero DMR Data'!$K:$W, 13, FALSE),"No Reach Code Reported")</f>
        <v>51001020302</v>
      </c>
      <c r="M30" s="107" t="str">
        <f>IFERROR(IFERROR(VLOOKUP(H30, 'Off-site Locations'!$K$3:$O$5, 5, FALSE), VLOOKUP(H30, 'Off-site Locations'!$B$3:$E$4, 4, FALSE)), "No Offsite Transfers")</f>
        <v>No Offsite Transfers</v>
      </c>
      <c r="N30" s="33">
        <f>VLOOKUP($D30, 'COU.OES Summary'!C:E, 3, FALSE)</f>
        <v>365</v>
      </c>
      <c r="O30" s="108">
        <f t="shared" si="0"/>
        <v>0</v>
      </c>
      <c r="P30" s="108">
        <f t="shared" si="1"/>
        <v>11.086738125</v>
      </c>
      <c r="Q30" s="109" cm="1">
        <f t="array" ref="Q30">IFERROR(_xlfn.XLOOKUP(1,  (MAX(IF(I30 = 'Processed Non-zero DMR Data'!$K:$K,'Processed Non-zero DMR Data'!$A:$A)) = 'Processed Non-zero DMR Data'!$A:$A)*('Processed Non-zero DMR Data'!$K:$K = I30),'Processed Non-zero DMR Data'!$T:$T), "N/A- Facility Does Not Report DMRs")</f>
        <v>7.4256968749999999</v>
      </c>
      <c r="R30" s="33">
        <f t="shared" si="11"/>
        <v>2.0344375000000001E-2</v>
      </c>
      <c r="S30" s="33" cm="1">
        <f t="array" ref="S30">IF(COUNTIF('Processed Non-zero DMR Data'!$K:$K,$I30)&gt;0,MEDIAN(IF('Processed Non-zero DMR Data'!$K:$K=I30,'Processed Non-zero DMR Data'!$T:$T)),"N/A - Facility Does Not Report DMRs")</f>
        <v>7.4256968749999999</v>
      </c>
      <c r="T30" s="33">
        <f t="shared" si="12"/>
        <v>2.0344375000000001E-2</v>
      </c>
      <c r="U30" s="33">
        <f>IF(COUNTIF('Processed Non-zero DMR Data'!$K:$K,$I30)&gt;0,_xlfn.MAXIFS('Processed Non-zero DMR Data'!$T:$T,'Processed Non-zero DMR Data'!$K:$K,$I30), "N/A - Facility Does Not Report DMRs")</f>
        <v>11.086738125</v>
      </c>
      <c r="V30" s="33">
        <f t="shared" si="13"/>
        <v>3.0374624999999999E-2</v>
      </c>
      <c r="W30" s="110" cm="1">
        <f t="array" ref="W30">IF(COUNTIF('Processed Non-zero DMR Data'!$K:$K,$I30)&gt;0,INDEX('Processed Non-zero DMR Data'!$A:$A,MATCH(1,($I30='Processed Non-zero DMR Data'!$K:$K)*($U30='Processed Non-zero DMR Data'!$T:$T),0)), "N/A - Facility Does Not Report DMRs")</f>
        <v>2019</v>
      </c>
      <c r="X30" s="109" cm="1">
        <f t="array" ref="X30">IFERROR(_xlfn.XLOOKUP(1,  (MAX(IF(H30 = 'Processed Non-zero TRI Data'!$I:$I,'Processed Non-zero TRI Data'!$A:$A)) = 'Processed Non-zero TRI Data'!$A:$A)*('Processed Non-zero TRI Data'!$I:$I = H30), 'Processed Non-zero TRI Data'!$S:$S), "N/A- Facility Does Not Report to TRI")</f>
        <v>0</v>
      </c>
      <c r="Y30" s="33">
        <f t="shared" si="2"/>
        <v>0</v>
      </c>
      <c r="Z30" s="33" t="str" cm="1">
        <f t="array" ref="Z30">IF(COUNTIF('Processed Non-zero TRI Data'!$I:$I,$H30)&gt;0,MEDIAN(IF('Processed Non-zero TRI Data'!$I:$I=H30,'Processed Non-zero TRI Data'!$S:$S)), "N/A - Facility Does Not Report to TRI")</f>
        <v>N/A - Facility Does Not Report to TRI</v>
      </c>
      <c r="AA30" s="33" t="str">
        <f t="shared" si="3"/>
        <v>N/A - Facility Does Not Report to TRI</v>
      </c>
      <c r="AB30" s="33" t="str">
        <f>IF(COUNTIF('Processed Non-zero TRI Data'!$I:$I,$H30)&gt;0,_xlfn.MAXIFS('Processed Non-zero TRI Data'!$S:$S,'Processed Non-zero TRI Data'!$I:$I,$H30), "N/A - Facility Does Not Report to TRI")</f>
        <v>N/A - Facility Does Not Report to TRI</v>
      </c>
      <c r="AC30" s="33" t="str">
        <f t="shared" si="4"/>
        <v>N/A - Facility Does Not Report to TRI</v>
      </c>
      <c r="AD30" s="110" t="str" cm="1">
        <f t="array" ref="AD30">IFERROR(IF(B30 = "TRI Form R", IF(AB30 = 0, "Facility has no on-site water discharges between 2019-2023.",  IF(COUNTIF('Processed Non-zero TRI Data'!$I:$I,$H30)&gt;0,INDEX('Processed Non-zero TRI Data'!$A:$A,MATCH(1,($H30='Processed Non-zero TRI Data'!$I:$I)*(AB30='Processed Non-zero TRI Data'!$S:$S),0)))), VLOOKUP(H30, 'Form A Recent Reporting'!$L:$M, 2, FALSE)), ("N/A - Facility Does Not Report to TRI"))</f>
        <v>N/A - Facility Does Not Report to TRI</v>
      </c>
      <c r="AE30" s="109" cm="1">
        <f t="array" ref="AE30">IFERROR(_xlfn.XLOOKUP(1,  (MAX(IF(H30 = 'Processed Non-zero TRI Data'!$I:$I,'Processed Non-zero TRI Data'!$A:$A)) = 'Processed Non-zero TRI Data'!$A:$A)*('Processed Non-zero TRI Data'!$I:$I = H30), 'Processed Non-zero TRI Data'!$U:$U), "N/A- Facility Does Not Report to TRI")</f>
        <v>0</v>
      </c>
      <c r="AF30" s="33">
        <f t="shared" si="5"/>
        <v>0</v>
      </c>
      <c r="AG30" s="33" t="str" cm="1">
        <f t="array" ref="AG30">IF(COUNTIF('Processed Non-zero TRI Data'!$I:$I,$H30)&gt;0,MEDIAN(IF('Processed Non-zero TRI Data'!$I:$I=H30,'Processed Non-zero TRI Data'!$U:$U)), "N/A - Facility Does Not Report to TRI")</f>
        <v>N/A - Facility Does Not Report to TRI</v>
      </c>
      <c r="AH30" s="33" t="str">
        <f t="shared" si="6"/>
        <v>N/A - Facility Does Not Report to TRI</v>
      </c>
      <c r="AI30" s="33" t="str">
        <f>IF(COUNTIF('Processed Non-zero TRI Data'!$I:$I,$H30)&gt;0,_xlfn.MAXIFS('Processed Non-zero TRI Data'!$U:$U,'Processed Non-zero TRI Data'!$I:$I,$H30), "N/A - Facility Does Not Report to TRI")</f>
        <v>N/A - Facility Does Not Report to TRI</v>
      </c>
      <c r="AJ30" s="33" t="str">
        <f t="shared" si="7"/>
        <v>N/A - Facility Does Not Report to TRI</v>
      </c>
      <c r="AK30" s="110" t="str" cm="1">
        <f t="array" ref="AK30">IF(B30="TRI Form A",AD30,IF(AI30=0,"Facility has no transfers to POTWs between 2019-2023.",IF(COUNTIF('Processed Non-zero TRI Data'!$I:$I,$H30)&gt;0,INDEX('Processed Non-zero TRI Data'!$A:$A,MATCH(1,($H30='Processed Non-zero TRI Data'!$I:$I)*(AI30='Processed Non-zero TRI Data'!$U:$U),0)),"N/A - Facility Does Not Report to TRI")))</f>
        <v>N/A - Facility Does Not Report to TRI</v>
      </c>
      <c r="AL30" s="109" cm="1">
        <f t="array" ref="AL30">IFERROR(_xlfn.XLOOKUP(1,  (MAX(IF(H30 = 'Processed Non-zero TRI Data'!$I$2:$I$23,'Processed Non-zero TRI Data'!$A$2:$A$23)) = 'Processed Non-zero TRI Data'!$A$2:$A$23)*('Processed Non-zero TRI Data'!$I$2:$I$23 = H30), 'Processed Non-zero TRI Data'!$W$2:$W$23), "N/A- Facility Does Not Report to TRI")</f>
        <v>0</v>
      </c>
      <c r="AM30" s="33">
        <f t="shared" si="8"/>
        <v>0</v>
      </c>
      <c r="AN30" s="33" t="str" cm="1">
        <f t="array" ref="AN30">IF(COUNTIF('Processed Non-zero TRI Data'!$I:$I,$H30)&gt;0,MEDIAN(IF('Processed Non-zero TRI Data'!$I:$I=H30,'Processed Non-zero TRI Data'!$W:$W)), "N/A - Facility Does Not Report to TRI")</f>
        <v>N/A - Facility Does Not Report to TRI</v>
      </c>
      <c r="AO30" s="33" t="str">
        <f t="shared" si="9"/>
        <v>N/A - Facility Does Not Report to TRI</v>
      </c>
      <c r="AP30" s="33" t="str">
        <f>IF(COUNTIF('Processed Non-zero TRI Data'!$I:$I,$H30)&gt;0,_xlfn.MAXIFS('Processed Non-zero TRI Data'!$W:$W,'Processed Non-zero TRI Data'!$I:$I,$H30), "N/A - Facility Does Not Report to TRI")</f>
        <v>N/A - Facility Does Not Report to TRI</v>
      </c>
      <c r="AQ30" s="33" t="str">
        <f t="shared" si="10"/>
        <v>N/A - Facility Does Not Report to TRI</v>
      </c>
      <c r="AR30" s="110" t="str" cm="1">
        <f t="array" ref="AR30">IF(B30="TRI Form A",AD30,IF(AP30=0,"Facility has no transfers to non-POTWs between 2019-2023.",IF(COUNTIF('Processed Non-zero TRI Data'!$I:$I,$H30)&gt;0,INDEX('Processed Non-zero TRI Data'!$A:$A,MATCH(1,($H30='Processed Non-zero TRI Data'!$I:$I)*(AP30='Processed Non-zero TRI Data'!$W:$W),0)),"N/A - Facility Does Not Report to TRI")))</f>
        <v>N/A - Facility Does Not Report to TRI</v>
      </c>
    </row>
    <row r="31" spans="1:44" ht="29" x14ac:dyDescent="0.35">
      <c r="A31" s="34">
        <v>28</v>
      </c>
      <c r="B31" s="33" t="str">
        <f>IFERROR("TRI Form "&amp;VLOOKUP(H31,'Processed Non-zero TRI Data'!$I$2:$K$23,3,FALSE),"DMR")</f>
        <v>DMR</v>
      </c>
      <c r="C31" s="33" t="str">
        <f>VLOOKUP($D31, 'COU.OES Summary'!C:D, 2, FALSE)</f>
        <v> </v>
      </c>
      <c r="D31" s="33" t="str">
        <f>IFERROR(VLOOKUP($H31, 'Processed Non-zero TRI Data'!$I:$O, 7, FALSE), VLOOKUP($I31, 'Processed Non-zero DMR Data'!$K:$R, 8, FALSE))</f>
        <v>Waste handling, treatment, and disposal - Remediation or Monitoring</v>
      </c>
      <c r="E31" s="34" t="s">
        <v>149</v>
      </c>
      <c r="F31" s="34" t="s">
        <v>150</v>
      </c>
      <c r="G31" s="34" t="s">
        <v>151</v>
      </c>
      <c r="H31" s="34"/>
      <c r="I31" s="105">
        <v>110000403670</v>
      </c>
      <c r="J31" s="33" t="str">
        <f>IFERROR(VLOOKUP($I31, 'Processed Non-zero DMR Data'!$K:$U, 11, FALSE),"")</f>
        <v>IN0002101</v>
      </c>
      <c r="K31" s="33" t="str">
        <f>IFERROR(VLOOKUP($I31, 'Processed Non-zero DMR Data'!$K:$V, 12, FALSE),"Not Reported")</f>
        <v>Beaverdam Creek-Ohio River</v>
      </c>
      <c r="L31" s="106">
        <f>IFERROR(VLOOKUP($I31, 'Processed Non-zero DMR Data'!$K:$W, 13, FALSE),"No Reach Code Reported")</f>
        <v>51402020605</v>
      </c>
      <c r="M31" s="107" t="str">
        <f>IFERROR(IFERROR(VLOOKUP(H31, 'Off-site Locations'!$K$3:$O$5, 5, FALSE), VLOOKUP(H31, 'Off-site Locations'!$B$3:$E$4, 4, FALSE)), "No Offsite Transfers")</f>
        <v>No Offsite Transfers</v>
      </c>
      <c r="N31" s="33">
        <f>VLOOKUP($D31, 'COU.OES Summary'!C:E, 3, FALSE)</f>
        <v>365</v>
      </c>
      <c r="O31" s="108">
        <f t="shared" si="0"/>
        <v>0</v>
      </c>
      <c r="P31" s="108">
        <f t="shared" si="1"/>
        <v>10.859680000000001</v>
      </c>
      <c r="Q31" s="109" cm="1">
        <f t="array" ref="Q31">IFERROR(_xlfn.XLOOKUP(1,  (MAX(IF(I31 = 'Processed Non-zero DMR Data'!$K:$K,'Processed Non-zero DMR Data'!$A:$A)) = 'Processed Non-zero DMR Data'!$A:$A)*('Processed Non-zero DMR Data'!$K:$K = I31),'Processed Non-zero DMR Data'!$T:$T), "N/A- Facility Does Not Report DMRs")</f>
        <v>3.34144</v>
      </c>
      <c r="R31" s="33">
        <f t="shared" si="11"/>
        <v>9.1546301369863012E-3</v>
      </c>
      <c r="S31" s="33" cm="1">
        <f t="array" ref="S31">IF(COUNTIF('Processed Non-zero DMR Data'!$K:$K,$I31)&gt;0,MEDIAN(IF('Processed Non-zero DMR Data'!$K:$K=I31,'Processed Non-zero DMR Data'!$T:$T)),"N/A - Facility Does Not Report DMRs")</f>
        <v>7.5182399999999996</v>
      </c>
      <c r="T31" s="33">
        <f t="shared" si="12"/>
        <v>2.0597917808219176E-2</v>
      </c>
      <c r="U31" s="33">
        <f>IF(COUNTIF('Processed Non-zero DMR Data'!$K:$K,$I31)&gt;0,_xlfn.MAXIFS('Processed Non-zero DMR Data'!$T:$T,'Processed Non-zero DMR Data'!$K:$K,$I31), "N/A - Facility Does Not Report DMRs")</f>
        <v>10.859680000000001</v>
      </c>
      <c r="V31" s="33">
        <f t="shared" si="13"/>
        <v>2.9752547945205481E-2</v>
      </c>
      <c r="W31" s="110" cm="1">
        <f t="array" ref="W31">IF(COUNTIF('Processed Non-zero DMR Data'!$K:$K,$I31)&gt;0,INDEX('Processed Non-zero DMR Data'!$A:$A,MATCH(1,($I31='Processed Non-zero DMR Data'!$K:$K)*($U31='Processed Non-zero DMR Data'!$T:$T),0)), "N/A - Facility Does Not Report DMRs")</f>
        <v>2019</v>
      </c>
      <c r="X31" s="109" cm="1">
        <f t="array" ref="X31">IFERROR(_xlfn.XLOOKUP(1,  (MAX(IF(H31 = 'Processed Non-zero TRI Data'!$I:$I,'Processed Non-zero TRI Data'!$A:$A)) = 'Processed Non-zero TRI Data'!$A:$A)*('Processed Non-zero TRI Data'!$I:$I = H31), 'Processed Non-zero TRI Data'!$S:$S), "N/A- Facility Does Not Report to TRI")</f>
        <v>0</v>
      </c>
      <c r="Y31" s="33">
        <f t="shared" si="2"/>
        <v>0</v>
      </c>
      <c r="Z31" s="33" t="str" cm="1">
        <f t="array" ref="Z31">IF(COUNTIF('Processed Non-zero TRI Data'!$I:$I,$H31)&gt;0,MEDIAN(IF('Processed Non-zero TRI Data'!$I:$I=H31,'Processed Non-zero TRI Data'!$S:$S)), "N/A - Facility Does Not Report to TRI")</f>
        <v>N/A - Facility Does Not Report to TRI</v>
      </c>
      <c r="AA31" s="33" t="str">
        <f t="shared" si="3"/>
        <v>N/A - Facility Does Not Report to TRI</v>
      </c>
      <c r="AB31" s="33" t="str">
        <f>IF(COUNTIF('Processed Non-zero TRI Data'!$I:$I,$H31)&gt;0,_xlfn.MAXIFS('Processed Non-zero TRI Data'!$S:$S,'Processed Non-zero TRI Data'!$I:$I,$H31), "N/A - Facility Does Not Report to TRI")</f>
        <v>N/A - Facility Does Not Report to TRI</v>
      </c>
      <c r="AC31" s="33" t="str">
        <f t="shared" si="4"/>
        <v>N/A - Facility Does Not Report to TRI</v>
      </c>
      <c r="AD31" s="110" t="str" cm="1">
        <f t="array" ref="AD31">IFERROR(IF(B31 = "TRI Form R", IF(AB31 = 0, "Facility has no on-site water discharges between 2019-2023.",  IF(COUNTIF('Processed Non-zero TRI Data'!$I:$I,$H31)&gt;0,INDEX('Processed Non-zero TRI Data'!$A:$A,MATCH(1,($H31='Processed Non-zero TRI Data'!$I:$I)*(AB31='Processed Non-zero TRI Data'!$S:$S),0)))), VLOOKUP(H31, 'Form A Recent Reporting'!$L:$M, 2, FALSE)), ("N/A - Facility Does Not Report to TRI"))</f>
        <v>N/A - Facility Does Not Report to TRI</v>
      </c>
      <c r="AE31" s="109" cm="1">
        <f t="array" ref="AE31">IFERROR(_xlfn.XLOOKUP(1,  (MAX(IF(H31 = 'Processed Non-zero TRI Data'!$I:$I,'Processed Non-zero TRI Data'!$A:$A)) = 'Processed Non-zero TRI Data'!$A:$A)*('Processed Non-zero TRI Data'!$I:$I = H31), 'Processed Non-zero TRI Data'!$U:$U), "N/A- Facility Does Not Report to TRI")</f>
        <v>0</v>
      </c>
      <c r="AF31" s="33">
        <f t="shared" si="5"/>
        <v>0</v>
      </c>
      <c r="AG31" s="33" t="str" cm="1">
        <f t="array" ref="AG31">IF(COUNTIF('Processed Non-zero TRI Data'!$I:$I,$H31)&gt;0,MEDIAN(IF('Processed Non-zero TRI Data'!$I:$I=H31,'Processed Non-zero TRI Data'!$U:$U)), "N/A - Facility Does Not Report to TRI")</f>
        <v>N/A - Facility Does Not Report to TRI</v>
      </c>
      <c r="AH31" s="33" t="str">
        <f t="shared" si="6"/>
        <v>N/A - Facility Does Not Report to TRI</v>
      </c>
      <c r="AI31" s="33" t="str">
        <f>IF(COUNTIF('Processed Non-zero TRI Data'!$I:$I,$H31)&gt;0,_xlfn.MAXIFS('Processed Non-zero TRI Data'!$U:$U,'Processed Non-zero TRI Data'!$I:$I,$H31), "N/A - Facility Does Not Report to TRI")</f>
        <v>N/A - Facility Does Not Report to TRI</v>
      </c>
      <c r="AJ31" s="33" t="str">
        <f t="shared" si="7"/>
        <v>N/A - Facility Does Not Report to TRI</v>
      </c>
      <c r="AK31" s="110" t="str" cm="1">
        <f t="array" ref="AK31">IF(B31="TRI Form A",AD31,IF(AI31=0,"Facility has no transfers to POTWs between 2019-2023.",IF(COUNTIF('Processed Non-zero TRI Data'!$I:$I,$H31)&gt;0,INDEX('Processed Non-zero TRI Data'!$A:$A,MATCH(1,($H31='Processed Non-zero TRI Data'!$I:$I)*(AI31='Processed Non-zero TRI Data'!$U:$U),0)),"N/A - Facility Does Not Report to TRI")))</f>
        <v>N/A - Facility Does Not Report to TRI</v>
      </c>
      <c r="AL31" s="109" cm="1">
        <f t="array" ref="AL31">IFERROR(_xlfn.XLOOKUP(1,  (MAX(IF(H31 = 'Processed Non-zero TRI Data'!$I$2:$I$23,'Processed Non-zero TRI Data'!$A$2:$A$23)) = 'Processed Non-zero TRI Data'!$A$2:$A$23)*('Processed Non-zero TRI Data'!$I$2:$I$23 = H31), 'Processed Non-zero TRI Data'!$W$2:$W$23), "N/A- Facility Does Not Report to TRI")</f>
        <v>0</v>
      </c>
      <c r="AM31" s="33">
        <f t="shared" si="8"/>
        <v>0</v>
      </c>
      <c r="AN31" s="33" t="str" cm="1">
        <f t="array" ref="AN31">IF(COUNTIF('Processed Non-zero TRI Data'!$I:$I,$H31)&gt;0,MEDIAN(IF('Processed Non-zero TRI Data'!$I:$I=H31,'Processed Non-zero TRI Data'!$W:$W)), "N/A - Facility Does Not Report to TRI")</f>
        <v>N/A - Facility Does Not Report to TRI</v>
      </c>
      <c r="AO31" s="33" t="str">
        <f t="shared" si="9"/>
        <v>N/A - Facility Does Not Report to TRI</v>
      </c>
      <c r="AP31" s="33" t="str">
        <f>IF(COUNTIF('Processed Non-zero TRI Data'!$I:$I,$H31)&gt;0,_xlfn.MAXIFS('Processed Non-zero TRI Data'!$W:$W,'Processed Non-zero TRI Data'!$I:$I,$H31), "N/A - Facility Does Not Report to TRI")</f>
        <v>N/A - Facility Does Not Report to TRI</v>
      </c>
      <c r="AQ31" s="33" t="str">
        <f t="shared" si="10"/>
        <v>N/A - Facility Does Not Report to TRI</v>
      </c>
      <c r="AR31" s="110" t="str" cm="1">
        <f t="array" ref="AR31">IF(B31="TRI Form A",AD31,IF(AP31=0,"Facility has no transfers to non-POTWs between 2019-2023.",IF(COUNTIF('Processed Non-zero TRI Data'!$I:$I,$H31)&gt;0,INDEX('Processed Non-zero TRI Data'!$A:$A,MATCH(1,($H31='Processed Non-zero TRI Data'!$I:$I)*(AP31='Processed Non-zero TRI Data'!$W:$W),0)),"N/A - Facility Does Not Report to TRI")))</f>
        <v>N/A - Facility Does Not Report to TRI</v>
      </c>
    </row>
    <row r="32" spans="1:44" ht="29" x14ac:dyDescent="0.35">
      <c r="A32" s="34">
        <v>29</v>
      </c>
      <c r="B32" s="33" t="str">
        <f>IFERROR("TRI Form "&amp;VLOOKUP(H32,'Processed Non-zero TRI Data'!$I$2:$K$23,3,FALSE),"DMR")</f>
        <v>DMR</v>
      </c>
      <c r="C32" s="33" t="str">
        <f>VLOOKUP($D32, 'COU.OES Summary'!C:D, 2, FALSE)</f>
        <v> </v>
      </c>
      <c r="D32" s="33" t="str">
        <f>IFERROR(VLOOKUP($H32, 'Processed Non-zero TRI Data'!$I:$O, 7, FALSE), VLOOKUP($I32, 'Processed Non-zero DMR Data'!$K:$R, 8, FALSE))</f>
        <v>Waste handling, treatment, and disposal - POTW</v>
      </c>
      <c r="E32" s="34" t="s">
        <v>152</v>
      </c>
      <c r="F32" s="34" t="s">
        <v>153</v>
      </c>
      <c r="G32" s="34" t="s">
        <v>108</v>
      </c>
      <c r="H32" s="34"/>
      <c r="I32" s="105">
        <v>110064612557</v>
      </c>
      <c r="J32" s="33" t="str">
        <f>IFERROR(VLOOKUP($I32, 'Processed Non-zero DMR Data'!$K:$U, 11, FALSE),"")</f>
        <v>KY0021440</v>
      </c>
      <c r="K32" s="33" t="str">
        <f>IFERROR(VLOOKUP($I32, 'Processed Non-zero DMR Data'!$K:$V, 12, FALSE),"Not Reported")</f>
        <v>Casey Creek</v>
      </c>
      <c r="L32" s="106">
        <f>IFERROR(VLOOKUP($I32, 'Processed Non-zero DMR Data'!$K:$W, 13, FALSE),"No Reach Code Reported")</f>
        <v>51402020504</v>
      </c>
      <c r="M32" s="107" t="str">
        <f>IFERROR(IFERROR(VLOOKUP(H32, 'Off-site Locations'!$K$3:$O$5, 5, FALSE), VLOOKUP(H32, 'Off-site Locations'!$B$3:$E$4, 4, FALSE)), "No Offsite Transfers")</f>
        <v>No Offsite Transfers</v>
      </c>
      <c r="N32" s="33">
        <f>VLOOKUP($D32, 'COU.OES Summary'!C:E, 3, FALSE)</f>
        <v>365</v>
      </c>
      <c r="O32" s="108">
        <f t="shared" si="0"/>
        <v>0</v>
      </c>
      <c r="P32" s="108">
        <f t="shared" si="1"/>
        <v>10.492682374999999</v>
      </c>
      <c r="Q32" s="109" cm="1">
        <f t="array" ref="Q32">IFERROR(_xlfn.XLOOKUP(1,  (MAX(IF(I32 = 'Processed Non-zero DMR Data'!$K:$K,'Processed Non-zero DMR Data'!$A:$A)) = 'Processed Non-zero DMR Data'!$A:$A)*('Processed Non-zero DMR Data'!$K:$K = I32),'Processed Non-zero DMR Data'!$T:$T), "N/A- Facility Does Not Report DMRs")</f>
        <v>3.5712421249999999</v>
      </c>
      <c r="R32" s="33">
        <f t="shared" si="11"/>
        <v>9.7842250000000006E-3</v>
      </c>
      <c r="S32" s="33" cm="1">
        <f t="array" ref="S32">IF(COUNTIF('Processed Non-zero DMR Data'!$K:$K,$I32)&gt;0,MEDIAN(IF('Processed Non-zero DMR Data'!$K:$K=I32,'Processed Non-zero DMR Data'!$T:$T)),"N/A - Facility Does Not Report DMRs")</f>
        <v>5.9543727500000001</v>
      </c>
      <c r="T32" s="33">
        <f t="shared" si="12"/>
        <v>1.6313350000000001E-2</v>
      </c>
      <c r="U32" s="33">
        <f>IF(COUNTIF('Processed Non-zero DMR Data'!$K:$K,$I32)&gt;0,_xlfn.MAXIFS('Processed Non-zero DMR Data'!$T:$T,'Processed Non-zero DMR Data'!$K:$K,$I32), "N/A - Facility Does Not Report DMRs")</f>
        <v>10.492682374999999</v>
      </c>
      <c r="V32" s="33">
        <f t="shared" si="13"/>
        <v>2.8747074999999997E-2</v>
      </c>
      <c r="W32" s="110" cm="1">
        <f t="array" ref="W32">IF(COUNTIF('Processed Non-zero DMR Data'!$K:$K,$I32)&gt;0,INDEX('Processed Non-zero DMR Data'!$A:$A,MATCH(1,($I32='Processed Non-zero DMR Data'!$K:$K)*($U32='Processed Non-zero DMR Data'!$T:$T),0)), "N/A - Facility Does Not Report DMRs")</f>
        <v>2020</v>
      </c>
      <c r="X32" s="109" cm="1">
        <f t="array" ref="X32">IFERROR(_xlfn.XLOOKUP(1,  (MAX(IF(H32 = 'Processed Non-zero TRI Data'!$I:$I,'Processed Non-zero TRI Data'!$A:$A)) = 'Processed Non-zero TRI Data'!$A:$A)*('Processed Non-zero TRI Data'!$I:$I = H32), 'Processed Non-zero TRI Data'!$S:$S), "N/A- Facility Does Not Report to TRI")</f>
        <v>0</v>
      </c>
      <c r="Y32" s="33">
        <f t="shared" si="2"/>
        <v>0</v>
      </c>
      <c r="Z32" s="33" t="str" cm="1">
        <f t="array" ref="Z32">IF(COUNTIF('Processed Non-zero TRI Data'!$I:$I,$H32)&gt;0,MEDIAN(IF('Processed Non-zero TRI Data'!$I:$I=H32,'Processed Non-zero TRI Data'!$S:$S)), "N/A - Facility Does Not Report to TRI")</f>
        <v>N/A - Facility Does Not Report to TRI</v>
      </c>
      <c r="AA32" s="33" t="str">
        <f t="shared" si="3"/>
        <v>N/A - Facility Does Not Report to TRI</v>
      </c>
      <c r="AB32" s="33" t="str">
        <f>IF(COUNTIF('Processed Non-zero TRI Data'!$I:$I,$H32)&gt;0,_xlfn.MAXIFS('Processed Non-zero TRI Data'!$S:$S,'Processed Non-zero TRI Data'!$I:$I,$H32), "N/A - Facility Does Not Report to TRI")</f>
        <v>N/A - Facility Does Not Report to TRI</v>
      </c>
      <c r="AC32" s="33" t="str">
        <f t="shared" si="4"/>
        <v>N/A - Facility Does Not Report to TRI</v>
      </c>
      <c r="AD32" s="110" t="str" cm="1">
        <f t="array" ref="AD32">IFERROR(IF(B32 = "TRI Form R", IF(AB32 = 0, "Facility has no on-site water discharges between 2019-2023.",  IF(COUNTIF('Processed Non-zero TRI Data'!$I:$I,$H32)&gt;0,INDEX('Processed Non-zero TRI Data'!$A:$A,MATCH(1,($H32='Processed Non-zero TRI Data'!$I:$I)*(AB32='Processed Non-zero TRI Data'!$S:$S),0)))), VLOOKUP(H32, 'Form A Recent Reporting'!$L:$M, 2, FALSE)), ("N/A - Facility Does Not Report to TRI"))</f>
        <v>N/A - Facility Does Not Report to TRI</v>
      </c>
      <c r="AE32" s="109" cm="1">
        <f t="array" ref="AE32">IFERROR(_xlfn.XLOOKUP(1,  (MAX(IF(H32 = 'Processed Non-zero TRI Data'!$I:$I,'Processed Non-zero TRI Data'!$A:$A)) = 'Processed Non-zero TRI Data'!$A:$A)*('Processed Non-zero TRI Data'!$I:$I = H32), 'Processed Non-zero TRI Data'!$U:$U), "N/A- Facility Does Not Report to TRI")</f>
        <v>0</v>
      </c>
      <c r="AF32" s="33">
        <f t="shared" si="5"/>
        <v>0</v>
      </c>
      <c r="AG32" s="33" t="str" cm="1">
        <f t="array" ref="AG32">IF(COUNTIF('Processed Non-zero TRI Data'!$I:$I,$H32)&gt;0,MEDIAN(IF('Processed Non-zero TRI Data'!$I:$I=H32,'Processed Non-zero TRI Data'!$U:$U)), "N/A - Facility Does Not Report to TRI")</f>
        <v>N/A - Facility Does Not Report to TRI</v>
      </c>
      <c r="AH32" s="33" t="str">
        <f t="shared" si="6"/>
        <v>N/A - Facility Does Not Report to TRI</v>
      </c>
      <c r="AI32" s="33" t="str">
        <f>IF(COUNTIF('Processed Non-zero TRI Data'!$I:$I,$H32)&gt;0,_xlfn.MAXIFS('Processed Non-zero TRI Data'!$U:$U,'Processed Non-zero TRI Data'!$I:$I,$H32), "N/A - Facility Does Not Report to TRI")</f>
        <v>N/A - Facility Does Not Report to TRI</v>
      </c>
      <c r="AJ32" s="33" t="str">
        <f t="shared" si="7"/>
        <v>N/A - Facility Does Not Report to TRI</v>
      </c>
      <c r="AK32" s="110" t="str" cm="1">
        <f t="array" ref="AK32">IF(B32="TRI Form A",AD32,IF(AI32=0,"Facility has no transfers to POTWs between 2019-2023.",IF(COUNTIF('Processed Non-zero TRI Data'!$I:$I,$H32)&gt;0,INDEX('Processed Non-zero TRI Data'!$A:$A,MATCH(1,($H32='Processed Non-zero TRI Data'!$I:$I)*(AI32='Processed Non-zero TRI Data'!$U:$U),0)),"N/A - Facility Does Not Report to TRI")))</f>
        <v>N/A - Facility Does Not Report to TRI</v>
      </c>
      <c r="AL32" s="109" cm="1">
        <f t="array" ref="AL32">IFERROR(_xlfn.XLOOKUP(1,  (MAX(IF(H32 = 'Processed Non-zero TRI Data'!$I$2:$I$23,'Processed Non-zero TRI Data'!$A$2:$A$23)) = 'Processed Non-zero TRI Data'!$A$2:$A$23)*('Processed Non-zero TRI Data'!$I$2:$I$23 = H32), 'Processed Non-zero TRI Data'!$W$2:$W$23), "N/A- Facility Does Not Report to TRI")</f>
        <v>0</v>
      </c>
      <c r="AM32" s="33">
        <f t="shared" si="8"/>
        <v>0</v>
      </c>
      <c r="AN32" s="33" t="str" cm="1">
        <f t="array" ref="AN32">IF(COUNTIF('Processed Non-zero TRI Data'!$I:$I,$H32)&gt;0,MEDIAN(IF('Processed Non-zero TRI Data'!$I:$I=H32,'Processed Non-zero TRI Data'!$W:$W)), "N/A - Facility Does Not Report to TRI")</f>
        <v>N/A - Facility Does Not Report to TRI</v>
      </c>
      <c r="AO32" s="33" t="str">
        <f t="shared" si="9"/>
        <v>N/A - Facility Does Not Report to TRI</v>
      </c>
      <c r="AP32" s="33" t="str">
        <f>IF(COUNTIF('Processed Non-zero TRI Data'!$I:$I,$H32)&gt;0,_xlfn.MAXIFS('Processed Non-zero TRI Data'!$W:$W,'Processed Non-zero TRI Data'!$I:$I,$H32), "N/A - Facility Does Not Report to TRI")</f>
        <v>N/A - Facility Does Not Report to TRI</v>
      </c>
      <c r="AQ32" s="33" t="str">
        <f t="shared" si="10"/>
        <v>N/A - Facility Does Not Report to TRI</v>
      </c>
      <c r="AR32" s="110" t="str" cm="1">
        <f t="array" ref="AR32">IF(B32="TRI Form A",AD32,IF(AP32=0,"Facility has no transfers to non-POTWs between 2019-2023.",IF(COUNTIF('Processed Non-zero TRI Data'!$I:$I,$H32)&gt;0,INDEX('Processed Non-zero TRI Data'!$A:$A,MATCH(1,($H32='Processed Non-zero TRI Data'!$I:$I)*(AP32='Processed Non-zero TRI Data'!$W:$W),0)),"N/A - Facility Does Not Report to TRI")))</f>
        <v>N/A - Facility Does Not Report to TRI</v>
      </c>
    </row>
    <row r="33" spans="1:44" ht="29" x14ac:dyDescent="0.35">
      <c r="A33" s="34">
        <v>30</v>
      </c>
      <c r="B33" s="33" t="str">
        <f>IFERROR("TRI Form "&amp;VLOOKUP(H33,'Processed Non-zero TRI Data'!$I$2:$K$23,3,FALSE),"DMR")</f>
        <v>DMR</v>
      </c>
      <c r="C33" s="33" t="str">
        <f>VLOOKUP($D33, 'COU.OES Summary'!C:D, 2, FALSE)</f>
        <v> </v>
      </c>
      <c r="D33" s="33" t="str">
        <f>IFERROR(VLOOKUP($H33, 'Processed Non-zero TRI Data'!$I:$O, 7, FALSE), VLOOKUP($I33, 'Processed Non-zero DMR Data'!$K:$R, 8, FALSE))</f>
        <v>Waste handling, treatment, and disposal - POTW</v>
      </c>
      <c r="E33" s="34" t="s">
        <v>154</v>
      </c>
      <c r="F33" s="34" t="s">
        <v>155</v>
      </c>
      <c r="G33" s="34" t="s">
        <v>156</v>
      </c>
      <c r="H33" s="34"/>
      <c r="I33" s="105">
        <v>110005726802</v>
      </c>
      <c r="J33" s="33" t="str">
        <f>IFERROR(VLOOKUP($I33, 'Processed Non-zero DMR Data'!$K:$U, 11, FALSE),"")</f>
        <v>HI0020117</v>
      </c>
      <c r="K33" s="33" t="str">
        <f>IFERROR(VLOOKUP($I33, 'Processed Non-zero DMR Data'!$K:$V, 12, FALSE),"Not Reported")</f>
        <v>Waolani Stream</v>
      </c>
      <c r="L33" s="106">
        <f>IFERROR(VLOOKUP($I33, 'Processed Non-zero DMR Data'!$K:$W, 13, FALSE),"No Reach Code Reported")</f>
        <v>200600000304</v>
      </c>
      <c r="M33" s="107" t="str">
        <f>IFERROR(IFERROR(VLOOKUP(H33, 'Off-site Locations'!$K$3:$O$5, 5, FALSE), VLOOKUP(H33, 'Off-site Locations'!$B$3:$E$4, 4, FALSE)), "No Offsite Transfers")</f>
        <v>No Offsite Transfers</v>
      </c>
      <c r="N33" s="33">
        <f>VLOOKUP($D33, 'COU.OES Summary'!C:E, 3, FALSE)</f>
        <v>365</v>
      </c>
      <c r="O33" s="108">
        <f t="shared" si="0"/>
        <v>0</v>
      </c>
      <c r="P33" s="108">
        <f t="shared" si="1"/>
        <v>10.42988544</v>
      </c>
      <c r="Q33" s="109" cm="1">
        <f t="array" ref="Q33">IFERROR(_xlfn.XLOOKUP(1,  (MAX(IF(I33 = 'Processed Non-zero DMR Data'!$K:$K,'Processed Non-zero DMR Data'!$A:$A)) = 'Processed Non-zero DMR Data'!$A:$A)*('Processed Non-zero DMR Data'!$K:$K = I33),'Processed Non-zero DMR Data'!$T:$T), "N/A- Facility Does Not Report DMRs")</f>
        <v>10.42988544</v>
      </c>
      <c r="R33" s="33">
        <f t="shared" si="11"/>
        <v>2.8575028602739725E-2</v>
      </c>
      <c r="S33" s="33" cm="1">
        <f t="array" ref="S33">IF(COUNTIF('Processed Non-zero DMR Data'!$K:$K,$I33)&gt;0,MEDIAN(IF('Processed Non-zero DMR Data'!$K:$K=I33,'Processed Non-zero DMR Data'!$T:$T)),"N/A - Facility Does Not Report DMRs")</f>
        <v>5.5943632319999992</v>
      </c>
      <c r="T33" s="33">
        <f t="shared" si="12"/>
        <v>1.5327022553424656E-2</v>
      </c>
      <c r="U33" s="33">
        <f>IF(COUNTIF('Processed Non-zero DMR Data'!$K:$K,$I33)&gt;0,_xlfn.MAXIFS('Processed Non-zero DMR Data'!$T:$T,'Processed Non-zero DMR Data'!$K:$K,$I33), "N/A - Facility Does Not Report DMRs")</f>
        <v>10.42988544</v>
      </c>
      <c r="V33" s="33">
        <f t="shared" si="13"/>
        <v>2.8575028602739725E-2</v>
      </c>
      <c r="W33" s="110" cm="1">
        <f t="array" ref="W33">IF(COUNTIF('Processed Non-zero DMR Data'!$K:$K,$I33)&gt;0,INDEX('Processed Non-zero DMR Data'!$A:$A,MATCH(1,($I33='Processed Non-zero DMR Data'!$K:$K)*($U33='Processed Non-zero DMR Data'!$T:$T),0)), "N/A - Facility Does Not Report DMRs")</f>
        <v>2020</v>
      </c>
      <c r="X33" s="109" cm="1">
        <f t="array" ref="X33">IFERROR(_xlfn.XLOOKUP(1,  (MAX(IF(H33 = 'Processed Non-zero TRI Data'!$I:$I,'Processed Non-zero TRI Data'!$A:$A)) = 'Processed Non-zero TRI Data'!$A:$A)*('Processed Non-zero TRI Data'!$I:$I = H33), 'Processed Non-zero TRI Data'!$S:$S), "N/A- Facility Does Not Report to TRI")</f>
        <v>0</v>
      </c>
      <c r="Y33" s="33">
        <f t="shared" si="2"/>
        <v>0</v>
      </c>
      <c r="Z33" s="33" t="str" cm="1">
        <f t="array" ref="Z33">IF(COUNTIF('Processed Non-zero TRI Data'!$I:$I,$H33)&gt;0,MEDIAN(IF('Processed Non-zero TRI Data'!$I:$I=H33,'Processed Non-zero TRI Data'!$S:$S)), "N/A - Facility Does Not Report to TRI")</f>
        <v>N/A - Facility Does Not Report to TRI</v>
      </c>
      <c r="AA33" s="33" t="str">
        <f t="shared" si="3"/>
        <v>N/A - Facility Does Not Report to TRI</v>
      </c>
      <c r="AB33" s="33" t="str">
        <f>IF(COUNTIF('Processed Non-zero TRI Data'!$I:$I,$H33)&gt;0,_xlfn.MAXIFS('Processed Non-zero TRI Data'!$S:$S,'Processed Non-zero TRI Data'!$I:$I,$H33), "N/A - Facility Does Not Report to TRI")</f>
        <v>N/A - Facility Does Not Report to TRI</v>
      </c>
      <c r="AC33" s="33" t="str">
        <f t="shared" si="4"/>
        <v>N/A - Facility Does Not Report to TRI</v>
      </c>
      <c r="AD33" s="110" t="str" cm="1">
        <f t="array" ref="AD33">IFERROR(IF(B33 = "TRI Form R", IF(AB33 = 0, "Facility has no on-site water discharges between 2019-2023.",  IF(COUNTIF('Processed Non-zero TRI Data'!$I:$I,$H33)&gt;0,INDEX('Processed Non-zero TRI Data'!$A:$A,MATCH(1,($H33='Processed Non-zero TRI Data'!$I:$I)*(AB33='Processed Non-zero TRI Data'!$S:$S),0)))), VLOOKUP(H33, 'Form A Recent Reporting'!$L:$M, 2, FALSE)), ("N/A - Facility Does Not Report to TRI"))</f>
        <v>N/A - Facility Does Not Report to TRI</v>
      </c>
      <c r="AE33" s="109" cm="1">
        <f t="array" ref="AE33">IFERROR(_xlfn.XLOOKUP(1,  (MAX(IF(H33 = 'Processed Non-zero TRI Data'!$I:$I,'Processed Non-zero TRI Data'!$A:$A)) = 'Processed Non-zero TRI Data'!$A:$A)*('Processed Non-zero TRI Data'!$I:$I = H33), 'Processed Non-zero TRI Data'!$U:$U), "N/A- Facility Does Not Report to TRI")</f>
        <v>0</v>
      </c>
      <c r="AF33" s="33">
        <f t="shared" si="5"/>
        <v>0</v>
      </c>
      <c r="AG33" s="33" t="str" cm="1">
        <f t="array" ref="AG33">IF(COUNTIF('Processed Non-zero TRI Data'!$I:$I,$H33)&gt;0,MEDIAN(IF('Processed Non-zero TRI Data'!$I:$I=H33,'Processed Non-zero TRI Data'!$U:$U)), "N/A - Facility Does Not Report to TRI")</f>
        <v>N/A - Facility Does Not Report to TRI</v>
      </c>
      <c r="AH33" s="33" t="str">
        <f t="shared" si="6"/>
        <v>N/A - Facility Does Not Report to TRI</v>
      </c>
      <c r="AI33" s="33" t="str">
        <f>IF(COUNTIF('Processed Non-zero TRI Data'!$I:$I,$H33)&gt;0,_xlfn.MAXIFS('Processed Non-zero TRI Data'!$U:$U,'Processed Non-zero TRI Data'!$I:$I,$H33), "N/A - Facility Does Not Report to TRI")</f>
        <v>N/A - Facility Does Not Report to TRI</v>
      </c>
      <c r="AJ33" s="33" t="str">
        <f t="shared" si="7"/>
        <v>N/A - Facility Does Not Report to TRI</v>
      </c>
      <c r="AK33" s="110" t="str" cm="1">
        <f t="array" ref="AK33">IF(B33="TRI Form A",AD33,IF(AI33=0,"Facility has no transfers to POTWs between 2019-2023.",IF(COUNTIF('Processed Non-zero TRI Data'!$I:$I,$H33)&gt;0,INDEX('Processed Non-zero TRI Data'!$A:$A,MATCH(1,($H33='Processed Non-zero TRI Data'!$I:$I)*(AI33='Processed Non-zero TRI Data'!$U:$U),0)),"N/A - Facility Does Not Report to TRI")))</f>
        <v>N/A - Facility Does Not Report to TRI</v>
      </c>
      <c r="AL33" s="109" cm="1">
        <f t="array" ref="AL33">IFERROR(_xlfn.XLOOKUP(1,  (MAX(IF(H33 = 'Processed Non-zero TRI Data'!$I$2:$I$23,'Processed Non-zero TRI Data'!$A$2:$A$23)) = 'Processed Non-zero TRI Data'!$A$2:$A$23)*('Processed Non-zero TRI Data'!$I$2:$I$23 = H33), 'Processed Non-zero TRI Data'!$W$2:$W$23), "N/A- Facility Does Not Report to TRI")</f>
        <v>0</v>
      </c>
      <c r="AM33" s="33">
        <f t="shared" si="8"/>
        <v>0</v>
      </c>
      <c r="AN33" s="33" t="str" cm="1">
        <f t="array" ref="AN33">IF(COUNTIF('Processed Non-zero TRI Data'!$I:$I,$H33)&gt;0,MEDIAN(IF('Processed Non-zero TRI Data'!$I:$I=H33,'Processed Non-zero TRI Data'!$W:$W)), "N/A - Facility Does Not Report to TRI")</f>
        <v>N/A - Facility Does Not Report to TRI</v>
      </c>
      <c r="AO33" s="33" t="str">
        <f t="shared" si="9"/>
        <v>N/A - Facility Does Not Report to TRI</v>
      </c>
      <c r="AP33" s="33" t="str">
        <f>IF(COUNTIF('Processed Non-zero TRI Data'!$I:$I,$H33)&gt;0,_xlfn.MAXIFS('Processed Non-zero TRI Data'!$W:$W,'Processed Non-zero TRI Data'!$I:$I,$H33), "N/A - Facility Does Not Report to TRI")</f>
        <v>N/A - Facility Does Not Report to TRI</v>
      </c>
      <c r="AQ33" s="33" t="str">
        <f t="shared" si="10"/>
        <v>N/A - Facility Does Not Report to TRI</v>
      </c>
      <c r="AR33" s="110" t="str" cm="1">
        <f t="array" ref="AR33">IF(B33="TRI Form A",AD33,IF(AP33=0,"Facility has no transfers to non-POTWs between 2019-2023.",IF(COUNTIF('Processed Non-zero TRI Data'!$I:$I,$H33)&gt;0,INDEX('Processed Non-zero TRI Data'!$A:$A,MATCH(1,($H33='Processed Non-zero TRI Data'!$I:$I)*(AP33='Processed Non-zero TRI Data'!$W:$W),0)),"N/A - Facility Does Not Report to TRI")))</f>
        <v>N/A - Facility Does Not Report to TRI</v>
      </c>
    </row>
    <row r="34" spans="1:44" ht="29" x14ac:dyDescent="0.35">
      <c r="A34" s="34">
        <v>31</v>
      </c>
      <c r="B34" s="33" t="str">
        <f>IFERROR("TRI Form "&amp;VLOOKUP(H34,'Processed Non-zero TRI Data'!$I$2:$K$23,3,FALSE),"DMR")</f>
        <v>DMR</v>
      </c>
      <c r="C34" s="33" t="str">
        <f>VLOOKUP($D34, 'COU.OES Summary'!C:D, 2, FALSE)</f>
        <v> </v>
      </c>
      <c r="D34" s="33" t="str">
        <f>IFERROR(VLOOKUP($H34, 'Processed Non-zero TRI Data'!$I:$O, 7, FALSE), VLOOKUP($I34, 'Processed Non-zero DMR Data'!$K:$R, 8, FALSE))</f>
        <v>Waste handling, treatment, and disposal - Remediation or Monitoring</v>
      </c>
      <c r="E34" s="34" t="s">
        <v>157</v>
      </c>
      <c r="F34" s="34" t="s">
        <v>158</v>
      </c>
      <c r="G34" s="34" t="s">
        <v>129</v>
      </c>
      <c r="H34" s="34"/>
      <c r="I34" s="105">
        <v>110000443226</v>
      </c>
      <c r="J34" s="33" t="str">
        <f>IFERROR(VLOOKUP($I34, 'Processed Non-zero DMR Data'!$K:$U, 11, FALSE),"")</f>
        <v>MO0002526</v>
      </c>
      <c r="K34" s="33" t="str">
        <f>IFERROR(VLOOKUP($I34, 'Processed Non-zero DMR Data'!$K:$V, 12, FALSE),"Not Reported")</f>
        <v>Little Cedar Creek-Little Blue River</v>
      </c>
      <c r="L34" s="106">
        <f>IFERROR(VLOOKUP($I34, 'Processed Non-zero DMR Data'!$K:$W, 13, FALSE),"No Reach Code Reported")</f>
        <v>103001010204</v>
      </c>
      <c r="M34" s="107" t="str">
        <f>IFERROR(IFERROR(VLOOKUP(H34, 'Off-site Locations'!$K$3:$O$5, 5, FALSE), VLOOKUP(H34, 'Off-site Locations'!$B$3:$E$4, 4, FALSE)), "No Offsite Transfers")</f>
        <v>No Offsite Transfers</v>
      </c>
      <c r="N34" s="33">
        <f>VLOOKUP($D34, 'COU.OES Summary'!C:E, 3, FALSE)</f>
        <v>365</v>
      </c>
      <c r="O34" s="108">
        <f t="shared" si="0"/>
        <v>0</v>
      </c>
      <c r="P34" s="108">
        <f t="shared" si="1"/>
        <v>9.9426000000000005</v>
      </c>
      <c r="Q34" s="109" cm="1">
        <f t="array" ref="Q34">IFERROR(_xlfn.XLOOKUP(1,  (MAX(IF(I34 = 'Processed Non-zero DMR Data'!$K:$K,'Processed Non-zero DMR Data'!$A:$A)) = 'Processed Non-zero DMR Data'!$A:$A)*('Processed Non-zero DMR Data'!$K:$K = I34),'Processed Non-zero DMR Data'!$T:$T), "N/A- Facility Does Not Report DMRs")</f>
        <v>9.9426000000000005</v>
      </c>
      <c r="R34" s="33">
        <f t="shared" si="11"/>
        <v>2.724E-2</v>
      </c>
      <c r="S34" s="33" cm="1">
        <f t="array" ref="S34">IF(COUNTIF('Processed Non-zero DMR Data'!$K:$K,$I34)&gt;0,MEDIAN(IF('Processed Non-zero DMR Data'!$K:$K=I34,'Processed Non-zero DMR Data'!$T:$T)),"N/A - Facility Does Not Report DMRs")</f>
        <v>6.628400000000001</v>
      </c>
      <c r="T34" s="33">
        <f t="shared" si="12"/>
        <v>1.8160000000000003E-2</v>
      </c>
      <c r="U34" s="33">
        <f>IF(COUNTIF('Processed Non-zero DMR Data'!$K:$K,$I34)&gt;0,_xlfn.MAXIFS('Processed Non-zero DMR Data'!$T:$T,'Processed Non-zero DMR Data'!$K:$K,$I34), "N/A - Facility Does Not Report DMRs")</f>
        <v>9.9426000000000005</v>
      </c>
      <c r="V34" s="33">
        <f t="shared" si="13"/>
        <v>2.724E-2</v>
      </c>
      <c r="W34" s="110" cm="1">
        <f t="array" ref="W34">IF(COUNTIF('Processed Non-zero DMR Data'!$K:$K,$I34)&gt;0,INDEX('Processed Non-zero DMR Data'!$A:$A,MATCH(1,($I34='Processed Non-zero DMR Data'!$K:$K)*($U34='Processed Non-zero DMR Data'!$T:$T),0)), "N/A - Facility Does Not Report DMRs")</f>
        <v>2021</v>
      </c>
      <c r="X34" s="109" cm="1">
        <f t="array" ref="X34">IFERROR(_xlfn.XLOOKUP(1,  (MAX(IF(H34 = 'Processed Non-zero TRI Data'!$I:$I,'Processed Non-zero TRI Data'!$A:$A)) = 'Processed Non-zero TRI Data'!$A:$A)*('Processed Non-zero TRI Data'!$I:$I = H34), 'Processed Non-zero TRI Data'!$S:$S), "N/A- Facility Does Not Report to TRI")</f>
        <v>0</v>
      </c>
      <c r="Y34" s="33">
        <f t="shared" si="2"/>
        <v>0</v>
      </c>
      <c r="Z34" s="33" t="str" cm="1">
        <f t="array" ref="Z34">IF(COUNTIF('Processed Non-zero TRI Data'!$I:$I,$H34)&gt;0,MEDIAN(IF('Processed Non-zero TRI Data'!$I:$I=H34,'Processed Non-zero TRI Data'!$S:$S)), "N/A - Facility Does Not Report to TRI")</f>
        <v>N/A - Facility Does Not Report to TRI</v>
      </c>
      <c r="AA34" s="33" t="str">
        <f t="shared" si="3"/>
        <v>N/A - Facility Does Not Report to TRI</v>
      </c>
      <c r="AB34" s="33" t="str">
        <f>IF(COUNTIF('Processed Non-zero TRI Data'!$I:$I,$H34)&gt;0,_xlfn.MAXIFS('Processed Non-zero TRI Data'!$S:$S,'Processed Non-zero TRI Data'!$I:$I,$H34), "N/A - Facility Does Not Report to TRI")</f>
        <v>N/A - Facility Does Not Report to TRI</v>
      </c>
      <c r="AC34" s="33" t="str">
        <f t="shared" si="4"/>
        <v>N/A - Facility Does Not Report to TRI</v>
      </c>
      <c r="AD34" s="110" t="str" cm="1">
        <f t="array" ref="AD34">IFERROR(IF(B34 = "TRI Form R", IF(AB34 = 0, "Facility has no on-site water discharges between 2019-2023.",  IF(COUNTIF('Processed Non-zero TRI Data'!$I:$I,$H34)&gt;0,INDEX('Processed Non-zero TRI Data'!$A:$A,MATCH(1,($H34='Processed Non-zero TRI Data'!$I:$I)*(AB34='Processed Non-zero TRI Data'!$S:$S),0)))), VLOOKUP(H34, 'Form A Recent Reporting'!$L:$M, 2, FALSE)), ("N/A - Facility Does Not Report to TRI"))</f>
        <v>N/A - Facility Does Not Report to TRI</v>
      </c>
      <c r="AE34" s="109" cm="1">
        <f t="array" ref="AE34">IFERROR(_xlfn.XLOOKUP(1,  (MAX(IF(H34 = 'Processed Non-zero TRI Data'!$I:$I,'Processed Non-zero TRI Data'!$A:$A)) = 'Processed Non-zero TRI Data'!$A:$A)*('Processed Non-zero TRI Data'!$I:$I = H34), 'Processed Non-zero TRI Data'!$U:$U), "N/A- Facility Does Not Report to TRI")</f>
        <v>0</v>
      </c>
      <c r="AF34" s="33">
        <f t="shared" si="5"/>
        <v>0</v>
      </c>
      <c r="AG34" s="33" t="str" cm="1">
        <f t="array" ref="AG34">IF(COUNTIF('Processed Non-zero TRI Data'!$I:$I,$H34)&gt;0,MEDIAN(IF('Processed Non-zero TRI Data'!$I:$I=H34,'Processed Non-zero TRI Data'!$U:$U)), "N/A - Facility Does Not Report to TRI")</f>
        <v>N/A - Facility Does Not Report to TRI</v>
      </c>
      <c r="AH34" s="33" t="str">
        <f t="shared" si="6"/>
        <v>N/A - Facility Does Not Report to TRI</v>
      </c>
      <c r="AI34" s="33" t="str">
        <f>IF(COUNTIF('Processed Non-zero TRI Data'!$I:$I,$H34)&gt;0,_xlfn.MAXIFS('Processed Non-zero TRI Data'!$U:$U,'Processed Non-zero TRI Data'!$I:$I,$H34), "N/A - Facility Does Not Report to TRI")</f>
        <v>N/A - Facility Does Not Report to TRI</v>
      </c>
      <c r="AJ34" s="33" t="str">
        <f t="shared" si="7"/>
        <v>N/A - Facility Does Not Report to TRI</v>
      </c>
      <c r="AK34" s="110" t="str" cm="1">
        <f t="array" ref="AK34">IF(B34="TRI Form A",AD34,IF(AI34=0,"Facility has no transfers to POTWs between 2019-2023.",IF(COUNTIF('Processed Non-zero TRI Data'!$I:$I,$H34)&gt;0,INDEX('Processed Non-zero TRI Data'!$A:$A,MATCH(1,($H34='Processed Non-zero TRI Data'!$I:$I)*(AI34='Processed Non-zero TRI Data'!$U:$U),0)),"N/A - Facility Does Not Report to TRI")))</f>
        <v>N/A - Facility Does Not Report to TRI</v>
      </c>
      <c r="AL34" s="109" cm="1">
        <f t="array" ref="AL34">IFERROR(_xlfn.XLOOKUP(1,  (MAX(IF(H34 = 'Processed Non-zero TRI Data'!$I$2:$I$23,'Processed Non-zero TRI Data'!$A$2:$A$23)) = 'Processed Non-zero TRI Data'!$A$2:$A$23)*('Processed Non-zero TRI Data'!$I$2:$I$23 = H34), 'Processed Non-zero TRI Data'!$W$2:$W$23), "N/A- Facility Does Not Report to TRI")</f>
        <v>0</v>
      </c>
      <c r="AM34" s="33">
        <f t="shared" si="8"/>
        <v>0</v>
      </c>
      <c r="AN34" s="33" t="str" cm="1">
        <f t="array" ref="AN34">IF(COUNTIF('Processed Non-zero TRI Data'!$I:$I,$H34)&gt;0,MEDIAN(IF('Processed Non-zero TRI Data'!$I:$I=H34,'Processed Non-zero TRI Data'!$W:$W)), "N/A - Facility Does Not Report to TRI")</f>
        <v>N/A - Facility Does Not Report to TRI</v>
      </c>
      <c r="AO34" s="33" t="str">
        <f t="shared" si="9"/>
        <v>N/A - Facility Does Not Report to TRI</v>
      </c>
      <c r="AP34" s="33" t="str">
        <f>IF(COUNTIF('Processed Non-zero TRI Data'!$I:$I,$H34)&gt;0,_xlfn.MAXIFS('Processed Non-zero TRI Data'!$W:$W,'Processed Non-zero TRI Data'!$I:$I,$H34), "N/A - Facility Does Not Report to TRI")</f>
        <v>N/A - Facility Does Not Report to TRI</v>
      </c>
      <c r="AQ34" s="33" t="str">
        <f t="shared" si="10"/>
        <v>N/A - Facility Does Not Report to TRI</v>
      </c>
      <c r="AR34" s="110" t="str" cm="1">
        <f t="array" ref="AR34">IF(B34="TRI Form A",AD34,IF(AP34=0,"Facility has no transfers to non-POTWs between 2019-2023.",IF(COUNTIF('Processed Non-zero TRI Data'!$I:$I,$H34)&gt;0,INDEX('Processed Non-zero TRI Data'!$A:$A,MATCH(1,($H34='Processed Non-zero TRI Data'!$I:$I)*(AP34='Processed Non-zero TRI Data'!$W:$W),0)),"N/A - Facility Does Not Report to TRI")))</f>
        <v>N/A - Facility Does Not Report to TRI</v>
      </c>
    </row>
    <row r="35" spans="1:44" ht="29" x14ac:dyDescent="0.35">
      <c r="A35" s="34">
        <v>32</v>
      </c>
      <c r="B35" s="33" t="str">
        <f>IFERROR("TRI Form "&amp;VLOOKUP(H35,'Processed Non-zero TRI Data'!$I$2:$K$23,3,FALSE),"DMR")</f>
        <v>DMR</v>
      </c>
      <c r="C35" s="33" t="str">
        <f>VLOOKUP($D35, 'COU.OES Summary'!C:D, 2, FALSE)</f>
        <v> </v>
      </c>
      <c r="D35" s="33" t="str">
        <f>IFERROR(VLOOKUP($H35, 'Processed Non-zero TRI Data'!$I:$O, 7, FALSE), VLOOKUP($I35, 'Processed Non-zero DMR Data'!$K:$R, 8, FALSE))</f>
        <v>Waste handling, treatment, and disposal - Remediation or Monitoring</v>
      </c>
      <c r="E35" s="34" t="s">
        <v>159</v>
      </c>
      <c r="F35" s="34" t="s">
        <v>160</v>
      </c>
      <c r="G35" s="34" t="s">
        <v>161</v>
      </c>
      <c r="H35" s="34"/>
      <c r="I35" s="105">
        <v>110000574423</v>
      </c>
      <c r="J35" s="33" t="str">
        <f>IFERROR(VLOOKUP($I35, 'Processed Non-zero DMR Data'!$K:$U, 11, FALSE),"")</f>
        <v>TN0002640</v>
      </c>
      <c r="K35" s="33" t="str">
        <f>IFERROR(VLOOKUP($I35, 'Processed Non-zero DMR Data'!$K:$V, 12, FALSE),"Not Reported")</f>
        <v>Kendrick Creek-South Fork Holston River</v>
      </c>
      <c r="L35" s="106" t="str">
        <f>IFERROR(VLOOKUP($I35, 'Processed Non-zero DMR Data'!$K:$W, 13, FALSE),"No Reach Code Reported")</f>
        <v>060101020704</v>
      </c>
      <c r="M35" s="107" t="str">
        <f>IFERROR(IFERROR(VLOOKUP(H35, 'Off-site Locations'!$K$3:$O$5, 5, FALSE), VLOOKUP(H35, 'Off-site Locations'!$B$3:$E$4, 4, FALSE)), "No Offsite Transfers")</f>
        <v>No Offsite Transfers</v>
      </c>
      <c r="N35" s="33">
        <f>VLOOKUP($D35, 'COU.OES Summary'!C:E, 3, FALSE)</f>
        <v>365</v>
      </c>
      <c r="O35" s="108">
        <f t="shared" si="0"/>
        <v>0</v>
      </c>
      <c r="P35" s="108">
        <f t="shared" si="1"/>
        <v>9.6808818599999995</v>
      </c>
      <c r="Q35" s="109" cm="1">
        <f t="array" ref="Q35">IFERROR(_xlfn.XLOOKUP(1,  (MAX(IF(I35 = 'Processed Non-zero DMR Data'!$K:$K,'Processed Non-zero DMR Data'!$A:$A)) = 'Processed Non-zero DMR Data'!$A:$A)*('Processed Non-zero DMR Data'!$K:$K = I35),'Processed Non-zero DMR Data'!$T:$T), "N/A- Facility Does Not Report DMRs")</f>
        <v>9.6808818599999995</v>
      </c>
      <c r="R35" s="33">
        <f t="shared" si="11"/>
        <v>2.6522964E-2</v>
      </c>
      <c r="S35" s="33" cm="1">
        <f t="array" ref="S35">IF(COUNTIF('Processed Non-zero DMR Data'!$K:$K,$I35)&gt;0,MEDIAN(IF('Processed Non-zero DMR Data'!$K:$K=I35,'Processed Non-zero DMR Data'!$T:$T)),"N/A - Facility Does Not Report DMRs")</f>
        <v>5.1069612318750002</v>
      </c>
      <c r="T35" s="33">
        <f t="shared" si="12"/>
        <v>1.3991674607876713E-2</v>
      </c>
      <c r="U35" s="33">
        <f>IF(COUNTIF('Processed Non-zero DMR Data'!$K:$K,$I35)&gt;0,_xlfn.MAXIFS('Processed Non-zero DMR Data'!$T:$T,'Processed Non-zero DMR Data'!$K:$K,$I35), "N/A - Facility Does Not Report DMRs")</f>
        <v>9.6808818599999995</v>
      </c>
      <c r="V35" s="33">
        <f t="shared" si="13"/>
        <v>2.6522964E-2</v>
      </c>
      <c r="W35" s="110" cm="1">
        <f t="array" ref="W35">IF(COUNTIF('Processed Non-zero DMR Data'!$K:$K,$I35)&gt;0,INDEX('Processed Non-zero DMR Data'!$A:$A,MATCH(1,($I35='Processed Non-zero DMR Data'!$K:$K)*($U35='Processed Non-zero DMR Data'!$T:$T),0)), "N/A - Facility Does Not Report DMRs")</f>
        <v>2023</v>
      </c>
      <c r="X35" s="109" cm="1">
        <f t="array" ref="X35">IFERROR(_xlfn.XLOOKUP(1,  (MAX(IF(H35 = 'Processed Non-zero TRI Data'!$I:$I,'Processed Non-zero TRI Data'!$A:$A)) = 'Processed Non-zero TRI Data'!$A:$A)*('Processed Non-zero TRI Data'!$I:$I = H35), 'Processed Non-zero TRI Data'!$S:$S), "N/A- Facility Does Not Report to TRI")</f>
        <v>0</v>
      </c>
      <c r="Y35" s="33">
        <f t="shared" si="2"/>
        <v>0</v>
      </c>
      <c r="Z35" s="33" t="str" cm="1">
        <f t="array" ref="Z35">IF(COUNTIF('Processed Non-zero TRI Data'!$I:$I,$H35)&gt;0,MEDIAN(IF('Processed Non-zero TRI Data'!$I:$I=H35,'Processed Non-zero TRI Data'!$S:$S)), "N/A - Facility Does Not Report to TRI")</f>
        <v>N/A - Facility Does Not Report to TRI</v>
      </c>
      <c r="AA35" s="33" t="str">
        <f t="shared" si="3"/>
        <v>N/A - Facility Does Not Report to TRI</v>
      </c>
      <c r="AB35" s="33" t="str">
        <f>IF(COUNTIF('Processed Non-zero TRI Data'!$I:$I,$H35)&gt;0,_xlfn.MAXIFS('Processed Non-zero TRI Data'!$S:$S,'Processed Non-zero TRI Data'!$I:$I,$H35), "N/A - Facility Does Not Report to TRI")</f>
        <v>N/A - Facility Does Not Report to TRI</v>
      </c>
      <c r="AC35" s="33" t="str">
        <f t="shared" si="4"/>
        <v>N/A - Facility Does Not Report to TRI</v>
      </c>
      <c r="AD35" s="110" t="str" cm="1">
        <f t="array" ref="AD35">IFERROR(IF(B35 = "TRI Form R", IF(AB35 = 0, "Facility has no on-site water discharges between 2019-2023.",  IF(COUNTIF('Processed Non-zero TRI Data'!$I:$I,$H35)&gt;0,INDEX('Processed Non-zero TRI Data'!$A:$A,MATCH(1,($H35='Processed Non-zero TRI Data'!$I:$I)*(AB35='Processed Non-zero TRI Data'!$S:$S),0)))), VLOOKUP(H35, 'Form A Recent Reporting'!$L:$M, 2, FALSE)), ("N/A - Facility Does Not Report to TRI"))</f>
        <v>N/A - Facility Does Not Report to TRI</v>
      </c>
      <c r="AE35" s="109" cm="1">
        <f t="array" ref="AE35">IFERROR(_xlfn.XLOOKUP(1,  (MAX(IF(H35 = 'Processed Non-zero TRI Data'!$I:$I,'Processed Non-zero TRI Data'!$A:$A)) = 'Processed Non-zero TRI Data'!$A:$A)*('Processed Non-zero TRI Data'!$I:$I = H35), 'Processed Non-zero TRI Data'!$U:$U), "N/A- Facility Does Not Report to TRI")</f>
        <v>0</v>
      </c>
      <c r="AF35" s="33">
        <f t="shared" si="5"/>
        <v>0</v>
      </c>
      <c r="AG35" s="33" t="str" cm="1">
        <f t="array" ref="AG35">IF(COUNTIF('Processed Non-zero TRI Data'!$I:$I,$H35)&gt;0,MEDIAN(IF('Processed Non-zero TRI Data'!$I:$I=H35,'Processed Non-zero TRI Data'!$U:$U)), "N/A - Facility Does Not Report to TRI")</f>
        <v>N/A - Facility Does Not Report to TRI</v>
      </c>
      <c r="AH35" s="33" t="str">
        <f t="shared" si="6"/>
        <v>N/A - Facility Does Not Report to TRI</v>
      </c>
      <c r="AI35" s="33" t="str">
        <f>IF(COUNTIF('Processed Non-zero TRI Data'!$I:$I,$H35)&gt;0,_xlfn.MAXIFS('Processed Non-zero TRI Data'!$U:$U,'Processed Non-zero TRI Data'!$I:$I,$H35), "N/A - Facility Does Not Report to TRI")</f>
        <v>N/A - Facility Does Not Report to TRI</v>
      </c>
      <c r="AJ35" s="33" t="str">
        <f t="shared" si="7"/>
        <v>N/A - Facility Does Not Report to TRI</v>
      </c>
      <c r="AK35" s="110" t="str" cm="1">
        <f t="array" ref="AK35">IF(B35="TRI Form A",AD35,IF(AI35=0,"Facility has no transfers to POTWs between 2019-2023.",IF(COUNTIF('Processed Non-zero TRI Data'!$I:$I,$H35)&gt;0,INDEX('Processed Non-zero TRI Data'!$A:$A,MATCH(1,($H35='Processed Non-zero TRI Data'!$I:$I)*(AI35='Processed Non-zero TRI Data'!$U:$U),0)),"N/A - Facility Does Not Report to TRI")))</f>
        <v>N/A - Facility Does Not Report to TRI</v>
      </c>
      <c r="AL35" s="109" cm="1">
        <f t="array" ref="AL35">IFERROR(_xlfn.XLOOKUP(1,  (MAX(IF(H35 = 'Processed Non-zero TRI Data'!$I$2:$I$23,'Processed Non-zero TRI Data'!$A$2:$A$23)) = 'Processed Non-zero TRI Data'!$A$2:$A$23)*('Processed Non-zero TRI Data'!$I$2:$I$23 = H35), 'Processed Non-zero TRI Data'!$W$2:$W$23), "N/A- Facility Does Not Report to TRI")</f>
        <v>0</v>
      </c>
      <c r="AM35" s="33">
        <f t="shared" si="8"/>
        <v>0</v>
      </c>
      <c r="AN35" s="33" t="str" cm="1">
        <f t="array" ref="AN35">IF(COUNTIF('Processed Non-zero TRI Data'!$I:$I,$H35)&gt;0,MEDIAN(IF('Processed Non-zero TRI Data'!$I:$I=H35,'Processed Non-zero TRI Data'!$W:$W)), "N/A - Facility Does Not Report to TRI")</f>
        <v>N/A - Facility Does Not Report to TRI</v>
      </c>
      <c r="AO35" s="33" t="str">
        <f t="shared" si="9"/>
        <v>N/A - Facility Does Not Report to TRI</v>
      </c>
      <c r="AP35" s="33" t="str">
        <f>IF(COUNTIF('Processed Non-zero TRI Data'!$I:$I,$H35)&gt;0,_xlfn.MAXIFS('Processed Non-zero TRI Data'!$W:$W,'Processed Non-zero TRI Data'!$I:$I,$H35), "N/A - Facility Does Not Report to TRI")</f>
        <v>N/A - Facility Does Not Report to TRI</v>
      </c>
      <c r="AQ35" s="33" t="str">
        <f t="shared" si="10"/>
        <v>N/A - Facility Does Not Report to TRI</v>
      </c>
      <c r="AR35" s="110" t="str" cm="1">
        <f t="array" ref="AR35">IF(B35="TRI Form A",AD35,IF(AP35=0,"Facility has no transfers to non-POTWs between 2019-2023.",IF(COUNTIF('Processed Non-zero TRI Data'!$I:$I,$H35)&gt;0,INDEX('Processed Non-zero TRI Data'!$A:$A,MATCH(1,($H35='Processed Non-zero TRI Data'!$I:$I)*(AP35='Processed Non-zero TRI Data'!$W:$W),0)),"N/A - Facility Does Not Report to TRI")))</f>
        <v>N/A - Facility Does Not Report to TRI</v>
      </c>
    </row>
    <row r="36" spans="1:44" ht="29" x14ac:dyDescent="0.35">
      <c r="A36" s="34">
        <v>33</v>
      </c>
      <c r="B36" s="33" t="str">
        <f>IFERROR("TRI Form "&amp;VLOOKUP(H36,'Processed Non-zero TRI Data'!$I$2:$K$23,3,FALSE),"DMR")</f>
        <v>DMR</v>
      </c>
      <c r="C36" s="33" t="str">
        <f>VLOOKUP($D36, 'COU.OES Summary'!C:D, 2, FALSE)</f>
        <v> </v>
      </c>
      <c r="D36" s="33" t="str">
        <f>IFERROR(VLOOKUP($H36, 'Processed Non-zero TRI Data'!$I:$O, 7, FALSE), VLOOKUP($I36, 'Processed Non-zero DMR Data'!$K:$R, 8, FALSE))</f>
        <v>Waste handling, treatment, and disposal - POTW</v>
      </c>
      <c r="E36" s="34" t="s">
        <v>162</v>
      </c>
      <c r="F36" s="34" t="s">
        <v>163</v>
      </c>
      <c r="G36" s="34" t="s">
        <v>108</v>
      </c>
      <c r="H36" s="34"/>
      <c r="I36" s="105">
        <v>110064596361</v>
      </c>
      <c r="J36" s="33" t="str">
        <f>IFERROR(VLOOKUP($I36, 'Processed Non-zero DMR Data'!$K:$U, 11, FALSE),"")</f>
        <v>KY0108740</v>
      </c>
      <c r="K36" s="33" t="str">
        <f>IFERROR(VLOOKUP($I36, 'Processed Non-zero DMR Data'!$K:$V, 12, FALSE),"Not Reported")</f>
        <v>Twomile Creek-Kentucky River</v>
      </c>
      <c r="L36" s="106">
        <f>IFERROR(VLOOKUP($I36, 'Processed Non-zero DMR Data'!$K:$W, 13, FALSE),"No Reach Code Reported")</f>
        <v>51002050107</v>
      </c>
      <c r="M36" s="107" t="str">
        <f>IFERROR(IFERROR(VLOOKUP(H36, 'Off-site Locations'!$K$3:$O$5, 5, FALSE), VLOOKUP(H36, 'Off-site Locations'!$B$3:$E$4, 4, FALSE)), "No Offsite Transfers")</f>
        <v>No Offsite Transfers</v>
      </c>
      <c r="N36" s="33">
        <f>VLOOKUP($D36, 'COU.OES Summary'!C:E, 3, FALSE)</f>
        <v>365</v>
      </c>
      <c r="O36" s="108">
        <f t="shared" si="0"/>
        <v>0</v>
      </c>
      <c r="P36" s="108">
        <f t="shared" si="1"/>
        <v>9.3943700000000003</v>
      </c>
      <c r="Q36" s="109" cm="1">
        <f t="array" ref="Q36">IFERROR(_xlfn.XLOOKUP(1,  (MAX(IF(I36 = 'Processed Non-zero DMR Data'!$K:$K,'Processed Non-zero DMR Data'!$A:$A)) = 'Processed Non-zero DMR Data'!$A:$A)*('Processed Non-zero DMR Data'!$K:$K = I36),'Processed Non-zero DMR Data'!$T:$T), "N/A- Facility Does Not Report DMRs")</f>
        <v>9.3943700000000003</v>
      </c>
      <c r="R36" s="33">
        <f t="shared" si="11"/>
        <v>2.5738E-2</v>
      </c>
      <c r="S36" s="33" cm="1">
        <f t="array" ref="S36">IF(COUNTIF('Processed Non-zero DMR Data'!$K:$K,$I36)&gt;0,MEDIAN(IF('Processed Non-zero DMR Data'!$K:$K=I36,'Processed Non-zero DMR Data'!$T:$T)),"N/A - Facility Does Not Report DMRs")</f>
        <v>8.1889894375000001</v>
      </c>
      <c r="T36" s="33">
        <f t="shared" si="12"/>
        <v>2.24355875E-2</v>
      </c>
      <c r="U36" s="33">
        <f>IF(COUNTIF('Processed Non-zero DMR Data'!$K:$K,$I36)&gt;0,_xlfn.MAXIFS('Processed Non-zero DMR Data'!$T:$T,'Processed Non-zero DMR Data'!$K:$K,$I36), "N/A - Facility Does Not Report DMRs")</f>
        <v>9.3943700000000003</v>
      </c>
      <c r="V36" s="33">
        <f t="shared" si="13"/>
        <v>2.5738E-2</v>
      </c>
      <c r="W36" s="110" cm="1">
        <f t="array" ref="W36">IF(COUNTIF('Processed Non-zero DMR Data'!$K:$K,$I36)&gt;0,INDEX('Processed Non-zero DMR Data'!$A:$A,MATCH(1,($I36='Processed Non-zero DMR Data'!$K:$K)*($U36='Processed Non-zero DMR Data'!$T:$T),0)), "N/A - Facility Does Not Report DMRs")</f>
        <v>2020</v>
      </c>
      <c r="X36" s="109" cm="1">
        <f t="array" ref="X36">IFERROR(_xlfn.XLOOKUP(1,  (MAX(IF(H36 = 'Processed Non-zero TRI Data'!$I:$I,'Processed Non-zero TRI Data'!$A:$A)) = 'Processed Non-zero TRI Data'!$A:$A)*('Processed Non-zero TRI Data'!$I:$I = H36), 'Processed Non-zero TRI Data'!$S:$S), "N/A- Facility Does Not Report to TRI")</f>
        <v>0</v>
      </c>
      <c r="Y36" s="33">
        <f t="shared" si="2"/>
        <v>0</v>
      </c>
      <c r="Z36" s="33" t="str" cm="1">
        <f t="array" ref="Z36">IF(COUNTIF('Processed Non-zero TRI Data'!$I:$I,$H36)&gt;0,MEDIAN(IF('Processed Non-zero TRI Data'!$I:$I=H36,'Processed Non-zero TRI Data'!$S:$S)), "N/A - Facility Does Not Report to TRI")</f>
        <v>N/A - Facility Does Not Report to TRI</v>
      </c>
      <c r="AA36" s="33" t="str">
        <f t="shared" si="3"/>
        <v>N/A - Facility Does Not Report to TRI</v>
      </c>
      <c r="AB36" s="33" t="str">
        <f>IF(COUNTIF('Processed Non-zero TRI Data'!$I:$I,$H36)&gt;0,_xlfn.MAXIFS('Processed Non-zero TRI Data'!$S:$S,'Processed Non-zero TRI Data'!$I:$I,$H36), "N/A - Facility Does Not Report to TRI")</f>
        <v>N/A - Facility Does Not Report to TRI</v>
      </c>
      <c r="AC36" s="33" t="str">
        <f t="shared" si="4"/>
        <v>N/A - Facility Does Not Report to TRI</v>
      </c>
      <c r="AD36" s="110" t="str" cm="1">
        <f t="array" ref="AD36">IFERROR(IF(B36 = "TRI Form R", IF(AB36 = 0, "Facility has no on-site water discharges between 2019-2023.",  IF(COUNTIF('Processed Non-zero TRI Data'!$I:$I,$H36)&gt;0,INDEX('Processed Non-zero TRI Data'!$A:$A,MATCH(1,($H36='Processed Non-zero TRI Data'!$I:$I)*(AB36='Processed Non-zero TRI Data'!$S:$S),0)))), VLOOKUP(H36, 'Form A Recent Reporting'!$L:$M, 2, FALSE)), ("N/A - Facility Does Not Report to TRI"))</f>
        <v>N/A - Facility Does Not Report to TRI</v>
      </c>
      <c r="AE36" s="109" cm="1">
        <f t="array" ref="AE36">IFERROR(_xlfn.XLOOKUP(1,  (MAX(IF(H36 = 'Processed Non-zero TRI Data'!$I:$I,'Processed Non-zero TRI Data'!$A:$A)) = 'Processed Non-zero TRI Data'!$A:$A)*('Processed Non-zero TRI Data'!$I:$I = H36), 'Processed Non-zero TRI Data'!$U:$U), "N/A- Facility Does Not Report to TRI")</f>
        <v>0</v>
      </c>
      <c r="AF36" s="33">
        <f t="shared" si="5"/>
        <v>0</v>
      </c>
      <c r="AG36" s="33" t="str" cm="1">
        <f t="array" ref="AG36">IF(COUNTIF('Processed Non-zero TRI Data'!$I:$I,$H36)&gt;0,MEDIAN(IF('Processed Non-zero TRI Data'!$I:$I=H36,'Processed Non-zero TRI Data'!$U:$U)), "N/A - Facility Does Not Report to TRI")</f>
        <v>N/A - Facility Does Not Report to TRI</v>
      </c>
      <c r="AH36" s="33" t="str">
        <f t="shared" si="6"/>
        <v>N/A - Facility Does Not Report to TRI</v>
      </c>
      <c r="AI36" s="33" t="str">
        <f>IF(COUNTIF('Processed Non-zero TRI Data'!$I:$I,$H36)&gt;0,_xlfn.MAXIFS('Processed Non-zero TRI Data'!$U:$U,'Processed Non-zero TRI Data'!$I:$I,$H36), "N/A - Facility Does Not Report to TRI")</f>
        <v>N/A - Facility Does Not Report to TRI</v>
      </c>
      <c r="AJ36" s="33" t="str">
        <f t="shared" si="7"/>
        <v>N/A - Facility Does Not Report to TRI</v>
      </c>
      <c r="AK36" s="110" t="str" cm="1">
        <f t="array" ref="AK36">IF(B36="TRI Form A",AD36,IF(AI36=0,"Facility has no transfers to POTWs between 2019-2023.",IF(COUNTIF('Processed Non-zero TRI Data'!$I:$I,$H36)&gt;0,INDEX('Processed Non-zero TRI Data'!$A:$A,MATCH(1,($H36='Processed Non-zero TRI Data'!$I:$I)*(AI36='Processed Non-zero TRI Data'!$U:$U),0)),"N/A - Facility Does Not Report to TRI")))</f>
        <v>N/A - Facility Does Not Report to TRI</v>
      </c>
      <c r="AL36" s="109" cm="1">
        <f t="array" ref="AL36">IFERROR(_xlfn.XLOOKUP(1,  (MAX(IF(H36 = 'Processed Non-zero TRI Data'!$I$2:$I$23,'Processed Non-zero TRI Data'!$A$2:$A$23)) = 'Processed Non-zero TRI Data'!$A$2:$A$23)*('Processed Non-zero TRI Data'!$I$2:$I$23 = H36), 'Processed Non-zero TRI Data'!$W$2:$W$23), "N/A- Facility Does Not Report to TRI")</f>
        <v>0</v>
      </c>
      <c r="AM36" s="33">
        <f t="shared" si="8"/>
        <v>0</v>
      </c>
      <c r="AN36" s="33" t="str" cm="1">
        <f t="array" ref="AN36">IF(COUNTIF('Processed Non-zero TRI Data'!$I:$I,$H36)&gt;0,MEDIAN(IF('Processed Non-zero TRI Data'!$I:$I=H36,'Processed Non-zero TRI Data'!$W:$W)), "N/A - Facility Does Not Report to TRI")</f>
        <v>N/A - Facility Does Not Report to TRI</v>
      </c>
      <c r="AO36" s="33" t="str">
        <f t="shared" si="9"/>
        <v>N/A - Facility Does Not Report to TRI</v>
      </c>
      <c r="AP36" s="33" t="str">
        <f>IF(COUNTIF('Processed Non-zero TRI Data'!$I:$I,$H36)&gt;0,_xlfn.MAXIFS('Processed Non-zero TRI Data'!$W:$W,'Processed Non-zero TRI Data'!$I:$I,$H36), "N/A - Facility Does Not Report to TRI")</f>
        <v>N/A - Facility Does Not Report to TRI</v>
      </c>
      <c r="AQ36" s="33" t="str">
        <f t="shared" si="10"/>
        <v>N/A - Facility Does Not Report to TRI</v>
      </c>
      <c r="AR36" s="110" t="str" cm="1">
        <f t="array" ref="AR36">IF(B36="TRI Form A",AD36,IF(AP36=0,"Facility has no transfers to non-POTWs between 2019-2023.",IF(COUNTIF('Processed Non-zero TRI Data'!$I:$I,$H36)&gt;0,INDEX('Processed Non-zero TRI Data'!$A:$A,MATCH(1,($H36='Processed Non-zero TRI Data'!$I:$I)*(AP36='Processed Non-zero TRI Data'!$W:$W),0)),"N/A - Facility Does Not Report to TRI")))</f>
        <v>N/A - Facility Does Not Report to TRI</v>
      </c>
    </row>
    <row r="37" spans="1:44" ht="29" x14ac:dyDescent="0.35">
      <c r="A37" s="34">
        <v>34</v>
      </c>
      <c r="B37" s="33" t="str">
        <f>IFERROR("TRI Form "&amp;VLOOKUP(H37,'Processed Non-zero TRI Data'!$I$2:$K$23,3,FALSE),"DMR")</f>
        <v>DMR</v>
      </c>
      <c r="C37" s="33" t="str">
        <f>VLOOKUP($D37, 'COU.OES Summary'!C:D, 2, FALSE)</f>
        <v> </v>
      </c>
      <c r="D37" s="33" t="str">
        <f>IFERROR(VLOOKUP($H37, 'Processed Non-zero TRI Data'!$I:$O, 7, FALSE), VLOOKUP($I37, 'Processed Non-zero DMR Data'!$K:$R, 8, FALSE))</f>
        <v>Waste handling, treatment, and disposal - POTW</v>
      </c>
      <c r="E37" s="34" t="s">
        <v>164</v>
      </c>
      <c r="F37" s="34" t="s">
        <v>165</v>
      </c>
      <c r="G37" s="34" t="s">
        <v>108</v>
      </c>
      <c r="H37" s="34"/>
      <c r="I37" s="105">
        <v>110000732208</v>
      </c>
      <c r="J37" s="33" t="str">
        <f>IFERROR(VLOOKUP($I37, 'Processed Non-zero DMR Data'!$K:$U, 11, FALSE),"")</f>
        <v>KY0020150</v>
      </c>
      <c r="K37" s="33" t="str">
        <f>IFERROR(VLOOKUP($I37, 'Processed Non-zero DMR Data'!$K:$V, 12, FALSE),"Not Reported")</f>
        <v>Dry Run-North Elkhorn Creek</v>
      </c>
      <c r="L37" s="106" t="str">
        <f>IFERROR(VLOOKUP($I37, 'Processed Non-zero DMR Data'!$K:$W, 13, FALSE),"No Reach Code Reported")</f>
        <v>051002050805</v>
      </c>
      <c r="M37" s="107" t="str">
        <f>IFERROR(IFERROR(VLOOKUP(H37, 'Off-site Locations'!$K$3:$O$5, 5, FALSE), VLOOKUP(H37, 'Off-site Locations'!$B$3:$E$4, 4, FALSE)), "No Offsite Transfers")</f>
        <v>No Offsite Transfers</v>
      </c>
      <c r="N37" s="33">
        <f>VLOOKUP($D37, 'COU.OES Summary'!C:E, 3, FALSE)</f>
        <v>365</v>
      </c>
      <c r="O37" s="108">
        <f t="shared" si="0"/>
        <v>0</v>
      </c>
      <c r="P37" s="108">
        <f t="shared" si="1"/>
        <v>8.7726837500000006</v>
      </c>
      <c r="Q37" s="109" cm="1">
        <f t="array" ref="Q37">IFERROR(_xlfn.XLOOKUP(1,  (MAX(IF(I37 = 'Processed Non-zero DMR Data'!$K:$K,'Processed Non-zero DMR Data'!$A:$A)) = 'Processed Non-zero DMR Data'!$A:$A)*('Processed Non-zero DMR Data'!$K:$K = I37),'Processed Non-zero DMR Data'!$T:$T), "N/A- Facility Does Not Report DMRs")</f>
        <v>8.4618406250000007</v>
      </c>
      <c r="R37" s="33">
        <f t="shared" si="11"/>
        <v>2.3183125000000002E-2</v>
      </c>
      <c r="S37" s="33" cm="1">
        <f t="array" ref="S37">IF(COUNTIF('Processed Non-zero DMR Data'!$K:$K,$I37)&gt;0,MEDIAN(IF('Processed Non-zero DMR Data'!$K:$K=I37,'Processed Non-zero DMR Data'!$T:$T)),"N/A - Facility Does Not Report DMRs")</f>
        <v>8.6172621874999997</v>
      </c>
      <c r="T37" s="33">
        <f t="shared" si="12"/>
        <v>2.36089375E-2</v>
      </c>
      <c r="U37" s="33">
        <f>IF(COUNTIF('Processed Non-zero DMR Data'!$K:$K,$I37)&gt;0,_xlfn.MAXIFS('Processed Non-zero DMR Data'!$T:$T,'Processed Non-zero DMR Data'!$K:$K,$I37), "N/A - Facility Does Not Report DMRs")</f>
        <v>8.7726837500000006</v>
      </c>
      <c r="V37" s="33">
        <f t="shared" si="13"/>
        <v>2.4034750000000001E-2</v>
      </c>
      <c r="W37" s="110" cm="1">
        <f t="array" ref="W37">IF(COUNTIF('Processed Non-zero DMR Data'!$K:$K,$I37)&gt;0,INDEX('Processed Non-zero DMR Data'!$A:$A,MATCH(1,($I37='Processed Non-zero DMR Data'!$K:$K)*($U37='Processed Non-zero DMR Data'!$T:$T),0)), "N/A - Facility Does Not Report DMRs")</f>
        <v>2022</v>
      </c>
      <c r="X37" s="109" cm="1">
        <f t="array" ref="X37">IFERROR(_xlfn.XLOOKUP(1,  (MAX(IF(H37 = 'Processed Non-zero TRI Data'!$I:$I,'Processed Non-zero TRI Data'!$A:$A)) = 'Processed Non-zero TRI Data'!$A:$A)*('Processed Non-zero TRI Data'!$I:$I = H37), 'Processed Non-zero TRI Data'!$S:$S), "N/A- Facility Does Not Report to TRI")</f>
        <v>0</v>
      </c>
      <c r="Y37" s="33">
        <f t="shared" si="2"/>
        <v>0</v>
      </c>
      <c r="Z37" s="33" t="str" cm="1">
        <f t="array" ref="Z37">IF(COUNTIF('Processed Non-zero TRI Data'!$I:$I,$H37)&gt;0,MEDIAN(IF('Processed Non-zero TRI Data'!$I:$I=H37,'Processed Non-zero TRI Data'!$S:$S)), "N/A - Facility Does Not Report to TRI")</f>
        <v>N/A - Facility Does Not Report to TRI</v>
      </c>
      <c r="AA37" s="33" t="str">
        <f t="shared" si="3"/>
        <v>N/A - Facility Does Not Report to TRI</v>
      </c>
      <c r="AB37" s="33" t="str">
        <f>IF(COUNTIF('Processed Non-zero TRI Data'!$I:$I,$H37)&gt;0,_xlfn.MAXIFS('Processed Non-zero TRI Data'!$S:$S,'Processed Non-zero TRI Data'!$I:$I,$H37), "N/A - Facility Does Not Report to TRI")</f>
        <v>N/A - Facility Does Not Report to TRI</v>
      </c>
      <c r="AC37" s="33" t="str">
        <f t="shared" si="4"/>
        <v>N/A - Facility Does Not Report to TRI</v>
      </c>
      <c r="AD37" s="110" t="str" cm="1">
        <f t="array" ref="AD37">IFERROR(IF(B37 = "TRI Form R", IF(AB37 = 0, "Facility has no on-site water discharges between 2019-2023.",  IF(COUNTIF('Processed Non-zero TRI Data'!$I:$I,$H37)&gt;0,INDEX('Processed Non-zero TRI Data'!$A:$A,MATCH(1,($H37='Processed Non-zero TRI Data'!$I:$I)*(AB37='Processed Non-zero TRI Data'!$S:$S),0)))), VLOOKUP(H37, 'Form A Recent Reporting'!$L:$M, 2, FALSE)), ("N/A - Facility Does Not Report to TRI"))</f>
        <v>N/A - Facility Does Not Report to TRI</v>
      </c>
      <c r="AE37" s="109" cm="1">
        <f t="array" ref="AE37">IFERROR(_xlfn.XLOOKUP(1,  (MAX(IF(H37 = 'Processed Non-zero TRI Data'!$I:$I,'Processed Non-zero TRI Data'!$A:$A)) = 'Processed Non-zero TRI Data'!$A:$A)*('Processed Non-zero TRI Data'!$I:$I = H37), 'Processed Non-zero TRI Data'!$U:$U), "N/A- Facility Does Not Report to TRI")</f>
        <v>0</v>
      </c>
      <c r="AF37" s="33">
        <f t="shared" si="5"/>
        <v>0</v>
      </c>
      <c r="AG37" s="33" t="str" cm="1">
        <f t="array" ref="AG37">IF(COUNTIF('Processed Non-zero TRI Data'!$I:$I,$H37)&gt;0,MEDIAN(IF('Processed Non-zero TRI Data'!$I:$I=H37,'Processed Non-zero TRI Data'!$U:$U)), "N/A - Facility Does Not Report to TRI")</f>
        <v>N/A - Facility Does Not Report to TRI</v>
      </c>
      <c r="AH37" s="33" t="str">
        <f t="shared" si="6"/>
        <v>N/A - Facility Does Not Report to TRI</v>
      </c>
      <c r="AI37" s="33" t="str">
        <f>IF(COUNTIF('Processed Non-zero TRI Data'!$I:$I,$H37)&gt;0,_xlfn.MAXIFS('Processed Non-zero TRI Data'!$U:$U,'Processed Non-zero TRI Data'!$I:$I,$H37), "N/A - Facility Does Not Report to TRI")</f>
        <v>N/A - Facility Does Not Report to TRI</v>
      </c>
      <c r="AJ37" s="33" t="str">
        <f t="shared" si="7"/>
        <v>N/A - Facility Does Not Report to TRI</v>
      </c>
      <c r="AK37" s="110" t="str" cm="1">
        <f t="array" ref="AK37">IF(B37="TRI Form A",AD37,IF(AI37=0,"Facility has no transfers to POTWs between 2019-2023.",IF(COUNTIF('Processed Non-zero TRI Data'!$I:$I,$H37)&gt;0,INDEX('Processed Non-zero TRI Data'!$A:$A,MATCH(1,($H37='Processed Non-zero TRI Data'!$I:$I)*(AI37='Processed Non-zero TRI Data'!$U:$U),0)),"N/A - Facility Does Not Report to TRI")))</f>
        <v>N/A - Facility Does Not Report to TRI</v>
      </c>
      <c r="AL37" s="109" cm="1">
        <f t="array" ref="AL37">IFERROR(_xlfn.XLOOKUP(1,  (MAX(IF(H37 = 'Processed Non-zero TRI Data'!$I$2:$I$23,'Processed Non-zero TRI Data'!$A$2:$A$23)) = 'Processed Non-zero TRI Data'!$A$2:$A$23)*('Processed Non-zero TRI Data'!$I$2:$I$23 = H37), 'Processed Non-zero TRI Data'!$W$2:$W$23), "N/A- Facility Does Not Report to TRI")</f>
        <v>0</v>
      </c>
      <c r="AM37" s="33">
        <f t="shared" si="8"/>
        <v>0</v>
      </c>
      <c r="AN37" s="33" t="str" cm="1">
        <f t="array" ref="AN37">IF(COUNTIF('Processed Non-zero TRI Data'!$I:$I,$H37)&gt;0,MEDIAN(IF('Processed Non-zero TRI Data'!$I:$I=H37,'Processed Non-zero TRI Data'!$W:$W)), "N/A - Facility Does Not Report to TRI")</f>
        <v>N/A - Facility Does Not Report to TRI</v>
      </c>
      <c r="AO37" s="33" t="str">
        <f t="shared" si="9"/>
        <v>N/A - Facility Does Not Report to TRI</v>
      </c>
      <c r="AP37" s="33" t="str">
        <f>IF(COUNTIF('Processed Non-zero TRI Data'!$I:$I,$H37)&gt;0,_xlfn.MAXIFS('Processed Non-zero TRI Data'!$W:$W,'Processed Non-zero TRI Data'!$I:$I,$H37), "N/A - Facility Does Not Report to TRI")</f>
        <v>N/A - Facility Does Not Report to TRI</v>
      </c>
      <c r="AQ37" s="33" t="str">
        <f t="shared" si="10"/>
        <v>N/A - Facility Does Not Report to TRI</v>
      </c>
      <c r="AR37" s="110" t="str" cm="1">
        <f t="array" ref="AR37">IF(B37="TRI Form A",AD37,IF(AP37=0,"Facility has no transfers to non-POTWs between 2019-2023.",IF(COUNTIF('Processed Non-zero TRI Data'!$I:$I,$H37)&gt;0,INDEX('Processed Non-zero TRI Data'!$A:$A,MATCH(1,($H37='Processed Non-zero TRI Data'!$I:$I)*(AP37='Processed Non-zero TRI Data'!$W:$W),0)),"N/A - Facility Does Not Report to TRI")))</f>
        <v>N/A - Facility Does Not Report to TRI</v>
      </c>
    </row>
    <row r="38" spans="1:44" ht="29" x14ac:dyDescent="0.35">
      <c r="A38" s="34">
        <v>35</v>
      </c>
      <c r="B38" s="33" t="str">
        <f>IFERROR("TRI Form "&amp;VLOOKUP(H38,'Processed Non-zero TRI Data'!$I$2:$K$23,3,FALSE),"DMR")</f>
        <v>DMR</v>
      </c>
      <c r="C38" s="33" t="str">
        <f>VLOOKUP($D38, 'COU.OES Summary'!C:D, 2, FALSE)</f>
        <v> </v>
      </c>
      <c r="D38" s="33" t="str">
        <f>IFERROR(VLOOKUP($H38, 'Processed Non-zero TRI Data'!$I:$O, 7, FALSE), VLOOKUP($I38, 'Processed Non-zero DMR Data'!$K:$R, 8, FALSE))</f>
        <v>Waste handling, treatment, and disposal - POTW</v>
      </c>
      <c r="E38" s="34" t="s">
        <v>166</v>
      </c>
      <c r="F38" s="34" t="s">
        <v>167</v>
      </c>
      <c r="G38" s="34" t="s">
        <v>108</v>
      </c>
      <c r="H38" s="34"/>
      <c r="I38" s="105">
        <v>110000551082</v>
      </c>
      <c r="J38" s="33" t="str">
        <f>IFERROR(VLOOKUP($I38, 'Processed Non-zero DMR Data'!$K:$U, 11, FALSE),"")</f>
        <v>KY0090654</v>
      </c>
      <c r="K38" s="33" t="str">
        <f>IFERROR(VLOOKUP($I38, 'Processed Non-zero DMR Data'!$K:$V, 12, FALSE),"Not Reported")</f>
        <v>Kennedy Creek-Stoner Creek</v>
      </c>
      <c r="L38" s="106">
        <f>IFERROR(VLOOKUP($I38, 'Processed Non-zero DMR Data'!$K:$W, 13, FALSE),"No Reach Code Reported")</f>
        <v>51001020205</v>
      </c>
      <c r="M38" s="107" t="str">
        <f>IFERROR(IFERROR(VLOOKUP(H38, 'Off-site Locations'!$K$3:$O$5, 5, FALSE), VLOOKUP(H38, 'Off-site Locations'!$B$3:$E$4, 4, FALSE)), "No Offsite Transfers")</f>
        <v>No Offsite Transfers</v>
      </c>
      <c r="N38" s="33">
        <f>VLOOKUP($D38, 'COU.OES Summary'!C:E, 3, FALSE)</f>
        <v>365</v>
      </c>
      <c r="O38" s="108">
        <f t="shared" si="0"/>
        <v>0</v>
      </c>
      <c r="P38" s="108">
        <f t="shared" si="1"/>
        <v>8.2787885625000008</v>
      </c>
      <c r="Q38" s="109" cm="1">
        <f t="array" ref="Q38">IFERROR(_xlfn.XLOOKUP(1,  (MAX(IF(I38 = 'Processed Non-zero DMR Data'!$K:$K,'Processed Non-zero DMR Data'!$A:$A)) = 'Processed Non-zero DMR Data'!$A:$A)*('Processed Non-zero DMR Data'!$K:$K = I38),'Processed Non-zero DMR Data'!$T:$T), "N/A- Facility Does Not Report DMRs")</f>
        <v>6.2824849374999996</v>
      </c>
      <c r="R38" s="33">
        <f t="shared" si="11"/>
        <v>1.7212287499999999E-2</v>
      </c>
      <c r="S38" s="33" cm="1">
        <f t="array" ref="S38">IF(COUNTIF('Processed Non-zero DMR Data'!$K:$K,$I38)&gt;0,MEDIAN(IF('Processed Non-zero DMR Data'!$K:$K=I38,'Processed Non-zero DMR Data'!$T:$T)),"N/A - Facility Does Not Report DMRs")</f>
        <v>7.2806367500000002</v>
      </c>
      <c r="T38" s="33">
        <f t="shared" si="12"/>
        <v>1.9946950000000001E-2</v>
      </c>
      <c r="U38" s="33">
        <f>IF(COUNTIF('Processed Non-zero DMR Data'!$K:$K,$I38)&gt;0,_xlfn.MAXIFS('Processed Non-zero DMR Data'!$T:$T,'Processed Non-zero DMR Data'!$K:$K,$I38), "N/A - Facility Does Not Report DMRs")</f>
        <v>8.2787885625000008</v>
      </c>
      <c r="V38" s="33">
        <f t="shared" si="13"/>
        <v>2.2681612500000004E-2</v>
      </c>
      <c r="W38" s="110" cm="1">
        <f t="array" ref="W38">IF(COUNTIF('Processed Non-zero DMR Data'!$K:$K,$I38)&gt;0,INDEX('Processed Non-zero DMR Data'!$A:$A,MATCH(1,($I38='Processed Non-zero DMR Data'!$K:$K)*($U38='Processed Non-zero DMR Data'!$T:$T),0)), "N/A - Facility Does Not Report DMRs")</f>
        <v>2019</v>
      </c>
      <c r="X38" s="109" cm="1">
        <f t="array" ref="X38">IFERROR(_xlfn.XLOOKUP(1,  (MAX(IF(H38 = 'Processed Non-zero TRI Data'!$I:$I,'Processed Non-zero TRI Data'!$A:$A)) = 'Processed Non-zero TRI Data'!$A:$A)*('Processed Non-zero TRI Data'!$I:$I = H38), 'Processed Non-zero TRI Data'!$S:$S), "N/A- Facility Does Not Report to TRI")</f>
        <v>0</v>
      </c>
      <c r="Y38" s="33">
        <f t="shared" si="2"/>
        <v>0</v>
      </c>
      <c r="Z38" s="33" t="str" cm="1">
        <f t="array" ref="Z38">IF(COUNTIF('Processed Non-zero TRI Data'!$I:$I,$H38)&gt;0,MEDIAN(IF('Processed Non-zero TRI Data'!$I:$I=H38,'Processed Non-zero TRI Data'!$S:$S)), "N/A - Facility Does Not Report to TRI")</f>
        <v>N/A - Facility Does Not Report to TRI</v>
      </c>
      <c r="AA38" s="33" t="str">
        <f t="shared" si="3"/>
        <v>N/A - Facility Does Not Report to TRI</v>
      </c>
      <c r="AB38" s="33" t="str">
        <f>IF(COUNTIF('Processed Non-zero TRI Data'!$I:$I,$H38)&gt;0,_xlfn.MAXIFS('Processed Non-zero TRI Data'!$S:$S,'Processed Non-zero TRI Data'!$I:$I,$H38), "N/A - Facility Does Not Report to TRI")</f>
        <v>N/A - Facility Does Not Report to TRI</v>
      </c>
      <c r="AC38" s="33" t="str">
        <f t="shared" si="4"/>
        <v>N/A - Facility Does Not Report to TRI</v>
      </c>
      <c r="AD38" s="110" t="str" cm="1">
        <f t="array" ref="AD38">IFERROR(IF(B38 = "TRI Form R", IF(AB38 = 0, "Facility has no on-site water discharges between 2019-2023.",  IF(COUNTIF('Processed Non-zero TRI Data'!$I:$I,$H38)&gt;0,INDEX('Processed Non-zero TRI Data'!$A:$A,MATCH(1,($H38='Processed Non-zero TRI Data'!$I:$I)*(AB38='Processed Non-zero TRI Data'!$S:$S),0)))), VLOOKUP(H38, 'Form A Recent Reporting'!$L:$M, 2, FALSE)), ("N/A - Facility Does Not Report to TRI"))</f>
        <v>N/A - Facility Does Not Report to TRI</v>
      </c>
      <c r="AE38" s="109" cm="1">
        <f t="array" ref="AE38">IFERROR(_xlfn.XLOOKUP(1,  (MAX(IF(H38 = 'Processed Non-zero TRI Data'!$I:$I,'Processed Non-zero TRI Data'!$A:$A)) = 'Processed Non-zero TRI Data'!$A:$A)*('Processed Non-zero TRI Data'!$I:$I = H38), 'Processed Non-zero TRI Data'!$U:$U), "N/A- Facility Does Not Report to TRI")</f>
        <v>0</v>
      </c>
      <c r="AF38" s="33">
        <f t="shared" si="5"/>
        <v>0</v>
      </c>
      <c r="AG38" s="33" t="str" cm="1">
        <f t="array" ref="AG38">IF(COUNTIF('Processed Non-zero TRI Data'!$I:$I,$H38)&gt;0,MEDIAN(IF('Processed Non-zero TRI Data'!$I:$I=H38,'Processed Non-zero TRI Data'!$U:$U)), "N/A - Facility Does Not Report to TRI")</f>
        <v>N/A - Facility Does Not Report to TRI</v>
      </c>
      <c r="AH38" s="33" t="str">
        <f t="shared" si="6"/>
        <v>N/A - Facility Does Not Report to TRI</v>
      </c>
      <c r="AI38" s="33" t="str">
        <f>IF(COUNTIF('Processed Non-zero TRI Data'!$I:$I,$H38)&gt;0,_xlfn.MAXIFS('Processed Non-zero TRI Data'!$U:$U,'Processed Non-zero TRI Data'!$I:$I,$H38), "N/A - Facility Does Not Report to TRI")</f>
        <v>N/A - Facility Does Not Report to TRI</v>
      </c>
      <c r="AJ38" s="33" t="str">
        <f t="shared" si="7"/>
        <v>N/A - Facility Does Not Report to TRI</v>
      </c>
      <c r="AK38" s="110" t="str" cm="1">
        <f t="array" ref="AK38">IF(B38="TRI Form A",AD38,IF(AI38=0,"Facility has no transfers to POTWs between 2019-2023.",IF(COUNTIF('Processed Non-zero TRI Data'!$I:$I,$H38)&gt;0,INDEX('Processed Non-zero TRI Data'!$A:$A,MATCH(1,($H38='Processed Non-zero TRI Data'!$I:$I)*(AI38='Processed Non-zero TRI Data'!$U:$U),0)),"N/A - Facility Does Not Report to TRI")))</f>
        <v>N/A - Facility Does Not Report to TRI</v>
      </c>
      <c r="AL38" s="109" cm="1">
        <f t="array" ref="AL38">IFERROR(_xlfn.XLOOKUP(1,  (MAX(IF(H38 = 'Processed Non-zero TRI Data'!$I$2:$I$23,'Processed Non-zero TRI Data'!$A$2:$A$23)) = 'Processed Non-zero TRI Data'!$A$2:$A$23)*('Processed Non-zero TRI Data'!$I$2:$I$23 = H38), 'Processed Non-zero TRI Data'!$W$2:$W$23), "N/A- Facility Does Not Report to TRI")</f>
        <v>0</v>
      </c>
      <c r="AM38" s="33">
        <f t="shared" si="8"/>
        <v>0</v>
      </c>
      <c r="AN38" s="33" t="str" cm="1">
        <f t="array" ref="AN38">IF(COUNTIF('Processed Non-zero TRI Data'!$I:$I,$H38)&gt;0,MEDIAN(IF('Processed Non-zero TRI Data'!$I:$I=H38,'Processed Non-zero TRI Data'!$W:$W)), "N/A - Facility Does Not Report to TRI")</f>
        <v>N/A - Facility Does Not Report to TRI</v>
      </c>
      <c r="AO38" s="33" t="str">
        <f t="shared" si="9"/>
        <v>N/A - Facility Does Not Report to TRI</v>
      </c>
      <c r="AP38" s="33" t="str">
        <f>IF(COUNTIF('Processed Non-zero TRI Data'!$I:$I,$H38)&gt;0,_xlfn.MAXIFS('Processed Non-zero TRI Data'!$W:$W,'Processed Non-zero TRI Data'!$I:$I,$H38), "N/A - Facility Does Not Report to TRI")</f>
        <v>N/A - Facility Does Not Report to TRI</v>
      </c>
      <c r="AQ38" s="33" t="str">
        <f t="shared" si="10"/>
        <v>N/A - Facility Does Not Report to TRI</v>
      </c>
      <c r="AR38" s="110" t="str" cm="1">
        <f t="array" ref="AR38">IF(B38="TRI Form A",AD38,IF(AP38=0,"Facility has no transfers to non-POTWs between 2019-2023.",IF(COUNTIF('Processed Non-zero TRI Data'!$I:$I,$H38)&gt;0,INDEX('Processed Non-zero TRI Data'!$A:$A,MATCH(1,($H38='Processed Non-zero TRI Data'!$I:$I)*(AP38='Processed Non-zero TRI Data'!$W:$W),0)),"N/A - Facility Does Not Report to TRI")))</f>
        <v>N/A - Facility Does Not Report to TRI</v>
      </c>
    </row>
    <row r="39" spans="1:44" ht="29" x14ac:dyDescent="0.35">
      <c r="A39" s="34">
        <v>36</v>
      </c>
      <c r="B39" s="33" t="str">
        <f>IFERROR("TRI Form "&amp;VLOOKUP(H39,'Processed Non-zero TRI Data'!$I$2:$K$23,3,FALSE),"DMR")</f>
        <v>DMR</v>
      </c>
      <c r="C39" s="33" t="str">
        <f>VLOOKUP($D39, 'COU.OES Summary'!C:D, 2, FALSE)</f>
        <v> </v>
      </c>
      <c r="D39" s="33" t="str">
        <f>IFERROR(VLOOKUP($H39, 'Processed Non-zero TRI Data'!$I:$O, 7, FALSE), VLOOKUP($I39, 'Processed Non-zero DMR Data'!$K:$R, 8, FALSE))</f>
        <v>Waste handling, treatment, and disposal - Remediation or Monitoring</v>
      </c>
      <c r="E39" s="34" t="s">
        <v>168</v>
      </c>
      <c r="F39" s="34" t="s">
        <v>169</v>
      </c>
      <c r="G39" s="34" t="s">
        <v>108</v>
      </c>
      <c r="H39" s="34"/>
      <c r="I39" s="105">
        <v>110000741608</v>
      </c>
      <c r="J39" s="33" t="str">
        <f>IFERROR(VLOOKUP($I39, 'Processed Non-zero DMR Data'!$K:$U, 11, FALSE),"")</f>
        <v>KY0003701</v>
      </c>
      <c r="K39" s="33" t="str">
        <f>IFERROR(VLOOKUP($I39, 'Processed Non-zero DMR Data'!$K:$V, 12, FALSE),"Not Reported")</f>
        <v>Lower Cypress Creek</v>
      </c>
      <c r="L39" s="106">
        <f>IFERROR(VLOOKUP($I39, 'Processed Non-zero DMR Data'!$K:$W, 13, FALSE),"No Reach Code Reported")</f>
        <v>60400060503</v>
      </c>
      <c r="M39" s="107" t="str">
        <f>IFERROR(IFERROR(VLOOKUP(H39, 'Off-site Locations'!$K$3:$O$5, 5, FALSE), VLOOKUP(H39, 'Off-site Locations'!$B$3:$E$4, 4, FALSE)), "No Offsite Transfers")</f>
        <v>No Offsite Transfers</v>
      </c>
      <c r="N39" s="33">
        <f>VLOOKUP($D39, 'COU.OES Summary'!C:E, 3, FALSE)</f>
        <v>365</v>
      </c>
      <c r="O39" s="108">
        <f t="shared" si="0"/>
        <v>0</v>
      </c>
      <c r="P39" s="108">
        <f t="shared" si="1"/>
        <v>8.2026450000000004</v>
      </c>
      <c r="Q39" s="109" cm="1">
        <f t="array" ref="Q39">IFERROR(_xlfn.XLOOKUP(1,  (MAX(IF(I39 = 'Processed Non-zero DMR Data'!$K:$K,'Processed Non-zero DMR Data'!$A:$A)) = 'Processed Non-zero DMR Data'!$A:$A)*('Processed Non-zero DMR Data'!$K:$K = I39),'Processed Non-zero DMR Data'!$T:$T), "N/A- Facility Does Not Report DMRs")</f>
        <v>0.24856500000000001</v>
      </c>
      <c r="R39" s="33">
        <f t="shared" si="11"/>
        <v>6.8100000000000007E-4</v>
      </c>
      <c r="S39" s="33" cm="1">
        <f t="array" ref="S39">IF(COUNTIF('Processed Non-zero DMR Data'!$K:$K,$I39)&gt;0,MEDIAN(IF('Processed Non-zero DMR Data'!$K:$K=I39,'Processed Non-zero DMR Data'!$T:$T)),"N/A - Facility Does Not Report DMRs")</f>
        <v>4.3084600000000002</v>
      </c>
      <c r="T39" s="33">
        <f t="shared" si="12"/>
        <v>1.1804E-2</v>
      </c>
      <c r="U39" s="33">
        <f>IF(COUNTIF('Processed Non-zero DMR Data'!$K:$K,$I39)&gt;0,_xlfn.MAXIFS('Processed Non-zero DMR Data'!$T:$T,'Processed Non-zero DMR Data'!$K:$K,$I39), "N/A - Facility Does Not Report DMRs")</f>
        <v>8.2026450000000004</v>
      </c>
      <c r="V39" s="33">
        <f t="shared" si="13"/>
        <v>2.2473E-2</v>
      </c>
      <c r="W39" s="110" cm="1">
        <f t="array" ref="W39">IF(COUNTIF('Processed Non-zero DMR Data'!$K:$K,$I39)&gt;0,INDEX('Processed Non-zero DMR Data'!$A:$A,MATCH(1,($I39='Processed Non-zero DMR Data'!$K:$K)*($U39='Processed Non-zero DMR Data'!$T:$T),0)), "N/A - Facility Does Not Report DMRs")</f>
        <v>2021</v>
      </c>
      <c r="X39" s="109" cm="1">
        <f t="array" ref="X39">IFERROR(_xlfn.XLOOKUP(1,  (MAX(IF(H39 = 'Processed Non-zero TRI Data'!$I:$I,'Processed Non-zero TRI Data'!$A:$A)) = 'Processed Non-zero TRI Data'!$A:$A)*('Processed Non-zero TRI Data'!$I:$I = H39), 'Processed Non-zero TRI Data'!$S:$S), "N/A- Facility Does Not Report to TRI")</f>
        <v>0</v>
      </c>
      <c r="Y39" s="33">
        <f t="shared" si="2"/>
        <v>0</v>
      </c>
      <c r="Z39" s="33" t="str" cm="1">
        <f t="array" ref="Z39">IF(COUNTIF('Processed Non-zero TRI Data'!$I:$I,$H39)&gt;0,MEDIAN(IF('Processed Non-zero TRI Data'!$I:$I=H39,'Processed Non-zero TRI Data'!$S:$S)), "N/A - Facility Does Not Report to TRI")</f>
        <v>N/A - Facility Does Not Report to TRI</v>
      </c>
      <c r="AA39" s="33" t="str">
        <f t="shared" si="3"/>
        <v>N/A - Facility Does Not Report to TRI</v>
      </c>
      <c r="AB39" s="33" t="str">
        <f>IF(COUNTIF('Processed Non-zero TRI Data'!$I:$I,$H39)&gt;0,_xlfn.MAXIFS('Processed Non-zero TRI Data'!$S:$S,'Processed Non-zero TRI Data'!$I:$I,$H39), "N/A - Facility Does Not Report to TRI")</f>
        <v>N/A - Facility Does Not Report to TRI</v>
      </c>
      <c r="AC39" s="33" t="str">
        <f t="shared" si="4"/>
        <v>N/A - Facility Does Not Report to TRI</v>
      </c>
      <c r="AD39" s="110" t="str" cm="1">
        <f t="array" ref="AD39">IFERROR(IF(B39 = "TRI Form R", IF(AB39 = 0, "Facility has no on-site water discharges between 2019-2023.",  IF(COUNTIF('Processed Non-zero TRI Data'!$I:$I,$H39)&gt;0,INDEX('Processed Non-zero TRI Data'!$A:$A,MATCH(1,($H39='Processed Non-zero TRI Data'!$I:$I)*(AB39='Processed Non-zero TRI Data'!$S:$S),0)))), VLOOKUP(H39, 'Form A Recent Reporting'!$L:$M, 2, FALSE)), ("N/A - Facility Does Not Report to TRI"))</f>
        <v>N/A - Facility Does Not Report to TRI</v>
      </c>
      <c r="AE39" s="109" cm="1">
        <f t="array" ref="AE39">IFERROR(_xlfn.XLOOKUP(1,  (MAX(IF(H39 = 'Processed Non-zero TRI Data'!$I:$I,'Processed Non-zero TRI Data'!$A:$A)) = 'Processed Non-zero TRI Data'!$A:$A)*('Processed Non-zero TRI Data'!$I:$I = H39), 'Processed Non-zero TRI Data'!$U:$U), "N/A- Facility Does Not Report to TRI")</f>
        <v>0</v>
      </c>
      <c r="AF39" s="33">
        <f t="shared" si="5"/>
        <v>0</v>
      </c>
      <c r="AG39" s="33" t="str" cm="1">
        <f t="array" ref="AG39">IF(COUNTIF('Processed Non-zero TRI Data'!$I:$I,$H39)&gt;0,MEDIAN(IF('Processed Non-zero TRI Data'!$I:$I=H39,'Processed Non-zero TRI Data'!$U:$U)), "N/A - Facility Does Not Report to TRI")</f>
        <v>N/A - Facility Does Not Report to TRI</v>
      </c>
      <c r="AH39" s="33" t="str">
        <f t="shared" si="6"/>
        <v>N/A - Facility Does Not Report to TRI</v>
      </c>
      <c r="AI39" s="33" t="str">
        <f>IF(COUNTIF('Processed Non-zero TRI Data'!$I:$I,$H39)&gt;0,_xlfn.MAXIFS('Processed Non-zero TRI Data'!$U:$U,'Processed Non-zero TRI Data'!$I:$I,$H39), "N/A - Facility Does Not Report to TRI")</f>
        <v>N/A - Facility Does Not Report to TRI</v>
      </c>
      <c r="AJ39" s="33" t="str">
        <f t="shared" si="7"/>
        <v>N/A - Facility Does Not Report to TRI</v>
      </c>
      <c r="AK39" s="110" t="str" cm="1">
        <f t="array" ref="AK39">IF(B39="TRI Form A",AD39,IF(AI39=0,"Facility has no transfers to POTWs between 2019-2023.",IF(COUNTIF('Processed Non-zero TRI Data'!$I:$I,$H39)&gt;0,INDEX('Processed Non-zero TRI Data'!$A:$A,MATCH(1,($H39='Processed Non-zero TRI Data'!$I:$I)*(AI39='Processed Non-zero TRI Data'!$U:$U),0)),"N/A - Facility Does Not Report to TRI")))</f>
        <v>N/A - Facility Does Not Report to TRI</v>
      </c>
      <c r="AL39" s="109" cm="1">
        <f t="array" ref="AL39">IFERROR(_xlfn.XLOOKUP(1,  (MAX(IF(H39 = 'Processed Non-zero TRI Data'!$I$2:$I$23,'Processed Non-zero TRI Data'!$A$2:$A$23)) = 'Processed Non-zero TRI Data'!$A$2:$A$23)*('Processed Non-zero TRI Data'!$I$2:$I$23 = H39), 'Processed Non-zero TRI Data'!$W$2:$W$23), "N/A- Facility Does Not Report to TRI")</f>
        <v>0</v>
      </c>
      <c r="AM39" s="33">
        <f t="shared" si="8"/>
        <v>0</v>
      </c>
      <c r="AN39" s="33" t="str" cm="1">
        <f t="array" ref="AN39">IF(COUNTIF('Processed Non-zero TRI Data'!$I:$I,$H39)&gt;0,MEDIAN(IF('Processed Non-zero TRI Data'!$I:$I=H39,'Processed Non-zero TRI Data'!$W:$W)), "N/A - Facility Does Not Report to TRI")</f>
        <v>N/A - Facility Does Not Report to TRI</v>
      </c>
      <c r="AO39" s="33" t="str">
        <f t="shared" si="9"/>
        <v>N/A - Facility Does Not Report to TRI</v>
      </c>
      <c r="AP39" s="33" t="str">
        <f>IF(COUNTIF('Processed Non-zero TRI Data'!$I:$I,$H39)&gt;0,_xlfn.MAXIFS('Processed Non-zero TRI Data'!$W:$W,'Processed Non-zero TRI Data'!$I:$I,$H39), "N/A - Facility Does Not Report to TRI")</f>
        <v>N/A - Facility Does Not Report to TRI</v>
      </c>
      <c r="AQ39" s="33" t="str">
        <f t="shared" si="10"/>
        <v>N/A - Facility Does Not Report to TRI</v>
      </c>
      <c r="AR39" s="110" t="str" cm="1">
        <f t="array" ref="AR39">IF(B39="TRI Form A",AD39,IF(AP39=0,"Facility has no transfers to non-POTWs between 2019-2023.",IF(COUNTIF('Processed Non-zero TRI Data'!$I:$I,$H39)&gt;0,INDEX('Processed Non-zero TRI Data'!$A:$A,MATCH(1,($H39='Processed Non-zero TRI Data'!$I:$I)*(AP39='Processed Non-zero TRI Data'!$W:$W),0)),"N/A - Facility Does Not Report to TRI")))</f>
        <v>N/A - Facility Does Not Report to TRI</v>
      </c>
    </row>
    <row r="40" spans="1:44" ht="29" x14ac:dyDescent="0.35">
      <c r="A40" s="34">
        <v>37</v>
      </c>
      <c r="B40" s="33" t="str">
        <f>IFERROR("TRI Form "&amp;VLOOKUP(H40,'Processed Non-zero TRI Data'!$I$2:$K$23,3,FALSE),"DMR")</f>
        <v>DMR</v>
      </c>
      <c r="C40" s="33" t="str">
        <f>VLOOKUP($D40, 'COU.OES Summary'!C:D, 2, FALSE)</f>
        <v> </v>
      </c>
      <c r="D40" s="33" t="str">
        <f>IFERROR(VLOOKUP($H40, 'Processed Non-zero TRI Data'!$I:$O, 7, FALSE), VLOOKUP($I40, 'Processed Non-zero DMR Data'!$K:$R, 8, FALSE))</f>
        <v>Waste handling, treatment, and disposal - POTW</v>
      </c>
      <c r="E40" s="34" t="s">
        <v>170</v>
      </c>
      <c r="F40" s="34" t="s">
        <v>171</v>
      </c>
      <c r="G40" s="34" t="s">
        <v>108</v>
      </c>
      <c r="H40" s="34"/>
      <c r="I40" s="105">
        <v>110006644872</v>
      </c>
      <c r="J40" s="33" t="str">
        <f>IFERROR(VLOOKUP($I40, 'Processed Non-zero DMR Data'!$K:$U, 11, FALSE),"")</f>
        <v>KY0025291</v>
      </c>
      <c r="K40" s="33" t="str">
        <f>IFERROR(VLOOKUP($I40, 'Processed Non-zero DMR Data'!$K:$V, 12, FALSE),"Not Reported")</f>
        <v>Island Creek-Levisa Fork</v>
      </c>
      <c r="L40" s="106">
        <f>IFERROR(VLOOKUP($I40, 'Processed Non-zero DMR Data'!$K:$W, 13, FALSE),"No Reach Code Reported")</f>
        <v>50702030202</v>
      </c>
      <c r="M40" s="107" t="str">
        <f>IFERROR(IFERROR(VLOOKUP(H40, 'Off-site Locations'!$K$3:$O$5, 5, FALSE), VLOOKUP(H40, 'Off-site Locations'!$B$3:$E$4, 4, FALSE)), "No Offsite Transfers")</f>
        <v>No Offsite Transfers</v>
      </c>
      <c r="N40" s="33">
        <f>VLOOKUP($D40, 'COU.OES Summary'!C:E, 3, FALSE)</f>
        <v>365</v>
      </c>
      <c r="O40" s="108">
        <f t="shared" si="0"/>
        <v>0</v>
      </c>
      <c r="P40" s="108">
        <f t="shared" si="1"/>
        <v>7.6501946875</v>
      </c>
      <c r="Q40" s="109" cm="1">
        <f t="array" ref="Q40">IFERROR(_xlfn.XLOOKUP(1,  (MAX(IF(I40 = 'Processed Non-zero DMR Data'!$K:$K,'Processed Non-zero DMR Data'!$A:$A)) = 'Processed Non-zero DMR Data'!$A:$A)*('Processed Non-zero DMR Data'!$K:$K = I40),'Processed Non-zero DMR Data'!$T:$T), "N/A- Facility Does Not Report DMRs")</f>
        <v>1.2218897862500001E-3</v>
      </c>
      <c r="R40" s="33">
        <f t="shared" si="11"/>
        <v>3.3476432500000003E-6</v>
      </c>
      <c r="S40" s="33" cm="1">
        <f t="array" ref="S40">IF(COUNTIF('Processed Non-zero DMR Data'!$K:$K,$I40)&gt;0,MEDIAN(IF('Processed Non-zero DMR Data'!$K:$K=I40,'Processed Non-zero DMR Data'!$T:$T)),"N/A - Facility Does Not Report DMRs")</f>
        <v>1.3628744125000001</v>
      </c>
      <c r="T40" s="33">
        <f t="shared" si="12"/>
        <v>3.7339025000000001E-3</v>
      </c>
      <c r="U40" s="33">
        <f>IF(COUNTIF('Processed Non-zero DMR Data'!$K:$K,$I40)&gt;0,_xlfn.MAXIFS('Processed Non-zero DMR Data'!$T:$T,'Processed Non-zero DMR Data'!$K:$K,$I40), "N/A - Facility Does Not Report DMRs")</f>
        <v>7.6501946875</v>
      </c>
      <c r="V40" s="33">
        <f t="shared" si="13"/>
        <v>2.0959437500000001E-2</v>
      </c>
      <c r="W40" s="110" cm="1">
        <f t="array" ref="W40">IF(COUNTIF('Processed Non-zero DMR Data'!$K:$K,$I40)&gt;0,INDEX('Processed Non-zero DMR Data'!$A:$A,MATCH(1,($I40='Processed Non-zero DMR Data'!$K:$K)*($U40='Processed Non-zero DMR Data'!$T:$T),0)), "N/A - Facility Does Not Report DMRs")</f>
        <v>2019</v>
      </c>
      <c r="X40" s="109" cm="1">
        <f t="array" ref="X40">IFERROR(_xlfn.XLOOKUP(1,  (MAX(IF(H40 = 'Processed Non-zero TRI Data'!$I:$I,'Processed Non-zero TRI Data'!$A:$A)) = 'Processed Non-zero TRI Data'!$A:$A)*('Processed Non-zero TRI Data'!$I:$I = H40), 'Processed Non-zero TRI Data'!$S:$S), "N/A- Facility Does Not Report to TRI")</f>
        <v>0</v>
      </c>
      <c r="Y40" s="33">
        <f t="shared" si="2"/>
        <v>0</v>
      </c>
      <c r="Z40" s="33" t="str" cm="1">
        <f t="array" ref="Z40">IF(COUNTIF('Processed Non-zero TRI Data'!$I:$I,$H40)&gt;0,MEDIAN(IF('Processed Non-zero TRI Data'!$I:$I=H40,'Processed Non-zero TRI Data'!$S:$S)), "N/A - Facility Does Not Report to TRI")</f>
        <v>N/A - Facility Does Not Report to TRI</v>
      </c>
      <c r="AA40" s="33" t="str">
        <f t="shared" si="3"/>
        <v>N/A - Facility Does Not Report to TRI</v>
      </c>
      <c r="AB40" s="33" t="str">
        <f>IF(COUNTIF('Processed Non-zero TRI Data'!$I:$I,$H40)&gt;0,_xlfn.MAXIFS('Processed Non-zero TRI Data'!$S:$S,'Processed Non-zero TRI Data'!$I:$I,$H40), "N/A - Facility Does Not Report to TRI")</f>
        <v>N/A - Facility Does Not Report to TRI</v>
      </c>
      <c r="AC40" s="33" t="str">
        <f t="shared" si="4"/>
        <v>N/A - Facility Does Not Report to TRI</v>
      </c>
      <c r="AD40" s="110" t="str" cm="1">
        <f t="array" ref="AD40">IFERROR(IF(B40 = "TRI Form R", IF(AB40 = 0, "Facility has no on-site water discharges between 2019-2023.",  IF(COUNTIF('Processed Non-zero TRI Data'!$I:$I,$H40)&gt;0,INDEX('Processed Non-zero TRI Data'!$A:$A,MATCH(1,($H40='Processed Non-zero TRI Data'!$I:$I)*(AB40='Processed Non-zero TRI Data'!$S:$S),0)))), VLOOKUP(H40, 'Form A Recent Reporting'!$L:$M, 2, FALSE)), ("N/A - Facility Does Not Report to TRI"))</f>
        <v>N/A - Facility Does Not Report to TRI</v>
      </c>
      <c r="AE40" s="109" cm="1">
        <f t="array" ref="AE40">IFERROR(_xlfn.XLOOKUP(1,  (MAX(IF(H40 = 'Processed Non-zero TRI Data'!$I:$I,'Processed Non-zero TRI Data'!$A:$A)) = 'Processed Non-zero TRI Data'!$A:$A)*('Processed Non-zero TRI Data'!$I:$I = H40), 'Processed Non-zero TRI Data'!$U:$U), "N/A- Facility Does Not Report to TRI")</f>
        <v>0</v>
      </c>
      <c r="AF40" s="33">
        <f t="shared" si="5"/>
        <v>0</v>
      </c>
      <c r="AG40" s="33" t="str" cm="1">
        <f t="array" ref="AG40">IF(COUNTIF('Processed Non-zero TRI Data'!$I:$I,$H40)&gt;0,MEDIAN(IF('Processed Non-zero TRI Data'!$I:$I=H40,'Processed Non-zero TRI Data'!$U:$U)), "N/A - Facility Does Not Report to TRI")</f>
        <v>N/A - Facility Does Not Report to TRI</v>
      </c>
      <c r="AH40" s="33" t="str">
        <f t="shared" si="6"/>
        <v>N/A - Facility Does Not Report to TRI</v>
      </c>
      <c r="AI40" s="33" t="str">
        <f>IF(COUNTIF('Processed Non-zero TRI Data'!$I:$I,$H40)&gt;0,_xlfn.MAXIFS('Processed Non-zero TRI Data'!$U:$U,'Processed Non-zero TRI Data'!$I:$I,$H40), "N/A - Facility Does Not Report to TRI")</f>
        <v>N/A - Facility Does Not Report to TRI</v>
      </c>
      <c r="AJ40" s="33" t="str">
        <f t="shared" si="7"/>
        <v>N/A - Facility Does Not Report to TRI</v>
      </c>
      <c r="AK40" s="110" t="str" cm="1">
        <f t="array" ref="AK40">IF(B40="TRI Form A",AD40,IF(AI40=0,"Facility has no transfers to POTWs between 2019-2023.",IF(COUNTIF('Processed Non-zero TRI Data'!$I:$I,$H40)&gt;0,INDEX('Processed Non-zero TRI Data'!$A:$A,MATCH(1,($H40='Processed Non-zero TRI Data'!$I:$I)*(AI40='Processed Non-zero TRI Data'!$U:$U),0)),"N/A - Facility Does Not Report to TRI")))</f>
        <v>N/A - Facility Does Not Report to TRI</v>
      </c>
      <c r="AL40" s="109" cm="1">
        <f t="array" ref="AL40">IFERROR(_xlfn.XLOOKUP(1,  (MAX(IF(H40 = 'Processed Non-zero TRI Data'!$I$2:$I$23,'Processed Non-zero TRI Data'!$A$2:$A$23)) = 'Processed Non-zero TRI Data'!$A$2:$A$23)*('Processed Non-zero TRI Data'!$I$2:$I$23 = H40), 'Processed Non-zero TRI Data'!$W$2:$W$23), "N/A- Facility Does Not Report to TRI")</f>
        <v>0</v>
      </c>
      <c r="AM40" s="33">
        <f t="shared" si="8"/>
        <v>0</v>
      </c>
      <c r="AN40" s="33" t="str" cm="1">
        <f t="array" ref="AN40">IF(COUNTIF('Processed Non-zero TRI Data'!$I:$I,$H40)&gt;0,MEDIAN(IF('Processed Non-zero TRI Data'!$I:$I=H40,'Processed Non-zero TRI Data'!$W:$W)), "N/A - Facility Does Not Report to TRI")</f>
        <v>N/A - Facility Does Not Report to TRI</v>
      </c>
      <c r="AO40" s="33" t="str">
        <f t="shared" si="9"/>
        <v>N/A - Facility Does Not Report to TRI</v>
      </c>
      <c r="AP40" s="33" t="str">
        <f>IF(COUNTIF('Processed Non-zero TRI Data'!$I:$I,$H40)&gt;0,_xlfn.MAXIFS('Processed Non-zero TRI Data'!$W:$W,'Processed Non-zero TRI Data'!$I:$I,$H40), "N/A - Facility Does Not Report to TRI")</f>
        <v>N/A - Facility Does Not Report to TRI</v>
      </c>
      <c r="AQ40" s="33" t="str">
        <f t="shared" si="10"/>
        <v>N/A - Facility Does Not Report to TRI</v>
      </c>
      <c r="AR40" s="110" t="str" cm="1">
        <f t="array" ref="AR40">IF(B40="TRI Form A",AD40,IF(AP40=0,"Facility has no transfers to non-POTWs between 2019-2023.",IF(COUNTIF('Processed Non-zero TRI Data'!$I:$I,$H40)&gt;0,INDEX('Processed Non-zero TRI Data'!$A:$A,MATCH(1,($H40='Processed Non-zero TRI Data'!$I:$I)*(AP40='Processed Non-zero TRI Data'!$W:$W),0)),"N/A - Facility Does Not Report to TRI")))</f>
        <v>N/A - Facility Does Not Report to TRI</v>
      </c>
    </row>
    <row r="41" spans="1:44" ht="29" x14ac:dyDescent="0.35">
      <c r="A41" s="34">
        <v>38</v>
      </c>
      <c r="B41" s="33" t="str">
        <f>IFERROR("TRI Form "&amp;VLOOKUP(H41,'Processed Non-zero TRI Data'!$I$2:$K$23,3,FALSE),"DMR")</f>
        <v>DMR</v>
      </c>
      <c r="C41" s="33" t="str">
        <f>VLOOKUP($D41, 'COU.OES Summary'!C:D, 2, FALSE)</f>
        <v> </v>
      </c>
      <c r="D41" s="33" t="str">
        <f>IFERROR(VLOOKUP($H41, 'Processed Non-zero TRI Data'!$I:$O, 7, FALSE), VLOOKUP($I41, 'Processed Non-zero DMR Data'!$K:$R, 8, FALSE))</f>
        <v>Waste handling, treatment, and disposal - Remediation or Monitoring</v>
      </c>
      <c r="E41" s="34" t="s">
        <v>172</v>
      </c>
      <c r="F41" s="34" t="s">
        <v>173</v>
      </c>
      <c r="G41" s="34" t="s">
        <v>126</v>
      </c>
      <c r="H41" s="34"/>
      <c r="I41" s="105">
        <v>110011779147</v>
      </c>
      <c r="J41" s="33" t="str">
        <f>IFERROR(VLOOKUP($I41, 'Processed Non-zero DMR Data'!$K:$U, 11, FALSE),"")</f>
        <v>NY0001163</v>
      </c>
      <c r="K41" s="33" t="str">
        <f>IFERROR(VLOOKUP($I41, 'Processed Non-zero DMR Data'!$K:$V, 12, FALSE),"Not Reported")</f>
        <v>Ley Creek Branches</v>
      </c>
      <c r="L41" s="106">
        <f>IFERROR(VLOOKUP($I41, 'Processed Non-zero DMR Data'!$K:$W, 13, FALSE),"No Reach Code Reported")</f>
        <v>41402011508</v>
      </c>
      <c r="M41" s="107" t="str">
        <f>IFERROR(IFERROR(VLOOKUP(H41, 'Off-site Locations'!$K$3:$O$5, 5, FALSE), VLOOKUP(H41, 'Off-site Locations'!$B$3:$E$4, 4, FALSE)), "No Offsite Transfers")</f>
        <v>No Offsite Transfers</v>
      </c>
      <c r="N41" s="33">
        <f>VLOOKUP($D41, 'COU.OES Summary'!C:E, 3, FALSE)</f>
        <v>365</v>
      </c>
      <c r="O41" s="108">
        <f t="shared" si="0"/>
        <v>0</v>
      </c>
      <c r="P41" s="108">
        <f t="shared" si="1"/>
        <v>8.3019527624999991</v>
      </c>
      <c r="Q41" s="109" cm="1">
        <f t="array" ref="Q41">IFERROR(_xlfn.XLOOKUP(1,  (MAX(IF(I41 = 'Processed Non-zero DMR Data'!$K:$K,'Processed Non-zero DMR Data'!$A:$A)) = 'Processed Non-zero DMR Data'!$A:$A)*('Processed Non-zero DMR Data'!$K:$K = I41),'Processed Non-zero DMR Data'!$T:$T), "N/A- Facility Does Not Report DMRs")</f>
        <v>0.74756588749999997</v>
      </c>
      <c r="R41" s="33">
        <f t="shared" si="11"/>
        <v>2.0481257191780821E-3</v>
      </c>
      <c r="S41" s="33" cm="1">
        <f t="array" ref="S41">IF(COUNTIF('Processed Non-zero DMR Data'!$K:$K,$I41)&gt;0,MEDIAN(IF('Processed Non-zero DMR Data'!$K:$K=I41,'Processed Non-zero DMR Data'!$T:$T)),"N/A - Facility Does Not Report DMRs")</f>
        <v>0.74756588749999997</v>
      </c>
      <c r="T41" s="33">
        <f t="shared" si="12"/>
        <v>2.0481257191780821E-3</v>
      </c>
      <c r="U41" s="33">
        <f>IF(COUNTIF('Processed Non-zero DMR Data'!$K:$K,$I41)&gt;0,_xlfn.MAXIFS('Processed Non-zero DMR Data'!$T:$T,'Processed Non-zero DMR Data'!$K:$K,$I41), "N/A - Facility Does Not Report DMRs")</f>
        <v>8.3019527624999991</v>
      </c>
      <c r="V41" s="33">
        <f t="shared" si="13"/>
        <v>2.2745076061643832E-2</v>
      </c>
      <c r="W41" s="110" cm="1">
        <f t="array" ref="W41">IF(COUNTIF('Processed Non-zero DMR Data'!$K:$K,$I41)&gt;0,INDEX('Processed Non-zero DMR Data'!$A:$A,MATCH(1,($I41='Processed Non-zero DMR Data'!$K:$K)*($U41='Processed Non-zero DMR Data'!$T:$T),0)), "N/A - Facility Does Not Report DMRs")</f>
        <v>2020</v>
      </c>
      <c r="X41" s="109" cm="1">
        <f t="array" ref="X41">IFERROR(_xlfn.XLOOKUP(1,  (MAX(IF(H41 = 'Processed Non-zero TRI Data'!$I:$I,'Processed Non-zero TRI Data'!$A:$A)) = 'Processed Non-zero TRI Data'!$A:$A)*('Processed Non-zero TRI Data'!$I:$I = H41), 'Processed Non-zero TRI Data'!$S:$S), "N/A- Facility Does Not Report to TRI")</f>
        <v>0</v>
      </c>
      <c r="Y41" s="33">
        <f t="shared" si="2"/>
        <v>0</v>
      </c>
      <c r="Z41" s="33" t="str" cm="1">
        <f t="array" ref="Z41">IF(COUNTIF('Processed Non-zero TRI Data'!$I:$I,$H41)&gt;0,MEDIAN(IF('Processed Non-zero TRI Data'!$I:$I=H41,'Processed Non-zero TRI Data'!$S:$S)), "N/A - Facility Does Not Report to TRI")</f>
        <v>N/A - Facility Does Not Report to TRI</v>
      </c>
      <c r="AA41" s="33" t="str">
        <f t="shared" si="3"/>
        <v>N/A - Facility Does Not Report to TRI</v>
      </c>
      <c r="AB41" s="33" t="str">
        <f>IF(COUNTIF('Processed Non-zero TRI Data'!$I:$I,$H41)&gt;0,_xlfn.MAXIFS('Processed Non-zero TRI Data'!$S:$S,'Processed Non-zero TRI Data'!$I:$I,$H41), "N/A - Facility Does Not Report to TRI")</f>
        <v>N/A - Facility Does Not Report to TRI</v>
      </c>
      <c r="AC41" s="33" t="str">
        <f t="shared" si="4"/>
        <v>N/A - Facility Does Not Report to TRI</v>
      </c>
      <c r="AD41" s="110" t="str" cm="1">
        <f t="array" ref="AD41">IFERROR(IF(B41 = "TRI Form R", IF(AB41 = 0, "Facility has no on-site water discharges between 2019-2023.",  IF(COUNTIF('Processed Non-zero TRI Data'!$I:$I,$H41)&gt;0,INDEX('Processed Non-zero TRI Data'!$A:$A,MATCH(1,($H41='Processed Non-zero TRI Data'!$I:$I)*(AB41='Processed Non-zero TRI Data'!$S:$S),0)))), VLOOKUP(H41, 'Form A Recent Reporting'!$L:$M, 2, FALSE)), ("N/A - Facility Does Not Report to TRI"))</f>
        <v>N/A - Facility Does Not Report to TRI</v>
      </c>
      <c r="AE41" s="109" cm="1">
        <f t="array" ref="AE41">IFERROR(_xlfn.XLOOKUP(1,  (MAX(IF(H41 = 'Processed Non-zero TRI Data'!$I:$I,'Processed Non-zero TRI Data'!$A:$A)) = 'Processed Non-zero TRI Data'!$A:$A)*('Processed Non-zero TRI Data'!$I:$I = H41), 'Processed Non-zero TRI Data'!$U:$U), "N/A- Facility Does Not Report to TRI")</f>
        <v>0</v>
      </c>
      <c r="AF41" s="33">
        <f t="shared" si="5"/>
        <v>0</v>
      </c>
      <c r="AG41" s="33" t="str" cm="1">
        <f t="array" ref="AG41">IF(COUNTIF('Processed Non-zero TRI Data'!$I:$I,$H41)&gt;0,MEDIAN(IF('Processed Non-zero TRI Data'!$I:$I=H41,'Processed Non-zero TRI Data'!$U:$U)), "N/A - Facility Does Not Report to TRI")</f>
        <v>N/A - Facility Does Not Report to TRI</v>
      </c>
      <c r="AH41" s="33" t="str">
        <f t="shared" si="6"/>
        <v>N/A - Facility Does Not Report to TRI</v>
      </c>
      <c r="AI41" s="33" t="str">
        <f>IF(COUNTIF('Processed Non-zero TRI Data'!$I:$I,$H41)&gt;0,_xlfn.MAXIFS('Processed Non-zero TRI Data'!$U:$U,'Processed Non-zero TRI Data'!$I:$I,$H41), "N/A - Facility Does Not Report to TRI")</f>
        <v>N/A - Facility Does Not Report to TRI</v>
      </c>
      <c r="AJ41" s="33" t="str">
        <f t="shared" si="7"/>
        <v>N/A - Facility Does Not Report to TRI</v>
      </c>
      <c r="AK41" s="110" t="str" cm="1">
        <f t="array" ref="AK41">IF(B41="TRI Form A",AD41,IF(AI41=0,"Facility has no transfers to POTWs between 2019-2023.",IF(COUNTIF('Processed Non-zero TRI Data'!$I:$I,$H41)&gt;0,INDEX('Processed Non-zero TRI Data'!$A:$A,MATCH(1,($H41='Processed Non-zero TRI Data'!$I:$I)*(AI41='Processed Non-zero TRI Data'!$U:$U),0)),"N/A - Facility Does Not Report to TRI")))</f>
        <v>N/A - Facility Does Not Report to TRI</v>
      </c>
      <c r="AL41" s="109" cm="1">
        <f t="array" ref="AL41">IFERROR(_xlfn.XLOOKUP(1,  (MAX(IF(H41 = 'Processed Non-zero TRI Data'!$I$2:$I$23,'Processed Non-zero TRI Data'!$A$2:$A$23)) = 'Processed Non-zero TRI Data'!$A$2:$A$23)*('Processed Non-zero TRI Data'!$I$2:$I$23 = H41), 'Processed Non-zero TRI Data'!$W$2:$W$23), "N/A- Facility Does Not Report to TRI")</f>
        <v>0</v>
      </c>
      <c r="AM41" s="33">
        <f t="shared" si="8"/>
        <v>0</v>
      </c>
      <c r="AN41" s="33" t="str" cm="1">
        <f t="array" ref="AN41">IF(COUNTIF('Processed Non-zero TRI Data'!$I:$I,$H41)&gt;0,MEDIAN(IF('Processed Non-zero TRI Data'!$I:$I=H41,'Processed Non-zero TRI Data'!$W:$W)), "N/A - Facility Does Not Report to TRI")</f>
        <v>N/A - Facility Does Not Report to TRI</v>
      </c>
      <c r="AO41" s="33" t="str">
        <f t="shared" si="9"/>
        <v>N/A - Facility Does Not Report to TRI</v>
      </c>
      <c r="AP41" s="33" t="str">
        <f>IF(COUNTIF('Processed Non-zero TRI Data'!$I:$I,$H41)&gt;0,_xlfn.MAXIFS('Processed Non-zero TRI Data'!$W:$W,'Processed Non-zero TRI Data'!$I:$I,$H41), "N/A - Facility Does Not Report to TRI")</f>
        <v>N/A - Facility Does Not Report to TRI</v>
      </c>
      <c r="AQ41" s="33" t="str">
        <f t="shared" si="10"/>
        <v>N/A - Facility Does Not Report to TRI</v>
      </c>
      <c r="AR41" s="110" t="str" cm="1">
        <f t="array" ref="AR41">IF(B41="TRI Form A",AD41,IF(AP41=0,"Facility has no transfers to non-POTWs between 2019-2023.",IF(COUNTIF('Processed Non-zero TRI Data'!$I:$I,$H41)&gt;0,INDEX('Processed Non-zero TRI Data'!$A:$A,MATCH(1,($H41='Processed Non-zero TRI Data'!$I:$I)*(AP41='Processed Non-zero TRI Data'!$W:$W),0)),"N/A - Facility Does Not Report to TRI")))</f>
        <v>N/A - Facility Does Not Report to TRI</v>
      </c>
    </row>
    <row r="42" spans="1:44" ht="29" x14ac:dyDescent="0.35">
      <c r="A42" s="34">
        <v>39</v>
      </c>
      <c r="B42" s="33" t="str">
        <f>IFERROR("TRI Form "&amp;VLOOKUP(H42,'Processed Non-zero TRI Data'!$I$2:$K$23,3,FALSE),"DMR")</f>
        <v>DMR</v>
      </c>
      <c r="C42" s="33" t="str">
        <f>VLOOKUP($D42, 'COU.OES Summary'!C:D, 2, FALSE)</f>
        <v> </v>
      </c>
      <c r="D42" s="33" t="str">
        <f>IFERROR(VLOOKUP($H42, 'Processed Non-zero TRI Data'!$I:$O, 7, FALSE), VLOOKUP($I42, 'Processed Non-zero DMR Data'!$K:$R, 8, FALSE))</f>
        <v>Waste handling, treatment, and disposal - Remediation or Monitoring</v>
      </c>
      <c r="E42" s="34" t="s">
        <v>174</v>
      </c>
      <c r="F42" s="34" t="s">
        <v>155</v>
      </c>
      <c r="G42" s="34" t="s">
        <v>156</v>
      </c>
      <c r="H42" s="34"/>
      <c r="I42" s="105">
        <v>110006777210</v>
      </c>
      <c r="J42" s="33" t="str">
        <f>IFERROR(VLOOKUP($I42, 'Processed Non-zero DMR Data'!$K:$U, 11, FALSE),"")</f>
        <v>HI0021890</v>
      </c>
      <c r="K42" s="33" t="str">
        <f>IFERROR(VLOOKUP($I42, 'Processed Non-zero DMR Data'!$K:$V, 12, FALSE),"Not Reported")</f>
        <v>Waialae Nui Gulch</v>
      </c>
      <c r="L42" s="106">
        <f>IFERROR(VLOOKUP($I42, 'Processed Non-zero DMR Data'!$K:$W, 13, FALSE),"No Reach Code Reported")</f>
        <v>200600000302</v>
      </c>
      <c r="M42" s="107" t="str">
        <f>IFERROR(IFERROR(VLOOKUP(H42, 'Off-site Locations'!$K$3:$O$5, 5, FALSE), VLOOKUP(H42, 'Off-site Locations'!$B$3:$E$4, 4, FALSE)), "No Offsite Transfers")</f>
        <v>No Offsite Transfers</v>
      </c>
      <c r="N42" s="33">
        <f>VLOOKUP($D42, 'COU.OES Summary'!C:E, 3, FALSE)</f>
        <v>365</v>
      </c>
      <c r="O42" s="108">
        <f t="shared" si="0"/>
        <v>0</v>
      </c>
      <c r="P42" s="108">
        <f t="shared" si="1"/>
        <v>6.7440745444000001</v>
      </c>
      <c r="Q42" s="109" cm="1">
        <f t="array" ref="Q42">IFERROR(_xlfn.XLOOKUP(1,  (MAX(IF(I42 = 'Processed Non-zero DMR Data'!$K:$K,'Processed Non-zero DMR Data'!$A:$A)) = 'Processed Non-zero DMR Data'!$A:$A)*('Processed Non-zero DMR Data'!$K:$K = I42),'Processed Non-zero DMR Data'!$T:$T), "N/A- Facility Does Not Report DMRs")</f>
        <v>6.7440745444000001</v>
      </c>
      <c r="R42" s="33">
        <f t="shared" si="11"/>
        <v>1.8476916560000001E-2</v>
      </c>
      <c r="S42" s="33" cm="1">
        <f t="array" ref="S42">IF(COUNTIF('Processed Non-zero DMR Data'!$K:$K,$I42)&gt;0,MEDIAN(IF('Processed Non-zero DMR Data'!$K:$K=I42,'Processed Non-zero DMR Data'!$T:$T)),"N/A - Facility Does Not Report DMRs")</f>
        <v>6.7440745444000001</v>
      </c>
      <c r="T42" s="33">
        <f t="shared" si="12"/>
        <v>1.8476916560000001E-2</v>
      </c>
      <c r="U42" s="33">
        <f>IF(COUNTIF('Processed Non-zero DMR Data'!$K:$K,$I42)&gt;0,_xlfn.MAXIFS('Processed Non-zero DMR Data'!$T:$T,'Processed Non-zero DMR Data'!$K:$K,$I42), "N/A - Facility Does Not Report DMRs")</f>
        <v>6.7440745444000001</v>
      </c>
      <c r="V42" s="33">
        <f t="shared" si="13"/>
        <v>1.8476916560000001E-2</v>
      </c>
      <c r="W42" s="110" cm="1">
        <f t="array" ref="W42">IF(COUNTIF('Processed Non-zero DMR Data'!$K:$K,$I42)&gt;0,INDEX('Processed Non-zero DMR Data'!$A:$A,MATCH(1,($I42='Processed Non-zero DMR Data'!$K:$K)*($U42='Processed Non-zero DMR Data'!$T:$T),0)), "N/A - Facility Does Not Report DMRs")</f>
        <v>2021</v>
      </c>
      <c r="X42" s="109" cm="1">
        <f t="array" ref="X42">IFERROR(_xlfn.XLOOKUP(1,  (MAX(IF(H42 = 'Processed Non-zero TRI Data'!$I:$I,'Processed Non-zero TRI Data'!$A:$A)) = 'Processed Non-zero TRI Data'!$A:$A)*('Processed Non-zero TRI Data'!$I:$I = H42), 'Processed Non-zero TRI Data'!$S:$S), "N/A- Facility Does Not Report to TRI")</f>
        <v>0</v>
      </c>
      <c r="Y42" s="33">
        <f t="shared" si="2"/>
        <v>0</v>
      </c>
      <c r="Z42" s="33" t="str" cm="1">
        <f t="array" ref="Z42">IF(COUNTIF('Processed Non-zero TRI Data'!$I:$I,$H42)&gt;0,MEDIAN(IF('Processed Non-zero TRI Data'!$I:$I=H42,'Processed Non-zero TRI Data'!$S:$S)), "N/A - Facility Does Not Report to TRI")</f>
        <v>N/A - Facility Does Not Report to TRI</v>
      </c>
      <c r="AA42" s="33" t="str">
        <f t="shared" si="3"/>
        <v>N/A - Facility Does Not Report to TRI</v>
      </c>
      <c r="AB42" s="33" t="str">
        <f>IF(COUNTIF('Processed Non-zero TRI Data'!$I:$I,$H42)&gt;0,_xlfn.MAXIFS('Processed Non-zero TRI Data'!$S:$S,'Processed Non-zero TRI Data'!$I:$I,$H42), "N/A - Facility Does Not Report to TRI")</f>
        <v>N/A - Facility Does Not Report to TRI</v>
      </c>
      <c r="AC42" s="33" t="str">
        <f t="shared" si="4"/>
        <v>N/A - Facility Does Not Report to TRI</v>
      </c>
      <c r="AD42" s="110" t="str" cm="1">
        <f t="array" ref="AD42">IFERROR(IF(B42 = "TRI Form R", IF(AB42 = 0, "Facility has no on-site water discharges between 2019-2023.",  IF(COUNTIF('Processed Non-zero TRI Data'!$I:$I,$H42)&gt;0,INDEX('Processed Non-zero TRI Data'!$A:$A,MATCH(1,($H42='Processed Non-zero TRI Data'!$I:$I)*(AB42='Processed Non-zero TRI Data'!$S:$S),0)))), VLOOKUP(H42, 'Form A Recent Reporting'!$L:$M, 2, FALSE)), ("N/A - Facility Does Not Report to TRI"))</f>
        <v>N/A - Facility Does Not Report to TRI</v>
      </c>
      <c r="AE42" s="109" cm="1">
        <f t="array" ref="AE42">IFERROR(_xlfn.XLOOKUP(1,  (MAX(IF(H42 = 'Processed Non-zero TRI Data'!$I:$I,'Processed Non-zero TRI Data'!$A:$A)) = 'Processed Non-zero TRI Data'!$A:$A)*('Processed Non-zero TRI Data'!$I:$I = H42), 'Processed Non-zero TRI Data'!$U:$U), "N/A- Facility Does Not Report to TRI")</f>
        <v>0</v>
      </c>
      <c r="AF42" s="33">
        <f t="shared" si="5"/>
        <v>0</v>
      </c>
      <c r="AG42" s="33" t="str" cm="1">
        <f t="array" ref="AG42">IF(COUNTIF('Processed Non-zero TRI Data'!$I:$I,$H42)&gt;0,MEDIAN(IF('Processed Non-zero TRI Data'!$I:$I=H42,'Processed Non-zero TRI Data'!$U:$U)), "N/A - Facility Does Not Report to TRI")</f>
        <v>N/A - Facility Does Not Report to TRI</v>
      </c>
      <c r="AH42" s="33" t="str">
        <f t="shared" si="6"/>
        <v>N/A - Facility Does Not Report to TRI</v>
      </c>
      <c r="AI42" s="33" t="str">
        <f>IF(COUNTIF('Processed Non-zero TRI Data'!$I:$I,$H42)&gt;0,_xlfn.MAXIFS('Processed Non-zero TRI Data'!$U:$U,'Processed Non-zero TRI Data'!$I:$I,$H42), "N/A - Facility Does Not Report to TRI")</f>
        <v>N/A - Facility Does Not Report to TRI</v>
      </c>
      <c r="AJ42" s="33" t="str">
        <f t="shared" si="7"/>
        <v>N/A - Facility Does Not Report to TRI</v>
      </c>
      <c r="AK42" s="110" t="str" cm="1">
        <f t="array" ref="AK42">IF(B42="TRI Form A",AD42,IF(AI42=0,"Facility has no transfers to POTWs between 2019-2023.",IF(COUNTIF('Processed Non-zero TRI Data'!$I:$I,$H42)&gt;0,INDEX('Processed Non-zero TRI Data'!$A:$A,MATCH(1,($H42='Processed Non-zero TRI Data'!$I:$I)*(AI42='Processed Non-zero TRI Data'!$U:$U),0)),"N/A - Facility Does Not Report to TRI")))</f>
        <v>N/A - Facility Does Not Report to TRI</v>
      </c>
      <c r="AL42" s="109" cm="1">
        <f t="array" ref="AL42">IFERROR(_xlfn.XLOOKUP(1,  (MAX(IF(H42 = 'Processed Non-zero TRI Data'!$I$2:$I$23,'Processed Non-zero TRI Data'!$A$2:$A$23)) = 'Processed Non-zero TRI Data'!$A$2:$A$23)*('Processed Non-zero TRI Data'!$I$2:$I$23 = H42), 'Processed Non-zero TRI Data'!$W$2:$W$23), "N/A- Facility Does Not Report to TRI")</f>
        <v>0</v>
      </c>
      <c r="AM42" s="33">
        <f t="shared" si="8"/>
        <v>0</v>
      </c>
      <c r="AN42" s="33" t="str" cm="1">
        <f t="array" ref="AN42">IF(COUNTIF('Processed Non-zero TRI Data'!$I:$I,$H42)&gt;0,MEDIAN(IF('Processed Non-zero TRI Data'!$I:$I=H42,'Processed Non-zero TRI Data'!$W:$W)), "N/A - Facility Does Not Report to TRI")</f>
        <v>N/A - Facility Does Not Report to TRI</v>
      </c>
      <c r="AO42" s="33" t="str">
        <f t="shared" si="9"/>
        <v>N/A - Facility Does Not Report to TRI</v>
      </c>
      <c r="AP42" s="33" t="str">
        <f>IF(COUNTIF('Processed Non-zero TRI Data'!$I:$I,$H42)&gt;0,_xlfn.MAXIFS('Processed Non-zero TRI Data'!$W:$W,'Processed Non-zero TRI Data'!$I:$I,$H42), "N/A - Facility Does Not Report to TRI")</f>
        <v>N/A - Facility Does Not Report to TRI</v>
      </c>
      <c r="AQ42" s="33" t="str">
        <f t="shared" si="10"/>
        <v>N/A - Facility Does Not Report to TRI</v>
      </c>
      <c r="AR42" s="110" t="str" cm="1">
        <f t="array" ref="AR42">IF(B42="TRI Form A",AD42,IF(AP42=0,"Facility has no transfers to non-POTWs between 2019-2023.",IF(COUNTIF('Processed Non-zero TRI Data'!$I:$I,$H42)&gt;0,INDEX('Processed Non-zero TRI Data'!$A:$A,MATCH(1,($H42='Processed Non-zero TRI Data'!$I:$I)*(AP42='Processed Non-zero TRI Data'!$W:$W),0)),"N/A - Facility Does Not Report to TRI")))</f>
        <v>N/A - Facility Does Not Report to TRI</v>
      </c>
    </row>
    <row r="43" spans="1:44" ht="29" x14ac:dyDescent="0.35">
      <c r="A43" s="34">
        <v>40</v>
      </c>
      <c r="B43" s="33" t="str">
        <f>IFERROR("TRI Form "&amp;VLOOKUP(H43,'Processed Non-zero TRI Data'!$I$2:$K$23,3,FALSE),"DMR")</f>
        <v>DMR</v>
      </c>
      <c r="C43" s="33" t="str">
        <f>VLOOKUP($D43, 'COU.OES Summary'!C:D, 2, FALSE)</f>
        <v> </v>
      </c>
      <c r="D43" s="33" t="str">
        <f>IFERROR(VLOOKUP($H43, 'Processed Non-zero TRI Data'!$I:$O, 7, FALSE), VLOOKUP($I43, 'Processed Non-zero DMR Data'!$K:$R, 8, FALSE))</f>
        <v>Waste handling, treatment, and disposal - POTW</v>
      </c>
      <c r="E43" s="34" t="s">
        <v>175</v>
      </c>
      <c r="F43" s="34" t="s">
        <v>176</v>
      </c>
      <c r="G43" s="34" t="s">
        <v>108</v>
      </c>
      <c r="H43" s="34"/>
      <c r="I43" s="105">
        <v>110015632216</v>
      </c>
      <c r="J43" s="33" t="str">
        <f>IFERROR(VLOOKUP($I43, 'Processed Non-zero DMR Data'!$K:$U, 11, FALSE),"")</f>
        <v>KY0104931</v>
      </c>
      <c r="K43" s="33" t="str">
        <f>IFERROR(VLOOKUP($I43, 'Processed Non-zero DMR Data'!$K:$V, 12, FALSE),"Not Reported")</f>
        <v>Whites Run-Kentucky River</v>
      </c>
      <c r="L43" s="106">
        <f>IFERROR(VLOOKUP($I43, 'Processed Non-zero DMR Data'!$K:$W, 13, FALSE),"No Reach Code Reported")</f>
        <v>51002051510</v>
      </c>
      <c r="M43" s="107" t="str">
        <f>IFERROR(IFERROR(VLOOKUP(H43, 'Off-site Locations'!$K$3:$O$5, 5, FALSE), VLOOKUP(H43, 'Off-site Locations'!$B$3:$E$4, 4, FALSE)), "No Offsite Transfers")</f>
        <v>No Offsite Transfers</v>
      </c>
      <c r="N43" s="33">
        <f>VLOOKUP($D43, 'COU.OES Summary'!C:E, 3, FALSE)</f>
        <v>365</v>
      </c>
      <c r="O43" s="108">
        <f t="shared" si="0"/>
        <v>0</v>
      </c>
      <c r="P43" s="108">
        <f t="shared" si="1"/>
        <v>5.8714812500000004</v>
      </c>
      <c r="Q43" s="109" cm="1">
        <f t="array" ref="Q43">IFERROR(_xlfn.XLOOKUP(1,  (MAX(IF(I43 = 'Processed Non-zero DMR Data'!$K:$K,'Processed Non-zero DMR Data'!$A:$A)) = 'Processed Non-zero DMR Data'!$A:$A)*('Processed Non-zero DMR Data'!$K:$K = I43),'Processed Non-zero DMR Data'!$T:$T), "N/A- Facility Does Not Report DMRs")</f>
        <v>2.7043351874999999</v>
      </c>
      <c r="R43" s="33">
        <f t="shared" si="11"/>
        <v>7.4091374999999994E-3</v>
      </c>
      <c r="S43" s="33" cm="1">
        <f t="array" ref="S43">IF(COUNTIF('Processed Non-zero DMR Data'!$K:$K,$I43)&gt;0,MEDIAN(IF('Processed Non-zero DMR Data'!$K:$K=I43,'Processed Non-zero DMR Data'!$T:$T)),"N/A - Facility Does Not Report DMRs")</f>
        <v>3.557426875</v>
      </c>
      <c r="T43" s="33">
        <f t="shared" si="12"/>
        <v>9.7463749999999998E-3</v>
      </c>
      <c r="U43" s="33">
        <f>IF(COUNTIF('Processed Non-zero DMR Data'!$K:$K,$I43)&gt;0,_xlfn.MAXIFS('Processed Non-zero DMR Data'!$T:$T,'Processed Non-zero DMR Data'!$K:$K,$I43), "N/A - Facility Does Not Report DMRs")</f>
        <v>5.8714812500000004</v>
      </c>
      <c r="V43" s="33">
        <f t="shared" si="13"/>
        <v>1.608625E-2</v>
      </c>
      <c r="W43" s="110" cm="1">
        <f t="array" ref="W43">IF(COUNTIF('Processed Non-zero DMR Data'!$K:$K,$I43)&gt;0,INDEX('Processed Non-zero DMR Data'!$A:$A,MATCH(1,($I43='Processed Non-zero DMR Data'!$K:$K)*($U43='Processed Non-zero DMR Data'!$T:$T),0)), "N/A - Facility Does Not Report DMRs")</f>
        <v>2019</v>
      </c>
      <c r="X43" s="109" cm="1">
        <f t="array" ref="X43">IFERROR(_xlfn.XLOOKUP(1,  (MAX(IF(H43 = 'Processed Non-zero TRI Data'!$I:$I,'Processed Non-zero TRI Data'!$A:$A)) = 'Processed Non-zero TRI Data'!$A:$A)*('Processed Non-zero TRI Data'!$I:$I = H43), 'Processed Non-zero TRI Data'!$S:$S), "N/A- Facility Does Not Report to TRI")</f>
        <v>0</v>
      </c>
      <c r="Y43" s="33">
        <f t="shared" si="2"/>
        <v>0</v>
      </c>
      <c r="Z43" s="33" t="str" cm="1">
        <f t="array" ref="Z43">IF(COUNTIF('Processed Non-zero TRI Data'!$I:$I,$H43)&gt;0,MEDIAN(IF('Processed Non-zero TRI Data'!$I:$I=H43,'Processed Non-zero TRI Data'!$S:$S)), "N/A - Facility Does Not Report to TRI")</f>
        <v>N/A - Facility Does Not Report to TRI</v>
      </c>
      <c r="AA43" s="33" t="str">
        <f t="shared" si="3"/>
        <v>N/A - Facility Does Not Report to TRI</v>
      </c>
      <c r="AB43" s="33" t="str">
        <f>IF(COUNTIF('Processed Non-zero TRI Data'!$I:$I,$H43)&gt;0,_xlfn.MAXIFS('Processed Non-zero TRI Data'!$S:$S,'Processed Non-zero TRI Data'!$I:$I,$H43), "N/A - Facility Does Not Report to TRI")</f>
        <v>N/A - Facility Does Not Report to TRI</v>
      </c>
      <c r="AC43" s="33" t="str">
        <f t="shared" si="4"/>
        <v>N/A - Facility Does Not Report to TRI</v>
      </c>
      <c r="AD43" s="110" t="str" cm="1">
        <f t="array" ref="AD43">IFERROR(IF(B43 = "TRI Form R", IF(AB43 = 0, "Facility has no on-site water discharges between 2019-2023.",  IF(COUNTIF('Processed Non-zero TRI Data'!$I:$I,$H43)&gt;0,INDEX('Processed Non-zero TRI Data'!$A:$A,MATCH(1,($H43='Processed Non-zero TRI Data'!$I:$I)*(AB43='Processed Non-zero TRI Data'!$S:$S),0)))), VLOOKUP(H43, 'Form A Recent Reporting'!$L:$M, 2, FALSE)), ("N/A - Facility Does Not Report to TRI"))</f>
        <v>N/A - Facility Does Not Report to TRI</v>
      </c>
      <c r="AE43" s="109" cm="1">
        <f t="array" ref="AE43">IFERROR(_xlfn.XLOOKUP(1,  (MAX(IF(H43 = 'Processed Non-zero TRI Data'!$I:$I,'Processed Non-zero TRI Data'!$A:$A)) = 'Processed Non-zero TRI Data'!$A:$A)*('Processed Non-zero TRI Data'!$I:$I = H43), 'Processed Non-zero TRI Data'!$U:$U), "N/A- Facility Does Not Report to TRI")</f>
        <v>0</v>
      </c>
      <c r="AF43" s="33">
        <f t="shared" si="5"/>
        <v>0</v>
      </c>
      <c r="AG43" s="33" t="str" cm="1">
        <f t="array" ref="AG43">IF(COUNTIF('Processed Non-zero TRI Data'!$I:$I,$H43)&gt;0,MEDIAN(IF('Processed Non-zero TRI Data'!$I:$I=H43,'Processed Non-zero TRI Data'!$U:$U)), "N/A - Facility Does Not Report to TRI")</f>
        <v>N/A - Facility Does Not Report to TRI</v>
      </c>
      <c r="AH43" s="33" t="str">
        <f t="shared" si="6"/>
        <v>N/A - Facility Does Not Report to TRI</v>
      </c>
      <c r="AI43" s="33" t="str">
        <f>IF(COUNTIF('Processed Non-zero TRI Data'!$I:$I,$H43)&gt;0,_xlfn.MAXIFS('Processed Non-zero TRI Data'!$U:$U,'Processed Non-zero TRI Data'!$I:$I,$H43), "N/A - Facility Does Not Report to TRI")</f>
        <v>N/A - Facility Does Not Report to TRI</v>
      </c>
      <c r="AJ43" s="33" t="str">
        <f t="shared" si="7"/>
        <v>N/A - Facility Does Not Report to TRI</v>
      </c>
      <c r="AK43" s="110" t="str" cm="1">
        <f t="array" ref="AK43">IF(B43="TRI Form A",AD43,IF(AI43=0,"Facility has no transfers to POTWs between 2019-2023.",IF(COUNTIF('Processed Non-zero TRI Data'!$I:$I,$H43)&gt;0,INDEX('Processed Non-zero TRI Data'!$A:$A,MATCH(1,($H43='Processed Non-zero TRI Data'!$I:$I)*(AI43='Processed Non-zero TRI Data'!$U:$U),0)),"N/A - Facility Does Not Report to TRI")))</f>
        <v>N/A - Facility Does Not Report to TRI</v>
      </c>
      <c r="AL43" s="109" cm="1">
        <f t="array" ref="AL43">IFERROR(_xlfn.XLOOKUP(1,  (MAX(IF(H43 = 'Processed Non-zero TRI Data'!$I$2:$I$23,'Processed Non-zero TRI Data'!$A$2:$A$23)) = 'Processed Non-zero TRI Data'!$A$2:$A$23)*('Processed Non-zero TRI Data'!$I$2:$I$23 = H43), 'Processed Non-zero TRI Data'!$W$2:$W$23), "N/A- Facility Does Not Report to TRI")</f>
        <v>0</v>
      </c>
      <c r="AM43" s="33">
        <f t="shared" si="8"/>
        <v>0</v>
      </c>
      <c r="AN43" s="33" t="str" cm="1">
        <f t="array" ref="AN43">IF(COUNTIF('Processed Non-zero TRI Data'!$I:$I,$H43)&gt;0,MEDIAN(IF('Processed Non-zero TRI Data'!$I:$I=H43,'Processed Non-zero TRI Data'!$W:$W)), "N/A - Facility Does Not Report to TRI")</f>
        <v>N/A - Facility Does Not Report to TRI</v>
      </c>
      <c r="AO43" s="33" t="str">
        <f t="shared" si="9"/>
        <v>N/A - Facility Does Not Report to TRI</v>
      </c>
      <c r="AP43" s="33" t="str">
        <f>IF(COUNTIF('Processed Non-zero TRI Data'!$I:$I,$H43)&gt;0,_xlfn.MAXIFS('Processed Non-zero TRI Data'!$W:$W,'Processed Non-zero TRI Data'!$I:$I,$H43), "N/A - Facility Does Not Report to TRI")</f>
        <v>N/A - Facility Does Not Report to TRI</v>
      </c>
      <c r="AQ43" s="33" t="str">
        <f t="shared" si="10"/>
        <v>N/A - Facility Does Not Report to TRI</v>
      </c>
      <c r="AR43" s="110" t="str" cm="1">
        <f t="array" ref="AR43">IF(B43="TRI Form A",AD43,IF(AP43=0,"Facility has no transfers to non-POTWs between 2019-2023.",IF(COUNTIF('Processed Non-zero TRI Data'!$I:$I,$H43)&gt;0,INDEX('Processed Non-zero TRI Data'!$A:$A,MATCH(1,($H43='Processed Non-zero TRI Data'!$I:$I)*(AP43='Processed Non-zero TRI Data'!$W:$W),0)),"N/A - Facility Does Not Report to TRI")))</f>
        <v>N/A - Facility Does Not Report to TRI</v>
      </c>
    </row>
    <row r="44" spans="1:44" ht="29" x14ac:dyDescent="0.35">
      <c r="A44" s="34">
        <v>41</v>
      </c>
      <c r="B44" s="33" t="str">
        <f>IFERROR("TRI Form "&amp;VLOOKUP(H44,'Processed Non-zero TRI Data'!$I$2:$K$23,3,FALSE),"DMR")</f>
        <v>DMR</v>
      </c>
      <c r="C44" s="33" t="str">
        <f>VLOOKUP($D44, 'COU.OES Summary'!C:D, 2, FALSE)</f>
        <v> </v>
      </c>
      <c r="D44" s="33" t="str">
        <f>IFERROR(VLOOKUP($H44, 'Processed Non-zero TRI Data'!$I:$O, 7, FALSE), VLOOKUP($I44, 'Processed Non-zero DMR Data'!$K:$R, 8, FALSE))</f>
        <v>Waste handling, treatment, and disposal - POTW</v>
      </c>
      <c r="E44" s="34" t="s">
        <v>177</v>
      </c>
      <c r="F44" s="34" t="s">
        <v>178</v>
      </c>
      <c r="G44" s="34" t="s">
        <v>108</v>
      </c>
      <c r="H44" s="34"/>
      <c r="I44" s="105">
        <v>110001855635</v>
      </c>
      <c r="J44" s="33" t="str">
        <f>IFERROR(VLOOKUP($I44, 'Processed Non-zero DMR Data'!$K:$U, 11, FALSE),"")</f>
        <v>KY0021172</v>
      </c>
      <c r="K44" s="33" t="str">
        <f>IFERROR(VLOOKUP($I44, 'Processed Non-zero DMR Data'!$K:$V, 12, FALSE),"Not Reported")</f>
        <v>Watch Creek-Clarks River</v>
      </c>
      <c r="L44" s="106">
        <f>IFERROR(VLOOKUP($I44, 'Processed Non-zero DMR Data'!$K:$W, 13, FALSE),"No Reach Code Reported")</f>
        <v>60400060402</v>
      </c>
      <c r="M44" s="107" t="str">
        <f>IFERROR(IFERROR(VLOOKUP(H44, 'Off-site Locations'!$K$3:$O$5, 5, FALSE), VLOOKUP(H44, 'Off-site Locations'!$B$3:$E$4, 4, FALSE)), "No Offsite Transfers")</f>
        <v>No Offsite Transfers</v>
      </c>
      <c r="N44" s="33">
        <f>VLOOKUP($D44, 'COU.OES Summary'!C:E, 3, FALSE)</f>
        <v>365</v>
      </c>
      <c r="O44" s="108">
        <f t="shared" si="0"/>
        <v>0</v>
      </c>
      <c r="P44" s="108">
        <f t="shared" si="1"/>
        <v>5.7747745000000004</v>
      </c>
      <c r="Q44" s="109" cm="1">
        <f t="array" ref="Q44">IFERROR(_xlfn.XLOOKUP(1,  (MAX(IF(I44 = 'Processed Non-zero DMR Data'!$K:$K,'Processed Non-zero DMR Data'!$A:$A)) = 'Processed Non-zero DMR Data'!$A:$A)*('Processed Non-zero DMR Data'!$K:$K = I44),'Processed Non-zero DMR Data'!$T:$T), "N/A- Facility Does Not Report DMRs")</f>
        <v>3.4641739375</v>
      </c>
      <c r="R44" s="33">
        <f t="shared" si="11"/>
        <v>9.4908874999999997E-3</v>
      </c>
      <c r="S44" s="33" cm="1">
        <f t="array" ref="S44">IF(COUNTIF('Processed Non-zero DMR Data'!$K:$K,$I44)&gt;0,MEDIAN(IF('Processed Non-zero DMR Data'!$K:$K=I44,'Processed Non-zero DMR Data'!$T:$T)),"N/A - Facility Does Not Report DMRs")</f>
        <v>4.0568481624999997</v>
      </c>
      <c r="T44" s="33">
        <f t="shared" si="12"/>
        <v>1.1114652499999999E-2</v>
      </c>
      <c r="U44" s="33">
        <f>IF(COUNTIF('Processed Non-zero DMR Data'!$K:$K,$I44)&gt;0,_xlfn.MAXIFS('Processed Non-zero DMR Data'!$T:$T,'Processed Non-zero DMR Data'!$K:$K,$I44), "N/A - Facility Does Not Report DMRs")</f>
        <v>5.7747745000000004</v>
      </c>
      <c r="V44" s="33">
        <f t="shared" si="13"/>
        <v>1.58213E-2</v>
      </c>
      <c r="W44" s="110" cm="1">
        <f t="array" ref="W44">IF(COUNTIF('Processed Non-zero DMR Data'!$K:$K,$I44)&gt;0,INDEX('Processed Non-zero DMR Data'!$A:$A,MATCH(1,($I44='Processed Non-zero DMR Data'!$K:$K)*($U44='Processed Non-zero DMR Data'!$T:$T),0)), "N/A - Facility Does Not Report DMRs")</f>
        <v>2020</v>
      </c>
      <c r="X44" s="109" cm="1">
        <f t="array" ref="X44">IFERROR(_xlfn.XLOOKUP(1,  (MAX(IF(H44 = 'Processed Non-zero TRI Data'!$I:$I,'Processed Non-zero TRI Data'!$A:$A)) = 'Processed Non-zero TRI Data'!$A:$A)*('Processed Non-zero TRI Data'!$I:$I = H44), 'Processed Non-zero TRI Data'!$S:$S), "N/A- Facility Does Not Report to TRI")</f>
        <v>0</v>
      </c>
      <c r="Y44" s="33">
        <f t="shared" si="2"/>
        <v>0</v>
      </c>
      <c r="Z44" s="33" t="str" cm="1">
        <f t="array" ref="Z44">IF(COUNTIF('Processed Non-zero TRI Data'!$I:$I,$H44)&gt;0,MEDIAN(IF('Processed Non-zero TRI Data'!$I:$I=H44,'Processed Non-zero TRI Data'!$S:$S)), "N/A - Facility Does Not Report to TRI")</f>
        <v>N/A - Facility Does Not Report to TRI</v>
      </c>
      <c r="AA44" s="33" t="str">
        <f t="shared" si="3"/>
        <v>N/A - Facility Does Not Report to TRI</v>
      </c>
      <c r="AB44" s="33" t="str">
        <f>IF(COUNTIF('Processed Non-zero TRI Data'!$I:$I,$H44)&gt;0,_xlfn.MAXIFS('Processed Non-zero TRI Data'!$S:$S,'Processed Non-zero TRI Data'!$I:$I,$H44), "N/A - Facility Does Not Report to TRI")</f>
        <v>N/A - Facility Does Not Report to TRI</v>
      </c>
      <c r="AC44" s="33" t="str">
        <f t="shared" si="4"/>
        <v>N/A - Facility Does Not Report to TRI</v>
      </c>
      <c r="AD44" s="110" t="str" cm="1">
        <f t="array" ref="AD44">IFERROR(IF(B44 = "TRI Form R", IF(AB44 = 0, "Facility has no on-site water discharges between 2019-2023.",  IF(COUNTIF('Processed Non-zero TRI Data'!$I:$I,$H44)&gt;0,INDEX('Processed Non-zero TRI Data'!$A:$A,MATCH(1,($H44='Processed Non-zero TRI Data'!$I:$I)*(AB44='Processed Non-zero TRI Data'!$S:$S),0)))), VLOOKUP(H44, 'Form A Recent Reporting'!$L:$M, 2, FALSE)), ("N/A - Facility Does Not Report to TRI"))</f>
        <v>N/A - Facility Does Not Report to TRI</v>
      </c>
      <c r="AE44" s="109" cm="1">
        <f t="array" ref="AE44">IFERROR(_xlfn.XLOOKUP(1,  (MAX(IF(H44 = 'Processed Non-zero TRI Data'!$I:$I,'Processed Non-zero TRI Data'!$A:$A)) = 'Processed Non-zero TRI Data'!$A:$A)*('Processed Non-zero TRI Data'!$I:$I = H44), 'Processed Non-zero TRI Data'!$U:$U), "N/A- Facility Does Not Report to TRI")</f>
        <v>0</v>
      </c>
      <c r="AF44" s="33">
        <f t="shared" si="5"/>
        <v>0</v>
      </c>
      <c r="AG44" s="33" t="str" cm="1">
        <f t="array" ref="AG44">IF(COUNTIF('Processed Non-zero TRI Data'!$I:$I,$H44)&gt;0,MEDIAN(IF('Processed Non-zero TRI Data'!$I:$I=H44,'Processed Non-zero TRI Data'!$U:$U)), "N/A - Facility Does Not Report to TRI")</f>
        <v>N/A - Facility Does Not Report to TRI</v>
      </c>
      <c r="AH44" s="33" t="str">
        <f t="shared" si="6"/>
        <v>N/A - Facility Does Not Report to TRI</v>
      </c>
      <c r="AI44" s="33" t="str">
        <f>IF(COUNTIF('Processed Non-zero TRI Data'!$I:$I,$H44)&gt;0,_xlfn.MAXIFS('Processed Non-zero TRI Data'!$U:$U,'Processed Non-zero TRI Data'!$I:$I,$H44), "N/A - Facility Does Not Report to TRI")</f>
        <v>N/A - Facility Does Not Report to TRI</v>
      </c>
      <c r="AJ44" s="33" t="str">
        <f t="shared" si="7"/>
        <v>N/A - Facility Does Not Report to TRI</v>
      </c>
      <c r="AK44" s="110" t="str" cm="1">
        <f t="array" ref="AK44">IF(B44="TRI Form A",AD44,IF(AI44=0,"Facility has no transfers to POTWs between 2019-2023.",IF(COUNTIF('Processed Non-zero TRI Data'!$I:$I,$H44)&gt;0,INDEX('Processed Non-zero TRI Data'!$A:$A,MATCH(1,($H44='Processed Non-zero TRI Data'!$I:$I)*(AI44='Processed Non-zero TRI Data'!$U:$U),0)),"N/A - Facility Does Not Report to TRI")))</f>
        <v>N/A - Facility Does Not Report to TRI</v>
      </c>
      <c r="AL44" s="109" cm="1">
        <f t="array" ref="AL44">IFERROR(_xlfn.XLOOKUP(1,  (MAX(IF(H44 = 'Processed Non-zero TRI Data'!$I$2:$I$23,'Processed Non-zero TRI Data'!$A$2:$A$23)) = 'Processed Non-zero TRI Data'!$A$2:$A$23)*('Processed Non-zero TRI Data'!$I$2:$I$23 = H44), 'Processed Non-zero TRI Data'!$W$2:$W$23), "N/A- Facility Does Not Report to TRI")</f>
        <v>0</v>
      </c>
      <c r="AM44" s="33">
        <f t="shared" si="8"/>
        <v>0</v>
      </c>
      <c r="AN44" s="33" t="str" cm="1">
        <f t="array" ref="AN44">IF(COUNTIF('Processed Non-zero TRI Data'!$I:$I,$H44)&gt;0,MEDIAN(IF('Processed Non-zero TRI Data'!$I:$I=H44,'Processed Non-zero TRI Data'!$W:$W)), "N/A - Facility Does Not Report to TRI")</f>
        <v>N/A - Facility Does Not Report to TRI</v>
      </c>
      <c r="AO44" s="33" t="str">
        <f t="shared" si="9"/>
        <v>N/A - Facility Does Not Report to TRI</v>
      </c>
      <c r="AP44" s="33" t="str">
        <f>IF(COUNTIF('Processed Non-zero TRI Data'!$I:$I,$H44)&gt;0,_xlfn.MAXIFS('Processed Non-zero TRI Data'!$W:$W,'Processed Non-zero TRI Data'!$I:$I,$H44), "N/A - Facility Does Not Report to TRI")</f>
        <v>N/A - Facility Does Not Report to TRI</v>
      </c>
      <c r="AQ44" s="33" t="str">
        <f t="shared" si="10"/>
        <v>N/A - Facility Does Not Report to TRI</v>
      </c>
      <c r="AR44" s="110" t="str" cm="1">
        <f t="array" ref="AR44">IF(B44="TRI Form A",AD44,IF(AP44=0,"Facility has no transfers to non-POTWs between 2019-2023.",IF(COUNTIF('Processed Non-zero TRI Data'!$I:$I,$H44)&gt;0,INDEX('Processed Non-zero TRI Data'!$A:$A,MATCH(1,($H44='Processed Non-zero TRI Data'!$I:$I)*(AP44='Processed Non-zero TRI Data'!$W:$W),0)),"N/A - Facility Does Not Report to TRI")))</f>
        <v>N/A - Facility Does Not Report to TRI</v>
      </c>
    </row>
    <row r="45" spans="1:44" ht="29" x14ac:dyDescent="0.35">
      <c r="A45" s="34">
        <v>42</v>
      </c>
      <c r="B45" s="33" t="str">
        <f>IFERROR("TRI Form "&amp;VLOOKUP(H45,'Processed Non-zero TRI Data'!$I$2:$K$23,3,FALSE),"DMR")</f>
        <v>DMR</v>
      </c>
      <c r="C45" s="33" t="str">
        <f>VLOOKUP($D45, 'COU.OES Summary'!C:D, 2, FALSE)</f>
        <v> </v>
      </c>
      <c r="D45" s="33" t="str">
        <f>IFERROR(VLOOKUP($H45, 'Processed Non-zero TRI Data'!$I:$O, 7, FALSE), VLOOKUP($I45, 'Processed Non-zero DMR Data'!$K:$R, 8, FALSE))</f>
        <v>Waste handling, treatment, and disposal - Remediation or Monitoring</v>
      </c>
      <c r="E45" s="34" t="s">
        <v>179</v>
      </c>
      <c r="F45" s="34" t="s">
        <v>180</v>
      </c>
      <c r="G45" s="34" t="s">
        <v>181</v>
      </c>
      <c r="H45" s="34"/>
      <c r="I45" s="105">
        <v>110000410190</v>
      </c>
      <c r="J45" s="33" t="str">
        <f>IFERROR(VLOOKUP($I45, 'Processed Non-zero DMR Data'!$K:$U, 11, FALSE),"")</f>
        <v>MI0004405</v>
      </c>
      <c r="K45" s="33" t="str">
        <f>IFERROR(VLOOKUP($I45, 'Processed Non-zero DMR Data'!$K:$V, 12, FALSE),"Not Reported")</f>
        <v>Turner Creek-Thornapple River</v>
      </c>
      <c r="L45" s="106">
        <f>IFERROR(VLOOKUP($I45, 'Processed Non-zero DMR Data'!$K:$W, 13, FALSE),"No Reach Code Reported")</f>
        <v>40500070406</v>
      </c>
      <c r="M45" s="107" t="str">
        <f>IFERROR(IFERROR(VLOOKUP(H45, 'Off-site Locations'!$K$3:$O$5, 5, FALSE), VLOOKUP(H45, 'Off-site Locations'!$B$3:$E$4, 4, FALSE)), "No Offsite Transfers")</f>
        <v>No Offsite Transfers</v>
      </c>
      <c r="N45" s="33">
        <f>VLOOKUP($D45, 'COU.OES Summary'!C:E, 3, FALSE)</f>
        <v>365</v>
      </c>
      <c r="O45" s="108">
        <f t="shared" si="0"/>
        <v>0</v>
      </c>
      <c r="P45" s="108">
        <f t="shared" si="1"/>
        <v>5.7667624120000003</v>
      </c>
      <c r="Q45" s="109" cm="1">
        <f t="array" ref="Q45">IFERROR(_xlfn.XLOOKUP(1,  (MAX(IF(I45 = 'Processed Non-zero DMR Data'!$K:$K,'Processed Non-zero DMR Data'!$A:$A)) = 'Processed Non-zero DMR Data'!$A:$A)*('Processed Non-zero DMR Data'!$K:$K = I45),'Processed Non-zero DMR Data'!$T:$T), "N/A- Facility Does Not Report DMRs")</f>
        <v>3.890241925E-2</v>
      </c>
      <c r="R45" s="33">
        <f t="shared" si="11"/>
        <v>1.0658197054794521E-4</v>
      </c>
      <c r="S45" s="33" cm="1">
        <f t="array" ref="S45">IF(COUNTIF('Processed Non-zero DMR Data'!$K:$K,$I45)&gt;0,MEDIAN(IF('Processed Non-zero DMR Data'!$K:$K=I45,'Processed Non-zero DMR Data'!$T:$T)),"N/A - Facility Does Not Report DMRs")</f>
        <v>3.8150055875000005E-2</v>
      </c>
      <c r="T45" s="33">
        <f t="shared" si="12"/>
        <v>1.0452070102739727E-4</v>
      </c>
      <c r="U45" s="33">
        <f>IF(COUNTIF('Processed Non-zero DMR Data'!$K:$K,$I45)&gt;0,_xlfn.MAXIFS('Processed Non-zero DMR Data'!$T:$T,'Processed Non-zero DMR Data'!$K:$K,$I45), "N/A - Facility Does Not Report DMRs")</f>
        <v>5.7667624120000003</v>
      </c>
      <c r="V45" s="33">
        <f t="shared" si="13"/>
        <v>1.5799349073972603E-2</v>
      </c>
      <c r="W45" s="110" cm="1">
        <f t="array" ref="W45">IF(COUNTIF('Processed Non-zero DMR Data'!$K:$K,$I45)&gt;0,INDEX('Processed Non-zero DMR Data'!$A:$A,MATCH(1,($I45='Processed Non-zero DMR Data'!$K:$K)*($U45='Processed Non-zero DMR Data'!$T:$T),0)), "N/A - Facility Does Not Report DMRs")</f>
        <v>2022</v>
      </c>
      <c r="X45" s="109" cm="1">
        <f t="array" ref="X45">IFERROR(_xlfn.XLOOKUP(1,  (MAX(IF(H45 = 'Processed Non-zero TRI Data'!$I:$I,'Processed Non-zero TRI Data'!$A:$A)) = 'Processed Non-zero TRI Data'!$A:$A)*('Processed Non-zero TRI Data'!$I:$I = H45), 'Processed Non-zero TRI Data'!$S:$S), "N/A- Facility Does Not Report to TRI")</f>
        <v>0</v>
      </c>
      <c r="Y45" s="33">
        <f t="shared" si="2"/>
        <v>0</v>
      </c>
      <c r="Z45" s="33" t="str" cm="1">
        <f t="array" ref="Z45">IF(COUNTIF('Processed Non-zero TRI Data'!$I:$I,$H45)&gt;0,MEDIAN(IF('Processed Non-zero TRI Data'!$I:$I=H45,'Processed Non-zero TRI Data'!$S:$S)), "N/A - Facility Does Not Report to TRI")</f>
        <v>N/A - Facility Does Not Report to TRI</v>
      </c>
      <c r="AA45" s="33" t="str">
        <f t="shared" si="3"/>
        <v>N/A - Facility Does Not Report to TRI</v>
      </c>
      <c r="AB45" s="33" t="str">
        <f>IF(COUNTIF('Processed Non-zero TRI Data'!$I:$I,$H45)&gt;0,_xlfn.MAXIFS('Processed Non-zero TRI Data'!$S:$S,'Processed Non-zero TRI Data'!$I:$I,$H45), "N/A - Facility Does Not Report to TRI")</f>
        <v>N/A - Facility Does Not Report to TRI</v>
      </c>
      <c r="AC45" s="33" t="str">
        <f t="shared" si="4"/>
        <v>N/A - Facility Does Not Report to TRI</v>
      </c>
      <c r="AD45" s="110" t="str" cm="1">
        <f t="array" ref="AD45">IFERROR(IF(B45 = "TRI Form R", IF(AB45 = 0, "Facility has no on-site water discharges between 2019-2023.",  IF(COUNTIF('Processed Non-zero TRI Data'!$I:$I,$H45)&gt;0,INDEX('Processed Non-zero TRI Data'!$A:$A,MATCH(1,($H45='Processed Non-zero TRI Data'!$I:$I)*(AB45='Processed Non-zero TRI Data'!$S:$S),0)))), VLOOKUP(H45, 'Form A Recent Reporting'!$L:$M, 2, FALSE)), ("N/A - Facility Does Not Report to TRI"))</f>
        <v>N/A - Facility Does Not Report to TRI</v>
      </c>
      <c r="AE45" s="109" cm="1">
        <f t="array" ref="AE45">IFERROR(_xlfn.XLOOKUP(1,  (MAX(IF(H45 = 'Processed Non-zero TRI Data'!$I:$I,'Processed Non-zero TRI Data'!$A:$A)) = 'Processed Non-zero TRI Data'!$A:$A)*('Processed Non-zero TRI Data'!$I:$I = H45), 'Processed Non-zero TRI Data'!$U:$U), "N/A- Facility Does Not Report to TRI")</f>
        <v>0</v>
      </c>
      <c r="AF45" s="33">
        <f t="shared" si="5"/>
        <v>0</v>
      </c>
      <c r="AG45" s="33" t="str" cm="1">
        <f t="array" ref="AG45">IF(COUNTIF('Processed Non-zero TRI Data'!$I:$I,$H45)&gt;0,MEDIAN(IF('Processed Non-zero TRI Data'!$I:$I=H45,'Processed Non-zero TRI Data'!$U:$U)), "N/A - Facility Does Not Report to TRI")</f>
        <v>N/A - Facility Does Not Report to TRI</v>
      </c>
      <c r="AH45" s="33" t="str">
        <f t="shared" si="6"/>
        <v>N/A - Facility Does Not Report to TRI</v>
      </c>
      <c r="AI45" s="33" t="str">
        <f>IF(COUNTIF('Processed Non-zero TRI Data'!$I:$I,$H45)&gt;0,_xlfn.MAXIFS('Processed Non-zero TRI Data'!$U:$U,'Processed Non-zero TRI Data'!$I:$I,$H45), "N/A - Facility Does Not Report to TRI")</f>
        <v>N/A - Facility Does Not Report to TRI</v>
      </c>
      <c r="AJ45" s="33" t="str">
        <f t="shared" si="7"/>
        <v>N/A - Facility Does Not Report to TRI</v>
      </c>
      <c r="AK45" s="110" t="str" cm="1">
        <f t="array" ref="AK45">IF(B45="TRI Form A",AD45,IF(AI45=0,"Facility has no transfers to POTWs between 2019-2023.",IF(COUNTIF('Processed Non-zero TRI Data'!$I:$I,$H45)&gt;0,INDEX('Processed Non-zero TRI Data'!$A:$A,MATCH(1,($H45='Processed Non-zero TRI Data'!$I:$I)*(AI45='Processed Non-zero TRI Data'!$U:$U),0)),"N/A - Facility Does Not Report to TRI")))</f>
        <v>N/A - Facility Does Not Report to TRI</v>
      </c>
      <c r="AL45" s="109" cm="1">
        <f t="array" ref="AL45">IFERROR(_xlfn.XLOOKUP(1,  (MAX(IF(H45 = 'Processed Non-zero TRI Data'!$I$2:$I$23,'Processed Non-zero TRI Data'!$A$2:$A$23)) = 'Processed Non-zero TRI Data'!$A$2:$A$23)*('Processed Non-zero TRI Data'!$I$2:$I$23 = H45), 'Processed Non-zero TRI Data'!$W$2:$W$23), "N/A- Facility Does Not Report to TRI")</f>
        <v>0</v>
      </c>
      <c r="AM45" s="33">
        <f t="shared" si="8"/>
        <v>0</v>
      </c>
      <c r="AN45" s="33" t="str" cm="1">
        <f t="array" ref="AN45">IF(COUNTIF('Processed Non-zero TRI Data'!$I:$I,$H45)&gt;0,MEDIAN(IF('Processed Non-zero TRI Data'!$I:$I=H45,'Processed Non-zero TRI Data'!$W:$W)), "N/A - Facility Does Not Report to TRI")</f>
        <v>N/A - Facility Does Not Report to TRI</v>
      </c>
      <c r="AO45" s="33" t="str">
        <f t="shared" si="9"/>
        <v>N/A - Facility Does Not Report to TRI</v>
      </c>
      <c r="AP45" s="33" t="str">
        <f>IF(COUNTIF('Processed Non-zero TRI Data'!$I:$I,$H45)&gt;0,_xlfn.MAXIFS('Processed Non-zero TRI Data'!$W:$W,'Processed Non-zero TRI Data'!$I:$I,$H45), "N/A - Facility Does Not Report to TRI")</f>
        <v>N/A - Facility Does Not Report to TRI</v>
      </c>
      <c r="AQ45" s="33" t="str">
        <f t="shared" si="10"/>
        <v>N/A - Facility Does Not Report to TRI</v>
      </c>
      <c r="AR45" s="110" t="str" cm="1">
        <f t="array" ref="AR45">IF(B45="TRI Form A",AD45,IF(AP45=0,"Facility has no transfers to non-POTWs between 2019-2023.",IF(COUNTIF('Processed Non-zero TRI Data'!$I:$I,$H45)&gt;0,INDEX('Processed Non-zero TRI Data'!$A:$A,MATCH(1,($H45='Processed Non-zero TRI Data'!$I:$I)*(AP45='Processed Non-zero TRI Data'!$W:$W),0)),"N/A - Facility Does Not Report to TRI")))</f>
        <v>N/A - Facility Does Not Report to TRI</v>
      </c>
    </row>
    <row r="46" spans="1:44" ht="29" x14ac:dyDescent="0.35">
      <c r="A46" s="34">
        <v>43</v>
      </c>
      <c r="B46" s="33" t="str">
        <f>IFERROR("TRI Form "&amp;VLOOKUP(H46,'Processed Non-zero TRI Data'!$I$2:$K$23,3,FALSE),"DMR")</f>
        <v>DMR</v>
      </c>
      <c r="C46" s="33" t="str">
        <f>VLOOKUP($D46, 'COU.OES Summary'!C:D, 2, FALSE)</f>
        <v> </v>
      </c>
      <c r="D46" s="33" t="str">
        <f>IFERROR(VLOOKUP($H46, 'Processed Non-zero TRI Data'!$I:$O, 7, FALSE), VLOOKUP($I46, 'Processed Non-zero DMR Data'!$K:$R, 8, FALSE))</f>
        <v>Waste handling, treatment, and disposal - POTW</v>
      </c>
      <c r="E46" s="34" t="s">
        <v>182</v>
      </c>
      <c r="F46" s="34" t="s">
        <v>183</v>
      </c>
      <c r="G46" s="34" t="s">
        <v>108</v>
      </c>
      <c r="H46" s="34"/>
      <c r="I46" s="105">
        <v>110064265496</v>
      </c>
      <c r="J46" s="33" t="str">
        <f>IFERROR(VLOOKUP($I46, 'Processed Non-zero DMR Data'!$K:$U, 11, FALSE),"")</f>
        <v>KY0023540</v>
      </c>
      <c r="K46" s="33" t="str">
        <f>IFERROR(VLOOKUP($I46, 'Processed Non-zero DMR Data'!$K:$V, 12, FALSE),"Not Reported")</f>
        <v>Little Cypress Creek</v>
      </c>
      <c r="L46" s="106">
        <f>IFERROR(VLOOKUP($I46, 'Processed Non-zero DMR Data'!$K:$W, 13, FALSE),"No Reach Code Reported")</f>
        <v>51100060401</v>
      </c>
      <c r="M46" s="107" t="str">
        <f>IFERROR(IFERROR(VLOOKUP(H46, 'Off-site Locations'!$K$3:$O$5, 5, FALSE), VLOOKUP(H46, 'Off-site Locations'!$B$3:$E$4, 4, FALSE)), "No Offsite Transfers")</f>
        <v>No Offsite Transfers</v>
      </c>
      <c r="N46" s="33">
        <f>VLOOKUP($D46, 'COU.OES Summary'!C:E, 3, FALSE)</f>
        <v>365</v>
      </c>
      <c r="O46" s="108">
        <f t="shared" si="0"/>
        <v>0</v>
      </c>
      <c r="P46" s="108">
        <f t="shared" si="1"/>
        <v>5.6711601250000001</v>
      </c>
      <c r="Q46" s="109" cm="1">
        <f t="array" ref="Q46">IFERROR(_xlfn.XLOOKUP(1,  (MAX(IF(I46 = 'Processed Non-zero DMR Data'!$K:$K,'Processed Non-zero DMR Data'!$A:$A)) = 'Processed Non-zero DMR Data'!$A:$A)*('Processed Non-zero DMR Data'!$K:$K = I46),'Processed Non-zero DMR Data'!$T:$T), "N/A- Facility Does Not Report DMRs")</f>
        <v>5.9681879999999999E-4</v>
      </c>
      <c r="R46" s="33">
        <f t="shared" si="11"/>
        <v>1.6351199999999999E-6</v>
      </c>
      <c r="S46" s="33" cm="1">
        <f t="array" ref="S46">IF(COUNTIF('Processed Non-zero DMR Data'!$K:$K,$I46)&gt;0,MEDIAN(IF('Processed Non-zero DMR Data'!$K:$K=I46,'Processed Non-zero DMR Data'!$T:$T)),"N/A - Facility Does Not Report DMRs")</f>
        <v>2.8856603437499997</v>
      </c>
      <c r="T46" s="33">
        <f t="shared" si="12"/>
        <v>7.9059187499999992E-3</v>
      </c>
      <c r="U46" s="33">
        <f>IF(COUNTIF('Processed Non-zero DMR Data'!$K:$K,$I46)&gt;0,_xlfn.MAXIFS('Processed Non-zero DMR Data'!$T:$T,'Processed Non-zero DMR Data'!$K:$K,$I46), "N/A - Facility Does Not Report DMRs")</f>
        <v>5.6711601250000001</v>
      </c>
      <c r="V46" s="33">
        <f t="shared" si="13"/>
        <v>1.5537425000000001E-2</v>
      </c>
      <c r="W46" s="110" cm="1">
        <f t="array" ref="W46">IF(COUNTIF('Processed Non-zero DMR Data'!$K:$K,$I46)&gt;0,INDEX('Processed Non-zero DMR Data'!$A:$A,MATCH(1,($I46='Processed Non-zero DMR Data'!$K:$K)*($U46='Processed Non-zero DMR Data'!$T:$T),0)), "N/A - Facility Does Not Report DMRs")</f>
        <v>2019</v>
      </c>
      <c r="X46" s="109" cm="1">
        <f t="array" ref="X46">IFERROR(_xlfn.XLOOKUP(1,  (MAX(IF(H46 = 'Processed Non-zero TRI Data'!$I:$I,'Processed Non-zero TRI Data'!$A:$A)) = 'Processed Non-zero TRI Data'!$A:$A)*('Processed Non-zero TRI Data'!$I:$I = H46), 'Processed Non-zero TRI Data'!$S:$S), "N/A- Facility Does Not Report to TRI")</f>
        <v>0</v>
      </c>
      <c r="Y46" s="33">
        <f t="shared" si="2"/>
        <v>0</v>
      </c>
      <c r="Z46" s="33" t="str" cm="1">
        <f t="array" ref="Z46">IF(COUNTIF('Processed Non-zero TRI Data'!$I:$I,$H46)&gt;0,MEDIAN(IF('Processed Non-zero TRI Data'!$I:$I=H46,'Processed Non-zero TRI Data'!$S:$S)), "N/A - Facility Does Not Report to TRI")</f>
        <v>N/A - Facility Does Not Report to TRI</v>
      </c>
      <c r="AA46" s="33" t="str">
        <f t="shared" si="3"/>
        <v>N/A - Facility Does Not Report to TRI</v>
      </c>
      <c r="AB46" s="33" t="str">
        <f>IF(COUNTIF('Processed Non-zero TRI Data'!$I:$I,$H46)&gt;0,_xlfn.MAXIFS('Processed Non-zero TRI Data'!$S:$S,'Processed Non-zero TRI Data'!$I:$I,$H46), "N/A - Facility Does Not Report to TRI")</f>
        <v>N/A - Facility Does Not Report to TRI</v>
      </c>
      <c r="AC46" s="33" t="str">
        <f t="shared" si="4"/>
        <v>N/A - Facility Does Not Report to TRI</v>
      </c>
      <c r="AD46" s="110" t="str" cm="1">
        <f t="array" ref="AD46">IFERROR(IF(B46 = "TRI Form R", IF(AB46 = 0, "Facility has no on-site water discharges between 2019-2023.",  IF(COUNTIF('Processed Non-zero TRI Data'!$I:$I,$H46)&gt;0,INDEX('Processed Non-zero TRI Data'!$A:$A,MATCH(1,($H46='Processed Non-zero TRI Data'!$I:$I)*(AB46='Processed Non-zero TRI Data'!$S:$S),0)))), VLOOKUP(H46, 'Form A Recent Reporting'!$L:$M, 2, FALSE)), ("N/A - Facility Does Not Report to TRI"))</f>
        <v>N/A - Facility Does Not Report to TRI</v>
      </c>
      <c r="AE46" s="109" cm="1">
        <f t="array" ref="AE46">IFERROR(_xlfn.XLOOKUP(1,  (MAX(IF(H46 = 'Processed Non-zero TRI Data'!$I:$I,'Processed Non-zero TRI Data'!$A:$A)) = 'Processed Non-zero TRI Data'!$A:$A)*('Processed Non-zero TRI Data'!$I:$I = H46), 'Processed Non-zero TRI Data'!$U:$U), "N/A- Facility Does Not Report to TRI")</f>
        <v>0</v>
      </c>
      <c r="AF46" s="33">
        <f t="shared" si="5"/>
        <v>0</v>
      </c>
      <c r="AG46" s="33" t="str" cm="1">
        <f t="array" ref="AG46">IF(COUNTIF('Processed Non-zero TRI Data'!$I:$I,$H46)&gt;0,MEDIAN(IF('Processed Non-zero TRI Data'!$I:$I=H46,'Processed Non-zero TRI Data'!$U:$U)), "N/A - Facility Does Not Report to TRI")</f>
        <v>N/A - Facility Does Not Report to TRI</v>
      </c>
      <c r="AH46" s="33" t="str">
        <f t="shared" si="6"/>
        <v>N/A - Facility Does Not Report to TRI</v>
      </c>
      <c r="AI46" s="33" t="str">
        <f>IF(COUNTIF('Processed Non-zero TRI Data'!$I:$I,$H46)&gt;0,_xlfn.MAXIFS('Processed Non-zero TRI Data'!$U:$U,'Processed Non-zero TRI Data'!$I:$I,$H46), "N/A - Facility Does Not Report to TRI")</f>
        <v>N/A - Facility Does Not Report to TRI</v>
      </c>
      <c r="AJ46" s="33" t="str">
        <f t="shared" si="7"/>
        <v>N/A - Facility Does Not Report to TRI</v>
      </c>
      <c r="AK46" s="110" t="str" cm="1">
        <f t="array" ref="AK46">IF(B46="TRI Form A",AD46,IF(AI46=0,"Facility has no transfers to POTWs between 2019-2023.",IF(COUNTIF('Processed Non-zero TRI Data'!$I:$I,$H46)&gt;0,INDEX('Processed Non-zero TRI Data'!$A:$A,MATCH(1,($H46='Processed Non-zero TRI Data'!$I:$I)*(AI46='Processed Non-zero TRI Data'!$U:$U),0)),"N/A - Facility Does Not Report to TRI")))</f>
        <v>N/A - Facility Does Not Report to TRI</v>
      </c>
      <c r="AL46" s="109" cm="1">
        <f t="array" ref="AL46">IFERROR(_xlfn.XLOOKUP(1,  (MAX(IF(H46 = 'Processed Non-zero TRI Data'!$I$2:$I$23,'Processed Non-zero TRI Data'!$A$2:$A$23)) = 'Processed Non-zero TRI Data'!$A$2:$A$23)*('Processed Non-zero TRI Data'!$I$2:$I$23 = H46), 'Processed Non-zero TRI Data'!$W$2:$W$23), "N/A- Facility Does Not Report to TRI")</f>
        <v>0</v>
      </c>
      <c r="AM46" s="33">
        <f t="shared" si="8"/>
        <v>0</v>
      </c>
      <c r="AN46" s="33" t="str" cm="1">
        <f t="array" ref="AN46">IF(COUNTIF('Processed Non-zero TRI Data'!$I:$I,$H46)&gt;0,MEDIAN(IF('Processed Non-zero TRI Data'!$I:$I=H46,'Processed Non-zero TRI Data'!$W:$W)), "N/A - Facility Does Not Report to TRI")</f>
        <v>N/A - Facility Does Not Report to TRI</v>
      </c>
      <c r="AO46" s="33" t="str">
        <f t="shared" si="9"/>
        <v>N/A - Facility Does Not Report to TRI</v>
      </c>
      <c r="AP46" s="33" t="str">
        <f>IF(COUNTIF('Processed Non-zero TRI Data'!$I:$I,$H46)&gt;0,_xlfn.MAXIFS('Processed Non-zero TRI Data'!$W:$W,'Processed Non-zero TRI Data'!$I:$I,$H46), "N/A - Facility Does Not Report to TRI")</f>
        <v>N/A - Facility Does Not Report to TRI</v>
      </c>
      <c r="AQ46" s="33" t="str">
        <f t="shared" si="10"/>
        <v>N/A - Facility Does Not Report to TRI</v>
      </c>
      <c r="AR46" s="110" t="str" cm="1">
        <f t="array" ref="AR46">IF(B46="TRI Form A",AD46,IF(AP46=0,"Facility has no transfers to non-POTWs between 2019-2023.",IF(COUNTIF('Processed Non-zero TRI Data'!$I:$I,$H46)&gt;0,INDEX('Processed Non-zero TRI Data'!$A:$A,MATCH(1,($H46='Processed Non-zero TRI Data'!$I:$I)*(AP46='Processed Non-zero TRI Data'!$W:$W),0)),"N/A - Facility Does Not Report to TRI")))</f>
        <v>N/A - Facility Does Not Report to TRI</v>
      </c>
    </row>
    <row r="47" spans="1:44" ht="29" x14ac:dyDescent="0.35">
      <c r="A47" s="34">
        <v>44</v>
      </c>
      <c r="B47" s="33" t="str">
        <f>IFERROR("TRI Form "&amp;VLOOKUP(H47,'Processed Non-zero TRI Data'!$I$2:$K$23,3,FALSE),"DMR")</f>
        <v>DMR</v>
      </c>
      <c r="C47" s="33" t="str">
        <f>VLOOKUP($D47, 'COU.OES Summary'!C:D, 2, FALSE)</f>
        <v> </v>
      </c>
      <c r="D47" s="33" t="str">
        <f>IFERROR(VLOOKUP($H47, 'Processed Non-zero TRI Data'!$I:$O, 7, FALSE), VLOOKUP($I47, 'Processed Non-zero DMR Data'!$K:$R, 8, FALSE))</f>
        <v>Waste handling, treatment, and disposal - POTW</v>
      </c>
      <c r="E47" s="34" t="s">
        <v>184</v>
      </c>
      <c r="F47" s="34" t="s">
        <v>185</v>
      </c>
      <c r="G47" s="34" t="s">
        <v>108</v>
      </c>
      <c r="H47" s="34"/>
      <c r="I47" s="105">
        <v>110000732226</v>
      </c>
      <c r="J47" s="33" t="str">
        <f>IFERROR(VLOOKUP($I47, 'Processed Non-zero DMR Data'!$K:$U, 11, FALSE),"")</f>
        <v>KY0020621</v>
      </c>
      <c r="K47" s="33" t="str">
        <f>IFERROR(VLOOKUP($I47, 'Processed Non-zero DMR Data'!$K:$V, 12, FALSE),"Not Reported")</f>
        <v>Glenns Creek</v>
      </c>
      <c r="L47" s="106">
        <f>IFERROR(VLOOKUP($I47, 'Processed Non-zero DMR Data'!$K:$W, 13, FALSE),"No Reach Code Reported")</f>
        <v>51002050709</v>
      </c>
      <c r="M47" s="107" t="str">
        <f>IFERROR(IFERROR(VLOOKUP(H47, 'Off-site Locations'!$K$3:$O$5, 5, FALSE), VLOOKUP(H47, 'Off-site Locations'!$B$3:$E$4, 4, FALSE)), "No Offsite Transfers")</f>
        <v>No Offsite Transfers</v>
      </c>
      <c r="N47" s="33">
        <f>VLOOKUP($D47, 'COU.OES Summary'!C:E, 3, FALSE)</f>
        <v>365</v>
      </c>
      <c r="O47" s="108">
        <f t="shared" si="0"/>
        <v>0</v>
      </c>
      <c r="P47" s="108">
        <f t="shared" si="1"/>
        <v>5.636622</v>
      </c>
      <c r="Q47" s="109" cm="1">
        <f t="array" ref="Q47">IFERROR(_xlfn.XLOOKUP(1,  (MAX(IF(I47 = 'Processed Non-zero DMR Data'!$K:$K,'Processed Non-zero DMR Data'!$A:$A)) = 'Processed Non-zero DMR Data'!$A:$A)*('Processed Non-zero DMR Data'!$K:$K = I47),'Processed Non-zero DMR Data'!$T:$T), "N/A- Facility Does Not Report DMRs")</f>
        <v>5.636622</v>
      </c>
      <c r="R47" s="33">
        <f t="shared" si="11"/>
        <v>1.54428E-2</v>
      </c>
      <c r="S47" s="33" cm="1">
        <f t="array" ref="S47">IF(COUNTIF('Processed Non-zero DMR Data'!$K:$K,$I47)&gt;0,MEDIAN(IF('Processed Non-zero DMR Data'!$K:$K=I47,'Processed Non-zero DMR Data'!$T:$T)),"N/A - Facility Does Not Report DMRs")</f>
        <v>5.636622</v>
      </c>
      <c r="T47" s="33">
        <f t="shared" si="12"/>
        <v>1.54428E-2</v>
      </c>
      <c r="U47" s="33">
        <f>IF(COUNTIF('Processed Non-zero DMR Data'!$K:$K,$I47)&gt;0,_xlfn.MAXIFS('Processed Non-zero DMR Data'!$T:$T,'Processed Non-zero DMR Data'!$K:$K,$I47), "N/A - Facility Does Not Report DMRs")</f>
        <v>5.636622</v>
      </c>
      <c r="V47" s="33">
        <f t="shared" si="13"/>
        <v>1.54428E-2</v>
      </c>
      <c r="W47" s="110" cm="1">
        <f t="array" ref="W47">IF(COUNTIF('Processed Non-zero DMR Data'!$K:$K,$I47)&gt;0,INDEX('Processed Non-zero DMR Data'!$A:$A,MATCH(1,($I47='Processed Non-zero DMR Data'!$K:$K)*($U47='Processed Non-zero DMR Data'!$T:$T),0)), "N/A - Facility Does Not Report DMRs")</f>
        <v>2020</v>
      </c>
      <c r="X47" s="109" cm="1">
        <f t="array" ref="X47">IFERROR(_xlfn.XLOOKUP(1,  (MAX(IF(H47 = 'Processed Non-zero TRI Data'!$I:$I,'Processed Non-zero TRI Data'!$A:$A)) = 'Processed Non-zero TRI Data'!$A:$A)*('Processed Non-zero TRI Data'!$I:$I = H47), 'Processed Non-zero TRI Data'!$S:$S), "N/A- Facility Does Not Report to TRI")</f>
        <v>0</v>
      </c>
      <c r="Y47" s="33">
        <f t="shared" si="2"/>
        <v>0</v>
      </c>
      <c r="Z47" s="33" t="str" cm="1">
        <f t="array" ref="Z47">IF(COUNTIF('Processed Non-zero TRI Data'!$I:$I,$H47)&gt;0,MEDIAN(IF('Processed Non-zero TRI Data'!$I:$I=H47,'Processed Non-zero TRI Data'!$S:$S)), "N/A - Facility Does Not Report to TRI")</f>
        <v>N/A - Facility Does Not Report to TRI</v>
      </c>
      <c r="AA47" s="33" t="str">
        <f t="shared" si="3"/>
        <v>N/A - Facility Does Not Report to TRI</v>
      </c>
      <c r="AB47" s="33" t="str">
        <f>IF(COUNTIF('Processed Non-zero TRI Data'!$I:$I,$H47)&gt;0,_xlfn.MAXIFS('Processed Non-zero TRI Data'!$S:$S,'Processed Non-zero TRI Data'!$I:$I,$H47), "N/A - Facility Does Not Report to TRI")</f>
        <v>N/A - Facility Does Not Report to TRI</v>
      </c>
      <c r="AC47" s="33" t="str">
        <f t="shared" si="4"/>
        <v>N/A - Facility Does Not Report to TRI</v>
      </c>
      <c r="AD47" s="110" t="str" cm="1">
        <f t="array" ref="AD47">IFERROR(IF(B47 = "TRI Form R", IF(AB47 = 0, "Facility has no on-site water discharges between 2019-2023.",  IF(COUNTIF('Processed Non-zero TRI Data'!$I:$I,$H47)&gt;0,INDEX('Processed Non-zero TRI Data'!$A:$A,MATCH(1,($H47='Processed Non-zero TRI Data'!$I:$I)*(AB47='Processed Non-zero TRI Data'!$S:$S),0)))), VLOOKUP(H47, 'Form A Recent Reporting'!$L:$M, 2, FALSE)), ("N/A - Facility Does Not Report to TRI"))</f>
        <v>N/A - Facility Does Not Report to TRI</v>
      </c>
      <c r="AE47" s="109" cm="1">
        <f t="array" ref="AE47">IFERROR(_xlfn.XLOOKUP(1,  (MAX(IF(H47 = 'Processed Non-zero TRI Data'!$I:$I,'Processed Non-zero TRI Data'!$A:$A)) = 'Processed Non-zero TRI Data'!$A:$A)*('Processed Non-zero TRI Data'!$I:$I = H47), 'Processed Non-zero TRI Data'!$U:$U), "N/A- Facility Does Not Report to TRI")</f>
        <v>0</v>
      </c>
      <c r="AF47" s="33">
        <f t="shared" si="5"/>
        <v>0</v>
      </c>
      <c r="AG47" s="33" t="str" cm="1">
        <f t="array" ref="AG47">IF(COUNTIF('Processed Non-zero TRI Data'!$I:$I,$H47)&gt;0,MEDIAN(IF('Processed Non-zero TRI Data'!$I:$I=H47,'Processed Non-zero TRI Data'!$U:$U)), "N/A - Facility Does Not Report to TRI")</f>
        <v>N/A - Facility Does Not Report to TRI</v>
      </c>
      <c r="AH47" s="33" t="str">
        <f t="shared" si="6"/>
        <v>N/A - Facility Does Not Report to TRI</v>
      </c>
      <c r="AI47" s="33" t="str">
        <f>IF(COUNTIF('Processed Non-zero TRI Data'!$I:$I,$H47)&gt;0,_xlfn.MAXIFS('Processed Non-zero TRI Data'!$U:$U,'Processed Non-zero TRI Data'!$I:$I,$H47), "N/A - Facility Does Not Report to TRI")</f>
        <v>N/A - Facility Does Not Report to TRI</v>
      </c>
      <c r="AJ47" s="33" t="str">
        <f t="shared" si="7"/>
        <v>N/A - Facility Does Not Report to TRI</v>
      </c>
      <c r="AK47" s="110" t="str" cm="1">
        <f t="array" ref="AK47">IF(B47="TRI Form A",AD47,IF(AI47=0,"Facility has no transfers to POTWs between 2019-2023.",IF(COUNTIF('Processed Non-zero TRI Data'!$I:$I,$H47)&gt;0,INDEX('Processed Non-zero TRI Data'!$A:$A,MATCH(1,($H47='Processed Non-zero TRI Data'!$I:$I)*(AI47='Processed Non-zero TRI Data'!$U:$U),0)),"N/A - Facility Does Not Report to TRI")))</f>
        <v>N/A - Facility Does Not Report to TRI</v>
      </c>
      <c r="AL47" s="109" cm="1">
        <f t="array" ref="AL47">IFERROR(_xlfn.XLOOKUP(1,  (MAX(IF(H47 = 'Processed Non-zero TRI Data'!$I$2:$I$23,'Processed Non-zero TRI Data'!$A$2:$A$23)) = 'Processed Non-zero TRI Data'!$A$2:$A$23)*('Processed Non-zero TRI Data'!$I$2:$I$23 = H47), 'Processed Non-zero TRI Data'!$W$2:$W$23), "N/A- Facility Does Not Report to TRI")</f>
        <v>0</v>
      </c>
      <c r="AM47" s="33">
        <f t="shared" si="8"/>
        <v>0</v>
      </c>
      <c r="AN47" s="33" t="str" cm="1">
        <f t="array" ref="AN47">IF(COUNTIF('Processed Non-zero TRI Data'!$I:$I,$H47)&gt;0,MEDIAN(IF('Processed Non-zero TRI Data'!$I:$I=H47,'Processed Non-zero TRI Data'!$W:$W)), "N/A - Facility Does Not Report to TRI")</f>
        <v>N/A - Facility Does Not Report to TRI</v>
      </c>
      <c r="AO47" s="33" t="str">
        <f t="shared" si="9"/>
        <v>N/A - Facility Does Not Report to TRI</v>
      </c>
      <c r="AP47" s="33" t="str">
        <f>IF(COUNTIF('Processed Non-zero TRI Data'!$I:$I,$H47)&gt;0,_xlfn.MAXIFS('Processed Non-zero TRI Data'!$W:$W,'Processed Non-zero TRI Data'!$I:$I,$H47), "N/A - Facility Does Not Report to TRI")</f>
        <v>N/A - Facility Does Not Report to TRI</v>
      </c>
      <c r="AQ47" s="33" t="str">
        <f t="shared" si="10"/>
        <v>N/A - Facility Does Not Report to TRI</v>
      </c>
      <c r="AR47" s="110" t="str" cm="1">
        <f t="array" ref="AR47">IF(B47="TRI Form A",AD47,IF(AP47=0,"Facility has no transfers to non-POTWs between 2019-2023.",IF(COUNTIF('Processed Non-zero TRI Data'!$I:$I,$H47)&gt;0,INDEX('Processed Non-zero TRI Data'!$A:$A,MATCH(1,($H47='Processed Non-zero TRI Data'!$I:$I)*(AP47='Processed Non-zero TRI Data'!$W:$W),0)),"N/A - Facility Does Not Report to TRI")))</f>
        <v>N/A - Facility Does Not Report to TRI</v>
      </c>
    </row>
    <row r="48" spans="1:44" ht="29" x14ac:dyDescent="0.35">
      <c r="A48" s="34">
        <v>45</v>
      </c>
      <c r="B48" s="33" t="str">
        <f>IFERROR("TRI Form "&amp;VLOOKUP(H48,'Processed Non-zero TRI Data'!$I$2:$K$23,3,FALSE),"DMR")</f>
        <v>DMR</v>
      </c>
      <c r="C48" s="33" t="str">
        <f>VLOOKUP($D48, 'COU.OES Summary'!C:D, 2, FALSE)</f>
        <v> </v>
      </c>
      <c r="D48" s="33" t="str">
        <f>IFERROR(VLOOKUP($H48, 'Processed Non-zero TRI Data'!$I:$O, 7, FALSE), VLOOKUP($I48, 'Processed Non-zero DMR Data'!$K:$R, 8, FALSE))</f>
        <v>Waste handling, treatment, and disposal - Remediation or Monitoring</v>
      </c>
      <c r="E48" s="34" t="s">
        <v>186</v>
      </c>
      <c r="F48" s="34" t="s">
        <v>187</v>
      </c>
      <c r="G48" s="34" t="s">
        <v>181</v>
      </c>
      <c r="H48" s="34"/>
      <c r="I48" s="105">
        <v>110006739832</v>
      </c>
      <c r="J48" s="33" t="str">
        <f>IFERROR(VLOOKUP($I48, 'Processed Non-zero DMR Data'!$K:$U, 11, FALSE),"")</f>
        <v>MI0054399</v>
      </c>
      <c r="K48" s="33" t="str">
        <f>IFERROR(VLOOKUP($I48, 'Processed Non-zero DMR Data'!$K:$V, 12, FALSE),"Not Reported")</f>
        <v>Lloyd Bayou-Grand River</v>
      </c>
      <c r="L48" s="106">
        <f>IFERROR(VLOOKUP($I48, 'Processed Non-zero DMR Data'!$K:$W, 13, FALSE),"No Reach Code Reported")</f>
        <v>40500060712</v>
      </c>
      <c r="M48" s="107" t="str">
        <f>IFERROR(IFERROR(VLOOKUP(H48, 'Off-site Locations'!$K$3:$O$5, 5, FALSE), VLOOKUP(H48, 'Off-site Locations'!$B$3:$E$4, 4, FALSE)), "No Offsite Transfers")</f>
        <v>No Offsite Transfers</v>
      </c>
      <c r="N48" s="33">
        <f>VLOOKUP($D48, 'COU.OES Summary'!C:E, 3, FALSE)</f>
        <v>365</v>
      </c>
      <c r="O48" s="108">
        <f t="shared" si="0"/>
        <v>0</v>
      </c>
      <c r="P48" s="108">
        <f t="shared" si="1"/>
        <v>5.5843581143999996</v>
      </c>
      <c r="Q48" s="109" cm="1">
        <f t="array" ref="Q48">IFERROR(_xlfn.XLOOKUP(1,  (MAX(IF(I48 = 'Processed Non-zero DMR Data'!$K:$K,'Processed Non-zero DMR Data'!$A:$A)) = 'Processed Non-zero DMR Data'!$A:$A)*('Processed Non-zero DMR Data'!$K:$K = I48),'Processed Non-zero DMR Data'!$T:$T), "N/A- Facility Does Not Report DMRs")</f>
        <v>1.2063552E-2</v>
      </c>
      <c r="R48" s="33">
        <f t="shared" si="11"/>
        <v>3.3050827397260274E-5</v>
      </c>
      <c r="S48" s="33" cm="1">
        <f t="array" ref="S48">IF(COUNTIF('Processed Non-zero DMR Data'!$K:$K,$I48)&gt;0,MEDIAN(IF('Processed Non-zero DMR Data'!$K:$K=I48,'Processed Non-zero DMR Data'!$T:$T)),"N/A - Facility Does Not Report DMRs")</f>
        <v>2.1791437274999999E-2</v>
      </c>
      <c r="T48" s="33">
        <f t="shared" si="12"/>
        <v>5.9702567876712327E-5</v>
      </c>
      <c r="U48" s="33">
        <f>IF(COUNTIF('Processed Non-zero DMR Data'!$K:$K,$I48)&gt;0,_xlfn.MAXIFS('Processed Non-zero DMR Data'!$T:$T,'Processed Non-zero DMR Data'!$K:$K,$I48), "N/A - Facility Does Not Report DMRs")</f>
        <v>5.5843581143999996</v>
      </c>
      <c r="V48" s="33">
        <f t="shared" si="13"/>
        <v>1.5299611272328767E-2</v>
      </c>
      <c r="W48" s="110" cm="1">
        <f t="array" ref="W48">IF(COUNTIF('Processed Non-zero DMR Data'!$K:$K,$I48)&gt;0,INDEX('Processed Non-zero DMR Data'!$A:$A,MATCH(1,($I48='Processed Non-zero DMR Data'!$K:$K)*($U48='Processed Non-zero DMR Data'!$T:$T),0)), "N/A - Facility Does Not Report DMRs")</f>
        <v>2022</v>
      </c>
      <c r="X48" s="109" cm="1">
        <f t="array" ref="X48">IFERROR(_xlfn.XLOOKUP(1,  (MAX(IF(H48 = 'Processed Non-zero TRI Data'!$I:$I,'Processed Non-zero TRI Data'!$A:$A)) = 'Processed Non-zero TRI Data'!$A:$A)*('Processed Non-zero TRI Data'!$I:$I = H48), 'Processed Non-zero TRI Data'!$S:$S), "N/A- Facility Does Not Report to TRI")</f>
        <v>0</v>
      </c>
      <c r="Y48" s="33">
        <f t="shared" si="2"/>
        <v>0</v>
      </c>
      <c r="Z48" s="33" t="str" cm="1">
        <f t="array" ref="Z48">IF(COUNTIF('Processed Non-zero TRI Data'!$I:$I,$H48)&gt;0,MEDIAN(IF('Processed Non-zero TRI Data'!$I:$I=H48,'Processed Non-zero TRI Data'!$S:$S)), "N/A - Facility Does Not Report to TRI")</f>
        <v>N/A - Facility Does Not Report to TRI</v>
      </c>
      <c r="AA48" s="33" t="str">
        <f t="shared" si="3"/>
        <v>N/A - Facility Does Not Report to TRI</v>
      </c>
      <c r="AB48" s="33" t="str">
        <f>IF(COUNTIF('Processed Non-zero TRI Data'!$I:$I,$H48)&gt;0,_xlfn.MAXIFS('Processed Non-zero TRI Data'!$S:$S,'Processed Non-zero TRI Data'!$I:$I,$H48), "N/A - Facility Does Not Report to TRI")</f>
        <v>N/A - Facility Does Not Report to TRI</v>
      </c>
      <c r="AC48" s="33" t="str">
        <f t="shared" si="4"/>
        <v>N/A - Facility Does Not Report to TRI</v>
      </c>
      <c r="AD48" s="110" t="str" cm="1">
        <f t="array" ref="AD48">IFERROR(IF(B48 = "TRI Form R", IF(AB48 = 0, "Facility has no on-site water discharges between 2019-2023.",  IF(COUNTIF('Processed Non-zero TRI Data'!$I:$I,$H48)&gt;0,INDEX('Processed Non-zero TRI Data'!$A:$A,MATCH(1,($H48='Processed Non-zero TRI Data'!$I:$I)*(AB48='Processed Non-zero TRI Data'!$S:$S),0)))), VLOOKUP(H48, 'Form A Recent Reporting'!$L:$M, 2, FALSE)), ("N/A - Facility Does Not Report to TRI"))</f>
        <v>N/A - Facility Does Not Report to TRI</v>
      </c>
      <c r="AE48" s="109" cm="1">
        <f t="array" ref="AE48">IFERROR(_xlfn.XLOOKUP(1,  (MAX(IF(H48 = 'Processed Non-zero TRI Data'!$I:$I,'Processed Non-zero TRI Data'!$A:$A)) = 'Processed Non-zero TRI Data'!$A:$A)*('Processed Non-zero TRI Data'!$I:$I = H48), 'Processed Non-zero TRI Data'!$U:$U), "N/A- Facility Does Not Report to TRI")</f>
        <v>0</v>
      </c>
      <c r="AF48" s="33">
        <f t="shared" si="5"/>
        <v>0</v>
      </c>
      <c r="AG48" s="33" t="str" cm="1">
        <f t="array" ref="AG48">IF(COUNTIF('Processed Non-zero TRI Data'!$I:$I,$H48)&gt;0,MEDIAN(IF('Processed Non-zero TRI Data'!$I:$I=H48,'Processed Non-zero TRI Data'!$U:$U)), "N/A - Facility Does Not Report to TRI")</f>
        <v>N/A - Facility Does Not Report to TRI</v>
      </c>
      <c r="AH48" s="33" t="str">
        <f t="shared" si="6"/>
        <v>N/A - Facility Does Not Report to TRI</v>
      </c>
      <c r="AI48" s="33" t="str">
        <f>IF(COUNTIF('Processed Non-zero TRI Data'!$I:$I,$H48)&gt;0,_xlfn.MAXIFS('Processed Non-zero TRI Data'!$U:$U,'Processed Non-zero TRI Data'!$I:$I,$H48), "N/A - Facility Does Not Report to TRI")</f>
        <v>N/A - Facility Does Not Report to TRI</v>
      </c>
      <c r="AJ48" s="33" t="str">
        <f t="shared" si="7"/>
        <v>N/A - Facility Does Not Report to TRI</v>
      </c>
      <c r="AK48" s="110" t="str" cm="1">
        <f t="array" ref="AK48">IF(B48="TRI Form A",AD48,IF(AI48=0,"Facility has no transfers to POTWs between 2019-2023.",IF(COUNTIF('Processed Non-zero TRI Data'!$I:$I,$H48)&gt;0,INDEX('Processed Non-zero TRI Data'!$A:$A,MATCH(1,($H48='Processed Non-zero TRI Data'!$I:$I)*(AI48='Processed Non-zero TRI Data'!$U:$U),0)),"N/A - Facility Does Not Report to TRI")))</f>
        <v>N/A - Facility Does Not Report to TRI</v>
      </c>
      <c r="AL48" s="109" cm="1">
        <f t="array" ref="AL48">IFERROR(_xlfn.XLOOKUP(1,  (MAX(IF(H48 = 'Processed Non-zero TRI Data'!$I$2:$I$23,'Processed Non-zero TRI Data'!$A$2:$A$23)) = 'Processed Non-zero TRI Data'!$A$2:$A$23)*('Processed Non-zero TRI Data'!$I$2:$I$23 = H48), 'Processed Non-zero TRI Data'!$W$2:$W$23), "N/A- Facility Does Not Report to TRI")</f>
        <v>0</v>
      </c>
      <c r="AM48" s="33">
        <f t="shared" si="8"/>
        <v>0</v>
      </c>
      <c r="AN48" s="33" t="str" cm="1">
        <f t="array" ref="AN48">IF(COUNTIF('Processed Non-zero TRI Data'!$I:$I,$H48)&gt;0,MEDIAN(IF('Processed Non-zero TRI Data'!$I:$I=H48,'Processed Non-zero TRI Data'!$W:$W)), "N/A - Facility Does Not Report to TRI")</f>
        <v>N/A - Facility Does Not Report to TRI</v>
      </c>
      <c r="AO48" s="33" t="str">
        <f t="shared" si="9"/>
        <v>N/A - Facility Does Not Report to TRI</v>
      </c>
      <c r="AP48" s="33" t="str">
        <f>IF(COUNTIF('Processed Non-zero TRI Data'!$I:$I,$H48)&gt;0,_xlfn.MAXIFS('Processed Non-zero TRI Data'!$W:$W,'Processed Non-zero TRI Data'!$I:$I,$H48), "N/A - Facility Does Not Report to TRI")</f>
        <v>N/A - Facility Does Not Report to TRI</v>
      </c>
      <c r="AQ48" s="33" t="str">
        <f t="shared" si="10"/>
        <v>N/A - Facility Does Not Report to TRI</v>
      </c>
      <c r="AR48" s="110" t="str" cm="1">
        <f t="array" ref="AR48">IF(B48="TRI Form A",AD48,IF(AP48=0,"Facility has no transfers to non-POTWs between 2019-2023.",IF(COUNTIF('Processed Non-zero TRI Data'!$I:$I,$H48)&gt;0,INDEX('Processed Non-zero TRI Data'!$A:$A,MATCH(1,($H48='Processed Non-zero TRI Data'!$I:$I)*(AP48='Processed Non-zero TRI Data'!$W:$W),0)),"N/A - Facility Does Not Report to TRI")))</f>
        <v>N/A - Facility Does Not Report to TRI</v>
      </c>
    </row>
    <row r="49" spans="1:44" ht="29" x14ac:dyDescent="0.35">
      <c r="A49" s="34">
        <v>46</v>
      </c>
      <c r="B49" s="33" t="str">
        <f>IFERROR("TRI Form "&amp;VLOOKUP(H49,'Processed Non-zero TRI Data'!$I$2:$K$23,3,FALSE),"DMR")</f>
        <v>DMR</v>
      </c>
      <c r="C49" s="33" t="str">
        <f>VLOOKUP($D49, 'COU.OES Summary'!C:D, 2, FALSE)</f>
        <v> </v>
      </c>
      <c r="D49" s="33" t="str">
        <f>IFERROR(VLOOKUP($H49, 'Processed Non-zero TRI Data'!$I:$O, 7, FALSE), VLOOKUP($I49, 'Processed Non-zero DMR Data'!$K:$R, 8, FALSE))</f>
        <v>Waste handling, treatment, and disposal - POTW</v>
      </c>
      <c r="E49" s="34" t="s">
        <v>188</v>
      </c>
      <c r="F49" s="34" t="s">
        <v>189</v>
      </c>
      <c r="G49" s="34" t="s">
        <v>108</v>
      </c>
      <c r="H49" s="34"/>
      <c r="I49" s="105">
        <v>110006751737</v>
      </c>
      <c r="J49" s="33" t="str">
        <f>IFERROR(VLOOKUP($I49, 'Processed Non-zero DMR Data'!$K:$U, 11, FALSE),"")</f>
        <v>KY0028347</v>
      </c>
      <c r="K49" s="33" t="str">
        <f>IFERROR(VLOOKUP($I49, 'Processed Non-zero DMR Data'!$K:$V, 12, FALSE),"Not Reported")</f>
        <v>Youngs Creek-Cumberland River</v>
      </c>
      <c r="L49" s="106">
        <f>IFERROR(VLOOKUP($I49, 'Processed Non-zero DMR Data'!$K:$W, 13, FALSE),"No Reach Code Reported")</f>
        <v>51301010704</v>
      </c>
      <c r="M49" s="107" t="str">
        <f>IFERROR(IFERROR(VLOOKUP(H49, 'Off-site Locations'!$K$3:$O$5, 5, FALSE), VLOOKUP(H49, 'Off-site Locations'!$B$3:$E$4, 4, FALSE)), "No Offsite Transfers")</f>
        <v>No Offsite Transfers</v>
      </c>
      <c r="N49" s="33">
        <f>VLOOKUP($D49, 'COU.OES Summary'!C:E, 3, FALSE)</f>
        <v>365</v>
      </c>
      <c r="O49" s="108">
        <f t="shared" si="0"/>
        <v>0</v>
      </c>
      <c r="P49" s="108">
        <f t="shared" si="1"/>
        <v>5.4673851874999997</v>
      </c>
      <c r="Q49" s="109" cm="1">
        <f t="array" ref="Q49">IFERROR(_xlfn.XLOOKUP(1,  (MAX(IF(I49 = 'Processed Non-zero DMR Data'!$K:$K,'Processed Non-zero DMR Data'!$A:$A)) = 'Processed Non-zero DMR Data'!$A:$A)*('Processed Non-zero DMR Data'!$K:$K = I49),'Processed Non-zero DMR Data'!$T:$T), "N/A- Facility Does Not Report DMRs")</f>
        <v>4.3379884999999998</v>
      </c>
      <c r="R49" s="33">
        <f t="shared" si="11"/>
        <v>1.18849E-2</v>
      </c>
      <c r="S49" s="33" cm="1">
        <f t="array" ref="S49">IF(COUNTIF('Processed Non-zero DMR Data'!$K:$K,$I49)&gt;0,MEDIAN(IF('Processed Non-zero DMR Data'!$K:$K=I49,'Processed Non-zero DMR Data'!$T:$T)),"N/A - Facility Does Not Report DMRs")</f>
        <v>5.1530882499999997</v>
      </c>
      <c r="T49" s="33">
        <f t="shared" si="12"/>
        <v>1.411805E-2</v>
      </c>
      <c r="U49" s="33">
        <f>IF(COUNTIF('Processed Non-zero DMR Data'!$K:$K,$I49)&gt;0,_xlfn.MAXIFS('Processed Non-zero DMR Data'!$T:$T,'Processed Non-zero DMR Data'!$K:$K,$I49), "N/A - Facility Does Not Report DMRs")</f>
        <v>5.4673851874999997</v>
      </c>
      <c r="V49" s="33">
        <f t="shared" si="13"/>
        <v>1.49791375E-2</v>
      </c>
      <c r="W49" s="110" cm="1">
        <f t="array" ref="W49">IF(COUNTIF('Processed Non-zero DMR Data'!$K:$K,$I49)&gt;0,INDEX('Processed Non-zero DMR Data'!$A:$A,MATCH(1,($I49='Processed Non-zero DMR Data'!$K:$K)*($U49='Processed Non-zero DMR Data'!$T:$T),0)), "N/A - Facility Does Not Report DMRs")</f>
        <v>2020</v>
      </c>
      <c r="X49" s="109" cm="1">
        <f t="array" ref="X49">IFERROR(_xlfn.XLOOKUP(1,  (MAX(IF(H49 = 'Processed Non-zero TRI Data'!$I:$I,'Processed Non-zero TRI Data'!$A:$A)) = 'Processed Non-zero TRI Data'!$A:$A)*('Processed Non-zero TRI Data'!$I:$I = H49), 'Processed Non-zero TRI Data'!$S:$S), "N/A- Facility Does Not Report to TRI")</f>
        <v>0</v>
      </c>
      <c r="Y49" s="33">
        <f t="shared" si="2"/>
        <v>0</v>
      </c>
      <c r="Z49" s="33" t="str" cm="1">
        <f t="array" ref="Z49">IF(COUNTIF('Processed Non-zero TRI Data'!$I:$I,$H49)&gt;0,MEDIAN(IF('Processed Non-zero TRI Data'!$I:$I=H49,'Processed Non-zero TRI Data'!$S:$S)), "N/A - Facility Does Not Report to TRI")</f>
        <v>N/A - Facility Does Not Report to TRI</v>
      </c>
      <c r="AA49" s="33" t="str">
        <f t="shared" si="3"/>
        <v>N/A - Facility Does Not Report to TRI</v>
      </c>
      <c r="AB49" s="33" t="str">
        <f>IF(COUNTIF('Processed Non-zero TRI Data'!$I:$I,$H49)&gt;0,_xlfn.MAXIFS('Processed Non-zero TRI Data'!$S:$S,'Processed Non-zero TRI Data'!$I:$I,$H49), "N/A - Facility Does Not Report to TRI")</f>
        <v>N/A - Facility Does Not Report to TRI</v>
      </c>
      <c r="AC49" s="33" t="str">
        <f t="shared" si="4"/>
        <v>N/A - Facility Does Not Report to TRI</v>
      </c>
      <c r="AD49" s="110" t="str" cm="1">
        <f t="array" ref="AD49">IFERROR(IF(B49 = "TRI Form R", IF(AB49 = 0, "Facility has no on-site water discharges between 2019-2023.",  IF(COUNTIF('Processed Non-zero TRI Data'!$I:$I,$H49)&gt;0,INDEX('Processed Non-zero TRI Data'!$A:$A,MATCH(1,($H49='Processed Non-zero TRI Data'!$I:$I)*(AB49='Processed Non-zero TRI Data'!$S:$S),0)))), VLOOKUP(H49, 'Form A Recent Reporting'!$L:$M, 2, FALSE)), ("N/A - Facility Does Not Report to TRI"))</f>
        <v>N/A - Facility Does Not Report to TRI</v>
      </c>
      <c r="AE49" s="109" cm="1">
        <f t="array" ref="AE49">IFERROR(_xlfn.XLOOKUP(1,  (MAX(IF(H49 = 'Processed Non-zero TRI Data'!$I:$I,'Processed Non-zero TRI Data'!$A:$A)) = 'Processed Non-zero TRI Data'!$A:$A)*('Processed Non-zero TRI Data'!$I:$I = H49), 'Processed Non-zero TRI Data'!$U:$U), "N/A- Facility Does Not Report to TRI")</f>
        <v>0</v>
      </c>
      <c r="AF49" s="33">
        <f t="shared" si="5"/>
        <v>0</v>
      </c>
      <c r="AG49" s="33" t="str" cm="1">
        <f t="array" ref="AG49">IF(COUNTIF('Processed Non-zero TRI Data'!$I:$I,$H49)&gt;0,MEDIAN(IF('Processed Non-zero TRI Data'!$I:$I=H49,'Processed Non-zero TRI Data'!$U:$U)), "N/A - Facility Does Not Report to TRI")</f>
        <v>N/A - Facility Does Not Report to TRI</v>
      </c>
      <c r="AH49" s="33" t="str">
        <f t="shared" si="6"/>
        <v>N/A - Facility Does Not Report to TRI</v>
      </c>
      <c r="AI49" s="33" t="str">
        <f>IF(COUNTIF('Processed Non-zero TRI Data'!$I:$I,$H49)&gt;0,_xlfn.MAXIFS('Processed Non-zero TRI Data'!$U:$U,'Processed Non-zero TRI Data'!$I:$I,$H49), "N/A - Facility Does Not Report to TRI")</f>
        <v>N/A - Facility Does Not Report to TRI</v>
      </c>
      <c r="AJ49" s="33" t="str">
        <f t="shared" si="7"/>
        <v>N/A - Facility Does Not Report to TRI</v>
      </c>
      <c r="AK49" s="110" t="str" cm="1">
        <f t="array" ref="AK49">IF(B49="TRI Form A",AD49,IF(AI49=0,"Facility has no transfers to POTWs between 2019-2023.",IF(COUNTIF('Processed Non-zero TRI Data'!$I:$I,$H49)&gt;0,INDEX('Processed Non-zero TRI Data'!$A:$A,MATCH(1,($H49='Processed Non-zero TRI Data'!$I:$I)*(AI49='Processed Non-zero TRI Data'!$U:$U),0)),"N/A - Facility Does Not Report to TRI")))</f>
        <v>N/A - Facility Does Not Report to TRI</v>
      </c>
      <c r="AL49" s="109" cm="1">
        <f t="array" ref="AL49">IFERROR(_xlfn.XLOOKUP(1,  (MAX(IF(H49 = 'Processed Non-zero TRI Data'!$I$2:$I$23,'Processed Non-zero TRI Data'!$A$2:$A$23)) = 'Processed Non-zero TRI Data'!$A$2:$A$23)*('Processed Non-zero TRI Data'!$I$2:$I$23 = H49), 'Processed Non-zero TRI Data'!$W$2:$W$23), "N/A- Facility Does Not Report to TRI")</f>
        <v>0</v>
      </c>
      <c r="AM49" s="33">
        <f t="shared" si="8"/>
        <v>0</v>
      </c>
      <c r="AN49" s="33" t="str" cm="1">
        <f t="array" ref="AN49">IF(COUNTIF('Processed Non-zero TRI Data'!$I:$I,$H49)&gt;0,MEDIAN(IF('Processed Non-zero TRI Data'!$I:$I=H49,'Processed Non-zero TRI Data'!$W:$W)), "N/A - Facility Does Not Report to TRI")</f>
        <v>N/A - Facility Does Not Report to TRI</v>
      </c>
      <c r="AO49" s="33" t="str">
        <f t="shared" si="9"/>
        <v>N/A - Facility Does Not Report to TRI</v>
      </c>
      <c r="AP49" s="33" t="str">
        <f>IF(COUNTIF('Processed Non-zero TRI Data'!$I:$I,$H49)&gt;0,_xlfn.MAXIFS('Processed Non-zero TRI Data'!$W:$W,'Processed Non-zero TRI Data'!$I:$I,$H49), "N/A - Facility Does Not Report to TRI")</f>
        <v>N/A - Facility Does Not Report to TRI</v>
      </c>
      <c r="AQ49" s="33" t="str">
        <f t="shared" si="10"/>
        <v>N/A - Facility Does Not Report to TRI</v>
      </c>
      <c r="AR49" s="110" t="str" cm="1">
        <f t="array" ref="AR49">IF(B49="TRI Form A",AD49,IF(AP49=0,"Facility has no transfers to non-POTWs between 2019-2023.",IF(COUNTIF('Processed Non-zero TRI Data'!$I:$I,$H49)&gt;0,INDEX('Processed Non-zero TRI Data'!$A:$A,MATCH(1,($H49='Processed Non-zero TRI Data'!$I:$I)*(AP49='Processed Non-zero TRI Data'!$W:$W),0)),"N/A - Facility Does Not Report to TRI")))</f>
        <v>N/A - Facility Does Not Report to TRI</v>
      </c>
    </row>
    <row r="50" spans="1:44" ht="29" x14ac:dyDescent="0.35">
      <c r="A50" s="34">
        <v>47</v>
      </c>
      <c r="B50" s="33" t="str">
        <f>IFERROR("TRI Form "&amp;VLOOKUP(H50,'Processed Non-zero TRI Data'!$I$2:$K$23,3,FALSE),"DMR")</f>
        <v>DMR</v>
      </c>
      <c r="C50" s="33" t="str">
        <f>VLOOKUP($D50, 'COU.OES Summary'!C:D, 2, FALSE)</f>
        <v> </v>
      </c>
      <c r="D50" s="33" t="str">
        <f>IFERROR(VLOOKUP($H50, 'Processed Non-zero TRI Data'!$I:$O, 7, FALSE), VLOOKUP($I50, 'Processed Non-zero DMR Data'!$K:$R, 8, FALSE))</f>
        <v>Waste handling, treatment, and disposal - POTW</v>
      </c>
      <c r="E50" s="34" t="s">
        <v>190</v>
      </c>
      <c r="F50" s="34" t="s">
        <v>191</v>
      </c>
      <c r="G50" s="34" t="s">
        <v>108</v>
      </c>
      <c r="H50" s="34"/>
      <c r="I50" s="105">
        <v>110001123276</v>
      </c>
      <c r="J50" s="33" t="str">
        <f>IFERROR(VLOOKUP($I50, 'Processed Non-zero DMR Data'!$K:$U, 11, FALSE),"")</f>
        <v>KY0021164</v>
      </c>
      <c r="K50" s="33" t="str">
        <f>IFERROR(VLOOKUP($I50, 'Processed Non-zero DMR Data'!$K:$V, 12, FALSE),"Not Reported")</f>
        <v>South Fork Beaver Creek-Beaver Creek</v>
      </c>
      <c r="L50" s="106">
        <f>IFERROR(VLOOKUP($I50, 'Processed Non-zero DMR Data'!$K:$W, 13, FALSE),"No Reach Code Reported")</f>
        <v>51100020306</v>
      </c>
      <c r="M50" s="107" t="str">
        <f>IFERROR(IFERROR(VLOOKUP(H50, 'Off-site Locations'!$K$3:$O$5, 5, FALSE), VLOOKUP(H50, 'Off-site Locations'!$B$3:$E$4, 4, FALSE)), "No Offsite Transfers")</f>
        <v>No Offsite Transfers</v>
      </c>
      <c r="N50" s="33">
        <f>VLOOKUP($D50, 'COU.OES Summary'!C:E, 3, FALSE)</f>
        <v>365</v>
      </c>
      <c r="O50" s="108">
        <f t="shared" si="0"/>
        <v>0</v>
      </c>
      <c r="P50" s="108">
        <f t="shared" si="1"/>
        <v>5.2014416250000002</v>
      </c>
      <c r="Q50" s="109" cm="1">
        <f t="array" ref="Q50">IFERROR(_xlfn.XLOOKUP(1,  (MAX(IF(I50 = 'Processed Non-zero DMR Data'!$K:$K,'Processed Non-zero DMR Data'!$A:$A)) = 'Processed Non-zero DMR Data'!$A:$A)*('Processed Non-zero DMR Data'!$K:$K = I50),'Processed Non-zero DMR Data'!$T:$T), "N/A- Facility Does Not Report DMRs")</f>
        <v>3.6251215999999999</v>
      </c>
      <c r="R50" s="33">
        <f t="shared" si="11"/>
        <v>9.9318399999999991E-3</v>
      </c>
      <c r="S50" s="33" cm="1">
        <f t="array" ref="S50">IF(COUNTIF('Processed Non-zero DMR Data'!$K:$K,$I50)&gt;0,MEDIAN(IF('Processed Non-zero DMR Data'!$K:$K=I50,'Processed Non-zero DMR Data'!$T:$T)),"N/A - Facility Does Not Report DMRs")</f>
        <v>3.6251215999999999</v>
      </c>
      <c r="T50" s="33">
        <f t="shared" si="12"/>
        <v>9.9318399999999991E-3</v>
      </c>
      <c r="U50" s="33">
        <f>IF(COUNTIF('Processed Non-zero DMR Data'!$K:$K,$I50)&gt;0,_xlfn.MAXIFS('Processed Non-zero DMR Data'!$T:$T,'Processed Non-zero DMR Data'!$K:$K,$I50), "N/A - Facility Does Not Report DMRs")</f>
        <v>5.2014416250000002</v>
      </c>
      <c r="V50" s="33">
        <f t="shared" si="13"/>
        <v>1.4250525E-2</v>
      </c>
      <c r="W50" s="110" cm="1">
        <f t="array" ref="W50">IF(COUNTIF('Processed Non-zero DMR Data'!$K:$K,$I50)&gt;0,INDEX('Processed Non-zero DMR Data'!$A:$A,MATCH(1,($I50='Processed Non-zero DMR Data'!$K:$K)*($U50='Processed Non-zero DMR Data'!$T:$T),0)), "N/A - Facility Does Not Report DMRs")</f>
        <v>2019</v>
      </c>
      <c r="X50" s="109" cm="1">
        <f t="array" ref="X50">IFERROR(_xlfn.XLOOKUP(1,  (MAX(IF(H50 = 'Processed Non-zero TRI Data'!$I:$I,'Processed Non-zero TRI Data'!$A:$A)) = 'Processed Non-zero TRI Data'!$A:$A)*('Processed Non-zero TRI Data'!$I:$I = H50), 'Processed Non-zero TRI Data'!$S:$S), "N/A- Facility Does Not Report to TRI")</f>
        <v>0</v>
      </c>
      <c r="Y50" s="33">
        <f t="shared" si="2"/>
        <v>0</v>
      </c>
      <c r="Z50" s="33" t="str" cm="1">
        <f t="array" ref="Z50">IF(COUNTIF('Processed Non-zero TRI Data'!$I:$I,$H50)&gt;0,MEDIAN(IF('Processed Non-zero TRI Data'!$I:$I=H50,'Processed Non-zero TRI Data'!$S:$S)), "N/A - Facility Does Not Report to TRI")</f>
        <v>N/A - Facility Does Not Report to TRI</v>
      </c>
      <c r="AA50" s="33" t="str">
        <f t="shared" si="3"/>
        <v>N/A - Facility Does Not Report to TRI</v>
      </c>
      <c r="AB50" s="33" t="str">
        <f>IF(COUNTIF('Processed Non-zero TRI Data'!$I:$I,$H50)&gt;0,_xlfn.MAXIFS('Processed Non-zero TRI Data'!$S:$S,'Processed Non-zero TRI Data'!$I:$I,$H50), "N/A - Facility Does Not Report to TRI")</f>
        <v>N/A - Facility Does Not Report to TRI</v>
      </c>
      <c r="AC50" s="33" t="str">
        <f t="shared" si="4"/>
        <v>N/A - Facility Does Not Report to TRI</v>
      </c>
      <c r="AD50" s="110" t="str" cm="1">
        <f t="array" ref="AD50">IFERROR(IF(B50 = "TRI Form R", IF(AB50 = 0, "Facility has no on-site water discharges between 2019-2023.",  IF(COUNTIF('Processed Non-zero TRI Data'!$I:$I,$H50)&gt;0,INDEX('Processed Non-zero TRI Data'!$A:$A,MATCH(1,($H50='Processed Non-zero TRI Data'!$I:$I)*(AB50='Processed Non-zero TRI Data'!$S:$S),0)))), VLOOKUP(H50, 'Form A Recent Reporting'!$L:$M, 2, FALSE)), ("N/A - Facility Does Not Report to TRI"))</f>
        <v>N/A - Facility Does Not Report to TRI</v>
      </c>
      <c r="AE50" s="109" cm="1">
        <f t="array" ref="AE50">IFERROR(_xlfn.XLOOKUP(1,  (MAX(IF(H50 = 'Processed Non-zero TRI Data'!$I:$I,'Processed Non-zero TRI Data'!$A:$A)) = 'Processed Non-zero TRI Data'!$A:$A)*('Processed Non-zero TRI Data'!$I:$I = H50), 'Processed Non-zero TRI Data'!$U:$U), "N/A- Facility Does Not Report to TRI")</f>
        <v>0</v>
      </c>
      <c r="AF50" s="33">
        <f t="shared" si="5"/>
        <v>0</v>
      </c>
      <c r="AG50" s="33" t="str" cm="1">
        <f t="array" ref="AG50">IF(COUNTIF('Processed Non-zero TRI Data'!$I:$I,$H50)&gt;0,MEDIAN(IF('Processed Non-zero TRI Data'!$I:$I=H50,'Processed Non-zero TRI Data'!$U:$U)), "N/A - Facility Does Not Report to TRI")</f>
        <v>N/A - Facility Does Not Report to TRI</v>
      </c>
      <c r="AH50" s="33" t="str">
        <f t="shared" si="6"/>
        <v>N/A - Facility Does Not Report to TRI</v>
      </c>
      <c r="AI50" s="33" t="str">
        <f>IF(COUNTIF('Processed Non-zero TRI Data'!$I:$I,$H50)&gt;0,_xlfn.MAXIFS('Processed Non-zero TRI Data'!$U:$U,'Processed Non-zero TRI Data'!$I:$I,$H50), "N/A - Facility Does Not Report to TRI")</f>
        <v>N/A - Facility Does Not Report to TRI</v>
      </c>
      <c r="AJ50" s="33" t="str">
        <f t="shared" si="7"/>
        <v>N/A - Facility Does Not Report to TRI</v>
      </c>
      <c r="AK50" s="110" t="str" cm="1">
        <f t="array" ref="AK50">IF(B50="TRI Form A",AD50,IF(AI50=0,"Facility has no transfers to POTWs between 2019-2023.",IF(COUNTIF('Processed Non-zero TRI Data'!$I:$I,$H50)&gt;0,INDEX('Processed Non-zero TRI Data'!$A:$A,MATCH(1,($H50='Processed Non-zero TRI Data'!$I:$I)*(AI50='Processed Non-zero TRI Data'!$U:$U),0)),"N/A - Facility Does Not Report to TRI")))</f>
        <v>N/A - Facility Does Not Report to TRI</v>
      </c>
      <c r="AL50" s="109" cm="1">
        <f t="array" ref="AL50">IFERROR(_xlfn.XLOOKUP(1,  (MAX(IF(H50 = 'Processed Non-zero TRI Data'!$I$2:$I$23,'Processed Non-zero TRI Data'!$A$2:$A$23)) = 'Processed Non-zero TRI Data'!$A$2:$A$23)*('Processed Non-zero TRI Data'!$I$2:$I$23 = H50), 'Processed Non-zero TRI Data'!$W$2:$W$23), "N/A- Facility Does Not Report to TRI")</f>
        <v>0</v>
      </c>
      <c r="AM50" s="33">
        <f t="shared" si="8"/>
        <v>0</v>
      </c>
      <c r="AN50" s="33" t="str" cm="1">
        <f t="array" ref="AN50">IF(COUNTIF('Processed Non-zero TRI Data'!$I:$I,$H50)&gt;0,MEDIAN(IF('Processed Non-zero TRI Data'!$I:$I=H50,'Processed Non-zero TRI Data'!$W:$W)), "N/A - Facility Does Not Report to TRI")</f>
        <v>N/A - Facility Does Not Report to TRI</v>
      </c>
      <c r="AO50" s="33" t="str">
        <f t="shared" si="9"/>
        <v>N/A - Facility Does Not Report to TRI</v>
      </c>
      <c r="AP50" s="33" t="str">
        <f>IF(COUNTIF('Processed Non-zero TRI Data'!$I:$I,$H50)&gt;0,_xlfn.MAXIFS('Processed Non-zero TRI Data'!$W:$W,'Processed Non-zero TRI Data'!$I:$I,$H50), "N/A - Facility Does Not Report to TRI")</f>
        <v>N/A - Facility Does Not Report to TRI</v>
      </c>
      <c r="AQ50" s="33" t="str">
        <f t="shared" si="10"/>
        <v>N/A - Facility Does Not Report to TRI</v>
      </c>
      <c r="AR50" s="110" t="str" cm="1">
        <f t="array" ref="AR50">IF(B50="TRI Form A",AD50,IF(AP50=0,"Facility has no transfers to non-POTWs between 2019-2023.",IF(COUNTIF('Processed Non-zero TRI Data'!$I:$I,$H50)&gt;0,INDEX('Processed Non-zero TRI Data'!$A:$A,MATCH(1,($H50='Processed Non-zero TRI Data'!$I:$I)*(AP50='Processed Non-zero TRI Data'!$W:$W),0)),"N/A - Facility Does Not Report to TRI")))</f>
        <v>N/A - Facility Does Not Report to TRI</v>
      </c>
    </row>
    <row r="51" spans="1:44" ht="29" x14ac:dyDescent="0.35">
      <c r="A51" s="34">
        <v>48</v>
      </c>
      <c r="B51" s="33" t="str">
        <f>IFERROR("TRI Form "&amp;VLOOKUP(H51,'Processed Non-zero TRI Data'!$I$2:$K$23,3,FALSE),"DMR")</f>
        <v>DMR</v>
      </c>
      <c r="C51" s="33" t="str">
        <f>VLOOKUP($D51, 'COU.OES Summary'!C:D, 2, FALSE)</f>
        <v> </v>
      </c>
      <c r="D51" s="33" t="str">
        <f>IFERROR(VLOOKUP($H51, 'Processed Non-zero TRI Data'!$I:$O, 7, FALSE), VLOOKUP($I51, 'Processed Non-zero DMR Data'!$K:$R, 8, FALSE))</f>
        <v>Waste handling, treatment, and disposal - Remediation or Monitoring</v>
      </c>
      <c r="E51" s="34" t="s">
        <v>192</v>
      </c>
      <c r="F51" s="34" t="s">
        <v>193</v>
      </c>
      <c r="G51" s="34" t="s">
        <v>194</v>
      </c>
      <c r="H51" s="34"/>
      <c r="I51" s="105">
        <v>110000915984</v>
      </c>
      <c r="J51" s="33" t="str">
        <f>IFERROR(VLOOKUP($I51, 'Processed Non-zero DMR Data'!$K:$U, 11, FALSE),"")</f>
        <v>SC0003182</v>
      </c>
      <c r="K51" s="33" t="str">
        <f>IFERROR(VLOOKUP($I51, 'Processed Non-zero DMR Data'!$K:$V, 12, FALSE),"Not Reported")</f>
        <v>Outlet Buffalo Creek</v>
      </c>
      <c r="L51" s="106" t="str">
        <f>IFERROR(VLOOKUP($I51, 'Processed Non-zero DMR Data'!$K:$W, 13, FALSE),"No Reach Code Reported")</f>
        <v>030501050805</v>
      </c>
      <c r="M51" s="107" t="str">
        <f>IFERROR(IFERROR(VLOOKUP(H51, 'Off-site Locations'!$K$3:$O$5, 5, FALSE), VLOOKUP(H51, 'Off-site Locations'!$B$3:$E$4, 4, FALSE)), "No Offsite Transfers")</f>
        <v>No Offsite Transfers</v>
      </c>
      <c r="N51" s="33">
        <f>VLOOKUP($D51, 'COU.OES Summary'!C:E, 3, FALSE)</f>
        <v>365</v>
      </c>
      <c r="O51" s="108">
        <f t="shared" si="0"/>
        <v>0</v>
      </c>
      <c r="P51" s="108">
        <f t="shared" si="1"/>
        <v>4.8967305000000003</v>
      </c>
      <c r="Q51" s="109" cm="1">
        <f t="array" ref="Q51">IFERROR(_xlfn.XLOOKUP(1,  (MAX(IF(I51 = 'Processed Non-zero DMR Data'!$K:$K,'Processed Non-zero DMR Data'!$A:$A)) = 'Processed Non-zero DMR Data'!$A:$A)*('Processed Non-zero DMR Data'!$K:$K = I51),'Processed Non-zero DMR Data'!$T:$T), "N/A- Facility Does Not Report DMRs")</f>
        <v>4.8967305000000003</v>
      </c>
      <c r="R51" s="33">
        <f t="shared" si="11"/>
        <v>1.3415700000000001E-2</v>
      </c>
      <c r="S51" s="33" cm="1">
        <f t="array" ref="S51">IF(COUNTIF('Processed Non-zero DMR Data'!$K:$K,$I51)&gt;0,MEDIAN(IF('Processed Non-zero DMR Data'!$K:$K=I51,'Processed Non-zero DMR Data'!$T:$T)),"N/A - Facility Does Not Report DMRs")</f>
        <v>4.8967305000000003</v>
      </c>
      <c r="T51" s="33">
        <f t="shared" si="12"/>
        <v>1.3415700000000001E-2</v>
      </c>
      <c r="U51" s="33">
        <f>IF(COUNTIF('Processed Non-zero DMR Data'!$K:$K,$I51)&gt;0,_xlfn.MAXIFS('Processed Non-zero DMR Data'!$T:$T,'Processed Non-zero DMR Data'!$K:$K,$I51), "N/A - Facility Does Not Report DMRs")</f>
        <v>4.8967305000000003</v>
      </c>
      <c r="V51" s="33">
        <f t="shared" si="13"/>
        <v>1.3415700000000001E-2</v>
      </c>
      <c r="W51" s="110" cm="1">
        <f t="array" ref="W51">IF(COUNTIF('Processed Non-zero DMR Data'!$K:$K,$I51)&gt;0,INDEX('Processed Non-zero DMR Data'!$A:$A,MATCH(1,($I51='Processed Non-zero DMR Data'!$K:$K)*($U51='Processed Non-zero DMR Data'!$T:$T),0)), "N/A - Facility Does Not Report DMRs")</f>
        <v>2022</v>
      </c>
      <c r="X51" s="109" cm="1">
        <f t="array" ref="X51">IFERROR(_xlfn.XLOOKUP(1,  (MAX(IF(H51 = 'Processed Non-zero TRI Data'!$I:$I,'Processed Non-zero TRI Data'!$A:$A)) = 'Processed Non-zero TRI Data'!$A:$A)*('Processed Non-zero TRI Data'!$I:$I = H51), 'Processed Non-zero TRI Data'!$S:$S), "N/A- Facility Does Not Report to TRI")</f>
        <v>0</v>
      </c>
      <c r="Y51" s="33">
        <f t="shared" si="2"/>
        <v>0</v>
      </c>
      <c r="Z51" s="33" t="str" cm="1">
        <f t="array" ref="Z51">IF(COUNTIF('Processed Non-zero TRI Data'!$I:$I,$H51)&gt;0,MEDIAN(IF('Processed Non-zero TRI Data'!$I:$I=H51,'Processed Non-zero TRI Data'!$S:$S)), "N/A - Facility Does Not Report to TRI")</f>
        <v>N/A - Facility Does Not Report to TRI</v>
      </c>
      <c r="AA51" s="33" t="str">
        <f t="shared" si="3"/>
        <v>N/A - Facility Does Not Report to TRI</v>
      </c>
      <c r="AB51" s="33" t="str">
        <f>IF(COUNTIF('Processed Non-zero TRI Data'!$I:$I,$H51)&gt;0,_xlfn.MAXIFS('Processed Non-zero TRI Data'!$S:$S,'Processed Non-zero TRI Data'!$I:$I,$H51), "N/A - Facility Does Not Report to TRI")</f>
        <v>N/A - Facility Does Not Report to TRI</v>
      </c>
      <c r="AC51" s="33" t="str">
        <f t="shared" si="4"/>
        <v>N/A - Facility Does Not Report to TRI</v>
      </c>
      <c r="AD51" s="110" t="str" cm="1">
        <f t="array" ref="AD51">IFERROR(IF(B51 = "TRI Form R", IF(AB51 = 0, "Facility has no on-site water discharges between 2019-2023.",  IF(COUNTIF('Processed Non-zero TRI Data'!$I:$I,$H51)&gt;0,INDEX('Processed Non-zero TRI Data'!$A:$A,MATCH(1,($H51='Processed Non-zero TRI Data'!$I:$I)*(AB51='Processed Non-zero TRI Data'!$S:$S),0)))), VLOOKUP(H51, 'Form A Recent Reporting'!$L:$M, 2, FALSE)), ("N/A - Facility Does Not Report to TRI"))</f>
        <v>N/A - Facility Does Not Report to TRI</v>
      </c>
      <c r="AE51" s="109" cm="1">
        <f t="array" ref="AE51">IFERROR(_xlfn.XLOOKUP(1,  (MAX(IF(H51 = 'Processed Non-zero TRI Data'!$I:$I,'Processed Non-zero TRI Data'!$A:$A)) = 'Processed Non-zero TRI Data'!$A:$A)*('Processed Non-zero TRI Data'!$I:$I = H51), 'Processed Non-zero TRI Data'!$U:$U), "N/A- Facility Does Not Report to TRI")</f>
        <v>0</v>
      </c>
      <c r="AF51" s="33">
        <f t="shared" si="5"/>
        <v>0</v>
      </c>
      <c r="AG51" s="33" t="str" cm="1">
        <f t="array" ref="AG51">IF(COUNTIF('Processed Non-zero TRI Data'!$I:$I,$H51)&gt;0,MEDIAN(IF('Processed Non-zero TRI Data'!$I:$I=H51,'Processed Non-zero TRI Data'!$U:$U)), "N/A - Facility Does Not Report to TRI")</f>
        <v>N/A - Facility Does Not Report to TRI</v>
      </c>
      <c r="AH51" s="33" t="str">
        <f t="shared" si="6"/>
        <v>N/A - Facility Does Not Report to TRI</v>
      </c>
      <c r="AI51" s="33" t="str">
        <f>IF(COUNTIF('Processed Non-zero TRI Data'!$I:$I,$H51)&gt;0,_xlfn.MAXIFS('Processed Non-zero TRI Data'!$U:$U,'Processed Non-zero TRI Data'!$I:$I,$H51), "N/A - Facility Does Not Report to TRI")</f>
        <v>N/A - Facility Does Not Report to TRI</v>
      </c>
      <c r="AJ51" s="33" t="str">
        <f t="shared" si="7"/>
        <v>N/A - Facility Does Not Report to TRI</v>
      </c>
      <c r="AK51" s="110" t="str" cm="1">
        <f t="array" ref="AK51">IF(B51="TRI Form A",AD51,IF(AI51=0,"Facility has no transfers to POTWs between 2019-2023.",IF(COUNTIF('Processed Non-zero TRI Data'!$I:$I,$H51)&gt;0,INDEX('Processed Non-zero TRI Data'!$A:$A,MATCH(1,($H51='Processed Non-zero TRI Data'!$I:$I)*(AI51='Processed Non-zero TRI Data'!$U:$U),0)),"N/A - Facility Does Not Report to TRI")))</f>
        <v>N/A - Facility Does Not Report to TRI</v>
      </c>
      <c r="AL51" s="109" cm="1">
        <f t="array" ref="AL51">IFERROR(_xlfn.XLOOKUP(1,  (MAX(IF(H51 = 'Processed Non-zero TRI Data'!$I$2:$I$23,'Processed Non-zero TRI Data'!$A$2:$A$23)) = 'Processed Non-zero TRI Data'!$A$2:$A$23)*('Processed Non-zero TRI Data'!$I$2:$I$23 = H51), 'Processed Non-zero TRI Data'!$W$2:$W$23), "N/A- Facility Does Not Report to TRI")</f>
        <v>0</v>
      </c>
      <c r="AM51" s="33">
        <f t="shared" si="8"/>
        <v>0</v>
      </c>
      <c r="AN51" s="33" t="str" cm="1">
        <f t="array" ref="AN51">IF(COUNTIF('Processed Non-zero TRI Data'!$I:$I,$H51)&gt;0,MEDIAN(IF('Processed Non-zero TRI Data'!$I:$I=H51,'Processed Non-zero TRI Data'!$W:$W)), "N/A - Facility Does Not Report to TRI")</f>
        <v>N/A - Facility Does Not Report to TRI</v>
      </c>
      <c r="AO51" s="33" t="str">
        <f t="shared" si="9"/>
        <v>N/A - Facility Does Not Report to TRI</v>
      </c>
      <c r="AP51" s="33" t="str">
        <f>IF(COUNTIF('Processed Non-zero TRI Data'!$I:$I,$H51)&gt;0,_xlfn.MAXIFS('Processed Non-zero TRI Data'!$W:$W,'Processed Non-zero TRI Data'!$I:$I,$H51), "N/A - Facility Does Not Report to TRI")</f>
        <v>N/A - Facility Does Not Report to TRI</v>
      </c>
      <c r="AQ51" s="33" t="str">
        <f t="shared" si="10"/>
        <v>N/A - Facility Does Not Report to TRI</v>
      </c>
      <c r="AR51" s="110" t="str" cm="1">
        <f t="array" ref="AR51">IF(B51="TRI Form A",AD51,IF(AP51=0,"Facility has no transfers to non-POTWs between 2019-2023.",IF(COUNTIF('Processed Non-zero TRI Data'!$I:$I,$H51)&gt;0,INDEX('Processed Non-zero TRI Data'!$A:$A,MATCH(1,($H51='Processed Non-zero TRI Data'!$I:$I)*(AP51='Processed Non-zero TRI Data'!$W:$W),0)),"N/A - Facility Does Not Report to TRI")))</f>
        <v>N/A - Facility Does Not Report to TRI</v>
      </c>
    </row>
    <row r="52" spans="1:44" ht="29" x14ac:dyDescent="0.35">
      <c r="A52" s="34">
        <v>49</v>
      </c>
      <c r="B52" s="33" t="str">
        <f>IFERROR("TRI Form "&amp;VLOOKUP(H52,'Processed Non-zero TRI Data'!$I$2:$K$23,3,FALSE),"DMR")</f>
        <v>DMR</v>
      </c>
      <c r="C52" s="33" t="str">
        <f>VLOOKUP($D52, 'COU.OES Summary'!C:D, 2, FALSE)</f>
        <v> </v>
      </c>
      <c r="D52" s="33" t="str">
        <f>IFERROR(VLOOKUP($H52, 'Processed Non-zero TRI Data'!$I:$O, 7, FALSE), VLOOKUP($I52, 'Processed Non-zero DMR Data'!$K:$R, 8, FALSE))</f>
        <v>Waste handling, treatment, and disposal - Remediation or Monitoring</v>
      </c>
      <c r="E52" s="34" t="s">
        <v>195</v>
      </c>
      <c r="F52" s="34" t="s">
        <v>90</v>
      </c>
      <c r="G52" s="34" t="s">
        <v>91</v>
      </c>
      <c r="H52" s="34"/>
      <c r="I52" s="105">
        <v>110070208769</v>
      </c>
      <c r="J52" s="33" t="str">
        <f>IFERROR(VLOOKUP($I52, 'Processed Non-zero DMR Data'!$K:$U, 11, FALSE),"")</f>
        <v>LA0127268</v>
      </c>
      <c r="K52" s="33" t="str">
        <f>IFERROR(VLOOKUP($I52, 'Processed Non-zero DMR Data'!$K:$V, 12, FALSE),"Not Reported")</f>
        <v>Maple Fork-Bayou D'Inde</v>
      </c>
      <c r="L52" s="106">
        <f>IFERROR(VLOOKUP($I52, 'Processed Non-zero DMR Data'!$K:$W, 13, FALSE),"No Reach Code Reported")</f>
        <v>80802060301</v>
      </c>
      <c r="M52" s="107" t="str">
        <f>IFERROR(IFERROR(VLOOKUP(H52, 'Off-site Locations'!$K$3:$O$5, 5, FALSE), VLOOKUP(H52, 'Off-site Locations'!$B$3:$E$4, 4, FALSE)), "No Offsite Transfers")</f>
        <v>No Offsite Transfers</v>
      </c>
      <c r="N52" s="33">
        <f>VLOOKUP($D52, 'COU.OES Summary'!C:E, 3, FALSE)</f>
        <v>365</v>
      </c>
      <c r="O52" s="108">
        <f t="shared" si="0"/>
        <v>0</v>
      </c>
      <c r="P52" s="108">
        <f t="shared" si="1"/>
        <v>4.8884449999999999</v>
      </c>
      <c r="Q52" s="109" cm="1">
        <f t="array" ref="Q52">IFERROR(_xlfn.XLOOKUP(1,  (MAX(IF(I52 = 'Processed Non-zero DMR Data'!$K:$K,'Processed Non-zero DMR Data'!$A:$A)) = 'Processed Non-zero DMR Data'!$A:$A)*('Processed Non-zero DMR Data'!$K:$K = I52),'Processed Non-zero DMR Data'!$T:$T), "N/A- Facility Does Not Report DMRs")</f>
        <v>4.8884449999999999</v>
      </c>
      <c r="R52" s="33">
        <f t="shared" si="11"/>
        <v>1.3393E-2</v>
      </c>
      <c r="S52" s="33" cm="1">
        <f t="array" ref="S52">IF(COUNTIF('Processed Non-zero DMR Data'!$K:$K,$I52)&gt;0,MEDIAN(IF('Processed Non-zero DMR Data'!$K:$K=I52,'Processed Non-zero DMR Data'!$T:$T)),"N/A - Facility Does Not Report DMRs")</f>
        <v>4.8884449999999999</v>
      </c>
      <c r="T52" s="33">
        <f t="shared" si="12"/>
        <v>1.3393E-2</v>
      </c>
      <c r="U52" s="33">
        <f>IF(COUNTIF('Processed Non-zero DMR Data'!$K:$K,$I52)&gt;0,_xlfn.MAXIFS('Processed Non-zero DMR Data'!$T:$T,'Processed Non-zero DMR Data'!$K:$K,$I52), "N/A - Facility Does Not Report DMRs")</f>
        <v>4.8884449999999999</v>
      </c>
      <c r="V52" s="33">
        <f t="shared" si="13"/>
        <v>1.3393E-2</v>
      </c>
      <c r="W52" s="110" cm="1">
        <f t="array" ref="W52">IF(COUNTIF('Processed Non-zero DMR Data'!$K:$K,$I52)&gt;0,INDEX('Processed Non-zero DMR Data'!$A:$A,MATCH(1,($I52='Processed Non-zero DMR Data'!$K:$K)*($U52='Processed Non-zero DMR Data'!$T:$T),0)), "N/A - Facility Does Not Report DMRs")</f>
        <v>2019</v>
      </c>
      <c r="X52" s="109" cm="1">
        <f t="array" ref="X52">IFERROR(_xlfn.XLOOKUP(1,  (MAX(IF(H52 = 'Processed Non-zero TRI Data'!$I:$I,'Processed Non-zero TRI Data'!$A:$A)) = 'Processed Non-zero TRI Data'!$A:$A)*('Processed Non-zero TRI Data'!$I:$I = H52), 'Processed Non-zero TRI Data'!$S:$S), "N/A- Facility Does Not Report to TRI")</f>
        <v>0</v>
      </c>
      <c r="Y52" s="33">
        <f t="shared" si="2"/>
        <v>0</v>
      </c>
      <c r="Z52" s="33" t="str" cm="1">
        <f t="array" ref="Z52">IF(COUNTIF('Processed Non-zero TRI Data'!$I:$I,$H52)&gt;0,MEDIAN(IF('Processed Non-zero TRI Data'!$I:$I=H52,'Processed Non-zero TRI Data'!$S:$S)), "N/A - Facility Does Not Report to TRI")</f>
        <v>N/A - Facility Does Not Report to TRI</v>
      </c>
      <c r="AA52" s="33" t="str">
        <f t="shared" si="3"/>
        <v>N/A - Facility Does Not Report to TRI</v>
      </c>
      <c r="AB52" s="33" t="str">
        <f>IF(COUNTIF('Processed Non-zero TRI Data'!$I:$I,$H52)&gt;0,_xlfn.MAXIFS('Processed Non-zero TRI Data'!$S:$S,'Processed Non-zero TRI Data'!$I:$I,$H52), "N/A - Facility Does Not Report to TRI")</f>
        <v>N/A - Facility Does Not Report to TRI</v>
      </c>
      <c r="AC52" s="33" t="str">
        <f t="shared" si="4"/>
        <v>N/A - Facility Does Not Report to TRI</v>
      </c>
      <c r="AD52" s="110" t="str" cm="1">
        <f t="array" ref="AD52">IFERROR(IF(B52 = "TRI Form R", IF(AB52 = 0, "Facility has no on-site water discharges between 2019-2023.",  IF(COUNTIF('Processed Non-zero TRI Data'!$I:$I,$H52)&gt;0,INDEX('Processed Non-zero TRI Data'!$A:$A,MATCH(1,($H52='Processed Non-zero TRI Data'!$I:$I)*(AB52='Processed Non-zero TRI Data'!$S:$S),0)))), VLOOKUP(H52, 'Form A Recent Reporting'!$L:$M, 2, FALSE)), ("N/A - Facility Does Not Report to TRI"))</f>
        <v>N/A - Facility Does Not Report to TRI</v>
      </c>
      <c r="AE52" s="109" cm="1">
        <f t="array" ref="AE52">IFERROR(_xlfn.XLOOKUP(1,  (MAX(IF(H52 = 'Processed Non-zero TRI Data'!$I:$I,'Processed Non-zero TRI Data'!$A:$A)) = 'Processed Non-zero TRI Data'!$A:$A)*('Processed Non-zero TRI Data'!$I:$I = H52), 'Processed Non-zero TRI Data'!$U:$U), "N/A- Facility Does Not Report to TRI")</f>
        <v>0</v>
      </c>
      <c r="AF52" s="33">
        <f t="shared" si="5"/>
        <v>0</v>
      </c>
      <c r="AG52" s="33" t="str" cm="1">
        <f t="array" ref="AG52">IF(COUNTIF('Processed Non-zero TRI Data'!$I:$I,$H52)&gt;0,MEDIAN(IF('Processed Non-zero TRI Data'!$I:$I=H52,'Processed Non-zero TRI Data'!$U:$U)), "N/A - Facility Does Not Report to TRI")</f>
        <v>N/A - Facility Does Not Report to TRI</v>
      </c>
      <c r="AH52" s="33" t="str">
        <f t="shared" si="6"/>
        <v>N/A - Facility Does Not Report to TRI</v>
      </c>
      <c r="AI52" s="33" t="str">
        <f>IF(COUNTIF('Processed Non-zero TRI Data'!$I:$I,$H52)&gt;0,_xlfn.MAXIFS('Processed Non-zero TRI Data'!$U:$U,'Processed Non-zero TRI Data'!$I:$I,$H52), "N/A - Facility Does Not Report to TRI")</f>
        <v>N/A - Facility Does Not Report to TRI</v>
      </c>
      <c r="AJ52" s="33" t="str">
        <f t="shared" si="7"/>
        <v>N/A - Facility Does Not Report to TRI</v>
      </c>
      <c r="AK52" s="110" t="str" cm="1">
        <f t="array" ref="AK52">IF(B52="TRI Form A",AD52,IF(AI52=0,"Facility has no transfers to POTWs between 2019-2023.",IF(COUNTIF('Processed Non-zero TRI Data'!$I:$I,$H52)&gt;0,INDEX('Processed Non-zero TRI Data'!$A:$A,MATCH(1,($H52='Processed Non-zero TRI Data'!$I:$I)*(AI52='Processed Non-zero TRI Data'!$U:$U),0)),"N/A - Facility Does Not Report to TRI")))</f>
        <v>N/A - Facility Does Not Report to TRI</v>
      </c>
      <c r="AL52" s="109" cm="1">
        <f t="array" ref="AL52">IFERROR(_xlfn.XLOOKUP(1,  (MAX(IF(H52 = 'Processed Non-zero TRI Data'!$I$2:$I$23,'Processed Non-zero TRI Data'!$A$2:$A$23)) = 'Processed Non-zero TRI Data'!$A$2:$A$23)*('Processed Non-zero TRI Data'!$I$2:$I$23 = H52), 'Processed Non-zero TRI Data'!$W$2:$W$23), "N/A- Facility Does Not Report to TRI")</f>
        <v>0</v>
      </c>
      <c r="AM52" s="33">
        <f t="shared" si="8"/>
        <v>0</v>
      </c>
      <c r="AN52" s="33" t="str" cm="1">
        <f t="array" ref="AN52">IF(COUNTIF('Processed Non-zero TRI Data'!$I:$I,$H52)&gt;0,MEDIAN(IF('Processed Non-zero TRI Data'!$I:$I=H52,'Processed Non-zero TRI Data'!$W:$W)), "N/A - Facility Does Not Report to TRI")</f>
        <v>N/A - Facility Does Not Report to TRI</v>
      </c>
      <c r="AO52" s="33" t="str">
        <f t="shared" si="9"/>
        <v>N/A - Facility Does Not Report to TRI</v>
      </c>
      <c r="AP52" s="33" t="str">
        <f>IF(COUNTIF('Processed Non-zero TRI Data'!$I:$I,$H52)&gt;0,_xlfn.MAXIFS('Processed Non-zero TRI Data'!$W:$W,'Processed Non-zero TRI Data'!$I:$I,$H52), "N/A - Facility Does Not Report to TRI")</f>
        <v>N/A - Facility Does Not Report to TRI</v>
      </c>
      <c r="AQ52" s="33" t="str">
        <f t="shared" si="10"/>
        <v>N/A - Facility Does Not Report to TRI</v>
      </c>
      <c r="AR52" s="110" t="str" cm="1">
        <f t="array" ref="AR52">IF(B52="TRI Form A",AD52,IF(AP52=0,"Facility has no transfers to non-POTWs between 2019-2023.",IF(COUNTIF('Processed Non-zero TRI Data'!$I:$I,$H52)&gt;0,INDEX('Processed Non-zero TRI Data'!$A:$A,MATCH(1,($H52='Processed Non-zero TRI Data'!$I:$I)*(AP52='Processed Non-zero TRI Data'!$W:$W),0)),"N/A - Facility Does Not Report to TRI")))</f>
        <v>N/A - Facility Does Not Report to TRI</v>
      </c>
    </row>
    <row r="53" spans="1:44" ht="29" x14ac:dyDescent="0.35">
      <c r="A53" s="34">
        <v>50</v>
      </c>
      <c r="B53" s="33" t="str">
        <f>IFERROR("TRI Form "&amp;VLOOKUP(H53,'Processed Non-zero TRI Data'!$I$2:$K$23,3,FALSE),"DMR")</f>
        <v>DMR</v>
      </c>
      <c r="C53" s="33" t="str">
        <f>VLOOKUP($D53, 'COU.OES Summary'!C:D, 2, FALSE)</f>
        <v> </v>
      </c>
      <c r="D53" s="33" t="str">
        <f>IFERROR(VLOOKUP($H53, 'Processed Non-zero TRI Data'!$I:$O, 7, FALSE), VLOOKUP($I53, 'Processed Non-zero DMR Data'!$K:$R, 8, FALSE))</f>
        <v>Waste handling, treatment, and disposal - POTW</v>
      </c>
      <c r="E53" s="34" t="s">
        <v>196</v>
      </c>
      <c r="F53" s="34" t="s">
        <v>197</v>
      </c>
      <c r="G53" s="34" t="s">
        <v>108</v>
      </c>
      <c r="H53" s="34"/>
      <c r="I53" s="105">
        <v>110009696356</v>
      </c>
      <c r="J53" s="33" t="str">
        <f>IFERROR(VLOOKUP($I53, 'Processed Non-zero DMR Data'!$K:$U, 11, FALSE),"")</f>
        <v>KY0024317</v>
      </c>
      <c r="K53" s="33" t="str">
        <f>IFERROR(VLOOKUP($I53, 'Processed Non-zero DMR Data'!$K:$V, 12, FALSE),"Not Reported")</f>
        <v>Butler Branch-Russell Creek</v>
      </c>
      <c r="L53" s="106">
        <f>IFERROR(VLOOKUP($I53, 'Processed Non-zero DMR Data'!$K:$W, 13, FALSE),"No Reach Code Reported")</f>
        <v>51100010407</v>
      </c>
      <c r="M53" s="107" t="str">
        <f>IFERROR(IFERROR(VLOOKUP(H53, 'Off-site Locations'!$K$3:$O$5, 5, FALSE), VLOOKUP(H53, 'Off-site Locations'!$B$3:$E$4, 4, FALSE)), "No Offsite Transfers")</f>
        <v>No Offsite Transfers</v>
      </c>
      <c r="N53" s="33">
        <f>VLOOKUP($D53, 'COU.OES Summary'!C:E, 3, FALSE)</f>
        <v>365</v>
      </c>
      <c r="O53" s="108">
        <f t="shared" si="0"/>
        <v>0</v>
      </c>
      <c r="P53" s="108">
        <f t="shared" si="1"/>
        <v>4.6419240000000004</v>
      </c>
      <c r="Q53" s="109" cm="1">
        <f t="array" ref="Q53">IFERROR(_xlfn.XLOOKUP(1,  (MAX(IF(I53 = 'Processed Non-zero DMR Data'!$K:$K,'Processed Non-zero DMR Data'!$A:$A)) = 'Processed Non-zero DMR Data'!$A:$A)*('Processed Non-zero DMR Data'!$K:$K = I53),'Processed Non-zero DMR Data'!$T:$T), "N/A- Facility Does Not Report DMRs")</f>
        <v>1.90477759375</v>
      </c>
      <c r="R53" s="33">
        <f t="shared" si="11"/>
        <v>5.2185687500000003E-3</v>
      </c>
      <c r="S53" s="33" cm="1">
        <f t="array" ref="S53">IF(COUNTIF('Processed Non-zero DMR Data'!$K:$K,$I53)&gt;0,MEDIAN(IF('Processed Non-zero DMR Data'!$K:$K=I53,'Processed Non-zero DMR Data'!$T:$T)),"N/A - Facility Does Not Report DMRs")</f>
        <v>2.4763835625000001</v>
      </c>
      <c r="T53" s="33">
        <f t="shared" si="12"/>
        <v>6.7846125000000004E-3</v>
      </c>
      <c r="U53" s="33">
        <f>IF(COUNTIF('Processed Non-zero DMR Data'!$K:$K,$I53)&gt;0,_xlfn.MAXIFS('Processed Non-zero DMR Data'!$T:$T,'Processed Non-zero DMR Data'!$K:$K,$I53), "N/A - Facility Does Not Report DMRs")</f>
        <v>4.6419240000000004</v>
      </c>
      <c r="V53" s="33">
        <f t="shared" si="13"/>
        <v>1.2717600000000001E-2</v>
      </c>
      <c r="W53" s="110" cm="1">
        <f t="array" ref="W53">IF(COUNTIF('Processed Non-zero DMR Data'!$K:$K,$I53)&gt;0,INDEX('Processed Non-zero DMR Data'!$A:$A,MATCH(1,($I53='Processed Non-zero DMR Data'!$K:$K)*($U53='Processed Non-zero DMR Data'!$T:$T),0)), "N/A - Facility Does Not Report DMRs")</f>
        <v>2019</v>
      </c>
      <c r="X53" s="109" cm="1">
        <f t="array" ref="X53">IFERROR(_xlfn.XLOOKUP(1,  (MAX(IF(H53 = 'Processed Non-zero TRI Data'!$I:$I,'Processed Non-zero TRI Data'!$A:$A)) = 'Processed Non-zero TRI Data'!$A:$A)*('Processed Non-zero TRI Data'!$I:$I = H53), 'Processed Non-zero TRI Data'!$S:$S), "N/A- Facility Does Not Report to TRI")</f>
        <v>0</v>
      </c>
      <c r="Y53" s="33">
        <f t="shared" si="2"/>
        <v>0</v>
      </c>
      <c r="Z53" s="33" t="str" cm="1">
        <f t="array" ref="Z53">IF(COUNTIF('Processed Non-zero TRI Data'!$I:$I,$H53)&gt;0,MEDIAN(IF('Processed Non-zero TRI Data'!$I:$I=H53,'Processed Non-zero TRI Data'!$S:$S)), "N/A - Facility Does Not Report to TRI")</f>
        <v>N/A - Facility Does Not Report to TRI</v>
      </c>
      <c r="AA53" s="33" t="str">
        <f t="shared" si="3"/>
        <v>N/A - Facility Does Not Report to TRI</v>
      </c>
      <c r="AB53" s="33" t="str">
        <f>IF(COUNTIF('Processed Non-zero TRI Data'!$I:$I,$H53)&gt;0,_xlfn.MAXIFS('Processed Non-zero TRI Data'!$S:$S,'Processed Non-zero TRI Data'!$I:$I,$H53), "N/A - Facility Does Not Report to TRI")</f>
        <v>N/A - Facility Does Not Report to TRI</v>
      </c>
      <c r="AC53" s="33" t="str">
        <f t="shared" si="4"/>
        <v>N/A - Facility Does Not Report to TRI</v>
      </c>
      <c r="AD53" s="110" t="str" cm="1">
        <f t="array" ref="AD53">IFERROR(IF(B53 = "TRI Form R", IF(AB53 = 0, "Facility has no on-site water discharges between 2019-2023.",  IF(COUNTIF('Processed Non-zero TRI Data'!$I:$I,$H53)&gt;0,INDEX('Processed Non-zero TRI Data'!$A:$A,MATCH(1,($H53='Processed Non-zero TRI Data'!$I:$I)*(AB53='Processed Non-zero TRI Data'!$S:$S),0)))), VLOOKUP(H53, 'Form A Recent Reporting'!$L:$M, 2, FALSE)), ("N/A - Facility Does Not Report to TRI"))</f>
        <v>N/A - Facility Does Not Report to TRI</v>
      </c>
      <c r="AE53" s="109" cm="1">
        <f t="array" ref="AE53">IFERROR(_xlfn.XLOOKUP(1,  (MAX(IF(H53 = 'Processed Non-zero TRI Data'!$I:$I,'Processed Non-zero TRI Data'!$A:$A)) = 'Processed Non-zero TRI Data'!$A:$A)*('Processed Non-zero TRI Data'!$I:$I = H53), 'Processed Non-zero TRI Data'!$U:$U), "N/A- Facility Does Not Report to TRI")</f>
        <v>0</v>
      </c>
      <c r="AF53" s="33">
        <f t="shared" si="5"/>
        <v>0</v>
      </c>
      <c r="AG53" s="33" t="str" cm="1">
        <f t="array" ref="AG53">IF(COUNTIF('Processed Non-zero TRI Data'!$I:$I,$H53)&gt;0,MEDIAN(IF('Processed Non-zero TRI Data'!$I:$I=H53,'Processed Non-zero TRI Data'!$U:$U)), "N/A - Facility Does Not Report to TRI")</f>
        <v>N/A - Facility Does Not Report to TRI</v>
      </c>
      <c r="AH53" s="33" t="str">
        <f t="shared" si="6"/>
        <v>N/A - Facility Does Not Report to TRI</v>
      </c>
      <c r="AI53" s="33" t="str">
        <f>IF(COUNTIF('Processed Non-zero TRI Data'!$I:$I,$H53)&gt;0,_xlfn.MAXIFS('Processed Non-zero TRI Data'!$U:$U,'Processed Non-zero TRI Data'!$I:$I,$H53), "N/A - Facility Does Not Report to TRI")</f>
        <v>N/A - Facility Does Not Report to TRI</v>
      </c>
      <c r="AJ53" s="33" t="str">
        <f t="shared" si="7"/>
        <v>N/A - Facility Does Not Report to TRI</v>
      </c>
      <c r="AK53" s="110" t="str" cm="1">
        <f t="array" ref="AK53">IF(B53="TRI Form A",AD53,IF(AI53=0,"Facility has no transfers to POTWs between 2019-2023.",IF(COUNTIF('Processed Non-zero TRI Data'!$I:$I,$H53)&gt;0,INDEX('Processed Non-zero TRI Data'!$A:$A,MATCH(1,($H53='Processed Non-zero TRI Data'!$I:$I)*(AI53='Processed Non-zero TRI Data'!$U:$U),0)),"N/A - Facility Does Not Report to TRI")))</f>
        <v>N/A - Facility Does Not Report to TRI</v>
      </c>
      <c r="AL53" s="109" cm="1">
        <f t="array" ref="AL53">IFERROR(_xlfn.XLOOKUP(1,  (MAX(IF(H53 = 'Processed Non-zero TRI Data'!$I$2:$I$23,'Processed Non-zero TRI Data'!$A$2:$A$23)) = 'Processed Non-zero TRI Data'!$A$2:$A$23)*('Processed Non-zero TRI Data'!$I$2:$I$23 = H53), 'Processed Non-zero TRI Data'!$W$2:$W$23), "N/A- Facility Does Not Report to TRI")</f>
        <v>0</v>
      </c>
      <c r="AM53" s="33">
        <f t="shared" si="8"/>
        <v>0</v>
      </c>
      <c r="AN53" s="33" t="str" cm="1">
        <f t="array" ref="AN53">IF(COUNTIF('Processed Non-zero TRI Data'!$I:$I,$H53)&gt;0,MEDIAN(IF('Processed Non-zero TRI Data'!$I:$I=H53,'Processed Non-zero TRI Data'!$W:$W)), "N/A - Facility Does Not Report to TRI")</f>
        <v>N/A - Facility Does Not Report to TRI</v>
      </c>
      <c r="AO53" s="33" t="str">
        <f t="shared" si="9"/>
        <v>N/A - Facility Does Not Report to TRI</v>
      </c>
      <c r="AP53" s="33" t="str">
        <f>IF(COUNTIF('Processed Non-zero TRI Data'!$I:$I,$H53)&gt;0,_xlfn.MAXIFS('Processed Non-zero TRI Data'!$W:$W,'Processed Non-zero TRI Data'!$I:$I,$H53), "N/A - Facility Does Not Report to TRI")</f>
        <v>N/A - Facility Does Not Report to TRI</v>
      </c>
      <c r="AQ53" s="33" t="str">
        <f t="shared" si="10"/>
        <v>N/A - Facility Does Not Report to TRI</v>
      </c>
      <c r="AR53" s="110" t="str" cm="1">
        <f t="array" ref="AR53">IF(B53="TRI Form A",AD53,IF(AP53=0,"Facility has no transfers to non-POTWs between 2019-2023.",IF(COUNTIF('Processed Non-zero TRI Data'!$I:$I,$H53)&gt;0,INDEX('Processed Non-zero TRI Data'!$A:$A,MATCH(1,($H53='Processed Non-zero TRI Data'!$I:$I)*(AP53='Processed Non-zero TRI Data'!$W:$W),0)),"N/A - Facility Does Not Report to TRI")))</f>
        <v>N/A - Facility Does Not Report to TRI</v>
      </c>
    </row>
    <row r="54" spans="1:44" ht="29" x14ac:dyDescent="0.35">
      <c r="A54" s="34">
        <v>51</v>
      </c>
      <c r="B54" s="33" t="str">
        <f>IFERROR("TRI Form "&amp;VLOOKUP(H54,'Processed Non-zero TRI Data'!$I$2:$K$23,3,FALSE),"DMR")</f>
        <v>DMR</v>
      </c>
      <c r="C54" s="33" t="str">
        <f>VLOOKUP($D54, 'COU.OES Summary'!C:D, 2, FALSE)</f>
        <v> </v>
      </c>
      <c r="D54" s="33" t="str">
        <f>IFERROR(VLOOKUP($H54, 'Processed Non-zero TRI Data'!$I:$O, 7, FALSE), VLOOKUP($I54, 'Processed Non-zero DMR Data'!$K:$R, 8, FALSE))</f>
        <v>Waste handling, treatment, and disposal - Remediation or Monitoring</v>
      </c>
      <c r="E54" s="34" t="s">
        <v>198</v>
      </c>
      <c r="F54" s="34" t="s">
        <v>199</v>
      </c>
      <c r="G54" s="34" t="s">
        <v>129</v>
      </c>
      <c r="H54" s="34"/>
      <c r="I54" s="105">
        <v>110000440416</v>
      </c>
      <c r="J54" s="33" t="str">
        <f>IFERROR(VLOOKUP($I54, 'Processed Non-zero DMR Data'!$K:$U, 11, FALSE),"")</f>
        <v>MO0000761</v>
      </c>
      <c r="K54" s="33" t="str">
        <f>IFERROR(VLOOKUP($I54, 'Processed Non-zero DMR Data'!$K:$V, 12, FALSE),"Not Reported")</f>
        <v>Middle Joachim Creek</v>
      </c>
      <c r="L54" s="106">
        <f>IFERROR(VLOOKUP($I54, 'Processed Non-zero DMR Data'!$K:$W, 13, FALSE),"No Reach Code Reported")</f>
        <v>71401010802</v>
      </c>
      <c r="M54" s="107" t="str">
        <f>IFERROR(IFERROR(VLOOKUP(H54, 'Off-site Locations'!$K$3:$O$5, 5, FALSE), VLOOKUP(H54, 'Off-site Locations'!$B$3:$E$4, 4, FALSE)), "No Offsite Transfers")</f>
        <v>No Offsite Transfers</v>
      </c>
      <c r="N54" s="33">
        <f>VLOOKUP($D54, 'COU.OES Summary'!C:E, 3, FALSE)</f>
        <v>365</v>
      </c>
      <c r="O54" s="108">
        <f t="shared" si="0"/>
        <v>0</v>
      </c>
      <c r="P54" s="108">
        <f t="shared" si="1"/>
        <v>6.4206455336149997</v>
      </c>
      <c r="Q54" s="109" cm="1">
        <f t="array" ref="Q54">IFERROR(_xlfn.XLOOKUP(1,  (MAX(IF(I54 = 'Processed Non-zero DMR Data'!$K:$K,'Processed Non-zero DMR Data'!$A:$A)) = 'Processed Non-zero DMR Data'!$A:$A)*('Processed Non-zero DMR Data'!$K:$K = I54),'Processed Non-zero DMR Data'!$T:$T), "N/A- Facility Does Not Report DMRs")</f>
        <v>1.5904569999999999E-4</v>
      </c>
      <c r="R54" s="33">
        <f t="shared" si="11"/>
        <v>4.3574164383561641E-7</v>
      </c>
      <c r="S54" s="33" cm="1">
        <f t="array" ref="S54">IF(COUNTIF('Processed Non-zero DMR Data'!$K:$K,$I54)&gt;0,MEDIAN(IF('Processed Non-zero DMR Data'!$K:$K=I54,'Processed Non-zero DMR Data'!$T:$T)),"N/A - Facility Does Not Report DMRs")</f>
        <v>3.9700816968349999</v>
      </c>
      <c r="T54" s="33">
        <f t="shared" si="12"/>
        <v>1.0876936155712329E-2</v>
      </c>
      <c r="U54" s="33">
        <f>IF(COUNTIF('Processed Non-zero DMR Data'!$K:$K,$I54)&gt;0,_xlfn.MAXIFS('Processed Non-zero DMR Data'!$T:$T,'Processed Non-zero DMR Data'!$K:$K,$I54), "N/A - Facility Does Not Report DMRs")</f>
        <v>6.4206455336149997</v>
      </c>
      <c r="V54" s="33">
        <f t="shared" si="13"/>
        <v>1.7590809681136986E-2</v>
      </c>
      <c r="W54" s="110" cm="1">
        <f t="array" ref="W54">IF(COUNTIF('Processed Non-zero DMR Data'!$K:$K,$I54)&gt;0,INDEX('Processed Non-zero DMR Data'!$A:$A,MATCH(1,($I54='Processed Non-zero DMR Data'!$K:$K)*($U54='Processed Non-zero DMR Data'!$T:$T),0)), "N/A - Facility Does Not Report DMRs")</f>
        <v>2019</v>
      </c>
      <c r="X54" s="109" cm="1">
        <f t="array" ref="X54">IFERROR(_xlfn.XLOOKUP(1,  (MAX(IF(H54 = 'Processed Non-zero TRI Data'!$I:$I,'Processed Non-zero TRI Data'!$A:$A)) = 'Processed Non-zero TRI Data'!$A:$A)*('Processed Non-zero TRI Data'!$I:$I = H54), 'Processed Non-zero TRI Data'!$S:$S), "N/A- Facility Does Not Report to TRI")</f>
        <v>0</v>
      </c>
      <c r="Y54" s="33">
        <f t="shared" si="2"/>
        <v>0</v>
      </c>
      <c r="Z54" s="33" t="str" cm="1">
        <f t="array" ref="Z54">IF(COUNTIF('Processed Non-zero TRI Data'!$I:$I,$H54)&gt;0,MEDIAN(IF('Processed Non-zero TRI Data'!$I:$I=H54,'Processed Non-zero TRI Data'!$S:$S)), "N/A - Facility Does Not Report to TRI")</f>
        <v>N/A - Facility Does Not Report to TRI</v>
      </c>
      <c r="AA54" s="33" t="str">
        <f t="shared" si="3"/>
        <v>N/A - Facility Does Not Report to TRI</v>
      </c>
      <c r="AB54" s="33" t="str">
        <f>IF(COUNTIF('Processed Non-zero TRI Data'!$I:$I,$H54)&gt;0,_xlfn.MAXIFS('Processed Non-zero TRI Data'!$S:$S,'Processed Non-zero TRI Data'!$I:$I,$H54), "N/A - Facility Does Not Report to TRI")</f>
        <v>N/A - Facility Does Not Report to TRI</v>
      </c>
      <c r="AC54" s="33" t="str">
        <f t="shared" si="4"/>
        <v>N/A - Facility Does Not Report to TRI</v>
      </c>
      <c r="AD54" s="110" t="str" cm="1">
        <f t="array" ref="AD54">IFERROR(IF(B54 = "TRI Form R", IF(AB54 = 0, "Facility has no on-site water discharges between 2019-2023.",  IF(COUNTIF('Processed Non-zero TRI Data'!$I:$I,$H54)&gt;0,INDEX('Processed Non-zero TRI Data'!$A:$A,MATCH(1,($H54='Processed Non-zero TRI Data'!$I:$I)*(AB54='Processed Non-zero TRI Data'!$S:$S),0)))), VLOOKUP(H54, 'Form A Recent Reporting'!$L:$M, 2, FALSE)), ("N/A - Facility Does Not Report to TRI"))</f>
        <v>N/A - Facility Does Not Report to TRI</v>
      </c>
      <c r="AE54" s="109" cm="1">
        <f t="array" ref="AE54">IFERROR(_xlfn.XLOOKUP(1,  (MAX(IF(H54 = 'Processed Non-zero TRI Data'!$I:$I,'Processed Non-zero TRI Data'!$A:$A)) = 'Processed Non-zero TRI Data'!$A:$A)*('Processed Non-zero TRI Data'!$I:$I = H54), 'Processed Non-zero TRI Data'!$U:$U), "N/A- Facility Does Not Report to TRI")</f>
        <v>0</v>
      </c>
      <c r="AF54" s="33">
        <f t="shared" si="5"/>
        <v>0</v>
      </c>
      <c r="AG54" s="33" t="str" cm="1">
        <f t="array" ref="AG54">IF(COUNTIF('Processed Non-zero TRI Data'!$I:$I,$H54)&gt;0,MEDIAN(IF('Processed Non-zero TRI Data'!$I:$I=H54,'Processed Non-zero TRI Data'!$U:$U)), "N/A - Facility Does Not Report to TRI")</f>
        <v>N/A - Facility Does Not Report to TRI</v>
      </c>
      <c r="AH54" s="33" t="str">
        <f t="shared" si="6"/>
        <v>N/A - Facility Does Not Report to TRI</v>
      </c>
      <c r="AI54" s="33" t="str">
        <f>IF(COUNTIF('Processed Non-zero TRI Data'!$I:$I,$H54)&gt;0,_xlfn.MAXIFS('Processed Non-zero TRI Data'!$U:$U,'Processed Non-zero TRI Data'!$I:$I,$H54), "N/A - Facility Does Not Report to TRI")</f>
        <v>N/A - Facility Does Not Report to TRI</v>
      </c>
      <c r="AJ54" s="33" t="str">
        <f t="shared" si="7"/>
        <v>N/A - Facility Does Not Report to TRI</v>
      </c>
      <c r="AK54" s="110" t="str" cm="1">
        <f t="array" ref="AK54">IF(B54="TRI Form A",AD54,IF(AI54=0,"Facility has no transfers to POTWs between 2019-2023.",IF(COUNTIF('Processed Non-zero TRI Data'!$I:$I,$H54)&gt;0,INDEX('Processed Non-zero TRI Data'!$A:$A,MATCH(1,($H54='Processed Non-zero TRI Data'!$I:$I)*(AI54='Processed Non-zero TRI Data'!$U:$U),0)),"N/A - Facility Does Not Report to TRI")))</f>
        <v>N/A - Facility Does Not Report to TRI</v>
      </c>
      <c r="AL54" s="109" cm="1">
        <f t="array" ref="AL54">IFERROR(_xlfn.XLOOKUP(1,  (MAX(IF(H54 = 'Processed Non-zero TRI Data'!$I$2:$I$23,'Processed Non-zero TRI Data'!$A$2:$A$23)) = 'Processed Non-zero TRI Data'!$A$2:$A$23)*('Processed Non-zero TRI Data'!$I$2:$I$23 = H54), 'Processed Non-zero TRI Data'!$W$2:$W$23), "N/A- Facility Does Not Report to TRI")</f>
        <v>0</v>
      </c>
      <c r="AM54" s="33">
        <f t="shared" si="8"/>
        <v>0</v>
      </c>
      <c r="AN54" s="33" t="str" cm="1">
        <f t="array" ref="AN54">IF(COUNTIF('Processed Non-zero TRI Data'!$I:$I,$H54)&gt;0,MEDIAN(IF('Processed Non-zero TRI Data'!$I:$I=H54,'Processed Non-zero TRI Data'!$W:$W)), "N/A - Facility Does Not Report to TRI")</f>
        <v>N/A - Facility Does Not Report to TRI</v>
      </c>
      <c r="AO54" s="33" t="str">
        <f t="shared" si="9"/>
        <v>N/A - Facility Does Not Report to TRI</v>
      </c>
      <c r="AP54" s="33" t="str">
        <f>IF(COUNTIF('Processed Non-zero TRI Data'!$I:$I,$H54)&gt;0,_xlfn.MAXIFS('Processed Non-zero TRI Data'!$W:$W,'Processed Non-zero TRI Data'!$I:$I,$H54), "N/A - Facility Does Not Report to TRI")</f>
        <v>N/A - Facility Does Not Report to TRI</v>
      </c>
      <c r="AQ54" s="33" t="str">
        <f t="shared" si="10"/>
        <v>N/A - Facility Does Not Report to TRI</v>
      </c>
      <c r="AR54" s="110" t="str" cm="1">
        <f t="array" ref="AR54">IF(B54="TRI Form A",AD54,IF(AP54=0,"Facility has no transfers to non-POTWs between 2019-2023.",IF(COUNTIF('Processed Non-zero TRI Data'!$I:$I,$H54)&gt;0,INDEX('Processed Non-zero TRI Data'!$A:$A,MATCH(1,($H54='Processed Non-zero TRI Data'!$I:$I)*(AP54='Processed Non-zero TRI Data'!$W:$W),0)),"N/A - Facility Does Not Report to TRI")))</f>
        <v>N/A - Facility Does Not Report to TRI</v>
      </c>
    </row>
    <row r="55" spans="1:44" ht="29" x14ac:dyDescent="0.35">
      <c r="A55" s="34">
        <v>52</v>
      </c>
      <c r="B55" s="33" t="str">
        <f>IFERROR("TRI Form "&amp;VLOOKUP(H55,'Processed Non-zero TRI Data'!$I$2:$K$23,3,FALSE),"DMR")</f>
        <v>DMR</v>
      </c>
      <c r="C55" s="33" t="str">
        <f>VLOOKUP($D55, 'COU.OES Summary'!C:D, 2, FALSE)</f>
        <v> </v>
      </c>
      <c r="D55" s="33" t="str">
        <f>IFERROR(VLOOKUP($H55, 'Processed Non-zero TRI Data'!$I:$O, 7, FALSE), VLOOKUP($I55, 'Processed Non-zero DMR Data'!$K:$R, 8, FALSE))</f>
        <v>Waste handling, treatment, and disposal - Remediation or Monitoring</v>
      </c>
      <c r="E55" s="34" t="s">
        <v>200</v>
      </c>
      <c r="F55" s="34" t="s">
        <v>201</v>
      </c>
      <c r="G55" s="34" t="s">
        <v>202</v>
      </c>
      <c r="H55" s="34"/>
      <c r="I55" s="105">
        <v>110017432937</v>
      </c>
      <c r="J55" s="33" t="str">
        <f>IFERROR(VLOOKUP($I55, 'Processed Non-zero DMR Data'!$K:$U, 11, FALSE),"")</f>
        <v>AR0035386</v>
      </c>
      <c r="K55" s="33" t="str">
        <f>IFERROR(VLOOKUP($I55, 'Processed Non-zero DMR Data'!$K:$V, 12, FALSE),"Not Reported")</f>
        <v>Big Creek-White River</v>
      </c>
      <c r="L55" s="106">
        <f>IFERROR(VLOOKUP($I55, 'Processed Non-zero DMR Data'!$K:$W, 13, FALSE),"No Reach Code Reported")</f>
        <v>110100040704</v>
      </c>
      <c r="M55" s="107" t="str">
        <f>IFERROR(IFERROR(VLOOKUP(H55, 'Off-site Locations'!$K$3:$O$5, 5, FALSE), VLOOKUP(H55, 'Off-site Locations'!$B$3:$E$4, 4, FALSE)), "No Offsite Transfers")</f>
        <v>No Offsite Transfers</v>
      </c>
      <c r="N55" s="33">
        <f>VLOOKUP($D55, 'COU.OES Summary'!C:E, 3, FALSE)</f>
        <v>365</v>
      </c>
      <c r="O55" s="108">
        <f t="shared" si="0"/>
        <v>0</v>
      </c>
      <c r="P55" s="108">
        <f t="shared" si="1"/>
        <v>4.5740499999999997</v>
      </c>
      <c r="Q55" s="109" cm="1">
        <f t="array" ref="Q55">IFERROR(_xlfn.XLOOKUP(1,  (MAX(IF(I55 = 'Processed Non-zero DMR Data'!$K:$K,'Processed Non-zero DMR Data'!$A:$A)) = 'Processed Non-zero DMR Data'!$A:$A)*('Processed Non-zero DMR Data'!$K:$K = I55),'Processed Non-zero DMR Data'!$T:$T), "N/A- Facility Does Not Report DMRs")</f>
        <v>1.65029</v>
      </c>
      <c r="R55" s="33">
        <f t="shared" si="11"/>
        <v>4.5213424657534248E-3</v>
      </c>
      <c r="S55" s="33" cm="1">
        <f t="array" ref="S55">IF(COUNTIF('Processed Non-zero DMR Data'!$K:$K,$I55)&gt;0,MEDIAN(IF('Processed Non-zero DMR Data'!$K:$K=I55,'Processed Non-zero DMR Data'!$T:$T)),"N/A - Facility Does Not Report DMRs")</f>
        <v>2.0679699999999999</v>
      </c>
      <c r="T55" s="33">
        <f t="shared" si="12"/>
        <v>5.6656712328767116E-3</v>
      </c>
      <c r="U55" s="33">
        <f>IF(COUNTIF('Processed Non-zero DMR Data'!$K:$K,$I55)&gt;0,_xlfn.MAXIFS('Processed Non-zero DMR Data'!$T:$T,'Processed Non-zero DMR Data'!$K:$K,$I55), "N/A - Facility Does Not Report DMRs")</f>
        <v>4.5740499999999997</v>
      </c>
      <c r="V55" s="33">
        <f t="shared" si="13"/>
        <v>1.2531643835616437E-2</v>
      </c>
      <c r="W55" s="110" cm="1">
        <f t="array" ref="W55">IF(COUNTIF('Processed Non-zero DMR Data'!$K:$K,$I55)&gt;0,INDEX('Processed Non-zero DMR Data'!$A:$A,MATCH(1,($I55='Processed Non-zero DMR Data'!$K:$K)*($U55='Processed Non-zero DMR Data'!$T:$T),0)), "N/A - Facility Does Not Report DMRs")</f>
        <v>2019</v>
      </c>
      <c r="X55" s="109" cm="1">
        <f t="array" ref="X55">IFERROR(_xlfn.XLOOKUP(1,  (MAX(IF(H55 = 'Processed Non-zero TRI Data'!$I:$I,'Processed Non-zero TRI Data'!$A:$A)) = 'Processed Non-zero TRI Data'!$A:$A)*('Processed Non-zero TRI Data'!$I:$I = H55), 'Processed Non-zero TRI Data'!$S:$S), "N/A- Facility Does Not Report to TRI")</f>
        <v>0</v>
      </c>
      <c r="Y55" s="33">
        <f t="shared" si="2"/>
        <v>0</v>
      </c>
      <c r="Z55" s="33" t="str" cm="1">
        <f t="array" ref="Z55">IF(COUNTIF('Processed Non-zero TRI Data'!$I:$I,$H55)&gt;0,MEDIAN(IF('Processed Non-zero TRI Data'!$I:$I=H55,'Processed Non-zero TRI Data'!$S:$S)), "N/A - Facility Does Not Report to TRI")</f>
        <v>N/A - Facility Does Not Report to TRI</v>
      </c>
      <c r="AA55" s="33" t="str">
        <f t="shared" si="3"/>
        <v>N/A - Facility Does Not Report to TRI</v>
      </c>
      <c r="AB55" s="33" t="str">
        <f>IF(COUNTIF('Processed Non-zero TRI Data'!$I:$I,$H55)&gt;0,_xlfn.MAXIFS('Processed Non-zero TRI Data'!$S:$S,'Processed Non-zero TRI Data'!$I:$I,$H55), "N/A - Facility Does Not Report to TRI")</f>
        <v>N/A - Facility Does Not Report to TRI</v>
      </c>
      <c r="AC55" s="33" t="str">
        <f t="shared" si="4"/>
        <v>N/A - Facility Does Not Report to TRI</v>
      </c>
      <c r="AD55" s="110" t="str" cm="1">
        <f t="array" ref="AD55">IFERROR(IF(B55 = "TRI Form R", IF(AB55 = 0, "Facility has no on-site water discharges between 2019-2023.",  IF(COUNTIF('Processed Non-zero TRI Data'!$I:$I,$H55)&gt;0,INDEX('Processed Non-zero TRI Data'!$A:$A,MATCH(1,($H55='Processed Non-zero TRI Data'!$I:$I)*(AB55='Processed Non-zero TRI Data'!$S:$S),0)))), VLOOKUP(H55, 'Form A Recent Reporting'!$L:$M, 2, FALSE)), ("N/A - Facility Does Not Report to TRI"))</f>
        <v>N/A - Facility Does Not Report to TRI</v>
      </c>
      <c r="AE55" s="109" cm="1">
        <f t="array" ref="AE55">IFERROR(_xlfn.XLOOKUP(1,  (MAX(IF(H55 = 'Processed Non-zero TRI Data'!$I:$I,'Processed Non-zero TRI Data'!$A:$A)) = 'Processed Non-zero TRI Data'!$A:$A)*('Processed Non-zero TRI Data'!$I:$I = H55), 'Processed Non-zero TRI Data'!$U:$U), "N/A- Facility Does Not Report to TRI")</f>
        <v>0</v>
      </c>
      <c r="AF55" s="33">
        <f t="shared" si="5"/>
        <v>0</v>
      </c>
      <c r="AG55" s="33" t="str" cm="1">
        <f t="array" ref="AG55">IF(COUNTIF('Processed Non-zero TRI Data'!$I:$I,$H55)&gt;0,MEDIAN(IF('Processed Non-zero TRI Data'!$I:$I=H55,'Processed Non-zero TRI Data'!$U:$U)), "N/A - Facility Does Not Report to TRI")</f>
        <v>N/A - Facility Does Not Report to TRI</v>
      </c>
      <c r="AH55" s="33" t="str">
        <f t="shared" si="6"/>
        <v>N/A - Facility Does Not Report to TRI</v>
      </c>
      <c r="AI55" s="33" t="str">
        <f>IF(COUNTIF('Processed Non-zero TRI Data'!$I:$I,$H55)&gt;0,_xlfn.MAXIFS('Processed Non-zero TRI Data'!$U:$U,'Processed Non-zero TRI Data'!$I:$I,$H55), "N/A - Facility Does Not Report to TRI")</f>
        <v>N/A - Facility Does Not Report to TRI</v>
      </c>
      <c r="AJ55" s="33" t="str">
        <f t="shared" si="7"/>
        <v>N/A - Facility Does Not Report to TRI</v>
      </c>
      <c r="AK55" s="110" t="str" cm="1">
        <f t="array" ref="AK55">IF(B55="TRI Form A",AD55,IF(AI55=0,"Facility has no transfers to POTWs between 2019-2023.",IF(COUNTIF('Processed Non-zero TRI Data'!$I:$I,$H55)&gt;0,INDEX('Processed Non-zero TRI Data'!$A:$A,MATCH(1,($H55='Processed Non-zero TRI Data'!$I:$I)*(AI55='Processed Non-zero TRI Data'!$U:$U),0)),"N/A - Facility Does Not Report to TRI")))</f>
        <v>N/A - Facility Does Not Report to TRI</v>
      </c>
      <c r="AL55" s="109" cm="1">
        <f t="array" ref="AL55">IFERROR(_xlfn.XLOOKUP(1,  (MAX(IF(H55 = 'Processed Non-zero TRI Data'!$I$2:$I$23,'Processed Non-zero TRI Data'!$A$2:$A$23)) = 'Processed Non-zero TRI Data'!$A$2:$A$23)*('Processed Non-zero TRI Data'!$I$2:$I$23 = H55), 'Processed Non-zero TRI Data'!$W$2:$W$23), "N/A- Facility Does Not Report to TRI")</f>
        <v>0</v>
      </c>
      <c r="AM55" s="33">
        <f t="shared" si="8"/>
        <v>0</v>
      </c>
      <c r="AN55" s="33" t="str" cm="1">
        <f t="array" ref="AN55">IF(COUNTIF('Processed Non-zero TRI Data'!$I:$I,$H55)&gt;0,MEDIAN(IF('Processed Non-zero TRI Data'!$I:$I=H55,'Processed Non-zero TRI Data'!$W:$W)), "N/A - Facility Does Not Report to TRI")</f>
        <v>N/A - Facility Does Not Report to TRI</v>
      </c>
      <c r="AO55" s="33" t="str">
        <f t="shared" si="9"/>
        <v>N/A - Facility Does Not Report to TRI</v>
      </c>
      <c r="AP55" s="33" t="str">
        <f>IF(COUNTIF('Processed Non-zero TRI Data'!$I:$I,$H55)&gt;0,_xlfn.MAXIFS('Processed Non-zero TRI Data'!$W:$W,'Processed Non-zero TRI Data'!$I:$I,$H55), "N/A - Facility Does Not Report to TRI")</f>
        <v>N/A - Facility Does Not Report to TRI</v>
      </c>
      <c r="AQ55" s="33" t="str">
        <f t="shared" si="10"/>
        <v>N/A - Facility Does Not Report to TRI</v>
      </c>
      <c r="AR55" s="110" t="str" cm="1">
        <f t="array" ref="AR55">IF(B55="TRI Form A",AD55,IF(AP55=0,"Facility has no transfers to non-POTWs between 2019-2023.",IF(COUNTIF('Processed Non-zero TRI Data'!$I:$I,$H55)&gt;0,INDEX('Processed Non-zero TRI Data'!$A:$A,MATCH(1,($H55='Processed Non-zero TRI Data'!$I:$I)*(AP55='Processed Non-zero TRI Data'!$W:$W),0)),"N/A - Facility Does Not Report to TRI")))</f>
        <v>N/A - Facility Does Not Report to TRI</v>
      </c>
    </row>
    <row r="56" spans="1:44" ht="29" x14ac:dyDescent="0.35">
      <c r="A56" s="34">
        <v>53</v>
      </c>
      <c r="B56" s="33" t="str">
        <f>IFERROR("TRI Form "&amp;VLOOKUP(H56,'Processed Non-zero TRI Data'!$I$2:$K$23,3,FALSE),"DMR")</f>
        <v>DMR</v>
      </c>
      <c r="C56" s="33" t="str">
        <f>VLOOKUP($D56, 'COU.OES Summary'!C:D, 2, FALSE)</f>
        <v> </v>
      </c>
      <c r="D56" s="33" t="str">
        <f>IFERROR(VLOOKUP($H56, 'Processed Non-zero TRI Data'!$I:$O, 7, FALSE), VLOOKUP($I56, 'Processed Non-zero DMR Data'!$K:$R, 8, FALSE))</f>
        <v>Waste handling, treatment, and disposal - POTW</v>
      </c>
      <c r="E56" s="34" t="s">
        <v>203</v>
      </c>
      <c r="F56" s="34" t="s">
        <v>165</v>
      </c>
      <c r="G56" s="34" t="s">
        <v>108</v>
      </c>
      <c r="H56" s="34"/>
      <c r="I56" s="105">
        <v>110000759741</v>
      </c>
      <c r="J56" s="33" t="str">
        <f>IFERROR(VLOOKUP($I56, 'Processed Non-zero DMR Data'!$K:$U, 11, FALSE),"")</f>
        <v>KY0082007</v>
      </c>
      <c r="K56" s="33" t="str">
        <f>IFERROR(VLOOKUP($I56, 'Processed Non-zero DMR Data'!$K:$V, 12, FALSE),"Not Reported")</f>
        <v>Boyd Run-North Elkhorn Creek</v>
      </c>
      <c r="L56" s="106">
        <f>IFERROR(VLOOKUP($I56, 'Processed Non-zero DMR Data'!$K:$W, 13, FALSE),"No Reach Code Reported")</f>
        <v>51002050803</v>
      </c>
      <c r="M56" s="107" t="str">
        <f>IFERROR(IFERROR(VLOOKUP(H56, 'Off-site Locations'!$K$3:$O$5, 5, FALSE), VLOOKUP(H56, 'Off-site Locations'!$B$3:$E$4, 4, FALSE)), "No Offsite Transfers")</f>
        <v>No Offsite Transfers</v>
      </c>
      <c r="N56" s="33">
        <f>VLOOKUP($D56, 'COU.OES Summary'!C:E, 3, FALSE)</f>
        <v>365</v>
      </c>
      <c r="O56" s="108">
        <f t="shared" si="0"/>
        <v>0</v>
      </c>
      <c r="P56" s="108">
        <f t="shared" si="1"/>
        <v>4.5728477500000002</v>
      </c>
      <c r="Q56" s="109" cm="1">
        <f t="array" ref="Q56">IFERROR(_xlfn.XLOOKUP(1,  (MAX(IF(I56 = 'Processed Non-zero DMR Data'!$K:$K,'Processed Non-zero DMR Data'!$A:$A)) = 'Processed Non-zero DMR Data'!$A:$A)*('Processed Non-zero DMR Data'!$K:$K = I56),'Processed Non-zero DMR Data'!$T:$T), "N/A- Facility Does Not Report DMRs")</f>
        <v>4.0789525624999996</v>
      </c>
      <c r="R56" s="33">
        <f t="shared" si="11"/>
        <v>1.1175212499999998E-2</v>
      </c>
      <c r="S56" s="33" cm="1">
        <f t="array" ref="S56">IF(COUNTIF('Processed Non-zero DMR Data'!$K:$K,$I56)&gt;0,MEDIAN(IF('Processed Non-zero DMR Data'!$K:$K=I56,'Processed Non-zero DMR Data'!$T:$T)),"N/A - Facility Does Not Report DMRs")</f>
        <v>4.3259001562500004</v>
      </c>
      <c r="T56" s="33">
        <f t="shared" si="12"/>
        <v>1.185178125E-2</v>
      </c>
      <c r="U56" s="33">
        <f>IF(COUNTIF('Processed Non-zero DMR Data'!$K:$K,$I56)&gt;0,_xlfn.MAXIFS('Processed Non-zero DMR Data'!$T:$T,'Processed Non-zero DMR Data'!$K:$K,$I56), "N/A - Facility Does Not Report DMRs")</f>
        <v>4.5728477500000002</v>
      </c>
      <c r="V56" s="33">
        <f t="shared" si="13"/>
        <v>1.2528350000000001E-2</v>
      </c>
      <c r="W56" s="110" cm="1">
        <f t="array" ref="W56">IF(COUNTIF('Processed Non-zero DMR Data'!$K:$K,$I56)&gt;0,INDEX('Processed Non-zero DMR Data'!$A:$A,MATCH(1,($I56='Processed Non-zero DMR Data'!$K:$K)*($U56='Processed Non-zero DMR Data'!$T:$T),0)), "N/A - Facility Does Not Report DMRs")</f>
        <v>2021</v>
      </c>
      <c r="X56" s="109" cm="1">
        <f t="array" ref="X56">IFERROR(_xlfn.XLOOKUP(1,  (MAX(IF(H56 = 'Processed Non-zero TRI Data'!$I:$I,'Processed Non-zero TRI Data'!$A:$A)) = 'Processed Non-zero TRI Data'!$A:$A)*('Processed Non-zero TRI Data'!$I:$I = H56), 'Processed Non-zero TRI Data'!$S:$S), "N/A- Facility Does Not Report to TRI")</f>
        <v>0</v>
      </c>
      <c r="Y56" s="33">
        <f t="shared" si="2"/>
        <v>0</v>
      </c>
      <c r="Z56" s="33" t="str" cm="1">
        <f t="array" ref="Z56">IF(COUNTIF('Processed Non-zero TRI Data'!$I:$I,$H56)&gt;0,MEDIAN(IF('Processed Non-zero TRI Data'!$I:$I=H56,'Processed Non-zero TRI Data'!$S:$S)), "N/A - Facility Does Not Report to TRI")</f>
        <v>N/A - Facility Does Not Report to TRI</v>
      </c>
      <c r="AA56" s="33" t="str">
        <f t="shared" si="3"/>
        <v>N/A - Facility Does Not Report to TRI</v>
      </c>
      <c r="AB56" s="33" t="str">
        <f>IF(COUNTIF('Processed Non-zero TRI Data'!$I:$I,$H56)&gt;0,_xlfn.MAXIFS('Processed Non-zero TRI Data'!$S:$S,'Processed Non-zero TRI Data'!$I:$I,$H56), "N/A - Facility Does Not Report to TRI")</f>
        <v>N/A - Facility Does Not Report to TRI</v>
      </c>
      <c r="AC56" s="33" t="str">
        <f t="shared" si="4"/>
        <v>N/A - Facility Does Not Report to TRI</v>
      </c>
      <c r="AD56" s="110" t="str" cm="1">
        <f t="array" ref="AD56">IFERROR(IF(B56 = "TRI Form R", IF(AB56 = 0, "Facility has no on-site water discharges between 2019-2023.",  IF(COUNTIF('Processed Non-zero TRI Data'!$I:$I,$H56)&gt;0,INDEX('Processed Non-zero TRI Data'!$A:$A,MATCH(1,($H56='Processed Non-zero TRI Data'!$I:$I)*(AB56='Processed Non-zero TRI Data'!$S:$S),0)))), VLOOKUP(H56, 'Form A Recent Reporting'!$L:$M, 2, FALSE)), ("N/A - Facility Does Not Report to TRI"))</f>
        <v>N/A - Facility Does Not Report to TRI</v>
      </c>
      <c r="AE56" s="109" cm="1">
        <f t="array" ref="AE56">IFERROR(_xlfn.XLOOKUP(1,  (MAX(IF(H56 = 'Processed Non-zero TRI Data'!$I:$I,'Processed Non-zero TRI Data'!$A:$A)) = 'Processed Non-zero TRI Data'!$A:$A)*('Processed Non-zero TRI Data'!$I:$I = H56), 'Processed Non-zero TRI Data'!$U:$U), "N/A- Facility Does Not Report to TRI")</f>
        <v>0</v>
      </c>
      <c r="AF56" s="33">
        <f t="shared" si="5"/>
        <v>0</v>
      </c>
      <c r="AG56" s="33" t="str" cm="1">
        <f t="array" ref="AG56">IF(COUNTIF('Processed Non-zero TRI Data'!$I:$I,$H56)&gt;0,MEDIAN(IF('Processed Non-zero TRI Data'!$I:$I=H56,'Processed Non-zero TRI Data'!$U:$U)), "N/A - Facility Does Not Report to TRI")</f>
        <v>N/A - Facility Does Not Report to TRI</v>
      </c>
      <c r="AH56" s="33" t="str">
        <f t="shared" si="6"/>
        <v>N/A - Facility Does Not Report to TRI</v>
      </c>
      <c r="AI56" s="33" t="str">
        <f>IF(COUNTIF('Processed Non-zero TRI Data'!$I:$I,$H56)&gt;0,_xlfn.MAXIFS('Processed Non-zero TRI Data'!$U:$U,'Processed Non-zero TRI Data'!$I:$I,$H56), "N/A - Facility Does Not Report to TRI")</f>
        <v>N/A - Facility Does Not Report to TRI</v>
      </c>
      <c r="AJ56" s="33" t="str">
        <f t="shared" si="7"/>
        <v>N/A - Facility Does Not Report to TRI</v>
      </c>
      <c r="AK56" s="110" t="str" cm="1">
        <f t="array" ref="AK56">IF(B56="TRI Form A",AD56,IF(AI56=0,"Facility has no transfers to POTWs between 2019-2023.",IF(COUNTIF('Processed Non-zero TRI Data'!$I:$I,$H56)&gt;0,INDEX('Processed Non-zero TRI Data'!$A:$A,MATCH(1,($H56='Processed Non-zero TRI Data'!$I:$I)*(AI56='Processed Non-zero TRI Data'!$U:$U),0)),"N/A - Facility Does Not Report to TRI")))</f>
        <v>N/A - Facility Does Not Report to TRI</v>
      </c>
      <c r="AL56" s="109" cm="1">
        <f t="array" ref="AL56">IFERROR(_xlfn.XLOOKUP(1,  (MAX(IF(H56 = 'Processed Non-zero TRI Data'!$I$2:$I$23,'Processed Non-zero TRI Data'!$A$2:$A$23)) = 'Processed Non-zero TRI Data'!$A$2:$A$23)*('Processed Non-zero TRI Data'!$I$2:$I$23 = H56), 'Processed Non-zero TRI Data'!$W$2:$W$23), "N/A- Facility Does Not Report to TRI")</f>
        <v>0</v>
      </c>
      <c r="AM56" s="33">
        <f t="shared" si="8"/>
        <v>0</v>
      </c>
      <c r="AN56" s="33" t="str" cm="1">
        <f t="array" ref="AN56">IF(COUNTIF('Processed Non-zero TRI Data'!$I:$I,$H56)&gt;0,MEDIAN(IF('Processed Non-zero TRI Data'!$I:$I=H56,'Processed Non-zero TRI Data'!$W:$W)), "N/A - Facility Does Not Report to TRI")</f>
        <v>N/A - Facility Does Not Report to TRI</v>
      </c>
      <c r="AO56" s="33" t="str">
        <f t="shared" si="9"/>
        <v>N/A - Facility Does Not Report to TRI</v>
      </c>
      <c r="AP56" s="33" t="str">
        <f>IF(COUNTIF('Processed Non-zero TRI Data'!$I:$I,$H56)&gt;0,_xlfn.MAXIFS('Processed Non-zero TRI Data'!$W:$W,'Processed Non-zero TRI Data'!$I:$I,$H56), "N/A - Facility Does Not Report to TRI")</f>
        <v>N/A - Facility Does Not Report to TRI</v>
      </c>
      <c r="AQ56" s="33" t="str">
        <f t="shared" si="10"/>
        <v>N/A - Facility Does Not Report to TRI</v>
      </c>
      <c r="AR56" s="110" t="str" cm="1">
        <f t="array" ref="AR56">IF(B56="TRI Form A",AD56,IF(AP56=0,"Facility has no transfers to non-POTWs between 2019-2023.",IF(COUNTIF('Processed Non-zero TRI Data'!$I:$I,$H56)&gt;0,INDEX('Processed Non-zero TRI Data'!$A:$A,MATCH(1,($H56='Processed Non-zero TRI Data'!$I:$I)*(AP56='Processed Non-zero TRI Data'!$W:$W),0)),"N/A - Facility Does Not Report to TRI")))</f>
        <v>N/A - Facility Does Not Report to TRI</v>
      </c>
    </row>
    <row r="57" spans="1:44" ht="29" x14ac:dyDescent="0.35">
      <c r="A57" s="34">
        <v>54</v>
      </c>
      <c r="B57" s="33" t="str">
        <f>IFERROR("TRI Form "&amp;VLOOKUP(H57,'Processed Non-zero TRI Data'!$I$2:$K$23,3,FALSE),"DMR")</f>
        <v>DMR</v>
      </c>
      <c r="C57" s="33" t="str">
        <f>VLOOKUP($D57, 'COU.OES Summary'!C:D, 2, FALSE)</f>
        <v> </v>
      </c>
      <c r="D57" s="33" t="str">
        <f>IFERROR(VLOOKUP($H57, 'Processed Non-zero TRI Data'!$I:$O, 7, FALSE), VLOOKUP($I57, 'Processed Non-zero DMR Data'!$K:$R, 8, FALSE))</f>
        <v>Waste handling, treatment, and disposal - POTW</v>
      </c>
      <c r="E57" s="34" t="s">
        <v>204</v>
      </c>
      <c r="F57" s="34" t="s">
        <v>205</v>
      </c>
      <c r="G57" s="34" t="s">
        <v>108</v>
      </c>
      <c r="H57" s="34"/>
      <c r="I57" s="105">
        <v>110045091379</v>
      </c>
      <c r="J57" s="33" t="str">
        <f>IFERROR(VLOOKUP($I57, 'Processed Non-zero DMR Data'!$K:$U, 11, FALSE),"")</f>
        <v>KY0109991</v>
      </c>
      <c r="K57" s="33" t="str">
        <f>IFERROR(VLOOKUP($I57, 'Processed Non-zero DMR Data'!$K:$V, 12, FALSE),"Not Reported")</f>
        <v>Clarks Creek</v>
      </c>
      <c r="L57" s="106">
        <f>IFERROR(VLOOKUP($I57, 'Processed Non-zero DMR Data'!$K:$W, 13, FALSE),"No Reach Code Reported")</f>
        <v>51002051308</v>
      </c>
      <c r="M57" s="107" t="str">
        <f>IFERROR(IFERROR(VLOOKUP(H57, 'Off-site Locations'!$K$3:$O$5, 5, FALSE), VLOOKUP(H57, 'Off-site Locations'!$B$3:$E$4, 4, FALSE)), "No Offsite Transfers")</f>
        <v>No Offsite Transfers</v>
      </c>
      <c r="N57" s="33">
        <f>VLOOKUP($D57, 'COU.OES Summary'!C:E, 3, FALSE)</f>
        <v>365</v>
      </c>
      <c r="O57" s="108">
        <f t="shared" si="0"/>
        <v>0</v>
      </c>
      <c r="P57" s="108">
        <f t="shared" si="1"/>
        <v>4.5452172500000003</v>
      </c>
      <c r="Q57" s="109" cm="1">
        <f t="array" ref="Q57">IFERROR(_xlfn.XLOOKUP(1,  (MAX(IF(I57 = 'Processed Non-zero DMR Data'!$K:$K,'Processed Non-zero DMR Data'!$A:$A)) = 'Processed Non-zero DMR Data'!$A:$A)*('Processed Non-zero DMR Data'!$K:$K = I57),'Processed Non-zero DMR Data'!$T:$T), "N/A- Facility Does Not Report DMRs")</f>
        <v>4.5452172500000003</v>
      </c>
      <c r="R57" s="33">
        <f t="shared" si="11"/>
        <v>1.2452650000000001E-2</v>
      </c>
      <c r="S57" s="33" cm="1">
        <f t="array" ref="S57">IF(COUNTIF('Processed Non-zero DMR Data'!$K:$K,$I57)&gt;0,MEDIAN(IF('Processed Non-zero DMR Data'!$K:$K=I57,'Processed Non-zero DMR Data'!$T:$T)),"N/A - Facility Does Not Report DMRs")</f>
        <v>4.344896125</v>
      </c>
      <c r="T57" s="33">
        <f t="shared" si="12"/>
        <v>1.1903825E-2</v>
      </c>
      <c r="U57" s="33">
        <f>IF(COUNTIF('Processed Non-zero DMR Data'!$K:$K,$I57)&gt;0,_xlfn.MAXIFS('Processed Non-zero DMR Data'!$T:$T,'Processed Non-zero DMR Data'!$K:$K,$I57), "N/A - Facility Does Not Report DMRs")</f>
        <v>4.5452172500000003</v>
      </c>
      <c r="V57" s="33">
        <f t="shared" si="13"/>
        <v>1.2452650000000001E-2</v>
      </c>
      <c r="W57" s="110" cm="1">
        <f t="array" ref="W57">IF(COUNTIF('Processed Non-zero DMR Data'!$K:$K,$I57)&gt;0,INDEX('Processed Non-zero DMR Data'!$A:$A,MATCH(1,($I57='Processed Non-zero DMR Data'!$K:$K)*($U57='Processed Non-zero DMR Data'!$T:$T),0)), "N/A - Facility Does Not Report DMRs")</f>
        <v>2021</v>
      </c>
      <c r="X57" s="109" cm="1">
        <f t="array" ref="X57">IFERROR(_xlfn.XLOOKUP(1,  (MAX(IF(H57 = 'Processed Non-zero TRI Data'!$I:$I,'Processed Non-zero TRI Data'!$A:$A)) = 'Processed Non-zero TRI Data'!$A:$A)*('Processed Non-zero TRI Data'!$I:$I = H57), 'Processed Non-zero TRI Data'!$S:$S), "N/A- Facility Does Not Report to TRI")</f>
        <v>0</v>
      </c>
      <c r="Y57" s="33">
        <f t="shared" si="2"/>
        <v>0</v>
      </c>
      <c r="Z57" s="33" t="str" cm="1">
        <f t="array" ref="Z57">IF(COUNTIF('Processed Non-zero TRI Data'!$I:$I,$H57)&gt;0,MEDIAN(IF('Processed Non-zero TRI Data'!$I:$I=H57,'Processed Non-zero TRI Data'!$S:$S)), "N/A - Facility Does Not Report to TRI")</f>
        <v>N/A - Facility Does Not Report to TRI</v>
      </c>
      <c r="AA57" s="33" t="str">
        <f t="shared" si="3"/>
        <v>N/A - Facility Does Not Report to TRI</v>
      </c>
      <c r="AB57" s="33" t="str">
        <f>IF(COUNTIF('Processed Non-zero TRI Data'!$I:$I,$H57)&gt;0,_xlfn.MAXIFS('Processed Non-zero TRI Data'!$S:$S,'Processed Non-zero TRI Data'!$I:$I,$H57), "N/A - Facility Does Not Report to TRI")</f>
        <v>N/A - Facility Does Not Report to TRI</v>
      </c>
      <c r="AC57" s="33" t="str">
        <f t="shared" si="4"/>
        <v>N/A - Facility Does Not Report to TRI</v>
      </c>
      <c r="AD57" s="110" t="str" cm="1">
        <f t="array" ref="AD57">IFERROR(IF(B57 = "TRI Form R", IF(AB57 = 0, "Facility has no on-site water discharges between 2019-2023.",  IF(COUNTIF('Processed Non-zero TRI Data'!$I:$I,$H57)&gt;0,INDEX('Processed Non-zero TRI Data'!$A:$A,MATCH(1,($H57='Processed Non-zero TRI Data'!$I:$I)*(AB57='Processed Non-zero TRI Data'!$S:$S),0)))), VLOOKUP(H57, 'Form A Recent Reporting'!$L:$M, 2, FALSE)), ("N/A - Facility Does Not Report to TRI"))</f>
        <v>N/A - Facility Does Not Report to TRI</v>
      </c>
      <c r="AE57" s="109" cm="1">
        <f t="array" ref="AE57">IFERROR(_xlfn.XLOOKUP(1,  (MAX(IF(H57 = 'Processed Non-zero TRI Data'!$I:$I,'Processed Non-zero TRI Data'!$A:$A)) = 'Processed Non-zero TRI Data'!$A:$A)*('Processed Non-zero TRI Data'!$I:$I = H57), 'Processed Non-zero TRI Data'!$U:$U), "N/A- Facility Does Not Report to TRI")</f>
        <v>0</v>
      </c>
      <c r="AF57" s="33">
        <f t="shared" si="5"/>
        <v>0</v>
      </c>
      <c r="AG57" s="33" t="str" cm="1">
        <f t="array" ref="AG57">IF(COUNTIF('Processed Non-zero TRI Data'!$I:$I,$H57)&gt;0,MEDIAN(IF('Processed Non-zero TRI Data'!$I:$I=H57,'Processed Non-zero TRI Data'!$U:$U)), "N/A - Facility Does Not Report to TRI")</f>
        <v>N/A - Facility Does Not Report to TRI</v>
      </c>
      <c r="AH57" s="33" t="str">
        <f t="shared" si="6"/>
        <v>N/A - Facility Does Not Report to TRI</v>
      </c>
      <c r="AI57" s="33" t="str">
        <f>IF(COUNTIF('Processed Non-zero TRI Data'!$I:$I,$H57)&gt;0,_xlfn.MAXIFS('Processed Non-zero TRI Data'!$U:$U,'Processed Non-zero TRI Data'!$I:$I,$H57), "N/A - Facility Does Not Report to TRI")</f>
        <v>N/A - Facility Does Not Report to TRI</v>
      </c>
      <c r="AJ57" s="33" t="str">
        <f t="shared" si="7"/>
        <v>N/A - Facility Does Not Report to TRI</v>
      </c>
      <c r="AK57" s="110" t="str" cm="1">
        <f t="array" ref="AK57">IF(B57="TRI Form A",AD57,IF(AI57=0,"Facility has no transfers to POTWs between 2019-2023.",IF(COUNTIF('Processed Non-zero TRI Data'!$I:$I,$H57)&gt;0,INDEX('Processed Non-zero TRI Data'!$A:$A,MATCH(1,($H57='Processed Non-zero TRI Data'!$I:$I)*(AI57='Processed Non-zero TRI Data'!$U:$U),0)),"N/A - Facility Does Not Report to TRI")))</f>
        <v>N/A - Facility Does Not Report to TRI</v>
      </c>
      <c r="AL57" s="109" cm="1">
        <f t="array" ref="AL57">IFERROR(_xlfn.XLOOKUP(1,  (MAX(IF(H57 = 'Processed Non-zero TRI Data'!$I$2:$I$23,'Processed Non-zero TRI Data'!$A$2:$A$23)) = 'Processed Non-zero TRI Data'!$A$2:$A$23)*('Processed Non-zero TRI Data'!$I$2:$I$23 = H57), 'Processed Non-zero TRI Data'!$W$2:$W$23), "N/A- Facility Does Not Report to TRI")</f>
        <v>0</v>
      </c>
      <c r="AM57" s="33">
        <f t="shared" si="8"/>
        <v>0</v>
      </c>
      <c r="AN57" s="33" t="str" cm="1">
        <f t="array" ref="AN57">IF(COUNTIF('Processed Non-zero TRI Data'!$I:$I,$H57)&gt;0,MEDIAN(IF('Processed Non-zero TRI Data'!$I:$I=H57,'Processed Non-zero TRI Data'!$W:$W)), "N/A - Facility Does Not Report to TRI")</f>
        <v>N/A - Facility Does Not Report to TRI</v>
      </c>
      <c r="AO57" s="33" t="str">
        <f t="shared" si="9"/>
        <v>N/A - Facility Does Not Report to TRI</v>
      </c>
      <c r="AP57" s="33" t="str">
        <f>IF(COUNTIF('Processed Non-zero TRI Data'!$I:$I,$H57)&gt;0,_xlfn.MAXIFS('Processed Non-zero TRI Data'!$W:$W,'Processed Non-zero TRI Data'!$I:$I,$H57), "N/A - Facility Does Not Report to TRI")</f>
        <v>N/A - Facility Does Not Report to TRI</v>
      </c>
      <c r="AQ57" s="33" t="str">
        <f t="shared" si="10"/>
        <v>N/A - Facility Does Not Report to TRI</v>
      </c>
      <c r="AR57" s="110" t="str" cm="1">
        <f t="array" ref="AR57">IF(B57="TRI Form A",AD57,IF(AP57=0,"Facility has no transfers to non-POTWs between 2019-2023.",IF(COUNTIF('Processed Non-zero TRI Data'!$I:$I,$H57)&gt;0,INDEX('Processed Non-zero TRI Data'!$A:$A,MATCH(1,($H57='Processed Non-zero TRI Data'!$I:$I)*(AP57='Processed Non-zero TRI Data'!$W:$W),0)),"N/A - Facility Does Not Report to TRI")))</f>
        <v>N/A - Facility Does Not Report to TRI</v>
      </c>
    </row>
    <row r="58" spans="1:44" ht="29" x14ac:dyDescent="0.35">
      <c r="A58" s="34">
        <v>55</v>
      </c>
      <c r="B58" s="33" t="str">
        <f>IFERROR("TRI Form "&amp;VLOOKUP(H58,'Processed Non-zero TRI Data'!$I$2:$K$23,3,FALSE),"DMR")</f>
        <v>DMR</v>
      </c>
      <c r="C58" s="33" t="str">
        <f>VLOOKUP($D58, 'COU.OES Summary'!C:D, 2, FALSE)</f>
        <v> </v>
      </c>
      <c r="D58" s="33" t="str">
        <f>IFERROR(VLOOKUP($H58, 'Processed Non-zero TRI Data'!$I:$O, 7, FALSE), VLOOKUP($I58, 'Processed Non-zero DMR Data'!$K:$R, 8, FALSE))</f>
        <v>Waste handling, treatment, and disposal - Remediation or Monitoring</v>
      </c>
      <c r="E58" s="34" t="s">
        <v>206</v>
      </c>
      <c r="F58" s="34" t="s">
        <v>207</v>
      </c>
      <c r="G58" s="34" t="s">
        <v>95</v>
      </c>
      <c r="H58" s="34"/>
      <c r="I58" s="105">
        <v>110034641635</v>
      </c>
      <c r="J58" s="33" t="str">
        <f>IFERROR(VLOOKUP($I58, 'Processed Non-zero DMR Data'!$K:$U, 11, FALSE),"")</f>
        <v>TX0119792</v>
      </c>
      <c r="K58" s="33" t="str">
        <f>IFERROR(VLOOKUP($I58, 'Processed Non-zero DMR Data'!$K:$V, 12, FALSE),"Not Reported")</f>
        <v>Goose Creek-Frontal Galveston Bay</v>
      </c>
      <c r="L58" s="106">
        <f>IFERROR(VLOOKUP($I58, 'Processed Non-zero DMR Data'!$K:$W, 13, FALSE),"No Reach Code Reported")</f>
        <v>120401040706</v>
      </c>
      <c r="M58" s="107" t="str">
        <f>IFERROR(IFERROR(VLOOKUP(H58, 'Off-site Locations'!$K$3:$O$5, 5, FALSE), VLOOKUP(H58, 'Off-site Locations'!$B$3:$E$4, 4, FALSE)), "No Offsite Transfers")</f>
        <v>No Offsite Transfers</v>
      </c>
      <c r="N58" s="33">
        <f>VLOOKUP($D58, 'COU.OES Summary'!C:E, 3, FALSE)</f>
        <v>365</v>
      </c>
      <c r="O58" s="108">
        <f t="shared" si="0"/>
        <v>0</v>
      </c>
      <c r="P58" s="108">
        <f t="shared" si="1"/>
        <v>8.8950500000000012</v>
      </c>
      <c r="Q58" s="109" cm="1">
        <f t="array" ref="Q58">IFERROR(_xlfn.XLOOKUP(1,  (MAX(IF(I58 = 'Processed Non-zero DMR Data'!$K:$K,'Processed Non-zero DMR Data'!$A:$A)) = 'Processed Non-zero DMR Data'!$A:$A)*('Processed Non-zero DMR Data'!$K:$K = I58),'Processed Non-zero DMR Data'!$T:$T), "N/A- Facility Does Not Report DMRs")</f>
        <v>8.8950500000000012</v>
      </c>
      <c r="R58" s="33">
        <f t="shared" si="11"/>
        <v>2.4370000000000003E-2</v>
      </c>
      <c r="S58" s="33" cm="1">
        <f t="array" ref="S58">IF(COUNTIF('Processed Non-zero DMR Data'!$K:$K,$I58)&gt;0,MEDIAN(IF('Processed Non-zero DMR Data'!$K:$K=I58,'Processed Non-zero DMR Data'!$T:$T)),"N/A - Facility Does Not Report DMRs")</f>
        <v>8.8950500000000012</v>
      </c>
      <c r="T58" s="33">
        <f t="shared" si="12"/>
        <v>2.4370000000000003E-2</v>
      </c>
      <c r="U58" s="33">
        <f>IF(COUNTIF('Processed Non-zero DMR Data'!$K:$K,$I58)&gt;0,_xlfn.MAXIFS('Processed Non-zero DMR Data'!$T:$T,'Processed Non-zero DMR Data'!$K:$K,$I58), "N/A - Facility Does Not Report DMRs")</f>
        <v>8.8950500000000012</v>
      </c>
      <c r="V58" s="33">
        <f t="shared" si="13"/>
        <v>2.4370000000000003E-2</v>
      </c>
      <c r="W58" s="110" cm="1">
        <f t="array" ref="W58">IF(COUNTIF('Processed Non-zero DMR Data'!$K:$K,$I58)&gt;0,INDEX('Processed Non-zero DMR Data'!$A:$A,MATCH(1,($I58='Processed Non-zero DMR Data'!$K:$K)*($U58='Processed Non-zero DMR Data'!$T:$T),0)), "N/A - Facility Does Not Report DMRs")</f>
        <v>2019</v>
      </c>
      <c r="X58" s="109" cm="1">
        <f t="array" ref="X58">IFERROR(_xlfn.XLOOKUP(1,  (MAX(IF(H58 = 'Processed Non-zero TRI Data'!$I:$I,'Processed Non-zero TRI Data'!$A:$A)) = 'Processed Non-zero TRI Data'!$A:$A)*('Processed Non-zero TRI Data'!$I:$I = H58), 'Processed Non-zero TRI Data'!$S:$S), "N/A- Facility Does Not Report to TRI")</f>
        <v>0</v>
      </c>
      <c r="Y58" s="33">
        <f t="shared" si="2"/>
        <v>0</v>
      </c>
      <c r="Z58" s="33" t="str" cm="1">
        <f t="array" ref="Z58">IF(COUNTIF('Processed Non-zero TRI Data'!$I:$I,$H58)&gt;0,MEDIAN(IF('Processed Non-zero TRI Data'!$I:$I=H58,'Processed Non-zero TRI Data'!$S:$S)), "N/A - Facility Does Not Report to TRI")</f>
        <v>N/A - Facility Does Not Report to TRI</v>
      </c>
      <c r="AA58" s="33" t="str">
        <f t="shared" si="3"/>
        <v>N/A - Facility Does Not Report to TRI</v>
      </c>
      <c r="AB58" s="33" t="str">
        <f>IF(COUNTIF('Processed Non-zero TRI Data'!$I:$I,$H58)&gt;0,_xlfn.MAXIFS('Processed Non-zero TRI Data'!$S:$S,'Processed Non-zero TRI Data'!$I:$I,$H58), "N/A - Facility Does Not Report to TRI")</f>
        <v>N/A - Facility Does Not Report to TRI</v>
      </c>
      <c r="AC58" s="33" t="str">
        <f t="shared" si="4"/>
        <v>N/A - Facility Does Not Report to TRI</v>
      </c>
      <c r="AD58" s="110" t="str" cm="1">
        <f t="array" ref="AD58">IFERROR(IF(B58 = "TRI Form R", IF(AB58 = 0, "Facility has no on-site water discharges between 2019-2023.",  IF(COUNTIF('Processed Non-zero TRI Data'!$I:$I,$H58)&gt;0,INDEX('Processed Non-zero TRI Data'!$A:$A,MATCH(1,($H58='Processed Non-zero TRI Data'!$I:$I)*(AB58='Processed Non-zero TRI Data'!$S:$S),0)))), VLOOKUP(H58, 'Form A Recent Reporting'!$L:$M, 2, FALSE)), ("N/A - Facility Does Not Report to TRI"))</f>
        <v>N/A - Facility Does Not Report to TRI</v>
      </c>
      <c r="AE58" s="109" cm="1">
        <f t="array" ref="AE58">IFERROR(_xlfn.XLOOKUP(1,  (MAX(IF(H58 = 'Processed Non-zero TRI Data'!$I:$I,'Processed Non-zero TRI Data'!$A:$A)) = 'Processed Non-zero TRI Data'!$A:$A)*('Processed Non-zero TRI Data'!$I:$I = H58), 'Processed Non-zero TRI Data'!$U:$U), "N/A- Facility Does Not Report to TRI")</f>
        <v>0</v>
      </c>
      <c r="AF58" s="33">
        <f t="shared" si="5"/>
        <v>0</v>
      </c>
      <c r="AG58" s="33" t="str" cm="1">
        <f t="array" ref="AG58">IF(COUNTIF('Processed Non-zero TRI Data'!$I:$I,$H58)&gt;0,MEDIAN(IF('Processed Non-zero TRI Data'!$I:$I=H58,'Processed Non-zero TRI Data'!$U:$U)), "N/A - Facility Does Not Report to TRI")</f>
        <v>N/A - Facility Does Not Report to TRI</v>
      </c>
      <c r="AH58" s="33" t="str">
        <f t="shared" si="6"/>
        <v>N/A - Facility Does Not Report to TRI</v>
      </c>
      <c r="AI58" s="33" t="str">
        <f>IF(COUNTIF('Processed Non-zero TRI Data'!$I:$I,$H58)&gt;0,_xlfn.MAXIFS('Processed Non-zero TRI Data'!$U:$U,'Processed Non-zero TRI Data'!$I:$I,$H58), "N/A - Facility Does Not Report to TRI")</f>
        <v>N/A - Facility Does Not Report to TRI</v>
      </c>
      <c r="AJ58" s="33" t="str">
        <f t="shared" si="7"/>
        <v>N/A - Facility Does Not Report to TRI</v>
      </c>
      <c r="AK58" s="110" t="str" cm="1">
        <f t="array" ref="AK58">IF(B58="TRI Form A",AD58,IF(AI58=0,"Facility has no transfers to POTWs between 2019-2023.",IF(COUNTIF('Processed Non-zero TRI Data'!$I:$I,$H58)&gt;0,INDEX('Processed Non-zero TRI Data'!$A:$A,MATCH(1,($H58='Processed Non-zero TRI Data'!$I:$I)*(AI58='Processed Non-zero TRI Data'!$U:$U),0)),"N/A - Facility Does Not Report to TRI")))</f>
        <v>N/A - Facility Does Not Report to TRI</v>
      </c>
      <c r="AL58" s="109" cm="1">
        <f t="array" ref="AL58">IFERROR(_xlfn.XLOOKUP(1,  (MAX(IF(H58 = 'Processed Non-zero TRI Data'!$I$2:$I$23,'Processed Non-zero TRI Data'!$A$2:$A$23)) = 'Processed Non-zero TRI Data'!$A$2:$A$23)*('Processed Non-zero TRI Data'!$I$2:$I$23 = H58), 'Processed Non-zero TRI Data'!$W$2:$W$23), "N/A- Facility Does Not Report to TRI")</f>
        <v>0</v>
      </c>
      <c r="AM58" s="33">
        <f t="shared" si="8"/>
        <v>0</v>
      </c>
      <c r="AN58" s="33" t="str" cm="1">
        <f t="array" ref="AN58">IF(COUNTIF('Processed Non-zero TRI Data'!$I:$I,$H58)&gt;0,MEDIAN(IF('Processed Non-zero TRI Data'!$I:$I=H58,'Processed Non-zero TRI Data'!$W:$W)), "N/A - Facility Does Not Report to TRI")</f>
        <v>N/A - Facility Does Not Report to TRI</v>
      </c>
      <c r="AO58" s="33" t="str">
        <f t="shared" si="9"/>
        <v>N/A - Facility Does Not Report to TRI</v>
      </c>
      <c r="AP58" s="33" t="str">
        <f>IF(COUNTIF('Processed Non-zero TRI Data'!$I:$I,$H58)&gt;0,_xlfn.MAXIFS('Processed Non-zero TRI Data'!$W:$W,'Processed Non-zero TRI Data'!$I:$I,$H58), "N/A - Facility Does Not Report to TRI")</f>
        <v>N/A - Facility Does Not Report to TRI</v>
      </c>
      <c r="AQ58" s="33" t="str">
        <f t="shared" si="10"/>
        <v>N/A - Facility Does Not Report to TRI</v>
      </c>
      <c r="AR58" s="110" t="str" cm="1">
        <f t="array" ref="AR58">IF(B58="TRI Form A",AD58,IF(AP58=0,"Facility has no transfers to non-POTWs between 2019-2023.",IF(COUNTIF('Processed Non-zero TRI Data'!$I:$I,$H58)&gt;0,INDEX('Processed Non-zero TRI Data'!$A:$A,MATCH(1,($H58='Processed Non-zero TRI Data'!$I:$I)*(AP58='Processed Non-zero TRI Data'!$W:$W),0)),"N/A - Facility Does Not Report to TRI")))</f>
        <v>N/A - Facility Does Not Report to TRI</v>
      </c>
    </row>
    <row r="59" spans="1:44" ht="29" x14ac:dyDescent="0.35">
      <c r="A59" s="34">
        <v>56</v>
      </c>
      <c r="B59" s="33" t="str">
        <f>IFERROR("TRI Form "&amp;VLOOKUP(H59,'Processed Non-zero TRI Data'!$I$2:$K$23,3,FALSE),"DMR")</f>
        <v>DMR</v>
      </c>
      <c r="C59" s="33" t="str">
        <f>VLOOKUP($D59, 'COU.OES Summary'!C:D, 2, FALSE)</f>
        <v> </v>
      </c>
      <c r="D59" s="33" t="str">
        <f>IFERROR(VLOOKUP($H59, 'Processed Non-zero TRI Data'!$I:$O, 7, FALSE), VLOOKUP($I59, 'Processed Non-zero DMR Data'!$K:$R, 8, FALSE))</f>
        <v>Waste handling, treatment, and disposal - Remediation or Monitoring</v>
      </c>
      <c r="E59" s="34" t="s">
        <v>208</v>
      </c>
      <c r="F59" s="34" t="s">
        <v>209</v>
      </c>
      <c r="G59" s="34" t="s">
        <v>91</v>
      </c>
      <c r="H59" s="34"/>
      <c r="I59" s="105">
        <v>110033659878</v>
      </c>
      <c r="J59" s="33" t="str">
        <f>IFERROR(VLOOKUP($I59, 'Processed Non-zero DMR Data'!$K:$U, 11, FALSE),"")</f>
        <v>LA0006181</v>
      </c>
      <c r="K59" s="33" t="str">
        <f>IFERROR(VLOOKUP($I59, 'Processed Non-zero DMR Data'!$K:$V, 12, FALSE),"Not Reported")</f>
        <v>Grand Goudine Bayou-New River</v>
      </c>
      <c r="L59" s="106">
        <f>IFERROR(VLOOKUP($I59, 'Processed Non-zero DMR Data'!$K:$W, 13, FALSE),"No Reach Code Reported")</f>
        <v>80702040103</v>
      </c>
      <c r="M59" s="107" t="str">
        <f>IFERROR(IFERROR(VLOOKUP(H59, 'Off-site Locations'!$K$3:$O$5, 5, FALSE), VLOOKUP(H59, 'Off-site Locations'!$B$3:$E$4, 4, FALSE)), "No Offsite Transfers")</f>
        <v>No Offsite Transfers</v>
      </c>
      <c r="N59" s="33">
        <f>VLOOKUP($D59, 'COU.OES Summary'!C:E, 3, FALSE)</f>
        <v>365</v>
      </c>
      <c r="O59" s="108">
        <f t="shared" si="0"/>
        <v>0</v>
      </c>
      <c r="P59" s="108">
        <f t="shared" si="1"/>
        <v>3.9770400000000001</v>
      </c>
      <c r="Q59" s="109" cm="1">
        <f t="array" ref="Q59">IFERROR(_xlfn.XLOOKUP(1,  (MAX(IF(I59 = 'Processed Non-zero DMR Data'!$K:$K,'Processed Non-zero DMR Data'!$A:$A)) = 'Processed Non-zero DMR Data'!$A:$A)*('Processed Non-zero DMR Data'!$K:$K = I59),'Processed Non-zero DMR Data'!$T:$T), "N/A- Facility Does Not Report DMRs")</f>
        <v>3.8113299999999999</v>
      </c>
      <c r="R59" s="33">
        <f t="shared" si="11"/>
        <v>1.0442E-2</v>
      </c>
      <c r="S59" s="33" cm="1">
        <f t="array" ref="S59">IF(COUNTIF('Processed Non-zero DMR Data'!$K:$K,$I59)&gt;0,MEDIAN(IF('Processed Non-zero DMR Data'!$K:$K=I59,'Processed Non-zero DMR Data'!$T:$T)),"N/A - Facility Does Not Report DMRs")</f>
        <v>3.6456200000000001</v>
      </c>
      <c r="T59" s="33">
        <f t="shared" si="12"/>
        <v>9.9880000000000004E-3</v>
      </c>
      <c r="U59" s="33">
        <f>IF(COUNTIF('Processed Non-zero DMR Data'!$K:$K,$I59)&gt;0,_xlfn.MAXIFS('Processed Non-zero DMR Data'!$T:$T,'Processed Non-zero DMR Data'!$K:$K,$I59), "N/A - Facility Does Not Report DMRs")</f>
        <v>3.9770400000000001</v>
      </c>
      <c r="V59" s="33">
        <f t="shared" si="13"/>
        <v>1.0896000000000001E-2</v>
      </c>
      <c r="W59" s="110" cm="1">
        <f t="array" ref="W59">IF(COUNTIF('Processed Non-zero DMR Data'!$K:$K,$I59)&gt;0,INDEX('Processed Non-zero DMR Data'!$A:$A,MATCH(1,($I59='Processed Non-zero DMR Data'!$K:$K)*($U59='Processed Non-zero DMR Data'!$T:$T),0)), "N/A - Facility Does Not Report DMRs")</f>
        <v>2021</v>
      </c>
      <c r="X59" s="109" cm="1">
        <f t="array" ref="X59">IFERROR(_xlfn.XLOOKUP(1,  (MAX(IF(H59 = 'Processed Non-zero TRI Data'!$I:$I,'Processed Non-zero TRI Data'!$A:$A)) = 'Processed Non-zero TRI Data'!$A:$A)*('Processed Non-zero TRI Data'!$I:$I = H59), 'Processed Non-zero TRI Data'!$S:$S), "N/A- Facility Does Not Report to TRI")</f>
        <v>0</v>
      </c>
      <c r="Y59" s="33">
        <f t="shared" si="2"/>
        <v>0</v>
      </c>
      <c r="Z59" s="33" t="str" cm="1">
        <f t="array" ref="Z59">IF(COUNTIF('Processed Non-zero TRI Data'!$I:$I,$H59)&gt;0,MEDIAN(IF('Processed Non-zero TRI Data'!$I:$I=H59,'Processed Non-zero TRI Data'!$S:$S)), "N/A - Facility Does Not Report to TRI")</f>
        <v>N/A - Facility Does Not Report to TRI</v>
      </c>
      <c r="AA59" s="33" t="str">
        <f t="shared" si="3"/>
        <v>N/A - Facility Does Not Report to TRI</v>
      </c>
      <c r="AB59" s="33" t="str">
        <f>IF(COUNTIF('Processed Non-zero TRI Data'!$I:$I,$H59)&gt;0,_xlfn.MAXIFS('Processed Non-zero TRI Data'!$S:$S,'Processed Non-zero TRI Data'!$I:$I,$H59), "N/A - Facility Does Not Report to TRI")</f>
        <v>N/A - Facility Does Not Report to TRI</v>
      </c>
      <c r="AC59" s="33" t="str">
        <f t="shared" si="4"/>
        <v>N/A - Facility Does Not Report to TRI</v>
      </c>
      <c r="AD59" s="110" t="str" cm="1">
        <f t="array" ref="AD59">IFERROR(IF(B59 = "TRI Form R", IF(AB59 = 0, "Facility has no on-site water discharges between 2019-2023.",  IF(COUNTIF('Processed Non-zero TRI Data'!$I:$I,$H59)&gt;0,INDEX('Processed Non-zero TRI Data'!$A:$A,MATCH(1,($H59='Processed Non-zero TRI Data'!$I:$I)*(AB59='Processed Non-zero TRI Data'!$S:$S),0)))), VLOOKUP(H59, 'Form A Recent Reporting'!$L:$M, 2, FALSE)), ("N/A - Facility Does Not Report to TRI"))</f>
        <v>N/A - Facility Does Not Report to TRI</v>
      </c>
      <c r="AE59" s="109" cm="1">
        <f t="array" ref="AE59">IFERROR(_xlfn.XLOOKUP(1,  (MAX(IF(H59 = 'Processed Non-zero TRI Data'!$I:$I,'Processed Non-zero TRI Data'!$A:$A)) = 'Processed Non-zero TRI Data'!$A:$A)*('Processed Non-zero TRI Data'!$I:$I = H59), 'Processed Non-zero TRI Data'!$U:$U), "N/A- Facility Does Not Report to TRI")</f>
        <v>0</v>
      </c>
      <c r="AF59" s="33">
        <f t="shared" si="5"/>
        <v>0</v>
      </c>
      <c r="AG59" s="33" t="str" cm="1">
        <f t="array" ref="AG59">IF(COUNTIF('Processed Non-zero TRI Data'!$I:$I,$H59)&gt;0,MEDIAN(IF('Processed Non-zero TRI Data'!$I:$I=H59,'Processed Non-zero TRI Data'!$U:$U)), "N/A - Facility Does Not Report to TRI")</f>
        <v>N/A - Facility Does Not Report to TRI</v>
      </c>
      <c r="AH59" s="33" t="str">
        <f t="shared" si="6"/>
        <v>N/A - Facility Does Not Report to TRI</v>
      </c>
      <c r="AI59" s="33" t="str">
        <f>IF(COUNTIF('Processed Non-zero TRI Data'!$I:$I,$H59)&gt;0,_xlfn.MAXIFS('Processed Non-zero TRI Data'!$U:$U,'Processed Non-zero TRI Data'!$I:$I,$H59), "N/A - Facility Does Not Report to TRI")</f>
        <v>N/A - Facility Does Not Report to TRI</v>
      </c>
      <c r="AJ59" s="33" t="str">
        <f t="shared" si="7"/>
        <v>N/A - Facility Does Not Report to TRI</v>
      </c>
      <c r="AK59" s="110" t="str" cm="1">
        <f t="array" ref="AK59">IF(B59="TRI Form A",AD59,IF(AI59=0,"Facility has no transfers to POTWs between 2019-2023.",IF(COUNTIF('Processed Non-zero TRI Data'!$I:$I,$H59)&gt;0,INDEX('Processed Non-zero TRI Data'!$A:$A,MATCH(1,($H59='Processed Non-zero TRI Data'!$I:$I)*(AI59='Processed Non-zero TRI Data'!$U:$U),0)),"N/A - Facility Does Not Report to TRI")))</f>
        <v>N/A - Facility Does Not Report to TRI</v>
      </c>
      <c r="AL59" s="109" cm="1">
        <f t="array" ref="AL59">IFERROR(_xlfn.XLOOKUP(1,  (MAX(IF(H59 = 'Processed Non-zero TRI Data'!$I$2:$I$23,'Processed Non-zero TRI Data'!$A$2:$A$23)) = 'Processed Non-zero TRI Data'!$A$2:$A$23)*('Processed Non-zero TRI Data'!$I$2:$I$23 = H59), 'Processed Non-zero TRI Data'!$W$2:$W$23), "N/A- Facility Does Not Report to TRI")</f>
        <v>0</v>
      </c>
      <c r="AM59" s="33">
        <f t="shared" si="8"/>
        <v>0</v>
      </c>
      <c r="AN59" s="33" t="str" cm="1">
        <f t="array" ref="AN59">IF(COUNTIF('Processed Non-zero TRI Data'!$I:$I,$H59)&gt;0,MEDIAN(IF('Processed Non-zero TRI Data'!$I:$I=H59,'Processed Non-zero TRI Data'!$W:$W)), "N/A - Facility Does Not Report to TRI")</f>
        <v>N/A - Facility Does Not Report to TRI</v>
      </c>
      <c r="AO59" s="33" t="str">
        <f t="shared" si="9"/>
        <v>N/A - Facility Does Not Report to TRI</v>
      </c>
      <c r="AP59" s="33" t="str">
        <f>IF(COUNTIF('Processed Non-zero TRI Data'!$I:$I,$H59)&gt;0,_xlfn.MAXIFS('Processed Non-zero TRI Data'!$W:$W,'Processed Non-zero TRI Data'!$I:$I,$H59), "N/A - Facility Does Not Report to TRI")</f>
        <v>N/A - Facility Does Not Report to TRI</v>
      </c>
      <c r="AQ59" s="33" t="str">
        <f t="shared" si="10"/>
        <v>N/A - Facility Does Not Report to TRI</v>
      </c>
      <c r="AR59" s="110" t="str" cm="1">
        <f t="array" ref="AR59">IF(B59="TRI Form A",AD59,IF(AP59=0,"Facility has no transfers to non-POTWs between 2019-2023.",IF(COUNTIF('Processed Non-zero TRI Data'!$I:$I,$H59)&gt;0,INDEX('Processed Non-zero TRI Data'!$A:$A,MATCH(1,($H59='Processed Non-zero TRI Data'!$I:$I)*(AP59='Processed Non-zero TRI Data'!$W:$W),0)),"N/A - Facility Does Not Report to TRI")))</f>
        <v>N/A - Facility Does Not Report to TRI</v>
      </c>
    </row>
    <row r="60" spans="1:44" ht="29" x14ac:dyDescent="0.35">
      <c r="A60" s="34">
        <v>57</v>
      </c>
      <c r="B60" s="33" t="str">
        <f>IFERROR("TRI Form "&amp;VLOOKUP(H60,'Processed Non-zero TRI Data'!$I$2:$K$23,3,FALSE),"DMR")</f>
        <v>DMR</v>
      </c>
      <c r="C60" s="33" t="str">
        <f>VLOOKUP($D60, 'COU.OES Summary'!C:D, 2, FALSE)</f>
        <v> </v>
      </c>
      <c r="D60" s="33" t="str">
        <f>IFERROR(VLOOKUP($H60, 'Processed Non-zero TRI Data'!$I:$O, 7, FALSE), VLOOKUP($I60, 'Processed Non-zero DMR Data'!$K:$R, 8, FALSE))</f>
        <v>Waste handling, treatment, and disposal - POTW</v>
      </c>
      <c r="E60" s="34" t="s">
        <v>210</v>
      </c>
      <c r="F60" s="34" t="s">
        <v>211</v>
      </c>
      <c r="G60" s="34" t="s">
        <v>108</v>
      </c>
      <c r="H60" s="34"/>
      <c r="I60" s="105">
        <v>110009938470</v>
      </c>
      <c r="J60" s="33" t="str">
        <f>IFERROR(VLOOKUP($I60, 'Processed Non-zero DMR Data'!$K:$U, 11, FALSE),"")</f>
        <v>KY0034428</v>
      </c>
      <c r="K60" s="33" t="str">
        <f>IFERROR(VLOOKUP($I60, 'Processed Non-zero DMR Data'!$K:$V, 12, FALSE),"Not Reported")</f>
        <v>Black Creek-Red River</v>
      </c>
      <c r="L60" s="106">
        <f>IFERROR(VLOOKUP($I60, 'Processed Non-zero DMR Data'!$K:$W, 13, FALSE),"No Reach Code Reported")</f>
        <v>51002040302</v>
      </c>
      <c r="M60" s="107" t="str">
        <f>IFERROR(IFERROR(VLOOKUP(H60, 'Off-site Locations'!$K$3:$O$5, 5, FALSE), VLOOKUP(H60, 'Off-site Locations'!$B$3:$E$4, 4, FALSE)), "No Offsite Transfers")</f>
        <v>No Offsite Transfers</v>
      </c>
      <c r="N60" s="33">
        <f>VLOOKUP($D60, 'COU.OES Summary'!C:E, 3, FALSE)</f>
        <v>365</v>
      </c>
      <c r="O60" s="108">
        <f t="shared" si="0"/>
        <v>0</v>
      </c>
      <c r="P60" s="108">
        <f t="shared" si="1"/>
        <v>3.9718843750000001</v>
      </c>
      <c r="Q60" s="109" cm="1">
        <f t="array" ref="Q60">IFERROR(_xlfn.XLOOKUP(1,  (MAX(IF(I60 = 'Processed Non-zero DMR Data'!$K:$K,'Processed Non-zero DMR Data'!$A:$A)) = 'Processed Non-zero DMR Data'!$A:$A)*('Processed Non-zero DMR Data'!$K:$K = I60),'Processed Non-zero DMR Data'!$T:$T), "N/A- Facility Does Not Report DMRs")</f>
        <v>3.9718843750000001</v>
      </c>
      <c r="R60" s="33">
        <f t="shared" si="11"/>
        <v>1.0881875000000001E-2</v>
      </c>
      <c r="S60" s="33" cm="1">
        <f t="array" ref="S60">IF(COUNTIF('Processed Non-zero DMR Data'!$K:$K,$I60)&gt;0,MEDIAN(IF('Processed Non-zero DMR Data'!$K:$K=I60,'Processed Non-zero DMR Data'!$T:$T)),"N/A - Facility Does Not Report DMRs")</f>
        <v>3.9718843750000001</v>
      </c>
      <c r="T60" s="33">
        <f t="shared" si="12"/>
        <v>1.0881875000000001E-2</v>
      </c>
      <c r="U60" s="33">
        <f>IF(COUNTIF('Processed Non-zero DMR Data'!$K:$K,$I60)&gt;0,_xlfn.MAXIFS('Processed Non-zero DMR Data'!$T:$T,'Processed Non-zero DMR Data'!$K:$K,$I60), "N/A - Facility Does Not Report DMRs")</f>
        <v>3.9718843750000001</v>
      </c>
      <c r="V60" s="33">
        <f t="shared" si="13"/>
        <v>1.0881875000000001E-2</v>
      </c>
      <c r="W60" s="110" cm="1">
        <f t="array" ref="W60">IF(COUNTIF('Processed Non-zero DMR Data'!$K:$K,$I60)&gt;0,INDEX('Processed Non-zero DMR Data'!$A:$A,MATCH(1,($I60='Processed Non-zero DMR Data'!$K:$K)*($U60='Processed Non-zero DMR Data'!$T:$T),0)), "N/A - Facility Does Not Report DMRs")</f>
        <v>2021</v>
      </c>
      <c r="X60" s="109" cm="1">
        <f t="array" ref="X60">IFERROR(_xlfn.XLOOKUP(1,  (MAX(IF(H60 = 'Processed Non-zero TRI Data'!$I:$I,'Processed Non-zero TRI Data'!$A:$A)) = 'Processed Non-zero TRI Data'!$A:$A)*('Processed Non-zero TRI Data'!$I:$I = H60), 'Processed Non-zero TRI Data'!$S:$S), "N/A- Facility Does Not Report to TRI")</f>
        <v>0</v>
      </c>
      <c r="Y60" s="33">
        <f t="shared" si="2"/>
        <v>0</v>
      </c>
      <c r="Z60" s="33" t="str" cm="1">
        <f t="array" ref="Z60">IF(COUNTIF('Processed Non-zero TRI Data'!$I:$I,$H60)&gt;0,MEDIAN(IF('Processed Non-zero TRI Data'!$I:$I=H60,'Processed Non-zero TRI Data'!$S:$S)), "N/A - Facility Does Not Report to TRI")</f>
        <v>N/A - Facility Does Not Report to TRI</v>
      </c>
      <c r="AA60" s="33" t="str">
        <f t="shared" si="3"/>
        <v>N/A - Facility Does Not Report to TRI</v>
      </c>
      <c r="AB60" s="33" t="str">
        <f>IF(COUNTIF('Processed Non-zero TRI Data'!$I:$I,$H60)&gt;0,_xlfn.MAXIFS('Processed Non-zero TRI Data'!$S:$S,'Processed Non-zero TRI Data'!$I:$I,$H60), "N/A - Facility Does Not Report to TRI")</f>
        <v>N/A - Facility Does Not Report to TRI</v>
      </c>
      <c r="AC60" s="33" t="str">
        <f t="shared" si="4"/>
        <v>N/A - Facility Does Not Report to TRI</v>
      </c>
      <c r="AD60" s="110" t="str" cm="1">
        <f t="array" ref="AD60">IFERROR(IF(B60 = "TRI Form R", IF(AB60 = 0, "Facility has no on-site water discharges between 2019-2023.",  IF(COUNTIF('Processed Non-zero TRI Data'!$I:$I,$H60)&gt;0,INDEX('Processed Non-zero TRI Data'!$A:$A,MATCH(1,($H60='Processed Non-zero TRI Data'!$I:$I)*(AB60='Processed Non-zero TRI Data'!$S:$S),0)))), VLOOKUP(H60, 'Form A Recent Reporting'!$L:$M, 2, FALSE)), ("N/A - Facility Does Not Report to TRI"))</f>
        <v>N/A - Facility Does Not Report to TRI</v>
      </c>
      <c r="AE60" s="109" cm="1">
        <f t="array" ref="AE60">IFERROR(_xlfn.XLOOKUP(1,  (MAX(IF(H60 = 'Processed Non-zero TRI Data'!$I:$I,'Processed Non-zero TRI Data'!$A:$A)) = 'Processed Non-zero TRI Data'!$A:$A)*('Processed Non-zero TRI Data'!$I:$I = H60), 'Processed Non-zero TRI Data'!$U:$U), "N/A- Facility Does Not Report to TRI")</f>
        <v>0</v>
      </c>
      <c r="AF60" s="33">
        <f t="shared" si="5"/>
        <v>0</v>
      </c>
      <c r="AG60" s="33" t="str" cm="1">
        <f t="array" ref="AG60">IF(COUNTIF('Processed Non-zero TRI Data'!$I:$I,$H60)&gt;0,MEDIAN(IF('Processed Non-zero TRI Data'!$I:$I=H60,'Processed Non-zero TRI Data'!$U:$U)), "N/A - Facility Does Not Report to TRI")</f>
        <v>N/A - Facility Does Not Report to TRI</v>
      </c>
      <c r="AH60" s="33" t="str">
        <f t="shared" si="6"/>
        <v>N/A - Facility Does Not Report to TRI</v>
      </c>
      <c r="AI60" s="33" t="str">
        <f>IF(COUNTIF('Processed Non-zero TRI Data'!$I:$I,$H60)&gt;0,_xlfn.MAXIFS('Processed Non-zero TRI Data'!$U:$U,'Processed Non-zero TRI Data'!$I:$I,$H60), "N/A - Facility Does Not Report to TRI")</f>
        <v>N/A - Facility Does Not Report to TRI</v>
      </c>
      <c r="AJ60" s="33" t="str">
        <f t="shared" si="7"/>
        <v>N/A - Facility Does Not Report to TRI</v>
      </c>
      <c r="AK60" s="110" t="str" cm="1">
        <f t="array" ref="AK60">IF(B60="TRI Form A",AD60,IF(AI60=0,"Facility has no transfers to POTWs between 2019-2023.",IF(COUNTIF('Processed Non-zero TRI Data'!$I:$I,$H60)&gt;0,INDEX('Processed Non-zero TRI Data'!$A:$A,MATCH(1,($H60='Processed Non-zero TRI Data'!$I:$I)*(AI60='Processed Non-zero TRI Data'!$U:$U),0)),"N/A - Facility Does Not Report to TRI")))</f>
        <v>N/A - Facility Does Not Report to TRI</v>
      </c>
      <c r="AL60" s="109" cm="1">
        <f t="array" ref="AL60">IFERROR(_xlfn.XLOOKUP(1,  (MAX(IF(H60 = 'Processed Non-zero TRI Data'!$I$2:$I$23,'Processed Non-zero TRI Data'!$A$2:$A$23)) = 'Processed Non-zero TRI Data'!$A$2:$A$23)*('Processed Non-zero TRI Data'!$I$2:$I$23 = H60), 'Processed Non-zero TRI Data'!$W$2:$W$23), "N/A- Facility Does Not Report to TRI")</f>
        <v>0</v>
      </c>
      <c r="AM60" s="33">
        <f t="shared" si="8"/>
        <v>0</v>
      </c>
      <c r="AN60" s="33" t="str" cm="1">
        <f t="array" ref="AN60">IF(COUNTIF('Processed Non-zero TRI Data'!$I:$I,$H60)&gt;0,MEDIAN(IF('Processed Non-zero TRI Data'!$I:$I=H60,'Processed Non-zero TRI Data'!$W:$W)), "N/A - Facility Does Not Report to TRI")</f>
        <v>N/A - Facility Does Not Report to TRI</v>
      </c>
      <c r="AO60" s="33" t="str">
        <f t="shared" si="9"/>
        <v>N/A - Facility Does Not Report to TRI</v>
      </c>
      <c r="AP60" s="33" t="str">
        <f>IF(COUNTIF('Processed Non-zero TRI Data'!$I:$I,$H60)&gt;0,_xlfn.MAXIFS('Processed Non-zero TRI Data'!$W:$W,'Processed Non-zero TRI Data'!$I:$I,$H60), "N/A - Facility Does Not Report to TRI")</f>
        <v>N/A - Facility Does Not Report to TRI</v>
      </c>
      <c r="AQ60" s="33" t="str">
        <f t="shared" si="10"/>
        <v>N/A - Facility Does Not Report to TRI</v>
      </c>
      <c r="AR60" s="110" t="str" cm="1">
        <f t="array" ref="AR60">IF(B60="TRI Form A",AD60,IF(AP60=0,"Facility has no transfers to non-POTWs between 2019-2023.",IF(COUNTIF('Processed Non-zero TRI Data'!$I:$I,$H60)&gt;0,INDEX('Processed Non-zero TRI Data'!$A:$A,MATCH(1,($H60='Processed Non-zero TRI Data'!$I:$I)*(AP60='Processed Non-zero TRI Data'!$W:$W),0)),"N/A - Facility Does Not Report to TRI")))</f>
        <v>N/A - Facility Does Not Report to TRI</v>
      </c>
    </row>
    <row r="61" spans="1:44" ht="29" x14ac:dyDescent="0.35">
      <c r="A61" s="34">
        <v>58</v>
      </c>
      <c r="B61" s="33" t="str">
        <f>IFERROR("TRI Form "&amp;VLOOKUP(H61,'Processed Non-zero TRI Data'!$I$2:$K$23,3,FALSE),"DMR")</f>
        <v>DMR</v>
      </c>
      <c r="C61" s="33" t="str">
        <f>VLOOKUP($D61, 'COU.OES Summary'!C:D, 2, FALSE)</f>
        <v> </v>
      </c>
      <c r="D61" s="33" t="str">
        <f>IFERROR(VLOOKUP($H61, 'Processed Non-zero TRI Data'!$I:$O, 7, FALSE), VLOOKUP($I61, 'Processed Non-zero DMR Data'!$K:$R, 8, FALSE))</f>
        <v>Waste handling, treatment, and disposal - POTW</v>
      </c>
      <c r="E61" s="34" t="s">
        <v>212</v>
      </c>
      <c r="F61" s="34" t="s">
        <v>213</v>
      </c>
      <c r="G61" s="34" t="s">
        <v>102</v>
      </c>
      <c r="H61" s="34"/>
      <c r="I61" s="105">
        <v>110000730460</v>
      </c>
      <c r="J61" s="33" t="str">
        <f>IFERROR(VLOOKUP($I61, 'Processed Non-zero DMR Data'!$K:$U, 11, FALSE),"")</f>
        <v>CA0022764</v>
      </c>
      <c r="K61" s="33" t="str">
        <f>IFERROR(VLOOKUP($I61, 'Processed Non-zero DMR Data'!$K:$V, 12, FALSE),"Not Reported")</f>
        <v>Upper Laguna De Santa Rosa</v>
      </c>
      <c r="L61" s="106">
        <f>IFERROR(VLOOKUP($I61, 'Processed Non-zero DMR Data'!$K:$W, 13, FALSE),"No Reach Code Reported")</f>
        <v>180101100701</v>
      </c>
      <c r="M61" s="107" t="str">
        <f>IFERROR(IFERROR(VLOOKUP(H61, 'Off-site Locations'!$K$3:$O$5, 5, FALSE), VLOOKUP(H61, 'Off-site Locations'!$B$3:$E$4, 4, FALSE)), "No Offsite Transfers")</f>
        <v>No Offsite Transfers</v>
      </c>
      <c r="N61" s="33">
        <f>VLOOKUP($D61, 'COU.OES Summary'!C:E, 3, FALSE)</f>
        <v>365</v>
      </c>
      <c r="O61" s="108">
        <f t="shared" si="0"/>
        <v>0</v>
      </c>
      <c r="P61" s="108">
        <f t="shared" si="1"/>
        <v>11.207385</v>
      </c>
      <c r="Q61" s="109" cm="1">
        <f t="array" ref="Q61">IFERROR(_xlfn.XLOOKUP(1,  (MAX(IF(I61 = 'Processed Non-zero DMR Data'!$K:$K,'Processed Non-zero DMR Data'!$A:$A)) = 'Processed Non-zero DMR Data'!$A:$A)*('Processed Non-zero DMR Data'!$K:$K = I61),'Processed Non-zero DMR Data'!$T:$T), "N/A- Facility Does Not Report DMRs")</f>
        <v>11.207385</v>
      </c>
      <c r="R61" s="33">
        <f t="shared" si="11"/>
        <v>3.0705164383561644E-2</v>
      </c>
      <c r="S61" s="33" cm="1">
        <f t="array" ref="S61">IF(COUNTIF('Processed Non-zero DMR Data'!$K:$K,$I61)&gt;0,MEDIAN(IF('Processed Non-zero DMR Data'!$K:$K=I61,'Processed Non-zero DMR Data'!$T:$T)),"N/A - Facility Does Not Report DMRs")</f>
        <v>11.207385</v>
      </c>
      <c r="T61" s="33">
        <f t="shared" si="12"/>
        <v>3.0705164383561644E-2</v>
      </c>
      <c r="U61" s="33">
        <f>IF(COUNTIF('Processed Non-zero DMR Data'!$K:$K,$I61)&gt;0,_xlfn.MAXIFS('Processed Non-zero DMR Data'!$T:$T,'Processed Non-zero DMR Data'!$K:$K,$I61), "N/A - Facility Does Not Report DMRs")</f>
        <v>11.207385</v>
      </c>
      <c r="V61" s="33">
        <f t="shared" si="13"/>
        <v>3.0705164383561644E-2</v>
      </c>
      <c r="W61" s="110" cm="1">
        <f t="array" ref="W61">IF(COUNTIF('Processed Non-zero DMR Data'!$K:$K,$I61)&gt;0,INDEX('Processed Non-zero DMR Data'!$A:$A,MATCH(1,($I61='Processed Non-zero DMR Data'!$K:$K)*($U61='Processed Non-zero DMR Data'!$T:$T),0)), "N/A - Facility Does Not Report DMRs")</f>
        <v>2019</v>
      </c>
      <c r="X61" s="109" cm="1">
        <f t="array" ref="X61">IFERROR(_xlfn.XLOOKUP(1,  (MAX(IF(H61 = 'Processed Non-zero TRI Data'!$I:$I,'Processed Non-zero TRI Data'!$A:$A)) = 'Processed Non-zero TRI Data'!$A:$A)*('Processed Non-zero TRI Data'!$I:$I = H61), 'Processed Non-zero TRI Data'!$S:$S), "N/A- Facility Does Not Report to TRI")</f>
        <v>0</v>
      </c>
      <c r="Y61" s="33">
        <f t="shared" si="2"/>
        <v>0</v>
      </c>
      <c r="Z61" s="33" t="str" cm="1">
        <f t="array" ref="Z61">IF(COUNTIF('Processed Non-zero TRI Data'!$I:$I,$H61)&gt;0,MEDIAN(IF('Processed Non-zero TRI Data'!$I:$I=H61,'Processed Non-zero TRI Data'!$S:$S)), "N/A - Facility Does Not Report to TRI")</f>
        <v>N/A - Facility Does Not Report to TRI</v>
      </c>
      <c r="AA61" s="33" t="str">
        <f t="shared" si="3"/>
        <v>N/A - Facility Does Not Report to TRI</v>
      </c>
      <c r="AB61" s="33" t="str">
        <f>IF(COUNTIF('Processed Non-zero TRI Data'!$I:$I,$H61)&gt;0,_xlfn.MAXIFS('Processed Non-zero TRI Data'!$S:$S,'Processed Non-zero TRI Data'!$I:$I,$H61), "N/A - Facility Does Not Report to TRI")</f>
        <v>N/A - Facility Does Not Report to TRI</v>
      </c>
      <c r="AC61" s="33" t="str">
        <f t="shared" si="4"/>
        <v>N/A - Facility Does Not Report to TRI</v>
      </c>
      <c r="AD61" s="110" t="str" cm="1">
        <f t="array" ref="AD61">IFERROR(IF(B61 = "TRI Form R", IF(AB61 = 0, "Facility has no on-site water discharges between 2019-2023.",  IF(COUNTIF('Processed Non-zero TRI Data'!$I:$I,$H61)&gt;0,INDEX('Processed Non-zero TRI Data'!$A:$A,MATCH(1,($H61='Processed Non-zero TRI Data'!$I:$I)*(AB61='Processed Non-zero TRI Data'!$S:$S),0)))), VLOOKUP(H61, 'Form A Recent Reporting'!$L:$M, 2, FALSE)), ("N/A - Facility Does Not Report to TRI"))</f>
        <v>N/A - Facility Does Not Report to TRI</v>
      </c>
      <c r="AE61" s="109" cm="1">
        <f t="array" ref="AE61">IFERROR(_xlfn.XLOOKUP(1,  (MAX(IF(H61 = 'Processed Non-zero TRI Data'!$I:$I,'Processed Non-zero TRI Data'!$A:$A)) = 'Processed Non-zero TRI Data'!$A:$A)*('Processed Non-zero TRI Data'!$I:$I = H61), 'Processed Non-zero TRI Data'!$U:$U), "N/A- Facility Does Not Report to TRI")</f>
        <v>0</v>
      </c>
      <c r="AF61" s="33">
        <f t="shared" si="5"/>
        <v>0</v>
      </c>
      <c r="AG61" s="33" t="str" cm="1">
        <f t="array" ref="AG61">IF(COUNTIF('Processed Non-zero TRI Data'!$I:$I,$H61)&gt;0,MEDIAN(IF('Processed Non-zero TRI Data'!$I:$I=H61,'Processed Non-zero TRI Data'!$U:$U)), "N/A - Facility Does Not Report to TRI")</f>
        <v>N/A - Facility Does Not Report to TRI</v>
      </c>
      <c r="AH61" s="33" t="str">
        <f t="shared" si="6"/>
        <v>N/A - Facility Does Not Report to TRI</v>
      </c>
      <c r="AI61" s="33" t="str">
        <f>IF(COUNTIF('Processed Non-zero TRI Data'!$I:$I,$H61)&gt;0,_xlfn.MAXIFS('Processed Non-zero TRI Data'!$U:$U,'Processed Non-zero TRI Data'!$I:$I,$H61), "N/A - Facility Does Not Report to TRI")</f>
        <v>N/A - Facility Does Not Report to TRI</v>
      </c>
      <c r="AJ61" s="33" t="str">
        <f t="shared" si="7"/>
        <v>N/A - Facility Does Not Report to TRI</v>
      </c>
      <c r="AK61" s="110" t="str" cm="1">
        <f t="array" ref="AK61">IF(B61="TRI Form A",AD61,IF(AI61=0,"Facility has no transfers to POTWs between 2019-2023.",IF(COUNTIF('Processed Non-zero TRI Data'!$I:$I,$H61)&gt;0,INDEX('Processed Non-zero TRI Data'!$A:$A,MATCH(1,($H61='Processed Non-zero TRI Data'!$I:$I)*(AI61='Processed Non-zero TRI Data'!$U:$U),0)),"N/A - Facility Does Not Report to TRI")))</f>
        <v>N/A - Facility Does Not Report to TRI</v>
      </c>
      <c r="AL61" s="109" cm="1">
        <f t="array" ref="AL61">IFERROR(_xlfn.XLOOKUP(1,  (MAX(IF(H61 = 'Processed Non-zero TRI Data'!$I$2:$I$23,'Processed Non-zero TRI Data'!$A$2:$A$23)) = 'Processed Non-zero TRI Data'!$A$2:$A$23)*('Processed Non-zero TRI Data'!$I$2:$I$23 = H61), 'Processed Non-zero TRI Data'!$W$2:$W$23), "N/A- Facility Does Not Report to TRI")</f>
        <v>0</v>
      </c>
      <c r="AM61" s="33">
        <f t="shared" si="8"/>
        <v>0</v>
      </c>
      <c r="AN61" s="33" t="str" cm="1">
        <f t="array" ref="AN61">IF(COUNTIF('Processed Non-zero TRI Data'!$I:$I,$H61)&gt;0,MEDIAN(IF('Processed Non-zero TRI Data'!$I:$I=H61,'Processed Non-zero TRI Data'!$W:$W)), "N/A - Facility Does Not Report to TRI")</f>
        <v>N/A - Facility Does Not Report to TRI</v>
      </c>
      <c r="AO61" s="33" t="str">
        <f t="shared" si="9"/>
        <v>N/A - Facility Does Not Report to TRI</v>
      </c>
      <c r="AP61" s="33" t="str">
        <f>IF(COUNTIF('Processed Non-zero TRI Data'!$I:$I,$H61)&gt;0,_xlfn.MAXIFS('Processed Non-zero TRI Data'!$W:$W,'Processed Non-zero TRI Data'!$I:$I,$H61), "N/A - Facility Does Not Report to TRI")</f>
        <v>N/A - Facility Does Not Report to TRI</v>
      </c>
      <c r="AQ61" s="33" t="str">
        <f t="shared" si="10"/>
        <v>N/A - Facility Does Not Report to TRI</v>
      </c>
      <c r="AR61" s="110" t="str" cm="1">
        <f t="array" ref="AR61">IF(B61="TRI Form A",AD61,IF(AP61=0,"Facility has no transfers to non-POTWs between 2019-2023.",IF(COUNTIF('Processed Non-zero TRI Data'!$I:$I,$H61)&gt;0,INDEX('Processed Non-zero TRI Data'!$A:$A,MATCH(1,($H61='Processed Non-zero TRI Data'!$I:$I)*(AP61='Processed Non-zero TRI Data'!$W:$W),0)),"N/A - Facility Does Not Report to TRI")))</f>
        <v>N/A - Facility Does Not Report to TRI</v>
      </c>
    </row>
    <row r="62" spans="1:44" ht="29" x14ac:dyDescent="0.35">
      <c r="A62" s="34">
        <v>59</v>
      </c>
      <c r="B62" s="33" t="str">
        <f>IFERROR("TRI Form "&amp;VLOOKUP(H62,'Processed Non-zero TRI Data'!$I$2:$K$23,3,FALSE),"DMR")</f>
        <v>DMR</v>
      </c>
      <c r="C62" s="33" t="str">
        <f>VLOOKUP($D62, 'COU.OES Summary'!C:D, 2, FALSE)</f>
        <v> </v>
      </c>
      <c r="D62" s="33" t="str">
        <f>IFERROR(VLOOKUP($H62, 'Processed Non-zero TRI Data'!$I:$O, 7, FALSE), VLOOKUP($I62, 'Processed Non-zero DMR Data'!$K:$R, 8, FALSE))</f>
        <v>Waste handling, treatment, and disposal - POTW</v>
      </c>
      <c r="E62" s="34" t="s">
        <v>214</v>
      </c>
      <c r="F62" s="34" t="s">
        <v>215</v>
      </c>
      <c r="G62" s="34" t="s">
        <v>156</v>
      </c>
      <c r="H62" s="34"/>
      <c r="I62" s="105">
        <v>110022302417</v>
      </c>
      <c r="J62" s="33" t="str">
        <f>IFERROR(VLOOKUP($I62, 'Processed Non-zero DMR Data'!$K:$U, 11, FALSE),"")</f>
        <v>HI0110086</v>
      </c>
      <c r="K62" s="33" t="str">
        <f>IFERROR(VLOOKUP($I62, 'Processed Non-zero DMR Data'!$K:$V, 12, FALSE),"Not Reported")</f>
        <v>Halawa Stream-Waimalu Stream</v>
      </c>
      <c r="L62" s="106">
        <f>IFERROR(VLOOKUP($I62, 'Processed Non-zero DMR Data'!$K:$W, 13, FALSE),"No Reach Code Reported")</f>
        <v>200600000401</v>
      </c>
      <c r="M62" s="107" t="str">
        <f>IFERROR(IFERROR(VLOOKUP(H62, 'Off-site Locations'!$K$3:$O$5, 5, FALSE), VLOOKUP(H62, 'Off-site Locations'!$B$3:$E$4, 4, FALSE)), "No Offsite Transfers")</f>
        <v>No Offsite Transfers</v>
      </c>
      <c r="N62" s="33">
        <f>VLOOKUP($D62, 'COU.OES Summary'!C:E, 3, FALSE)</f>
        <v>365</v>
      </c>
      <c r="O62" s="108">
        <f t="shared" si="0"/>
        <v>0</v>
      </c>
      <c r="P62" s="108">
        <f t="shared" si="1"/>
        <v>3.8682699999999999</v>
      </c>
      <c r="Q62" s="109" cm="1">
        <f t="array" ref="Q62">IFERROR(_xlfn.XLOOKUP(1,  (MAX(IF(I62 = 'Processed Non-zero DMR Data'!$K:$K,'Processed Non-zero DMR Data'!$A:$A)) = 'Processed Non-zero DMR Data'!$A:$A)*('Processed Non-zero DMR Data'!$K:$K = I62),'Processed Non-zero DMR Data'!$T:$T), "N/A- Facility Does Not Report DMRs")</f>
        <v>3.8682699999999999</v>
      </c>
      <c r="R62" s="33">
        <f t="shared" si="11"/>
        <v>1.0598E-2</v>
      </c>
      <c r="S62" s="33" cm="1">
        <f t="array" ref="S62">IF(COUNTIF('Processed Non-zero DMR Data'!$K:$K,$I62)&gt;0,MEDIAN(IF('Processed Non-zero DMR Data'!$K:$K=I62,'Processed Non-zero DMR Data'!$T:$T)),"N/A - Facility Does Not Report DMRs")</f>
        <v>3.8682699999999999</v>
      </c>
      <c r="T62" s="33">
        <f t="shared" si="12"/>
        <v>1.0598E-2</v>
      </c>
      <c r="U62" s="33">
        <f>IF(COUNTIF('Processed Non-zero DMR Data'!$K:$K,$I62)&gt;0,_xlfn.MAXIFS('Processed Non-zero DMR Data'!$T:$T,'Processed Non-zero DMR Data'!$K:$K,$I62), "N/A - Facility Does Not Report DMRs")</f>
        <v>3.8682699999999999</v>
      </c>
      <c r="V62" s="33">
        <f t="shared" si="13"/>
        <v>1.0598E-2</v>
      </c>
      <c r="W62" s="110" cm="1">
        <f t="array" ref="W62">IF(COUNTIF('Processed Non-zero DMR Data'!$K:$K,$I62)&gt;0,INDEX('Processed Non-zero DMR Data'!$A:$A,MATCH(1,($I62='Processed Non-zero DMR Data'!$K:$K)*($U62='Processed Non-zero DMR Data'!$T:$T),0)), "N/A - Facility Does Not Report DMRs")</f>
        <v>2020</v>
      </c>
      <c r="X62" s="109" cm="1">
        <f t="array" ref="X62">IFERROR(_xlfn.XLOOKUP(1,  (MAX(IF(H62 = 'Processed Non-zero TRI Data'!$I:$I,'Processed Non-zero TRI Data'!$A:$A)) = 'Processed Non-zero TRI Data'!$A:$A)*('Processed Non-zero TRI Data'!$I:$I = H62), 'Processed Non-zero TRI Data'!$S:$S), "N/A- Facility Does Not Report to TRI")</f>
        <v>0</v>
      </c>
      <c r="Y62" s="33">
        <f t="shared" si="2"/>
        <v>0</v>
      </c>
      <c r="Z62" s="33" t="str" cm="1">
        <f t="array" ref="Z62">IF(COUNTIF('Processed Non-zero TRI Data'!$I:$I,$H62)&gt;0,MEDIAN(IF('Processed Non-zero TRI Data'!$I:$I=H62,'Processed Non-zero TRI Data'!$S:$S)), "N/A - Facility Does Not Report to TRI")</f>
        <v>N/A - Facility Does Not Report to TRI</v>
      </c>
      <c r="AA62" s="33" t="str">
        <f t="shared" si="3"/>
        <v>N/A - Facility Does Not Report to TRI</v>
      </c>
      <c r="AB62" s="33" t="str">
        <f>IF(COUNTIF('Processed Non-zero TRI Data'!$I:$I,$H62)&gt;0,_xlfn.MAXIFS('Processed Non-zero TRI Data'!$S:$S,'Processed Non-zero TRI Data'!$I:$I,$H62), "N/A - Facility Does Not Report to TRI")</f>
        <v>N/A - Facility Does Not Report to TRI</v>
      </c>
      <c r="AC62" s="33" t="str">
        <f t="shared" si="4"/>
        <v>N/A - Facility Does Not Report to TRI</v>
      </c>
      <c r="AD62" s="110" t="str" cm="1">
        <f t="array" ref="AD62">IFERROR(IF(B62 = "TRI Form R", IF(AB62 = 0, "Facility has no on-site water discharges between 2019-2023.",  IF(COUNTIF('Processed Non-zero TRI Data'!$I:$I,$H62)&gt;0,INDEX('Processed Non-zero TRI Data'!$A:$A,MATCH(1,($H62='Processed Non-zero TRI Data'!$I:$I)*(AB62='Processed Non-zero TRI Data'!$S:$S),0)))), VLOOKUP(H62, 'Form A Recent Reporting'!$L:$M, 2, FALSE)), ("N/A - Facility Does Not Report to TRI"))</f>
        <v>N/A - Facility Does Not Report to TRI</v>
      </c>
      <c r="AE62" s="109" cm="1">
        <f t="array" ref="AE62">IFERROR(_xlfn.XLOOKUP(1,  (MAX(IF(H62 = 'Processed Non-zero TRI Data'!$I:$I,'Processed Non-zero TRI Data'!$A:$A)) = 'Processed Non-zero TRI Data'!$A:$A)*('Processed Non-zero TRI Data'!$I:$I = H62), 'Processed Non-zero TRI Data'!$U:$U), "N/A- Facility Does Not Report to TRI")</f>
        <v>0</v>
      </c>
      <c r="AF62" s="33">
        <f t="shared" si="5"/>
        <v>0</v>
      </c>
      <c r="AG62" s="33" t="str" cm="1">
        <f t="array" ref="AG62">IF(COUNTIF('Processed Non-zero TRI Data'!$I:$I,$H62)&gt;0,MEDIAN(IF('Processed Non-zero TRI Data'!$I:$I=H62,'Processed Non-zero TRI Data'!$U:$U)), "N/A - Facility Does Not Report to TRI")</f>
        <v>N/A - Facility Does Not Report to TRI</v>
      </c>
      <c r="AH62" s="33" t="str">
        <f t="shared" si="6"/>
        <v>N/A - Facility Does Not Report to TRI</v>
      </c>
      <c r="AI62" s="33" t="str">
        <f>IF(COUNTIF('Processed Non-zero TRI Data'!$I:$I,$H62)&gt;0,_xlfn.MAXIFS('Processed Non-zero TRI Data'!$U:$U,'Processed Non-zero TRI Data'!$I:$I,$H62), "N/A - Facility Does Not Report to TRI")</f>
        <v>N/A - Facility Does Not Report to TRI</v>
      </c>
      <c r="AJ62" s="33" t="str">
        <f t="shared" si="7"/>
        <v>N/A - Facility Does Not Report to TRI</v>
      </c>
      <c r="AK62" s="110" t="str" cm="1">
        <f t="array" ref="AK62">IF(B62="TRI Form A",AD62,IF(AI62=0,"Facility has no transfers to POTWs between 2019-2023.",IF(COUNTIF('Processed Non-zero TRI Data'!$I:$I,$H62)&gt;0,INDEX('Processed Non-zero TRI Data'!$A:$A,MATCH(1,($H62='Processed Non-zero TRI Data'!$I:$I)*(AI62='Processed Non-zero TRI Data'!$U:$U),0)),"N/A - Facility Does Not Report to TRI")))</f>
        <v>N/A - Facility Does Not Report to TRI</v>
      </c>
      <c r="AL62" s="109" cm="1">
        <f t="array" ref="AL62">IFERROR(_xlfn.XLOOKUP(1,  (MAX(IF(H62 = 'Processed Non-zero TRI Data'!$I$2:$I$23,'Processed Non-zero TRI Data'!$A$2:$A$23)) = 'Processed Non-zero TRI Data'!$A$2:$A$23)*('Processed Non-zero TRI Data'!$I$2:$I$23 = H62), 'Processed Non-zero TRI Data'!$W$2:$W$23), "N/A- Facility Does Not Report to TRI")</f>
        <v>0</v>
      </c>
      <c r="AM62" s="33">
        <f t="shared" si="8"/>
        <v>0</v>
      </c>
      <c r="AN62" s="33" t="str" cm="1">
        <f t="array" ref="AN62">IF(COUNTIF('Processed Non-zero TRI Data'!$I:$I,$H62)&gt;0,MEDIAN(IF('Processed Non-zero TRI Data'!$I:$I=H62,'Processed Non-zero TRI Data'!$W:$W)), "N/A - Facility Does Not Report to TRI")</f>
        <v>N/A - Facility Does Not Report to TRI</v>
      </c>
      <c r="AO62" s="33" t="str">
        <f t="shared" si="9"/>
        <v>N/A - Facility Does Not Report to TRI</v>
      </c>
      <c r="AP62" s="33" t="str">
        <f>IF(COUNTIF('Processed Non-zero TRI Data'!$I:$I,$H62)&gt;0,_xlfn.MAXIFS('Processed Non-zero TRI Data'!$W:$W,'Processed Non-zero TRI Data'!$I:$I,$H62), "N/A - Facility Does Not Report to TRI")</f>
        <v>N/A - Facility Does Not Report to TRI</v>
      </c>
      <c r="AQ62" s="33" t="str">
        <f t="shared" si="10"/>
        <v>N/A - Facility Does Not Report to TRI</v>
      </c>
      <c r="AR62" s="110" t="str" cm="1">
        <f t="array" ref="AR62">IF(B62="TRI Form A",AD62,IF(AP62=0,"Facility has no transfers to non-POTWs between 2019-2023.",IF(COUNTIF('Processed Non-zero TRI Data'!$I:$I,$H62)&gt;0,INDEX('Processed Non-zero TRI Data'!$A:$A,MATCH(1,($H62='Processed Non-zero TRI Data'!$I:$I)*(AP62='Processed Non-zero TRI Data'!$W:$W),0)),"N/A - Facility Does Not Report to TRI")))</f>
        <v>N/A - Facility Does Not Report to TRI</v>
      </c>
    </row>
    <row r="63" spans="1:44" ht="29" x14ac:dyDescent="0.35">
      <c r="A63" s="34">
        <v>60</v>
      </c>
      <c r="B63" s="33" t="str">
        <f>IFERROR("TRI Form "&amp;VLOOKUP(H63,'Processed Non-zero TRI Data'!$I$2:$K$23,3,FALSE),"DMR")</f>
        <v>DMR</v>
      </c>
      <c r="C63" s="33" t="str">
        <f>VLOOKUP($D63, 'COU.OES Summary'!C:D, 2, FALSE)</f>
        <v> </v>
      </c>
      <c r="D63" s="33" t="str">
        <f>IFERROR(VLOOKUP($H63, 'Processed Non-zero TRI Data'!$I:$O, 7, FALSE), VLOOKUP($I63, 'Processed Non-zero DMR Data'!$K:$R, 8, FALSE))</f>
        <v>Waste handling, treatment, and disposal - POTW</v>
      </c>
      <c r="E63" s="34" t="s">
        <v>216</v>
      </c>
      <c r="F63" s="34" t="s">
        <v>119</v>
      </c>
      <c r="G63" s="34" t="s">
        <v>102</v>
      </c>
      <c r="H63" s="34"/>
      <c r="I63" s="105">
        <v>110064252419</v>
      </c>
      <c r="J63" s="33" t="str">
        <f>IFERROR(VLOOKUP($I63, 'Processed Non-zero DMR Data'!$K:$U, 11, FALSE),"")</f>
        <v>CA0038539</v>
      </c>
      <c r="K63" s="33" t="str">
        <f>IFERROR(VLOOKUP($I63, 'Processed Non-zero DMR Data'!$K:$V, 12, FALSE),"Not Reported")</f>
        <v>Pinole Creek-Frontal San Pablo Bay Estuaries</v>
      </c>
      <c r="L63" s="106">
        <f>IFERROR(VLOOKUP($I63, 'Processed Non-zero DMR Data'!$K:$W, 13, FALSE),"No Reach Code Reported")</f>
        <v>180500020702</v>
      </c>
      <c r="M63" s="107" t="str">
        <f>IFERROR(IFERROR(VLOOKUP(H63, 'Off-site Locations'!$K$3:$O$5, 5, FALSE), VLOOKUP(H63, 'Off-site Locations'!$B$3:$E$4, 4, FALSE)), "No Offsite Transfers")</f>
        <v>No Offsite Transfers</v>
      </c>
      <c r="N63" s="33">
        <f>VLOOKUP($D63, 'COU.OES Summary'!C:E, 3, FALSE)</f>
        <v>365</v>
      </c>
      <c r="O63" s="108">
        <f t="shared" si="0"/>
        <v>0</v>
      </c>
      <c r="P63" s="108">
        <f t="shared" si="1"/>
        <v>3.7646556250000001</v>
      </c>
      <c r="Q63" s="109" cm="1">
        <f t="array" ref="Q63">IFERROR(_xlfn.XLOOKUP(1,  (MAX(IF(I63 = 'Processed Non-zero DMR Data'!$K:$K,'Processed Non-zero DMR Data'!$A:$A)) = 'Processed Non-zero DMR Data'!$A:$A)*('Processed Non-zero DMR Data'!$K:$K = I63),'Processed Non-zero DMR Data'!$T:$T), "N/A- Facility Does Not Report DMRs")</f>
        <v>3.1705998750000002</v>
      </c>
      <c r="R63" s="33">
        <f t="shared" si="11"/>
        <v>8.6865750000000002E-3</v>
      </c>
      <c r="S63" s="33" cm="1">
        <f t="array" ref="S63">IF(COUNTIF('Processed Non-zero DMR Data'!$K:$K,$I63)&gt;0,MEDIAN(IF('Processed Non-zero DMR Data'!$K:$K=I63,'Processed Non-zero DMR Data'!$T:$T)),"N/A - Facility Does Not Report DMRs")</f>
        <v>3.4676277500000001</v>
      </c>
      <c r="T63" s="33">
        <f t="shared" si="12"/>
        <v>9.5003500000000012E-3</v>
      </c>
      <c r="U63" s="33">
        <f>IF(COUNTIF('Processed Non-zero DMR Data'!$K:$K,$I63)&gt;0,_xlfn.MAXIFS('Processed Non-zero DMR Data'!$T:$T,'Processed Non-zero DMR Data'!$K:$K,$I63), "N/A - Facility Does Not Report DMRs")</f>
        <v>3.7646556250000001</v>
      </c>
      <c r="V63" s="33">
        <f t="shared" si="13"/>
        <v>1.0314125E-2</v>
      </c>
      <c r="W63" s="110" cm="1">
        <f t="array" ref="W63">IF(COUNTIF('Processed Non-zero DMR Data'!$K:$K,$I63)&gt;0,INDEX('Processed Non-zero DMR Data'!$A:$A,MATCH(1,($I63='Processed Non-zero DMR Data'!$K:$K)*($U63='Processed Non-zero DMR Data'!$T:$T),0)), "N/A - Facility Does Not Report DMRs")</f>
        <v>2019</v>
      </c>
      <c r="X63" s="109" cm="1">
        <f t="array" ref="X63">IFERROR(_xlfn.XLOOKUP(1,  (MAX(IF(H63 = 'Processed Non-zero TRI Data'!$I:$I,'Processed Non-zero TRI Data'!$A:$A)) = 'Processed Non-zero TRI Data'!$A:$A)*('Processed Non-zero TRI Data'!$I:$I = H63), 'Processed Non-zero TRI Data'!$S:$S), "N/A- Facility Does Not Report to TRI")</f>
        <v>0</v>
      </c>
      <c r="Y63" s="33">
        <f t="shared" si="2"/>
        <v>0</v>
      </c>
      <c r="Z63" s="33" t="str" cm="1">
        <f t="array" ref="Z63">IF(COUNTIF('Processed Non-zero TRI Data'!$I:$I,$H63)&gt;0,MEDIAN(IF('Processed Non-zero TRI Data'!$I:$I=H63,'Processed Non-zero TRI Data'!$S:$S)), "N/A - Facility Does Not Report to TRI")</f>
        <v>N/A - Facility Does Not Report to TRI</v>
      </c>
      <c r="AA63" s="33" t="str">
        <f t="shared" si="3"/>
        <v>N/A - Facility Does Not Report to TRI</v>
      </c>
      <c r="AB63" s="33" t="str">
        <f>IF(COUNTIF('Processed Non-zero TRI Data'!$I:$I,$H63)&gt;0,_xlfn.MAXIFS('Processed Non-zero TRI Data'!$S:$S,'Processed Non-zero TRI Data'!$I:$I,$H63), "N/A - Facility Does Not Report to TRI")</f>
        <v>N/A - Facility Does Not Report to TRI</v>
      </c>
      <c r="AC63" s="33" t="str">
        <f t="shared" si="4"/>
        <v>N/A - Facility Does Not Report to TRI</v>
      </c>
      <c r="AD63" s="110" t="str" cm="1">
        <f t="array" ref="AD63">IFERROR(IF(B63 = "TRI Form R", IF(AB63 = 0, "Facility has no on-site water discharges between 2019-2023.",  IF(COUNTIF('Processed Non-zero TRI Data'!$I:$I,$H63)&gt;0,INDEX('Processed Non-zero TRI Data'!$A:$A,MATCH(1,($H63='Processed Non-zero TRI Data'!$I:$I)*(AB63='Processed Non-zero TRI Data'!$S:$S),0)))), VLOOKUP(H63, 'Form A Recent Reporting'!$L:$M, 2, FALSE)), ("N/A - Facility Does Not Report to TRI"))</f>
        <v>N/A - Facility Does Not Report to TRI</v>
      </c>
      <c r="AE63" s="109" cm="1">
        <f t="array" ref="AE63">IFERROR(_xlfn.XLOOKUP(1,  (MAX(IF(H63 = 'Processed Non-zero TRI Data'!$I:$I,'Processed Non-zero TRI Data'!$A:$A)) = 'Processed Non-zero TRI Data'!$A:$A)*('Processed Non-zero TRI Data'!$I:$I = H63), 'Processed Non-zero TRI Data'!$U:$U), "N/A- Facility Does Not Report to TRI")</f>
        <v>0</v>
      </c>
      <c r="AF63" s="33">
        <f t="shared" si="5"/>
        <v>0</v>
      </c>
      <c r="AG63" s="33" t="str" cm="1">
        <f t="array" ref="AG63">IF(COUNTIF('Processed Non-zero TRI Data'!$I:$I,$H63)&gt;0,MEDIAN(IF('Processed Non-zero TRI Data'!$I:$I=H63,'Processed Non-zero TRI Data'!$U:$U)), "N/A - Facility Does Not Report to TRI")</f>
        <v>N/A - Facility Does Not Report to TRI</v>
      </c>
      <c r="AH63" s="33" t="str">
        <f t="shared" si="6"/>
        <v>N/A - Facility Does Not Report to TRI</v>
      </c>
      <c r="AI63" s="33" t="str">
        <f>IF(COUNTIF('Processed Non-zero TRI Data'!$I:$I,$H63)&gt;0,_xlfn.MAXIFS('Processed Non-zero TRI Data'!$U:$U,'Processed Non-zero TRI Data'!$I:$I,$H63), "N/A - Facility Does Not Report to TRI")</f>
        <v>N/A - Facility Does Not Report to TRI</v>
      </c>
      <c r="AJ63" s="33" t="str">
        <f t="shared" si="7"/>
        <v>N/A - Facility Does Not Report to TRI</v>
      </c>
      <c r="AK63" s="110" t="str" cm="1">
        <f t="array" ref="AK63">IF(B63="TRI Form A",AD63,IF(AI63=0,"Facility has no transfers to POTWs between 2019-2023.",IF(COUNTIF('Processed Non-zero TRI Data'!$I:$I,$H63)&gt;0,INDEX('Processed Non-zero TRI Data'!$A:$A,MATCH(1,($H63='Processed Non-zero TRI Data'!$I:$I)*(AI63='Processed Non-zero TRI Data'!$U:$U),0)),"N/A - Facility Does Not Report to TRI")))</f>
        <v>N/A - Facility Does Not Report to TRI</v>
      </c>
      <c r="AL63" s="109" cm="1">
        <f t="array" ref="AL63">IFERROR(_xlfn.XLOOKUP(1,  (MAX(IF(H63 = 'Processed Non-zero TRI Data'!$I$2:$I$23,'Processed Non-zero TRI Data'!$A$2:$A$23)) = 'Processed Non-zero TRI Data'!$A$2:$A$23)*('Processed Non-zero TRI Data'!$I$2:$I$23 = H63), 'Processed Non-zero TRI Data'!$W$2:$W$23), "N/A- Facility Does Not Report to TRI")</f>
        <v>0</v>
      </c>
      <c r="AM63" s="33">
        <f t="shared" si="8"/>
        <v>0</v>
      </c>
      <c r="AN63" s="33" t="str" cm="1">
        <f t="array" ref="AN63">IF(COUNTIF('Processed Non-zero TRI Data'!$I:$I,$H63)&gt;0,MEDIAN(IF('Processed Non-zero TRI Data'!$I:$I=H63,'Processed Non-zero TRI Data'!$W:$W)), "N/A - Facility Does Not Report to TRI")</f>
        <v>N/A - Facility Does Not Report to TRI</v>
      </c>
      <c r="AO63" s="33" t="str">
        <f t="shared" si="9"/>
        <v>N/A - Facility Does Not Report to TRI</v>
      </c>
      <c r="AP63" s="33" t="str">
        <f>IF(COUNTIF('Processed Non-zero TRI Data'!$I:$I,$H63)&gt;0,_xlfn.MAXIFS('Processed Non-zero TRI Data'!$W:$W,'Processed Non-zero TRI Data'!$I:$I,$H63), "N/A - Facility Does Not Report to TRI")</f>
        <v>N/A - Facility Does Not Report to TRI</v>
      </c>
      <c r="AQ63" s="33" t="str">
        <f t="shared" si="10"/>
        <v>N/A - Facility Does Not Report to TRI</v>
      </c>
      <c r="AR63" s="110" t="str" cm="1">
        <f t="array" ref="AR63">IF(B63="TRI Form A",AD63,IF(AP63=0,"Facility has no transfers to non-POTWs between 2019-2023.",IF(COUNTIF('Processed Non-zero TRI Data'!$I:$I,$H63)&gt;0,INDEX('Processed Non-zero TRI Data'!$A:$A,MATCH(1,($H63='Processed Non-zero TRI Data'!$I:$I)*(AP63='Processed Non-zero TRI Data'!$W:$W),0)),"N/A - Facility Does Not Report to TRI")))</f>
        <v>N/A - Facility Does Not Report to TRI</v>
      </c>
    </row>
    <row r="64" spans="1:44" ht="29" x14ac:dyDescent="0.35">
      <c r="A64" s="34">
        <v>61</v>
      </c>
      <c r="B64" s="33" t="str">
        <f>IFERROR("TRI Form "&amp;VLOOKUP(H64,'Processed Non-zero TRI Data'!$I$2:$K$23,3,FALSE),"DMR")</f>
        <v>DMR</v>
      </c>
      <c r="C64" s="33" t="str">
        <f>VLOOKUP($D64, 'COU.OES Summary'!C:D, 2, FALSE)</f>
        <v> </v>
      </c>
      <c r="D64" s="33" t="str">
        <f>IFERROR(VLOOKUP($H64, 'Processed Non-zero TRI Data'!$I:$O, 7, FALSE), VLOOKUP($I64, 'Processed Non-zero DMR Data'!$K:$R, 8, FALSE))</f>
        <v>Waste handling, treatment, and disposal - Remediation or Monitoring</v>
      </c>
      <c r="E64" s="34" t="s">
        <v>217</v>
      </c>
      <c r="F64" s="34" t="s">
        <v>218</v>
      </c>
      <c r="G64" s="34" t="s">
        <v>129</v>
      </c>
      <c r="H64" s="34"/>
      <c r="I64" s="105">
        <v>110000595981</v>
      </c>
      <c r="J64" s="33" t="str">
        <f>IFERROR(VLOOKUP($I64, 'Processed Non-zero DMR Data'!$K:$U, 11, FALSE),"")</f>
        <v>MO0111686</v>
      </c>
      <c r="K64" s="33" t="str">
        <f>IFERROR(VLOOKUP($I64, 'Processed Non-zero DMR Data'!$K:$V, 12, FALSE),"Not Reported")</f>
        <v>Fools Creek-Mississippi River</v>
      </c>
      <c r="L64" s="106">
        <f>IFERROR(VLOOKUP($I64, 'Processed Non-zero DMR Data'!$K:$W, 13, FALSE),"No Reach Code Reported")</f>
        <v>71100040504</v>
      </c>
      <c r="M64" s="107" t="str">
        <f>IFERROR(IFERROR(VLOOKUP(H64, 'Off-site Locations'!$K$3:$O$5, 5, FALSE), VLOOKUP(H64, 'Off-site Locations'!$B$3:$E$4, 4, FALSE)), "No Offsite Transfers")</f>
        <v>No Offsite Transfers</v>
      </c>
      <c r="N64" s="33">
        <f>VLOOKUP($D64, 'COU.OES Summary'!C:E, 3, FALSE)</f>
        <v>365</v>
      </c>
      <c r="O64" s="108">
        <f t="shared" si="0"/>
        <v>0</v>
      </c>
      <c r="P64" s="108">
        <f t="shared" si="1"/>
        <v>3.71630225</v>
      </c>
      <c r="Q64" s="109" cm="1">
        <f t="array" ref="Q64">IFERROR(_xlfn.XLOOKUP(1,  (MAX(IF(I64 = 'Processed Non-zero DMR Data'!$K:$K,'Processed Non-zero DMR Data'!$A:$A)) = 'Processed Non-zero DMR Data'!$A:$A)*('Processed Non-zero DMR Data'!$K:$K = I64),'Processed Non-zero DMR Data'!$T:$T), "N/A- Facility Does Not Report DMRs")</f>
        <v>0.44208799999999998</v>
      </c>
      <c r="R64" s="33">
        <f t="shared" si="11"/>
        <v>1.2112E-3</v>
      </c>
      <c r="S64" s="33" cm="1">
        <f t="array" ref="S64">IF(COUNTIF('Processed Non-zero DMR Data'!$K:$K,$I64)&gt;0,MEDIAN(IF('Processed Non-zero DMR Data'!$K:$K=I64,'Processed Non-zero DMR Data'!$T:$T)),"N/A - Facility Does Not Report DMRs")</f>
        <v>0.49734899999999999</v>
      </c>
      <c r="T64" s="33">
        <f t="shared" si="12"/>
        <v>1.3626000000000001E-3</v>
      </c>
      <c r="U64" s="33">
        <f>IF(COUNTIF('Processed Non-zero DMR Data'!$K:$K,$I64)&gt;0,_xlfn.MAXIFS('Processed Non-zero DMR Data'!$T:$T,'Processed Non-zero DMR Data'!$K:$K,$I64), "N/A - Facility Does Not Report DMRs")</f>
        <v>3.71630225</v>
      </c>
      <c r="V64" s="33">
        <f t="shared" si="13"/>
        <v>1.018165E-2</v>
      </c>
      <c r="W64" s="110" cm="1">
        <f t="array" ref="W64">IF(COUNTIF('Processed Non-zero DMR Data'!$K:$K,$I64)&gt;0,INDEX('Processed Non-zero DMR Data'!$A:$A,MATCH(1,($I64='Processed Non-zero DMR Data'!$K:$K)*($U64='Processed Non-zero DMR Data'!$T:$T),0)), "N/A - Facility Does Not Report DMRs")</f>
        <v>2021</v>
      </c>
      <c r="X64" s="109" cm="1">
        <f t="array" ref="X64">IFERROR(_xlfn.XLOOKUP(1,  (MAX(IF(H64 = 'Processed Non-zero TRI Data'!$I:$I,'Processed Non-zero TRI Data'!$A:$A)) = 'Processed Non-zero TRI Data'!$A:$A)*('Processed Non-zero TRI Data'!$I:$I = H64), 'Processed Non-zero TRI Data'!$S:$S), "N/A- Facility Does Not Report to TRI")</f>
        <v>0</v>
      </c>
      <c r="Y64" s="33">
        <f t="shared" si="2"/>
        <v>0</v>
      </c>
      <c r="Z64" s="33" t="str" cm="1">
        <f t="array" ref="Z64">IF(COUNTIF('Processed Non-zero TRI Data'!$I:$I,$H64)&gt;0,MEDIAN(IF('Processed Non-zero TRI Data'!$I:$I=H64,'Processed Non-zero TRI Data'!$S:$S)), "N/A - Facility Does Not Report to TRI")</f>
        <v>N/A - Facility Does Not Report to TRI</v>
      </c>
      <c r="AA64" s="33" t="str">
        <f t="shared" si="3"/>
        <v>N/A - Facility Does Not Report to TRI</v>
      </c>
      <c r="AB64" s="33" t="str">
        <f>IF(COUNTIF('Processed Non-zero TRI Data'!$I:$I,$H64)&gt;0,_xlfn.MAXIFS('Processed Non-zero TRI Data'!$S:$S,'Processed Non-zero TRI Data'!$I:$I,$H64), "N/A - Facility Does Not Report to TRI")</f>
        <v>N/A - Facility Does Not Report to TRI</v>
      </c>
      <c r="AC64" s="33" t="str">
        <f t="shared" si="4"/>
        <v>N/A - Facility Does Not Report to TRI</v>
      </c>
      <c r="AD64" s="110" t="str" cm="1">
        <f t="array" ref="AD64">IFERROR(IF(B64 = "TRI Form R", IF(AB64 = 0, "Facility has no on-site water discharges between 2019-2023.",  IF(COUNTIF('Processed Non-zero TRI Data'!$I:$I,$H64)&gt;0,INDEX('Processed Non-zero TRI Data'!$A:$A,MATCH(1,($H64='Processed Non-zero TRI Data'!$I:$I)*(AB64='Processed Non-zero TRI Data'!$S:$S),0)))), VLOOKUP(H64, 'Form A Recent Reporting'!$L:$M, 2, FALSE)), ("N/A - Facility Does Not Report to TRI"))</f>
        <v>N/A - Facility Does Not Report to TRI</v>
      </c>
      <c r="AE64" s="109" cm="1">
        <f t="array" ref="AE64">IFERROR(_xlfn.XLOOKUP(1,  (MAX(IF(H64 = 'Processed Non-zero TRI Data'!$I:$I,'Processed Non-zero TRI Data'!$A:$A)) = 'Processed Non-zero TRI Data'!$A:$A)*('Processed Non-zero TRI Data'!$I:$I = H64), 'Processed Non-zero TRI Data'!$U:$U), "N/A- Facility Does Not Report to TRI")</f>
        <v>0</v>
      </c>
      <c r="AF64" s="33">
        <f t="shared" si="5"/>
        <v>0</v>
      </c>
      <c r="AG64" s="33" t="str" cm="1">
        <f t="array" ref="AG64">IF(COUNTIF('Processed Non-zero TRI Data'!$I:$I,$H64)&gt;0,MEDIAN(IF('Processed Non-zero TRI Data'!$I:$I=H64,'Processed Non-zero TRI Data'!$U:$U)), "N/A - Facility Does Not Report to TRI")</f>
        <v>N/A - Facility Does Not Report to TRI</v>
      </c>
      <c r="AH64" s="33" t="str">
        <f t="shared" si="6"/>
        <v>N/A - Facility Does Not Report to TRI</v>
      </c>
      <c r="AI64" s="33" t="str">
        <f>IF(COUNTIF('Processed Non-zero TRI Data'!$I:$I,$H64)&gt;0,_xlfn.MAXIFS('Processed Non-zero TRI Data'!$U:$U,'Processed Non-zero TRI Data'!$I:$I,$H64), "N/A - Facility Does Not Report to TRI")</f>
        <v>N/A - Facility Does Not Report to TRI</v>
      </c>
      <c r="AJ64" s="33" t="str">
        <f t="shared" si="7"/>
        <v>N/A - Facility Does Not Report to TRI</v>
      </c>
      <c r="AK64" s="110" t="str" cm="1">
        <f t="array" ref="AK64">IF(B64="TRI Form A",AD64,IF(AI64=0,"Facility has no transfers to POTWs between 2019-2023.",IF(COUNTIF('Processed Non-zero TRI Data'!$I:$I,$H64)&gt;0,INDEX('Processed Non-zero TRI Data'!$A:$A,MATCH(1,($H64='Processed Non-zero TRI Data'!$I:$I)*(AI64='Processed Non-zero TRI Data'!$U:$U),0)),"N/A - Facility Does Not Report to TRI")))</f>
        <v>N/A - Facility Does Not Report to TRI</v>
      </c>
      <c r="AL64" s="109" cm="1">
        <f t="array" ref="AL64">IFERROR(_xlfn.XLOOKUP(1,  (MAX(IF(H64 = 'Processed Non-zero TRI Data'!$I$2:$I$23,'Processed Non-zero TRI Data'!$A$2:$A$23)) = 'Processed Non-zero TRI Data'!$A$2:$A$23)*('Processed Non-zero TRI Data'!$I$2:$I$23 = H64), 'Processed Non-zero TRI Data'!$W$2:$W$23), "N/A- Facility Does Not Report to TRI")</f>
        <v>0</v>
      </c>
      <c r="AM64" s="33">
        <f t="shared" si="8"/>
        <v>0</v>
      </c>
      <c r="AN64" s="33" t="str" cm="1">
        <f t="array" ref="AN64">IF(COUNTIF('Processed Non-zero TRI Data'!$I:$I,$H64)&gt;0,MEDIAN(IF('Processed Non-zero TRI Data'!$I:$I=H64,'Processed Non-zero TRI Data'!$W:$W)), "N/A - Facility Does Not Report to TRI")</f>
        <v>N/A - Facility Does Not Report to TRI</v>
      </c>
      <c r="AO64" s="33" t="str">
        <f t="shared" si="9"/>
        <v>N/A - Facility Does Not Report to TRI</v>
      </c>
      <c r="AP64" s="33" t="str">
        <f>IF(COUNTIF('Processed Non-zero TRI Data'!$I:$I,$H64)&gt;0,_xlfn.MAXIFS('Processed Non-zero TRI Data'!$W:$W,'Processed Non-zero TRI Data'!$I:$I,$H64), "N/A - Facility Does Not Report to TRI")</f>
        <v>N/A - Facility Does Not Report to TRI</v>
      </c>
      <c r="AQ64" s="33" t="str">
        <f t="shared" si="10"/>
        <v>N/A - Facility Does Not Report to TRI</v>
      </c>
      <c r="AR64" s="110" t="str" cm="1">
        <f t="array" ref="AR64">IF(B64="TRI Form A",AD64,IF(AP64=0,"Facility has no transfers to non-POTWs between 2019-2023.",IF(COUNTIF('Processed Non-zero TRI Data'!$I:$I,$H64)&gt;0,INDEX('Processed Non-zero TRI Data'!$A:$A,MATCH(1,($H64='Processed Non-zero TRI Data'!$I:$I)*(AP64='Processed Non-zero TRI Data'!$W:$W),0)),"N/A - Facility Does Not Report to TRI")))</f>
        <v>N/A - Facility Does Not Report to TRI</v>
      </c>
    </row>
    <row r="65" spans="1:44" ht="29" x14ac:dyDescent="0.35">
      <c r="A65" s="34">
        <v>62</v>
      </c>
      <c r="B65" s="33" t="str">
        <f>IFERROR("TRI Form "&amp;VLOOKUP(H65,'Processed Non-zero TRI Data'!$I$2:$K$23,3,FALSE),"DMR")</f>
        <v>DMR</v>
      </c>
      <c r="C65" s="33" t="str">
        <f>VLOOKUP($D65, 'COU.OES Summary'!C:D, 2, FALSE)</f>
        <v> </v>
      </c>
      <c r="D65" s="33" t="str">
        <f>IFERROR(VLOOKUP($H65, 'Processed Non-zero TRI Data'!$I:$O, 7, FALSE), VLOOKUP($I65, 'Processed Non-zero DMR Data'!$K:$R, 8, FALSE))</f>
        <v>Waste handling, treatment, and disposal - POTW</v>
      </c>
      <c r="E65" s="34" t="s">
        <v>219</v>
      </c>
      <c r="F65" s="34" t="s">
        <v>220</v>
      </c>
      <c r="G65" s="34" t="s">
        <v>221</v>
      </c>
      <c r="H65" s="34"/>
      <c r="I65" s="105">
        <v>110000734616</v>
      </c>
      <c r="J65" s="33" t="str">
        <f>IFERROR(VLOOKUP($I65, 'Processed Non-zero DMR Data'!$K:$U, 11, FALSE),"")</f>
        <v>NV0020061</v>
      </c>
      <c r="K65" s="33" t="str">
        <f>IFERROR(VLOOKUP($I65, 'Processed Non-zero DMR Data'!$K:$V, 12, FALSE),"Not Reported")</f>
        <v>South Branch-Carson River</v>
      </c>
      <c r="L65" s="106">
        <f>IFERROR(VLOOKUP($I65, 'Processed Non-zero DMR Data'!$K:$W, 13, FALSE),"No Reach Code Reported")</f>
        <v>160502030306</v>
      </c>
      <c r="M65" s="107" t="str">
        <f>IFERROR(IFERROR(VLOOKUP(H65, 'Off-site Locations'!$K$3:$O$5, 5, FALSE), VLOOKUP(H65, 'Off-site Locations'!$B$3:$E$4, 4, FALSE)), "No Offsite Transfers")</f>
        <v>No Offsite Transfers</v>
      </c>
      <c r="N65" s="33">
        <f>VLOOKUP($D65, 'COU.OES Summary'!C:E, 3, FALSE)</f>
        <v>365</v>
      </c>
      <c r="O65" s="108">
        <f t="shared" si="0"/>
        <v>0</v>
      </c>
      <c r="P65" s="108">
        <f t="shared" si="1"/>
        <v>3.5919650000000001</v>
      </c>
      <c r="Q65" s="109" cm="1">
        <f t="array" ref="Q65">IFERROR(_xlfn.XLOOKUP(1,  (MAX(IF(I65 = 'Processed Non-zero DMR Data'!$K:$K,'Processed Non-zero DMR Data'!$A:$A)) = 'Processed Non-zero DMR Data'!$A:$A)*('Processed Non-zero DMR Data'!$K:$K = I65),'Processed Non-zero DMR Data'!$T:$T), "N/A- Facility Does Not Report DMRs")</f>
        <v>3.5919650000000001</v>
      </c>
      <c r="R65" s="33">
        <f t="shared" si="11"/>
        <v>9.8410000000000008E-3</v>
      </c>
      <c r="S65" s="33" cm="1">
        <f t="array" ref="S65">IF(COUNTIF('Processed Non-zero DMR Data'!$K:$K,$I65)&gt;0,MEDIAN(IF('Processed Non-zero DMR Data'!$K:$K=I65,'Processed Non-zero DMR Data'!$T:$T)),"N/A - Facility Does Not Report DMRs")</f>
        <v>3.5919650000000001</v>
      </c>
      <c r="T65" s="33">
        <f t="shared" si="12"/>
        <v>9.8410000000000008E-3</v>
      </c>
      <c r="U65" s="33">
        <f>IF(COUNTIF('Processed Non-zero DMR Data'!$K:$K,$I65)&gt;0,_xlfn.MAXIFS('Processed Non-zero DMR Data'!$T:$T,'Processed Non-zero DMR Data'!$K:$K,$I65), "N/A - Facility Does Not Report DMRs")</f>
        <v>3.5919650000000001</v>
      </c>
      <c r="V65" s="33">
        <f t="shared" si="13"/>
        <v>9.8410000000000008E-3</v>
      </c>
      <c r="W65" s="110" cm="1">
        <f t="array" ref="W65">IF(COUNTIF('Processed Non-zero DMR Data'!$K:$K,$I65)&gt;0,INDEX('Processed Non-zero DMR Data'!$A:$A,MATCH(1,($I65='Processed Non-zero DMR Data'!$K:$K)*($U65='Processed Non-zero DMR Data'!$T:$T),0)), "N/A - Facility Does Not Report DMRs")</f>
        <v>2021</v>
      </c>
      <c r="X65" s="109" cm="1">
        <f t="array" ref="X65">IFERROR(_xlfn.XLOOKUP(1,  (MAX(IF(H65 = 'Processed Non-zero TRI Data'!$I:$I,'Processed Non-zero TRI Data'!$A:$A)) = 'Processed Non-zero TRI Data'!$A:$A)*('Processed Non-zero TRI Data'!$I:$I = H65), 'Processed Non-zero TRI Data'!$S:$S), "N/A- Facility Does Not Report to TRI")</f>
        <v>0</v>
      </c>
      <c r="Y65" s="33">
        <f t="shared" si="2"/>
        <v>0</v>
      </c>
      <c r="Z65" s="33" t="str" cm="1">
        <f t="array" ref="Z65">IF(COUNTIF('Processed Non-zero TRI Data'!$I:$I,$H65)&gt;0,MEDIAN(IF('Processed Non-zero TRI Data'!$I:$I=H65,'Processed Non-zero TRI Data'!$S:$S)), "N/A - Facility Does Not Report to TRI")</f>
        <v>N/A - Facility Does Not Report to TRI</v>
      </c>
      <c r="AA65" s="33" t="str">
        <f t="shared" si="3"/>
        <v>N/A - Facility Does Not Report to TRI</v>
      </c>
      <c r="AB65" s="33" t="str">
        <f>IF(COUNTIF('Processed Non-zero TRI Data'!$I:$I,$H65)&gt;0,_xlfn.MAXIFS('Processed Non-zero TRI Data'!$S:$S,'Processed Non-zero TRI Data'!$I:$I,$H65), "N/A - Facility Does Not Report to TRI")</f>
        <v>N/A - Facility Does Not Report to TRI</v>
      </c>
      <c r="AC65" s="33" t="str">
        <f t="shared" si="4"/>
        <v>N/A - Facility Does Not Report to TRI</v>
      </c>
      <c r="AD65" s="110" t="str" cm="1">
        <f t="array" ref="AD65">IFERROR(IF(B65 = "TRI Form R", IF(AB65 = 0, "Facility has no on-site water discharges between 2019-2023.",  IF(COUNTIF('Processed Non-zero TRI Data'!$I:$I,$H65)&gt;0,INDEX('Processed Non-zero TRI Data'!$A:$A,MATCH(1,($H65='Processed Non-zero TRI Data'!$I:$I)*(AB65='Processed Non-zero TRI Data'!$S:$S),0)))), VLOOKUP(H65, 'Form A Recent Reporting'!$L:$M, 2, FALSE)), ("N/A - Facility Does Not Report to TRI"))</f>
        <v>N/A - Facility Does Not Report to TRI</v>
      </c>
      <c r="AE65" s="109" cm="1">
        <f t="array" ref="AE65">IFERROR(_xlfn.XLOOKUP(1,  (MAX(IF(H65 = 'Processed Non-zero TRI Data'!$I:$I,'Processed Non-zero TRI Data'!$A:$A)) = 'Processed Non-zero TRI Data'!$A:$A)*('Processed Non-zero TRI Data'!$I:$I = H65), 'Processed Non-zero TRI Data'!$U:$U), "N/A- Facility Does Not Report to TRI")</f>
        <v>0</v>
      </c>
      <c r="AF65" s="33">
        <f t="shared" si="5"/>
        <v>0</v>
      </c>
      <c r="AG65" s="33" t="str" cm="1">
        <f t="array" ref="AG65">IF(COUNTIF('Processed Non-zero TRI Data'!$I:$I,$H65)&gt;0,MEDIAN(IF('Processed Non-zero TRI Data'!$I:$I=H65,'Processed Non-zero TRI Data'!$U:$U)), "N/A - Facility Does Not Report to TRI")</f>
        <v>N/A - Facility Does Not Report to TRI</v>
      </c>
      <c r="AH65" s="33" t="str">
        <f t="shared" si="6"/>
        <v>N/A - Facility Does Not Report to TRI</v>
      </c>
      <c r="AI65" s="33" t="str">
        <f>IF(COUNTIF('Processed Non-zero TRI Data'!$I:$I,$H65)&gt;0,_xlfn.MAXIFS('Processed Non-zero TRI Data'!$U:$U,'Processed Non-zero TRI Data'!$I:$I,$H65), "N/A - Facility Does Not Report to TRI")</f>
        <v>N/A - Facility Does Not Report to TRI</v>
      </c>
      <c r="AJ65" s="33" t="str">
        <f t="shared" si="7"/>
        <v>N/A - Facility Does Not Report to TRI</v>
      </c>
      <c r="AK65" s="110" t="str" cm="1">
        <f t="array" ref="AK65">IF(B65="TRI Form A",AD65,IF(AI65=0,"Facility has no transfers to POTWs between 2019-2023.",IF(COUNTIF('Processed Non-zero TRI Data'!$I:$I,$H65)&gt;0,INDEX('Processed Non-zero TRI Data'!$A:$A,MATCH(1,($H65='Processed Non-zero TRI Data'!$I:$I)*(AI65='Processed Non-zero TRI Data'!$U:$U),0)),"N/A - Facility Does Not Report to TRI")))</f>
        <v>N/A - Facility Does Not Report to TRI</v>
      </c>
      <c r="AL65" s="109" cm="1">
        <f t="array" ref="AL65">IFERROR(_xlfn.XLOOKUP(1,  (MAX(IF(H65 = 'Processed Non-zero TRI Data'!$I$2:$I$23,'Processed Non-zero TRI Data'!$A$2:$A$23)) = 'Processed Non-zero TRI Data'!$A$2:$A$23)*('Processed Non-zero TRI Data'!$I$2:$I$23 = H65), 'Processed Non-zero TRI Data'!$W$2:$W$23), "N/A- Facility Does Not Report to TRI")</f>
        <v>0</v>
      </c>
      <c r="AM65" s="33">
        <f t="shared" si="8"/>
        <v>0</v>
      </c>
      <c r="AN65" s="33" t="str" cm="1">
        <f t="array" ref="AN65">IF(COUNTIF('Processed Non-zero TRI Data'!$I:$I,$H65)&gt;0,MEDIAN(IF('Processed Non-zero TRI Data'!$I:$I=H65,'Processed Non-zero TRI Data'!$W:$W)), "N/A - Facility Does Not Report to TRI")</f>
        <v>N/A - Facility Does Not Report to TRI</v>
      </c>
      <c r="AO65" s="33" t="str">
        <f t="shared" si="9"/>
        <v>N/A - Facility Does Not Report to TRI</v>
      </c>
      <c r="AP65" s="33" t="str">
        <f>IF(COUNTIF('Processed Non-zero TRI Data'!$I:$I,$H65)&gt;0,_xlfn.MAXIFS('Processed Non-zero TRI Data'!$W:$W,'Processed Non-zero TRI Data'!$I:$I,$H65), "N/A - Facility Does Not Report to TRI")</f>
        <v>N/A - Facility Does Not Report to TRI</v>
      </c>
      <c r="AQ65" s="33" t="str">
        <f t="shared" si="10"/>
        <v>N/A - Facility Does Not Report to TRI</v>
      </c>
      <c r="AR65" s="110" t="str" cm="1">
        <f t="array" ref="AR65">IF(B65="TRI Form A",AD65,IF(AP65=0,"Facility has no transfers to non-POTWs between 2019-2023.",IF(COUNTIF('Processed Non-zero TRI Data'!$I:$I,$H65)&gt;0,INDEX('Processed Non-zero TRI Data'!$A:$A,MATCH(1,($H65='Processed Non-zero TRI Data'!$I:$I)*(AP65='Processed Non-zero TRI Data'!$W:$W),0)),"N/A - Facility Does Not Report to TRI")))</f>
        <v>N/A - Facility Does Not Report to TRI</v>
      </c>
    </row>
    <row r="66" spans="1:44" ht="29" x14ac:dyDescent="0.35">
      <c r="A66" s="34">
        <v>63</v>
      </c>
      <c r="B66" s="33" t="str">
        <f>IFERROR("TRI Form "&amp;VLOOKUP(H66,'Processed Non-zero TRI Data'!$I$2:$K$23,3,FALSE),"DMR")</f>
        <v>DMR</v>
      </c>
      <c r="C66" s="33" t="str">
        <f>VLOOKUP($D66, 'COU.OES Summary'!C:D, 2, FALSE)</f>
        <v> </v>
      </c>
      <c r="D66" s="33" t="str">
        <f>IFERROR(VLOOKUP($H66, 'Processed Non-zero TRI Data'!$I:$O, 7, FALSE), VLOOKUP($I66, 'Processed Non-zero DMR Data'!$K:$R, 8, FALSE))</f>
        <v>Waste handling, treatment, and disposal - POTW</v>
      </c>
      <c r="E66" s="34" t="s">
        <v>222</v>
      </c>
      <c r="F66" s="34" t="s">
        <v>223</v>
      </c>
      <c r="G66" s="34" t="s">
        <v>108</v>
      </c>
      <c r="H66" s="34"/>
      <c r="I66" s="105">
        <v>110009938808</v>
      </c>
      <c r="J66" s="33" t="str">
        <f>IFERROR(VLOOKUP($I66, 'Processed Non-zero DMR Data'!$K:$U, 11, FALSE),"")</f>
        <v>KY0029122</v>
      </c>
      <c r="K66" s="33" t="str">
        <f>IFERROR(VLOOKUP($I66, 'Processed Non-zero DMR Data'!$K:$V, 12, FALSE),"Not Reported")</f>
        <v>Lower Little Goose Creek-Goose Creek</v>
      </c>
      <c r="L66" s="106">
        <f>IFERROR(VLOOKUP($I66, 'Processed Non-zero DMR Data'!$K:$W, 13, FALSE),"No Reach Code Reported")</f>
        <v>51002030303</v>
      </c>
      <c r="M66" s="107" t="str">
        <f>IFERROR(IFERROR(VLOOKUP(H66, 'Off-site Locations'!$K$3:$O$5, 5, FALSE), VLOOKUP(H66, 'Off-site Locations'!$B$3:$E$4, 4, FALSE)), "No Offsite Transfers")</f>
        <v>No Offsite Transfers</v>
      </c>
      <c r="N66" s="33">
        <f>VLOOKUP($D66, 'COU.OES Summary'!C:E, 3, FALSE)</f>
        <v>365</v>
      </c>
      <c r="O66" s="108">
        <f t="shared" si="0"/>
        <v>0</v>
      </c>
      <c r="P66" s="108">
        <f t="shared" si="1"/>
        <v>3.446904875</v>
      </c>
      <c r="Q66" s="109" cm="1">
        <f t="array" ref="Q66">IFERROR(_xlfn.XLOOKUP(1,  (MAX(IF(I66 = 'Processed Non-zero DMR Data'!$K:$K,'Processed Non-zero DMR Data'!$A:$A)) = 'Processed Non-zero DMR Data'!$A:$A)*('Processed Non-zero DMR Data'!$K:$K = I66),'Processed Non-zero DMR Data'!$T:$T), "N/A- Facility Does Not Report DMRs")</f>
        <v>2.8563029375000002</v>
      </c>
      <c r="R66" s="33">
        <f t="shared" si="11"/>
        <v>7.8254875000000005E-3</v>
      </c>
      <c r="S66" s="33" cm="1">
        <f t="array" ref="S66">IF(COUNTIF('Processed Non-zero DMR Data'!$K:$K,$I66)&gt;0,MEDIAN(IF('Processed Non-zero DMR Data'!$K:$K=I66,'Processed Non-zero DMR Data'!$T:$T)),"N/A - Facility Does Not Report DMRs")</f>
        <v>3.336382875</v>
      </c>
      <c r="T66" s="33">
        <f t="shared" si="12"/>
        <v>9.1407750000000003E-3</v>
      </c>
      <c r="U66" s="33">
        <f>IF(COUNTIF('Processed Non-zero DMR Data'!$K:$K,$I66)&gt;0,_xlfn.MAXIFS('Processed Non-zero DMR Data'!$T:$T,'Processed Non-zero DMR Data'!$K:$K,$I66), "N/A - Facility Does Not Report DMRs")</f>
        <v>3.446904875</v>
      </c>
      <c r="V66" s="33">
        <f t="shared" si="13"/>
        <v>9.4435749999999992E-3</v>
      </c>
      <c r="W66" s="110" cm="1">
        <f t="array" ref="W66">IF(COUNTIF('Processed Non-zero DMR Data'!$K:$K,$I66)&gt;0,INDEX('Processed Non-zero DMR Data'!$A:$A,MATCH(1,($I66='Processed Non-zero DMR Data'!$K:$K)*($U66='Processed Non-zero DMR Data'!$T:$T),0)), "N/A - Facility Does Not Report DMRs")</f>
        <v>2019</v>
      </c>
      <c r="X66" s="109" cm="1">
        <f t="array" ref="X66">IFERROR(_xlfn.XLOOKUP(1,  (MAX(IF(H66 = 'Processed Non-zero TRI Data'!$I:$I,'Processed Non-zero TRI Data'!$A:$A)) = 'Processed Non-zero TRI Data'!$A:$A)*('Processed Non-zero TRI Data'!$I:$I = H66), 'Processed Non-zero TRI Data'!$S:$S), "N/A- Facility Does Not Report to TRI")</f>
        <v>0</v>
      </c>
      <c r="Y66" s="33">
        <f t="shared" si="2"/>
        <v>0</v>
      </c>
      <c r="Z66" s="33" t="str" cm="1">
        <f t="array" ref="Z66">IF(COUNTIF('Processed Non-zero TRI Data'!$I:$I,$H66)&gt;0,MEDIAN(IF('Processed Non-zero TRI Data'!$I:$I=H66,'Processed Non-zero TRI Data'!$S:$S)), "N/A - Facility Does Not Report to TRI")</f>
        <v>N/A - Facility Does Not Report to TRI</v>
      </c>
      <c r="AA66" s="33" t="str">
        <f t="shared" si="3"/>
        <v>N/A - Facility Does Not Report to TRI</v>
      </c>
      <c r="AB66" s="33" t="str">
        <f>IF(COUNTIF('Processed Non-zero TRI Data'!$I:$I,$H66)&gt;0,_xlfn.MAXIFS('Processed Non-zero TRI Data'!$S:$S,'Processed Non-zero TRI Data'!$I:$I,$H66), "N/A - Facility Does Not Report to TRI")</f>
        <v>N/A - Facility Does Not Report to TRI</v>
      </c>
      <c r="AC66" s="33" t="str">
        <f t="shared" si="4"/>
        <v>N/A - Facility Does Not Report to TRI</v>
      </c>
      <c r="AD66" s="110" t="str" cm="1">
        <f t="array" ref="AD66">IFERROR(IF(B66 = "TRI Form R", IF(AB66 = 0, "Facility has no on-site water discharges between 2019-2023.",  IF(COUNTIF('Processed Non-zero TRI Data'!$I:$I,$H66)&gt;0,INDEX('Processed Non-zero TRI Data'!$A:$A,MATCH(1,($H66='Processed Non-zero TRI Data'!$I:$I)*(AB66='Processed Non-zero TRI Data'!$S:$S),0)))), VLOOKUP(H66, 'Form A Recent Reporting'!$L:$M, 2, FALSE)), ("N/A - Facility Does Not Report to TRI"))</f>
        <v>N/A - Facility Does Not Report to TRI</v>
      </c>
      <c r="AE66" s="109" cm="1">
        <f t="array" ref="AE66">IFERROR(_xlfn.XLOOKUP(1,  (MAX(IF(H66 = 'Processed Non-zero TRI Data'!$I:$I,'Processed Non-zero TRI Data'!$A:$A)) = 'Processed Non-zero TRI Data'!$A:$A)*('Processed Non-zero TRI Data'!$I:$I = H66), 'Processed Non-zero TRI Data'!$U:$U), "N/A- Facility Does Not Report to TRI")</f>
        <v>0</v>
      </c>
      <c r="AF66" s="33">
        <f t="shared" si="5"/>
        <v>0</v>
      </c>
      <c r="AG66" s="33" t="str" cm="1">
        <f t="array" ref="AG66">IF(COUNTIF('Processed Non-zero TRI Data'!$I:$I,$H66)&gt;0,MEDIAN(IF('Processed Non-zero TRI Data'!$I:$I=H66,'Processed Non-zero TRI Data'!$U:$U)), "N/A - Facility Does Not Report to TRI")</f>
        <v>N/A - Facility Does Not Report to TRI</v>
      </c>
      <c r="AH66" s="33" t="str">
        <f t="shared" si="6"/>
        <v>N/A - Facility Does Not Report to TRI</v>
      </c>
      <c r="AI66" s="33" t="str">
        <f>IF(COUNTIF('Processed Non-zero TRI Data'!$I:$I,$H66)&gt;0,_xlfn.MAXIFS('Processed Non-zero TRI Data'!$U:$U,'Processed Non-zero TRI Data'!$I:$I,$H66), "N/A - Facility Does Not Report to TRI")</f>
        <v>N/A - Facility Does Not Report to TRI</v>
      </c>
      <c r="AJ66" s="33" t="str">
        <f t="shared" si="7"/>
        <v>N/A - Facility Does Not Report to TRI</v>
      </c>
      <c r="AK66" s="110" t="str" cm="1">
        <f t="array" ref="AK66">IF(B66="TRI Form A",AD66,IF(AI66=0,"Facility has no transfers to POTWs between 2019-2023.",IF(COUNTIF('Processed Non-zero TRI Data'!$I:$I,$H66)&gt;0,INDEX('Processed Non-zero TRI Data'!$A:$A,MATCH(1,($H66='Processed Non-zero TRI Data'!$I:$I)*(AI66='Processed Non-zero TRI Data'!$U:$U),0)),"N/A - Facility Does Not Report to TRI")))</f>
        <v>N/A - Facility Does Not Report to TRI</v>
      </c>
      <c r="AL66" s="109" cm="1">
        <f t="array" ref="AL66">IFERROR(_xlfn.XLOOKUP(1,  (MAX(IF(H66 = 'Processed Non-zero TRI Data'!$I$2:$I$23,'Processed Non-zero TRI Data'!$A$2:$A$23)) = 'Processed Non-zero TRI Data'!$A$2:$A$23)*('Processed Non-zero TRI Data'!$I$2:$I$23 = H66), 'Processed Non-zero TRI Data'!$W$2:$W$23), "N/A- Facility Does Not Report to TRI")</f>
        <v>0</v>
      </c>
      <c r="AM66" s="33">
        <f t="shared" si="8"/>
        <v>0</v>
      </c>
      <c r="AN66" s="33" t="str" cm="1">
        <f t="array" ref="AN66">IF(COUNTIF('Processed Non-zero TRI Data'!$I:$I,$H66)&gt;0,MEDIAN(IF('Processed Non-zero TRI Data'!$I:$I=H66,'Processed Non-zero TRI Data'!$W:$W)), "N/A - Facility Does Not Report to TRI")</f>
        <v>N/A - Facility Does Not Report to TRI</v>
      </c>
      <c r="AO66" s="33" t="str">
        <f t="shared" si="9"/>
        <v>N/A - Facility Does Not Report to TRI</v>
      </c>
      <c r="AP66" s="33" t="str">
        <f>IF(COUNTIF('Processed Non-zero TRI Data'!$I:$I,$H66)&gt;0,_xlfn.MAXIFS('Processed Non-zero TRI Data'!$W:$W,'Processed Non-zero TRI Data'!$I:$I,$H66), "N/A - Facility Does Not Report to TRI")</f>
        <v>N/A - Facility Does Not Report to TRI</v>
      </c>
      <c r="AQ66" s="33" t="str">
        <f t="shared" si="10"/>
        <v>N/A - Facility Does Not Report to TRI</v>
      </c>
      <c r="AR66" s="110" t="str" cm="1">
        <f t="array" ref="AR66">IF(B66="TRI Form A",AD66,IF(AP66=0,"Facility has no transfers to non-POTWs between 2019-2023.",IF(COUNTIF('Processed Non-zero TRI Data'!$I:$I,$H66)&gt;0,INDEX('Processed Non-zero TRI Data'!$A:$A,MATCH(1,($H66='Processed Non-zero TRI Data'!$I:$I)*(AP66='Processed Non-zero TRI Data'!$W:$W),0)),"N/A - Facility Does Not Report to TRI")))</f>
        <v>N/A - Facility Does Not Report to TRI</v>
      </c>
    </row>
    <row r="67" spans="1:44" ht="29" x14ac:dyDescent="0.35">
      <c r="A67" s="34">
        <v>64</v>
      </c>
      <c r="B67" s="33" t="str">
        <f>IFERROR("TRI Form "&amp;VLOOKUP(H67,'Processed Non-zero TRI Data'!$I$2:$K$23,3,FALSE),"DMR")</f>
        <v>DMR</v>
      </c>
      <c r="C67" s="33" t="str">
        <f>VLOOKUP($D67, 'COU.OES Summary'!C:D, 2, FALSE)</f>
        <v> </v>
      </c>
      <c r="D67" s="33" t="str">
        <f>IFERROR(VLOOKUP($H67, 'Processed Non-zero TRI Data'!$I:$O, 7, FALSE), VLOOKUP($I67, 'Processed Non-zero DMR Data'!$K:$R, 8, FALSE))</f>
        <v>Waste handling, treatment, and disposal - POTW</v>
      </c>
      <c r="E67" s="34" t="s">
        <v>224</v>
      </c>
      <c r="F67" s="34" t="s">
        <v>225</v>
      </c>
      <c r="G67" s="34" t="s">
        <v>108</v>
      </c>
      <c r="H67" s="34"/>
      <c r="I67" s="105">
        <v>110039705049</v>
      </c>
      <c r="J67" s="33" t="str">
        <f>IFERROR(VLOOKUP($I67, 'Processed Non-zero DMR Data'!$K:$U, 11, FALSE),"")</f>
        <v>KY0020974</v>
      </c>
      <c r="K67" s="33" t="str">
        <f>IFERROR(VLOOKUP($I67, 'Processed Non-zero DMR Data'!$K:$V, 12, FALSE),"Not Reported")</f>
        <v>Boone Creek-Dix River</v>
      </c>
      <c r="L67" s="106">
        <f>IFERROR(VLOOKUP($I67, 'Processed Non-zero DMR Data'!$K:$W, 13, FALSE),"No Reach Code Reported")</f>
        <v>51002050504</v>
      </c>
      <c r="M67" s="107" t="str">
        <f>IFERROR(IFERROR(VLOOKUP(H67, 'Off-site Locations'!$K$3:$O$5, 5, FALSE), VLOOKUP(H67, 'Off-site Locations'!$B$3:$E$4, 4, FALSE)), "No Offsite Transfers")</f>
        <v>No Offsite Transfers</v>
      </c>
      <c r="N67" s="33">
        <f>VLOOKUP($D67, 'COU.OES Summary'!C:E, 3, FALSE)</f>
        <v>365</v>
      </c>
      <c r="O67" s="108">
        <f t="shared" si="0"/>
        <v>0</v>
      </c>
      <c r="P67" s="108">
        <f t="shared" si="1"/>
        <v>3.2700696749999998</v>
      </c>
      <c r="Q67" s="109" cm="1">
        <f t="array" ref="Q67">IFERROR(_xlfn.XLOOKUP(1,  (MAX(IF(I67 = 'Processed Non-zero DMR Data'!$K:$K,'Processed Non-zero DMR Data'!$A:$A)) = 'Processed Non-zero DMR Data'!$A:$A)*('Processed Non-zero DMR Data'!$K:$K = I67),'Processed Non-zero DMR Data'!$T:$T), "N/A- Facility Does Not Report DMRs")</f>
        <v>3.2700696749999998</v>
      </c>
      <c r="R67" s="33">
        <f t="shared" si="11"/>
        <v>8.9590950000000003E-3</v>
      </c>
      <c r="S67" s="33" cm="1">
        <f t="array" ref="S67">IF(COUNTIF('Processed Non-zero DMR Data'!$K:$K,$I67)&gt;0,MEDIAN(IF('Processed Non-zero DMR Data'!$K:$K=I67,'Processed Non-zero DMR Data'!$T:$T)),"N/A - Facility Does Not Report DMRs")</f>
        <v>3.2700696749999998</v>
      </c>
      <c r="T67" s="33">
        <f t="shared" si="12"/>
        <v>8.9590950000000003E-3</v>
      </c>
      <c r="U67" s="33">
        <f>IF(COUNTIF('Processed Non-zero DMR Data'!$K:$K,$I67)&gt;0,_xlfn.MAXIFS('Processed Non-zero DMR Data'!$T:$T,'Processed Non-zero DMR Data'!$K:$K,$I67), "N/A - Facility Does Not Report DMRs")</f>
        <v>3.2700696749999998</v>
      </c>
      <c r="V67" s="33">
        <f t="shared" si="13"/>
        <v>8.9590950000000003E-3</v>
      </c>
      <c r="W67" s="110" cm="1">
        <f t="array" ref="W67">IF(COUNTIF('Processed Non-zero DMR Data'!$K:$K,$I67)&gt;0,INDEX('Processed Non-zero DMR Data'!$A:$A,MATCH(1,($I67='Processed Non-zero DMR Data'!$K:$K)*($U67='Processed Non-zero DMR Data'!$T:$T),0)), "N/A - Facility Does Not Report DMRs")</f>
        <v>2021</v>
      </c>
      <c r="X67" s="109" cm="1">
        <f t="array" ref="X67">IFERROR(_xlfn.XLOOKUP(1,  (MAX(IF(H67 = 'Processed Non-zero TRI Data'!$I:$I,'Processed Non-zero TRI Data'!$A:$A)) = 'Processed Non-zero TRI Data'!$A:$A)*('Processed Non-zero TRI Data'!$I:$I = H67), 'Processed Non-zero TRI Data'!$S:$S), "N/A- Facility Does Not Report to TRI")</f>
        <v>0</v>
      </c>
      <c r="Y67" s="33">
        <f t="shared" si="2"/>
        <v>0</v>
      </c>
      <c r="Z67" s="33" t="str" cm="1">
        <f t="array" ref="Z67">IF(COUNTIF('Processed Non-zero TRI Data'!$I:$I,$H67)&gt;0,MEDIAN(IF('Processed Non-zero TRI Data'!$I:$I=H67,'Processed Non-zero TRI Data'!$S:$S)), "N/A - Facility Does Not Report to TRI")</f>
        <v>N/A - Facility Does Not Report to TRI</v>
      </c>
      <c r="AA67" s="33" t="str">
        <f t="shared" si="3"/>
        <v>N/A - Facility Does Not Report to TRI</v>
      </c>
      <c r="AB67" s="33" t="str">
        <f>IF(COUNTIF('Processed Non-zero TRI Data'!$I:$I,$H67)&gt;0,_xlfn.MAXIFS('Processed Non-zero TRI Data'!$S:$S,'Processed Non-zero TRI Data'!$I:$I,$H67), "N/A - Facility Does Not Report to TRI")</f>
        <v>N/A - Facility Does Not Report to TRI</v>
      </c>
      <c r="AC67" s="33" t="str">
        <f t="shared" si="4"/>
        <v>N/A - Facility Does Not Report to TRI</v>
      </c>
      <c r="AD67" s="110" t="str" cm="1">
        <f t="array" ref="AD67">IFERROR(IF(B67 = "TRI Form R", IF(AB67 = 0, "Facility has no on-site water discharges between 2019-2023.",  IF(COUNTIF('Processed Non-zero TRI Data'!$I:$I,$H67)&gt;0,INDEX('Processed Non-zero TRI Data'!$A:$A,MATCH(1,($H67='Processed Non-zero TRI Data'!$I:$I)*(AB67='Processed Non-zero TRI Data'!$S:$S),0)))), VLOOKUP(H67, 'Form A Recent Reporting'!$L:$M, 2, FALSE)), ("N/A - Facility Does Not Report to TRI"))</f>
        <v>N/A - Facility Does Not Report to TRI</v>
      </c>
      <c r="AE67" s="109" cm="1">
        <f t="array" ref="AE67">IFERROR(_xlfn.XLOOKUP(1,  (MAX(IF(H67 = 'Processed Non-zero TRI Data'!$I:$I,'Processed Non-zero TRI Data'!$A:$A)) = 'Processed Non-zero TRI Data'!$A:$A)*('Processed Non-zero TRI Data'!$I:$I = H67), 'Processed Non-zero TRI Data'!$U:$U), "N/A- Facility Does Not Report to TRI")</f>
        <v>0</v>
      </c>
      <c r="AF67" s="33">
        <f t="shared" si="5"/>
        <v>0</v>
      </c>
      <c r="AG67" s="33" t="str" cm="1">
        <f t="array" ref="AG67">IF(COUNTIF('Processed Non-zero TRI Data'!$I:$I,$H67)&gt;0,MEDIAN(IF('Processed Non-zero TRI Data'!$I:$I=H67,'Processed Non-zero TRI Data'!$U:$U)), "N/A - Facility Does Not Report to TRI")</f>
        <v>N/A - Facility Does Not Report to TRI</v>
      </c>
      <c r="AH67" s="33" t="str">
        <f t="shared" si="6"/>
        <v>N/A - Facility Does Not Report to TRI</v>
      </c>
      <c r="AI67" s="33" t="str">
        <f>IF(COUNTIF('Processed Non-zero TRI Data'!$I:$I,$H67)&gt;0,_xlfn.MAXIFS('Processed Non-zero TRI Data'!$U:$U,'Processed Non-zero TRI Data'!$I:$I,$H67), "N/A - Facility Does Not Report to TRI")</f>
        <v>N/A - Facility Does Not Report to TRI</v>
      </c>
      <c r="AJ67" s="33" t="str">
        <f t="shared" si="7"/>
        <v>N/A - Facility Does Not Report to TRI</v>
      </c>
      <c r="AK67" s="110" t="str" cm="1">
        <f t="array" ref="AK67">IF(B67="TRI Form A",AD67,IF(AI67=0,"Facility has no transfers to POTWs between 2019-2023.",IF(COUNTIF('Processed Non-zero TRI Data'!$I:$I,$H67)&gt;0,INDEX('Processed Non-zero TRI Data'!$A:$A,MATCH(1,($H67='Processed Non-zero TRI Data'!$I:$I)*(AI67='Processed Non-zero TRI Data'!$U:$U),0)),"N/A - Facility Does Not Report to TRI")))</f>
        <v>N/A - Facility Does Not Report to TRI</v>
      </c>
      <c r="AL67" s="109" cm="1">
        <f t="array" ref="AL67">IFERROR(_xlfn.XLOOKUP(1,  (MAX(IF(H67 = 'Processed Non-zero TRI Data'!$I$2:$I$23,'Processed Non-zero TRI Data'!$A$2:$A$23)) = 'Processed Non-zero TRI Data'!$A$2:$A$23)*('Processed Non-zero TRI Data'!$I$2:$I$23 = H67), 'Processed Non-zero TRI Data'!$W$2:$W$23), "N/A- Facility Does Not Report to TRI")</f>
        <v>0</v>
      </c>
      <c r="AM67" s="33">
        <f t="shared" si="8"/>
        <v>0</v>
      </c>
      <c r="AN67" s="33" t="str" cm="1">
        <f t="array" ref="AN67">IF(COUNTIF('Processed Non-zero TRI Data'!$I:$I,$H67)&gt;0,MEDIAN(IF('Processed Non-zero TRI Data'!$I:$I=H67,'Processed Non-zero TRI Data'!$W:$W)), "N/A - Facility Does Not Report to TRI")</f>
        <v>N/A - Facility Does Not Report to TRI</v>
      </c>
      <c r="AO67" s="33" t="str">
        <f t="shared" si="9"/>
        <v>N/A - Facility Does Not Report to TRI</v>
      </c>
      <c r="AP67" s="33" t="str">
        <f>IF(COUNTIF('Processed Non-zero TRI Data'!$I:$I,$H67)&gt;0,_xlfn.MAXIFS('Processed Non-zero TRI Data'!$W:$W,'Processed Non-zero TRI Data'!$I:$I,$H67), "N/A - Facility Does Not Report to TRI")</f>
        <v>N/A - Facility Does Not Report to TRI</v>
      </c>
      <c r="AQ67" s="33" t="str">
        <f t="shared" si="10"/>
        <v>N/A - Facility Does Not Report to TRI</v>
      </c>
      <c r="AR67" s="110" t="str" cm="1">
        <f t="array" ref="AR67">IF(B67="TRI Form A",AD67,IF(AP67=0,"Facility has no transfers to non-POTWs between 2019-2023.",IF(COUNTIF('Processed Non-zero TRI Data'!$I:$I,$H67)&gt;0,INDEX('Processed Non-zero TRI Data'!$A:$A,MATCH(1,($H67='Processed Non-zero TRI Data'!$I:$I)*(AP67='Processed Non-zero TRI Data'!$W:$W),0)),"N/A - Facility Does Not Report to TRI")))</f>
        <v>N/A - Facility Does Not Report to TRI</v>
      </c>
    </row>
    <row r="68" spans="1:44" ht="29" x14ac:dyDescent="0.35">
      <c r="A68" s="34">
        <v>65</v>
      </c>
      <c r="B68" s="33" t="str">
        <f>IFERROR("TRI Form "&amp;VLOOKUP(H68,'Processed Non-zero TRI Data'!$I$2:$K$23,3,FALSE),"DMR")</f>
        <v>DMR</v>
      </c>
      <c r="C68" s="33" t="str">
        <f>VLOOKUP($D68, 'COU.OES Summary'!C:D, 2, FALSE)</f>
        <v> </v>
      </c>
      <c r="D68" s="33" t="str">
        <f>IFERROR(VLOOKUP($H68, 'Processed Non-zero TRI Data'!$I:$O, 7, FALSE), VLOOKUP($I68, 'Processed Non-zero DMR Data'!$K:$R, 8, FALSE))</f>
        <v>Waste handling, treatment, and disposal - POTW</v>
      </c>
      <c r="E68" s="34" t="s">
        <v>226</v>
      </c>
      <c r="F68" s="34" t="s">
        <v>227</v>
      </c>
      <c r="G68" s="34" t="s">
        <v>108</v>
      </c>
      <c r="H68" s="34"/>
      <c r="I68" s="105">
        <v>110009933484</v>
      </c>
      <c r="J68" s="33" t="str">
        <f>IFERROR(VLOOKUP($I68, 'Processed Non-zero DMR Data'!$K:$U, 11, FALSE),"")</f>
        <v>KY0103357</v>
      </c>
      <c r="K68" s="33" t="str">
        <f>IFERROR(VLOOKUP($I68, 'Processed Non-zero DMR Data'!$K:$V, 12, FALSE),"Not Reported")</f>
        <v>Ballard Branch-Silver Creek</v>
      </c>
      <c r="L68" s="106">
        <f>IFERROR(VLOOKUP($I68, 'Processed Non-zero DMR Data'!$K:$W, 13, FALSE),"No Reach Code Reported")</f>
        <v>51002050204</v>
      </c>
      <c r="M68" s="107" t="str">
        <f>IFERROR(IFERROR(VLOOKUP(H68, 'Off-site Locations'!$K$3:$O$5, 5, FALSE), VLOOKUP(H68, 'Off-site Locations'!$B$3:$E$4, 4, FALSE)), "No Offsite Transfers")</f>
        <v>No Offsite Transfers</v>
      </c>
      <c r="N68" s="33">
        <f>VLOOKUP($D68, 'COU.OES Summary'!C:E, 3, FALSE)</f>
        <v>365</v>
      </c>
      <c r="O68" s="108">
        <f t="shared" ref="O68:O131" si="14">MAX(AB68,AI68,AP68)</f>
        <v>0</v>
      </c>
      <c r="P68" s="108">
        <f t="shared" ref="P68:P131" si="15">MAX(U68)</f>
        <v>3.2327685000000002</v>
      </c>
      <c r="Q68" s="109" cm="1">
        <f t="array" ref="Q68">IFERROR(_xlfn.XLOOKUP(1,  (MAX(IF(I68 = 'Processed Non-zero DMR Data'!$K:$K,'Processed Non-zero DMR Data'!$A:$A)) = 'Processed Non-zero DMR Data'!$A:$A)*('Processed Non-zero DMR Data'!$K:$K = I68),'Processed Non-zero DMR Data'!$T:$T), "N/A- Facility Does Not Report DMRs")</f>
        <v>2.5420060000000002</v>
      </c>
      <c r="R68" s="33">
        <f t="shared" si="11"/>
        <v>6.9644000000000008E-3</v>
      </c>
      <c r="S68" s="33" cm="1">
        <f t="array" ref="S68">IF(COUNTIF('Processed Non-zero DMR Data'!$K:$K,$I68)&gt;0,MEDIAN(IF('Processed Non-zero DMR Data'!$K:$K=I68,'Processed Non-zero DMR Data'!$T:$T)),"N/A - Facility Does Not Report DMRs")</f>
        <v>2.8873872500000002</v>
      </c>
      <c r="T68" s="33">
        <f t="shared" si="12"/>
        <v>7.91065E-3</v>
      </c>
      <c r="U68" s="33">
        <f>IF(COUNTIF('Processed Non-zero DMR Data'!$K:$K,$I68)&gt;0,_xlfn.MAXIFS('Processed Non-zero DMR Data'!$T:$T,'Processed Non-zero DMR Data'!$K:$K,$I68), "N/A - Facility Does Not Report DMRs")</f>
        <v>3.2327685000000002</v>
      </c>
      <c r="V68" s="33">
        <f t="shared" si="13"/>
        <v>8.8569000000000009E-3</v>
      </c>
      <c r="W68" s="110" cm="1">
        <f t="array" ref="W68">IF(COUNTIF('Processed Non-zero DMR Data'!$K:$K,$I68)&gt;0,INDEX('Processed Non-zero DMR Data'!$A:$A,MATCH(1,($I68='Processed Non-zero DMR Data'!$K:$K)*($U68='Processed Non-zero DMR Data'!$T:$T),0)), "N/A - Facility Does Not Report DMRs")</f>
        <v>2019</v>
      </c>
      <c r="X68" s="109" cm="1">
        <f t="array" ref="X68">IFERROR(_xlfn.XLOOKUP(1,  (MAX(IF(H68 = 'Processed Non-zero TRI Data'!$I:$I,'Processed Non-zero TRI Data'!$A:$A)) = 'Processed Non-zero TRI Data'!$A:$A)*('Processed Non-zero TRI Data'!$I:$I = H68), 'Processed Non-zero TRI Data'!$S:$S), "N/A- Facility Does Not Report to TRI")</f>
        <v>0</v>
      </c>
      <c r="Y68" s="33">
        <f t="shared" ref="Y68:Y131" si="16">IFERROR(X68/$N68, "N/A - Facility Does Not Report to TRI")</f>
        <v>0</v>
      </c>
      <c r="Z68" s="33" t="str" cm="1">
        <f t="array" ref="Z68">IF(COUNTIF('Processed Non-zero TRI Data'!$I:$I,$H68)&gt;0,MEDIAN(IF('Processed Non-zero TRI Data'!$I:$I=H68,'Processed Non-zero TRI Data'!$S:$S)), "N/A - Facility Does Not Report to TRI")</f>
        <v>N/A - Facility Does Not Report to TRI</v>
      </c>
      <c r="AA68" s="33" t="str">
        <f t="shared" ref="AA68:AA131" si="17">IFERROR(Z68/$N68, "N/A - Facility Does Not Report to TRI")</f>
        <v>N/A - Facility Does Not Report to TRI</v>
      </c>
      <c r="AB68" s="33" t="str">
        <f>IF(COUNTIF('Processed Non-zero TRI Data'!$I:$I,$H68)&gt;0,_xlfn.MAXIFS('Processed Non-zero TRI Data'!$S:$S,'Processed Non-zero TRI Data'!$I:$I,$H68), "N/A - Facility Does Not Report to TRI")</f>
        <v>N/A - Facility Does Not Report to TRI</v>
      </c>
      <c r="AC68" s="33" t="str">
        <f t="shared" ref="AC68:AC131" si="18">IFERROR(AB68/$N68, "N/A - Facility Does Not Report to TRI")</f>
        <v>N/A - Facility Does Not Report to TRI</v>
      </c>
      <c r="AD68" s="110" t="str" cm="1">
        <f t="array" ref="AD68">IFERROR(IF(B68 = "TRI Form R", IF(AB68 = 0, "Facility has no on-site water discharges between 2019-2023.",  IF(COUNTIF('Processed Non-zero TRI Data'!$I:$I,$H68)&gt;0,INDEX('Processed Non-zero TRI Data'!$A:$A,MATCH(1,($H68='Processed Non-zero TRI Data'!$I:$I)*(AB68='Processed Non-zero TRI Data'!$S:$S),0)))), VLOOKUP(H68, 'Form A Recent Reporting'!$L:$M, 2, FALSE)), ("N/A - Facility Does Not Report to TRI"))</f>
        <v>N/A - Facility Does Not Report to TRI</v>
      </c>
      <c r="AE68" s="109" cm="1">
        <f t="array" ref="AE68">IFERROR(_xlfn.XLOOKUP(1,  (MAX(IF(H68 = 'Processed Non-zero TRI Data'!$I:$I,'Processed Non-zero TRI Data'!$A:$A)) = 'Processed Non-zero TRI Data'!$A:$A)*('Processed Non-zero TRI Data'!$I:$I = H68), 'Processed Non-zero TRI Data'!$U:$U), "N/A- Facility Does Not Report to TRI")</f>
        <v>0</v>
      </c>
      <c r="AF68" s="33">
        <f t="shared" ref="AF68:AF131" si="19">IFERROR(AE68/$N68, "N/A - Facility Does Not Report to TRI")</f>
        <v>0</v>
      </c>
      <c r="AG68" s="33" t="str" cm="1">
        <f t="array" ref="AG68">IF(COUNTIF('Processed Non-zero TRI Data'!$I:$I,$H68)&gt;0,MEDIAN(IF('Processed Non-zero TRI Data'!$I:$I=H68,'Processed Non-zero TRI Data'!$U:$U)), "N/A - Facility Does Not Report to TRI")</f>
        <v>N/A - Facility Does Not Report to TRI</v>
      </c>
      <c r="AH68" s="33" t="str">
        <f t="shared" ref="AH68:AH131" si="20">IFERROR(AG68/$N68, "N/A - Facility Does Not Report to TRI")</f>
        <v>N/A - Facility Does Not Report to TRI</v>
      </c>
      <c r="AI68" s="33" t="str">
        <f>IF(COUNTIF('Processed Non-zero TRI Data'!$I:$I,$H68)&gt;0,_xlfn.MAXIFS('Processed Non-zero TRI Data'!$U:$U,'Processed Non-zero TRI Data'!$I:$I,$H68), "N/A - Facility Does Not Report to TRI")</f>
        <v>N/A - Facility Does Not Report to TRI</v>
      </c>
      <c r="AJ68" s="33" t="str">
        <f t="shared" ref="AJ68:AJ131" si="21">IFERROR(AI68/$N68, "N/A - Facility Does Not Report to TRI")</f>
        <v>N/A - Facility Does Not Report to TRI</v>
      </c>
      <c r="AK68" s="110" t="str" cm="1">
        <f t="array" ref="AK68">IF(B68="TRI Form A",AD68,IF(AI68=0,"Facility has no transfers to POTWs between 2019-2023.",IF(COUNTIF('Processed Non-zero TRI Data'!$I:$I,$H68)&gt;0,INDEX('Processed Non-zero TRI Data'!$A:$A,MATCH(1,($H68='Processed Non-zero TRI Data'!$I:$I)*(AI68='Processed Non-zero TRI Data'!$U:$U),0)),"N/A - Facility Does Not Report to TRI")))</f>
        <v>N/A - Facility Does Not Report to TRI</v>
      </c>
      <c r="AL68" s="109" cm="1">
        <f t="array" ref="AL68">IFERROR(_xlfn.XLOOKUP(1,  (MAX(IF(H68 = 'Processed Non-zero TRI Data'!$I$2:$I$23,'Processed Non-zero TRI Data'!$A$2:$A$23)) = 'Processed Non-zero TRI Data'!$A$2:$A$23)*('Processed Non-zero TRI Data'!$I$2:$I$23 = H68), 'Processed Non-zero TRI Data'!$W$2:$W$23), "N/A- Facility Does Not Report to TRI")</f>
        <v>0</v>
      </c>
      <c r="AM68" s="33">
        <f t="shared" ref="AM68:AM131" si="22">IFERROR(AL68/$N68, "N/A - Facility Does Not Report to TRI")</f>
        <v>0</v>
      </c>
      <c r="AN68" s="33" t="str" cm="1">
        <f t="array" ref="AN68">IF(COUNTIF('Processed Non-zero TRI Data'!$I:$I,$H68)&gt;0,MEDIAN(IF('Processed Non-zero TRI Data'!$I:$I=H68,'Processed Non-zero TRI Data'!$W:$W)), "N/A - Facility Does Not Report to TRI")</f>
        <v>N/A - Facility Does Not Report to TRI</v>
      </c>
      <c r="AO68" s="33" t="str">
        <f t="shared" ref="AO68:AO131" si="23">IFERROR(AN68/$N68, "N/A - Facility Does Not Report to TRI")</f>
        <v>N/A - Facility Does Not Report to TRI</v>
      </c>
      <c r="AP68" s="33" t="str">
        <f>IF(COUNTIF('Processed Non-zero TRI Data'!$I:$I,$H68)&gt;0,_xlfn.MAXIFS('Processed Non-zero TRI Data'!$W:$W,'Processed Non-zero TRI Data'!$I:$I,$H68), "N/A - Facility Does Not Report to TRI")</f>
        <v>N/A - Facility Does Not Report to TRI</v>
      </c>
      <c r="AQ68" s="33" t="str">
        <f t="shared" ref="AQ68:AQ131" si="24">IFERROR(AP68/$N68, "N/A - Facility Does Not Report to TRI")</f>
        <v>N/A - Facility Does Not Report to TRI</v>
      </c>
      <c r="AR68" s="110" t="str" cm="1">
        <f t="array" ref="AR68">IF(B68="TRI Form A",AD68,IF(AP68=0,"Facility has no transfers to non-POTWs between 2019-2023.",IF(COUNTIF('Processed Non-zero TRI Data'!$I:$I,$H68)&gt;0,INDEX('Processed Non-zero TRI Data'!$A:$A,MATCH(1,($H68='Processed Non-zero TRI Data'!$I:$I)*(AP68='Processed Non-zero TRI Data'!$W:$W),0)),"N/A - Facility Does Not Report to TRI")))</f>
        <v>N/A - Facility Does Not Report to TRI</v>
      </c>
    </row>
    <row r="69" spans="1:44" ht="29" x14ac:dyDescent="0.35">
      <c r="A69" s="34">
        <v>66</v>
      </c>
      <c r="B69" s="33" t="str">
        <f>IFERROR("TRI Form "&amp;VLOOKUP(H69,'Processed Non-zero TRI Data'!$I$2:$K$23,3,FALSE),"DMR")</f>
        <v>DMR</v>
      </c>
      <c r="C69" s="33" t="str">
        <f>VLOOKUP($D69, 'COU.OES Summary'!C:D, 2, FALSE)</f>
        <v> </v>
      </c>
      <c r="D69" s="33" t="str">
        <f>IFERROR(VLOOKUP($H69, 'Processed Non-zero TRI Data'!$I:$O, 7, FALSE), VLOOKUP($I69, 'Processed Non-zero DMR Data'!$K:$R, 8, FALSE))</f>
        <v>Waste handling, treatment, and disposal - POTW</v>
      </c>
      <c r="E69" s="34" t="s">
        <v>228</v>
      </c>
      <c r="F69" s="34" t="s">
        <v>229</v>
      </c>
      <c r="G69" s="34" t="s">
        <v>108</v>
      </c>
      <c r="H69" s="34"/>
      <c r="I69" s="105">
        <v>110020737540</v>
      </c>
      <c r="J69" s="33" t="str">
        <f>IFERROR(VLOOKUP($I69, 'Processed Non-zero DMR Data'!$K:$U, 11, FALSE),"")</f>
        <v>KY0105856</v>
      </c>
      <c r="K69" s="33" t="str">
        <f>IFERROR(VLOOKUP($I69, 'Processed Non-zero DMR Data'!$K:$V, 12, FALSE),"Not Reported")</f>
        <v>Indian Creek-South Fork Licking River</v>
      </c>
      <c r="L69" s="106">
        <f>IFERROR(VLOOKUP($I69, 'Processed Non-zero DMR Data'!$K:$W, 13, FALSE),"No Reach Code Reported")</f>
        <v>51001020403</v>
      </c>
      <c r="M69" s="107" t="str">
        <f>IFERROR(IFERROR(VLOOKUP(H69, 'Off-site Locations'!$K$3:$O$5, 5, FALSE), VLOOKUP(H69, 'Off-site Locations'!$B$3:$E$4, 4, FALSE)), "No Offsite Transfers")</f>
        <v>No Offsite Transfers</v>
      </c>
      <c r="N69" s="33">
        <f>VLOOKUP($D69, 'COU.OES Summary'!C:E, 3, FALSE)</f>
        <v>365</v>
      </c>
      <c r="O69" s="108">
        <f t="shared" si="14"/>
        <v>0</v>
      </c>
      <c r="P69" s="108">
        <f t="shared" si="15"/>
        <v>2.9322868125000001</v>
      </c>
      <c r="Q69" s="109" cm="1">
        <f t="array" ref="Q69">IFERROR(_xlfn.XLOOKUP(1,  (MAX(IF(I69 = 'Processed Non-zero DMR Data'!$K:$K,'Processed Non-zero DMR Data'!$A:$A)) = 'Processed Non-zero DMR Data'!$A:$A)*('Processed Non-zero DMR Data'!$K:$K = I69),'Processed Non-zero DMR Data'!$T:$T), "N/A- Facility Does Not Report DMRs")</f>
        <v>2.9322868125000001</v>
      </c>
      <c r="R69" s="33">
        <f t="shared" ref="R69:R132" si="25">IFERROR(Q69/$N69, "N/A - Facility Does Not Report DMRs")</f>
        <v>8.0336625000000002E-3</v>
      </c>
      <c r="S69" s="33" cm="1">
        <f t="array" ref="S69">IF(COUNTIF('Processed Non-zero DMR Data'!$K:$K,$I69)&gt;0,MEDIAN(IF('Processed Non-zero DMR Data'!$K:$K=I69,'Processed Non-zero DMR Data'!$T:$T)),"N/A - Facility Does Not Report DMRs")</f>
        <v>2.9222707562500001</v>
      </c>
      <c r="T69" s="33">
        <f t="shared" ref="T69:T132" si="26">IFERROR(S69/$N69, "N/A - Facility Does Not Report DMRs")</f>
        <v>8.0062212500000007E-3</v>
      </c>
      <c r="U69" s="33">
        <f>IF(COUNTIF('Processed Non-zero DMR Data'!$K:$K,$I69)&gt;0,_xlfn.MAXIFS('Processed Non-zero DMR Data'!$T:$T,'Processed Non-zero DMR Data'!$K:$K,$I69), "N/A - Facility Does Not Report DMRs")</f>
        <v>2.9322868125000001</v>
      </c>
      <c r="V69" s="33">
        <f t="shared" ref="V69:V132" si="27">IFERROR(U69/$N69, "N/A - Facility Does Not Report DMRs")</f>
        <v>8.0336625000000002E-3</v>
      </c>
      <c r="W69" s="110" cm="1">
        <f t="array" ref="W69">IF(COUNTIF('Processed Non-zero DMR Data'!$K:$K,$I69)&gt;0,INDEX('Processed Non-zero DMR Data'!$A:$A,MATCH(1,($I69='Processed Non-zero DMR Data'!$K:$K)*($U69='Processed Non-zero DMR Data'!$T:$T),0)), "N/A - Facility Does Not Report DMRs")</f>
        <v>2023</v>
      </c>
      <c r="X69" s="109" cm="1">
        <f t="array" ref="X69">IFERROR(_xlfn.XLOOKUP(1,  (MAX(IF(H69 = 'Processed Non-zero TRI Data'!$I:$I,'Processed Non-zero TRI Data'!$A:$A)) = 'Processed Non-zero TRI Data'!$A:$A)*('Processed Non-zero TRI Data'!$I:$I = H69), 'Processed Non-zero TRI Data'!$S:$S), "N/A- Facility Does Not Report to TRI")</f>
        <v>0</v>
      </c>
      <c r="Y69" s="33">
        <f t="shared" si="16"/>
        <v>0</v>
      </c>
      <c r="Z69" s="33" t="str" cm="1">
        <f t="array" ref="Z69">IF(COUNTIF('Processed Non-zero TRI Data'!$I:$I,$H69)&gt;0,MEDIAN(IF('Processed Non-zero TRI Data'!$I:$I=H69,'Processed Non-zero TRI Data'!$S:$S)), "N/A - Facility Does Not Report to TRI")</f>
        <v>N/A - Facility Does Not Report to TRI</v>
      </c>
      <c r="AA69" s="33" t="str">
        <f t="shared" si="17"/>
        <v>N/A - Facility Does Not Report to TRI</v>
      </c>
      <c r="AB69" s="33" t="str">
        <f>IF(COUNTIF('Processed Non-zero TRI Data'!$I:$I,$H69)&gt;0,_xlfn.MAXIFS('Processed Non-zero TRI Data'!$S:$S,'Processed Non-zero TRI Data'!$I:$I,$H69), "N/A - Facility Does Not Report to TRI")</f>
        <v>N/A - Facility Does Not Report to TRI</v>
      </c>
      <c r="AC69" s="33" t="str">
        <f t="shared" si="18"/>
        <v>N/A - Facility Does Not Report to TRI</v>
      </c>
      <c r="AD69" s="110" t="str" cm="1">
        <f t="array" ref="AD69">IFERROR(IF(B69 = "TRI Form R", IF(AB69 = 0, "Facility has no on-site water discharges between 2019-2023.",  IF(COUNTIF('Processed Non-zero TRI Data'!$I:$I,$H69)&gt;0,INDEX('Processed Non-zero TRI Data'!$A:$A,MATCH(1,($H69='Processed Non-zero TRI Data'!$I:$I)*(AB69='Processed Non-zero TRI Data'!$S:$S),0)))), VLOOKUP(H69, 'Form A Recent Reporting'!$L:$M, 2, FALSE)), ("N/A - Facility Does Not Report to TRI"))</f>
        <v>N/A - Facility Does Not Report to TRI</v>
      </c>
      <c r="AE69" s="109" cm="1">
        <f t="array" ref="AE69">IFERROR(_xlfn.XLOOKUP(1,  (MAX(IF(H69 = 'Processed Non-zero TRI Data'!$I:$I,'Processed Non-zero TRI Data'!$A:$A)) = 'Processed Non-zero TRI Data'!$A:$A)*('Processed Non-zero TRI Data'!$I:$I = H69), 'Processed Non-zero TRI Data'!$U:$U), "N/A- Facility Does Not Report to TRI")</f>
        <v>0</v>
      </c>
      <c r="AF69" s="33">
        <f t="shared" si="19"/>
        <v>0</v>
      </c>
      <c r="AG69" s="33" t="str" cm="1">
        <f t="array" ref="AG69">IF(COUNTIF('Processed Non-zero TRI Data'!$I:$I,$H69)&gt;0,MEDIAN(IF('Processed Non-zero TRI Data'!$I:$I=H69,'Processed Non-zero TRI Data'!$U:$U)), "N/A - Facility Does Not Report to TRI")</f>
        <v>N/A - Facility Does Not Report to TRI</v>
      </c>
      <c r="AH69" s="33" t="str">
        <f t="shared" si="20"/>
        <v>N/A - Facility Does Not Report to TRI</v>
      </c>
      <c r="AI69" s="33" t="str">
        <f>IF(COUNTIF('Processed Non-zero TRI Data'!$I:$I,$H69)&gt;0,_xlfn.MAXIFS('Processed Non-zero TRI Data'!$U:$U,'Processed Non-zero TRI Data'!$I:$I,$H69), "N/A - Facility Does Not Report to TRI")</f>
        <v>N/A - Facility Does Not Report to TRI</v>
      </c>
      <c r="AJ69" s="33" t="str">
        <f t="shared" si="21"/>
        <v>N/A - Facility Does Not Report to TRI</v>
      </c>
      <c r="AK69" s="110" t="str" cm="1">
        <f t="array" ref="AK69">IF(B69="TRI Form A",AD69,IF(AI69=0,"Facility has no transfers to POTWs between 2019-2023.",IF(COUNTIF('Processed Non-zero TRI Data'!$I:$I,$H69)&gt;0,INDEX('Processed Non-zero TRI Data'!$A:$A,MATCH(1,($H69='Processed Non-zero TRI Data'!$I:$I)*(AI69='Processed Non-zero TRI Data'!$U:$U),0)),"N/A - Facility Does Not Report to TRI")))</f>
        <v>N/A - Facility Does Not Report to TRI</v>
      </c>
      <c r="AL69" s="109" cm="1">
        <f t="array" ref="AL69">IFERROR(_xlfn.XLOOKUP(1,  (MAX(IF(H69 = 'Processed Non-zero TRI Data'!$I$2:$I$23,'Processed Non-zero TRI Data'!$A$2:$A$23)) = 'Processed Non-zero TRI Data'!$A$2:$A$23)*('Processed Non-zero TRI Data'!$I$2:$I$23 = H69), 'Processed Non-zero TRI Data'!$W$2:$W$23), "N/A- Facility Does Not Report to TRI")</f>
        <v>0</v>
      </c>
      <c r="AM69" s="33">
        <f t="shared" si="22"/>
        <v>0</v>
      </c>
      <c r="AN69" s="33" t="str" cm="1">
        <f t="array" ref="AN69">IF(COUNTIF('Processed Non-zero TRI Data'!$I:$I,$H69)&gt;0,MEDIAN(IF('Processed Non-zero TRI Data'!$I:$I=H69,'Processed Non-zero TRI Data'!$W:$W)), "N/A - Facility Does Not Report to TRI")</f>
        <v>N/A - Facility Does Not Report to TRI</v>
      </c>
      <c r="AO69" s="33" t="str">
        <f t="shared" si="23"/>
        <v>N/A - Facility Does Not Report to TRI</v>
      </c>
      <c r="AP69" s="33" t="str">
        <f>IF(COUNTIF('Processed Non-zero TRI Data'!$I:$I,$H69)&gt;0,_xlfn.MAXIFS('Processed Non-zero TRI Data'!$W:$W,'Processed Non-zero TRI Data'!$I:$I,$H69), "N/A - Facility Does Not Report to TRI")</f>
        <v>N/A - Facility Does Not Report to TRI</v>
      </c>
      <c r="AQ69" s="33" t="str">
        <f t="shared" si="24"/>
        <v>N/A - Facility Does Not Report to TRI</v>
      </c>
      <c r="AR69" s="110" t="str" cm="1">
        <f t="array" ref="AR69">IF(B69="TRI Form A",AD69,IF(AP69=0,"Facility has no transfers to non-POTWs between 2019-2023.",IF(COUNTIF('Processed Non-zero TRI Data'!$I:$I,$H69)&gt;0,INDEX('Processed Non-zero TRI Data'!$A:$A,MATCH(1,($H69='Processed Non-zero TRI Data'!$I:$I)*(AP69='Processed Non-zero TRI Data'!$W:$W),0)),"N/A - Facility Does Not Report to TRI")))</f>
        <v>N/A - Facility Does Not Report to TRI</v>
      </c>
    </row>
    <row r="70" spans="1:44" ht="29" x14ac:dyDescent="0.35">
      <c r="A70" s="34">
        <v>67</v>
      </c>
      <c r="B70" s="33" t="str">
        <f>IFERROR("TRI Form "&amp;VLOOKUP(H70,'Processed Non-zero TRI Data'!$I$2:$K$23,3,FALSE),"DMR")</f>
        <v>DMR</v>
      </c>
      <c r="C70" s="33" t="str">
        <f>VLOOKUP($D70, 'COU.OES Summary'!C:D, 2, FALSE)</f>
        <v> </v>
      </c>
      <c r="D70" s="33" t="str">
        <f>IFERROR(VLOOKUP($H70, 'Processed Non-zero TRI Data'!$I:$O, 7, FALSE), VLOOKUP($I70, 'Processed Non-zero DMR Data'!$K:$R, 8, FALSE))</f>
        <v>Waste handling, treatment, and disposal - non-POTW WWT</v>
      </c>
      <c r="E70" s="34" t="s">
        <v>230</v>
      </c>
      <c r="F70" s="34" t="s">
        <v>231</v>
      </c>
      <c r="G70" s="34" t="s">
        <v>156</v>
      </c>
      <c r="H70" s="34"/>
      <c r="I70" s="105">
        <v>110006777247</v>
      </c>
      <c r="J70" s="33" t="str">
        <f>IFERROR(VLOOKUP($I70, 'Processed Non-zero DMR Data'!$K:$U, 11, FALSE),"")</f>
        <v>HI0021654</v>
      </c>
      <c r="K70" s="33" t="str">
        <f>IFERROR(VLOOKUP($I70, 'Processed Non-zero DMR Data'!$K:$V, 12, FALSE),"Not Reported")</f>
        <v>Waieli Draw</v>
      </c>
      <c r="L70" s="106">
        <f>IFERROR(VLOOKUP($I70, 'Processed Non-zero DMR Data'!$K:$W, 13, FALSE),"No Reach Code Reported")</f>
        <v>200700000501</v>
      </c>
      <c r="M70" s="107" t="str">
        <f>IFERROR(IFERROR(VLOOKUP(H70, 'Off-site Locations'!$K$3:$O$5, 5, FALSE), VLOOKUP(H70, 'Off-site Locations'!$B$3:$E$4, 4, FALSE)), "No Offsite Transfers")</f>
        <v>No Offsite Transfers</v>
      </c>
      <c r="N70" s="33">
        <f>VLOOKUP($D70, 'COU.OES Summary'!C:E, 3, FALSE)</f>
        <v>365</v>
      </c>
      <c r="O70" s="108">
        <f t="shared" si="14"/>
        <v>0</v>
      </c>
      <c r="P70" s="108">
        <f t="shared" si="15"/>
        <v>2.866664375</v>
      </c>
      <c r="Q70" s="109" cm="1">
        <f t="array" ref="Q70">IFERROR(_xlfn.XLOOKUP(1,  (MAX(IF(I70 = 'Processed Non-zero DMR Data'!$K:$K,'Processed Non-zero DMR Data'!$A:$A)) = 'Processed Non-zero DMR Data'!$A:$A)*('Processed Non-zero DMR Data'!$K:$K = I70),'Processed Non-zero DMR Data'!$T:$T), "N/A- Facility Does Not Report DMRs")</f>
        <v>0.99677028749999996</v>
      </c>
      <c r="R70" s="33">
        <f t="shared" si="25"/>
        <v>2.7308774999999998E-3</v>
      </c>
      <c r="S70" s="33" cm="1">
        <f t="array" ref="S70">IF(COUNTIF('Processed Non-zero DMR Data'!$K:$K,$I70)&gt;0,MEDIAN(IF('Processed Non-zero DMR Data'!$K:$K=I70,'Processed Non-zero DMR Data'!$T:$T)),"N/A - Facility Does Not Report DMRs")</f>
        <v>0.99677028749999996</v>
      </c>
      <c r="T70" s="33">
        <f t="shared" si="26"/>
        <v>2.7308774999999998E-3</v>
      </c>
      <c r="U70" s="33">
        <f>IF(COUNTIF('Processed Non-zero DMR Data'!$K:$K,$I70)&gt;0,_xlfn.MAXIFS('Processed Non-zero DMR Data'!$T:$T,'Processed Non-zero DMR Data'!$K:$K,$I70), "N/A - Facility Does Not Report DMRs")</f>
        <v>2.866664375</v>
      </c>
      <c r="V70" s="33">
        <f t="shared" si="27"/>
        <v>7.8538749999999997E-3</v>
      </c>
      <c r="W70" s="110" cm="1">
        <f t="array" ref="W70">IF(COUNTIF('Processed Non-zero DMR Data'!$K:$K,$I70)&gt;0,INDEX('Processed Non-zero DMR Data'!$A:$A,MATCH(1,($I70='Processed Non-zero DMR Data'!$K:$K)*($U70='Processed Non-zero DMR Data'!$T:$T),0)), "N/A - Facility Does Not Report DMRs")</f>
        <v>2022</v>
      </c>
      <c r="X70" s="109" cm="1">
        <f t="array" ref="X70">IFERROR(_xlfn.XLOOKUP(1,  (MAX(IF(H70 = 'Processed Non-zero TRI Data'!$I:$I,'Processed Non-zero TRI Data'!$A:$A)) = 'Processed Non-zero TRI Data'!$A:$A)*('Processed Non-zero TRI Data'!$I:$I = H70), 'Processed Non-zero TRI Data'!$S:$S), "N/A- Facility Does Not Report to TRI")</f>
        <v>0</v>
      </c>
      <c r="Y70" s="33">
        <f t="shared" si="16"/>
        <v>0</v>
      </c>
      <c r="Z70" s="33" t="str" cm="1">
        <f t="array" ref="Z70">IF(COUNTIF('Processed Non-zero TRI Data'!$I:$I,$H70)&gt;0,MEDIAN(IF('Processed Non-zero TRI Data'!$I:$I=H70,'Processed Non-zero TRI Data'!$S:$S)), "N/A - Facility Does Not Report to TRI")</f>
        <v>N/A - Facility Does Not Report to TRI</v>
      </c>
      <c r="AA70" s="33" t="str">
        <f t="shared" si="17"/>
        <v>N/A - Facility Does Not Report to TRI</v>
      </c>
      <c r="AB70" s="33" t="str">
        <f>IF(COUNTIF('Processed Non-zero TRI Data'!$I:$I,$H70)&gt;0,_xlfn.MAXIFS('Processed Non-zero TRI Data'!$S:$S,'Processed Non-zero TRI Data'!$I:$I,$H70), "N/A - Facility Does Not Report to TRI")</f>
        <v>N/A - Facility Does Not Report to TRI</v>
      </c>
      <c r="AC70" s="33" t="str">
        <f t="shared" si="18"/>
        <v>N/A - Facility Does Not Report to TRI</v>
      </c>
      <c r="AD70" s="110" t="str" cm="1">
        <f t="array" ref="AD70">IFERROR(IF(B70 = "TRI Form R", IF(AB70 = 0, "Facility has no on-site water discharges between 2019-2023.",  IF(COUNTIF('Processed Non-zero TRI Data'!$I:$I,$H70)&gt;0,INDEX('Processed Non-zero TRI Data'!$A:$A,MATCH(1,($H70='Processed Non-zero TRI Data'!$I:$I)*(AB70='Processed Non-zero TRI Data'!$S:$S),0)))), VLOOKUP(H70, 'Form A Recent Reporting'!$L:$M, 2, FALSE)), ("N/A - Facility Does Not Report to TRI"))</f>
        <v>N/A - Facility Does Not Report to TRI</v>
      </c>
      <c r="AE70" s="109" cm="1">
        <f t="array" ref="AE70">IFERROR(_xlfn.XLOOKUP(1,  (MAX(IF(H70 = 'Processed Non-zero TRI Data'!$I:$I,'Processed Non-zero TRI Data'!$A:$A)) = 'Processed Non-zero TRI Data'!$A:$A)*('Processed Non-zero TRI Data'!$I:$I = H70), 'Processed Non-zero TRI Data'!$U:$U), "N/A- Facility Does Not Report to TRI")</f>
        <v>0</v>
      </c>
      <c r="AF70" s="33">
        <f t="shared" si="19"/>
        <v>0</v>
      </c>
      <c r="AG70" s="33" t="str" cm="1">
        <f t="array" ref="AG70">IF(COUNTIF('Processed Non-zero TRI Data'!$I:$I,$H70)&gt;0,MEDIAN(IF('Processed Non-zero TRI Data'!$I:$I=H70,'Processed Non-zero TRI Data'!$U:$U)), "N/A - Facility Does Not Report to TRI")</f>
        <v>N/A - Facility Does Not Report to TRI</v>
      </c>
      <c r="AH70" s="33" t="str">
        <f t="shared" si="20"/>
        <v>N/A - Facility Does Not Report to TRI</v>
      </c>
      <c r="AI70" s="33" t="str">
        <f>IF(COUNTIF('Processed Non-zero TRI Data'!$I:$I,$H70)&gt;0,_xlfn.MAXIFS('Processed Non-zero TRI Data'!$U:$U,'Processed Non-zero TRI Data'!$I:$I,$H70), "N/A - Facility Does Not Report to TRI")</f>
        <v>N/A - Facility Does Not Report to TRI</v>
      </c>
      <c r="AJ70" s="33" t="str">
        <f t="shared" si="21"/>
        <v>N/A - Facility Does Not Report to TRI</v>
      </c>
      <c r="AK70" s="110" t="str" cm="1">
        <f t="array" ref="AK70">IF(B70="TRI Form A",AD70,IF(AI70=0,"Facility has no transfers to POTWs between 2019-2023.",IF(COUNTIF('Processed Non-zero TRI Data'!$I:$I,$H70)&gt;0,INDEX('Processed Non-zero TRI Data'!$A:$A,MATCH(1,($H70='Processed Non-zero TRI Data'!$I:$I)*(AI70='Processed Non-zero TRI Data'!$U:$U),0)),"N/A - Facility Does Not Report to TRI")))</f>
        <v>N/A - Facility Does Not Report to TRI</v>
      </c>
      <c r="AL70" s="109" cm="1">
        <f t="array" ref="AL70">IFERROR(_xlfn.XLOOKUP(1,  (MAX(IF(H70 = 'Processed Non-zero TRI Data'!$I$2:$I$23,'Processed Non-zero TRI Data'!$A$2:$A$23)) = 'Processed Non-zero TRI Data'!$A$2:$A$23)*('Processed Non-zero TRI Data'!$I$2:$I$23 = H70), 'Processed Non-zero TRI Data'!$W$2:$W$23), "N/A- Facility Does Not Report to TRI")</f>
        <v>0</v>
      </c>
      <c r="AM70" s="33">
        <f t="shared" si="22"/>
        <v>0</v>
      </c>
      <c r="AN70" s="33" t="str" cm="1">
        <f t="array" ref="AN70">IF(COUNTIF('Processed Non-zero TRI Data'!$I:$I,$H70)&gt;0,MEDIAN(IF('Processed Non-zero TRI Data'!$I:$I=H70,'Processed Non-zero TRI Data'!$W:$W)), "N/A - Facility Does Not Report to TRI")</f>
        <v>N/A - Facility Does Not Report to TRI</v>
      </c>
      <c r="AO70" s="33" t="str">
        <f t="shared" si="23"/>
        <v>N/A - Facility Does Not Report to TRI</v>
      </c>
      <c r="AP70" s="33" t="str">
        <f>IF(COUNTIF('Processed Non-zero TRI Data'!$I:$I,$H70)&gt;0,_xlfn.MAXIFS('Processed Non-zero TRI Data'!$W:$W,'Processed Non-zero TRI Data'!$I:$I,$H70), "N/A - Facility Does Not Report to TRI")</f>
        <v>N/A - Facility Does Not Report to TRI</v>
      </c>
      <c r="AQ70" s="33" t="str">
        <f t="shared" si="24"/>
        <v>N/A - Facility Does Not Report to TRI</v>
      </c>
      <c r="AR70" s="110" t="str" cm="1">
        <f t="array" ref="AR70">IF(B70="TRI Form A",AD70,IF(AP70=0,"Facility has no transfers to non-POTWs between 2019-2023.",IF(COUNTIF('Processed Non-zero TRI Data'!$I:$I,$H70)&gt;0,INDEX('Processed Non-zero TRI Data'!$A:$A,MATCH(1,($H70='Processed Non-zero TRI Data'!$I:$I)*(AP70='Processed Non-zero TRI Data'!$W:$W),0)),"N/A - Facility Does Not Report to TRI")))</f>
        <v>N/A - Facility Does Not Report to TRI</v>
      </c>
    </row>
    <row r="71" spans="1:44" ht="29" x14ac:dyDescent="0.35">
      <c r="A71" s="34">
        <v>68</v>
      </c>
      <c r="B71" s="33" t="str">
        <f>IFERROR("TRI Form "&amp;VLOOKUP(H71,'Processed Non-zero TRI Data'!$I$2:$K$23,3,FALSE),"DMR")</f>
        <v>DMR</v>
      </c>
      <c r="C71" s="33" t="str">
        <f>VLOOKUP($D71, 'COU.OES Summary'!C:D, 2, FALSE)</f>
        <v> </v>
      </c>
      <c r="D71" s="33" t="str">
        <f>IFERROR(VLOOKUP($H71, 'Processed Non-zero TRI Data'!$I:$O, 7, FALSE), VLOOKUP($I71, 'Processed Non-zero DMR Data'!$K:$R, 8, FALSE))</f>
        <v>Waste handling, treatment, and disposal - POTW</v>
      </c>
      <c r="E71" s="34" t="s">
        <v>232</v>
      </c>
      <c r="F71" s="34" t="s">
        <v>227</v>
      </c>
      <c r="G71" s="34" t="s">
        <v>108</v>
      </c>
      <c r="H71" s="34"/>
      <c r="I71" s="105">
        <v>110040000398</v>
      </c>
      <c r="J71" s="33" t="str">
        <f>IFERROR(VLOOKUP($I71, 'Processed Non-zero DMR Data'!$K:$U, 11, FALSE),"")</f>
        <v>KY0079898</v>
      </c>
      <c r="K71" s="33" t="str">
        <f>IFERROR(VLOOKUP($I71, 'Processed Non-zero DMR Data'!$K:$V, 12, FALSE),"Not Reported")</f>
        <v>Hays Fork-Silver Creek</v>
      </c>
      <c r="L71" s="106">
        <f>IFERROR(VLOOKUP($I71, 'Processed Non-zero DMR Data'!$K:$W, 13, FALSE),"No Reach Code Reported")</f>
        <v>51002050202</v>
      </c>
      <c r="M71" s="107" t="str">
        <f>IFERROR(IFERROR(VLOOKUP(H71, 'Off-site Locations'!$K$3:$O$5, 5, FALSE), VLOOKUP(H71, 'Off-site Locations'!$B$3:$E$4, 4, FALSE)), "No Offsite Transfers")</f>
        <v>No Offsite Transfers</v>
      </c>
      <c r="N71" s="33">
        <f>VLOOKUP($D71, 'COU.OES Summary'!C:E, 3, FALSE)</f>
        <v>365</v>
      </c>
      <c r="O71" s="108">
        <f t="shared" si="14"/>
        <v>0</v>
      </c>
      <c r="P71" s="108">
        <f t="shared" si="15"/>
        <v>2.8480137874999998</v>
      </c>
      <c r="Q71" s="109" cm="1">
        <f t="array" ref="Q71">IFERROR(_xlfn.XLOOKUP(1,  (MAX(IF(I71 = 'Processed Non-zero DMR Data'!$K:$K,'Processed Non-zero DMR Data'!$A:$A)) = 'Processed Non-zero DMR Data'!$A:$A)*('Processed Non-zero DMR Data'!$K:$K = I71),'Processed Non-zero DMR Data'!$T:$T), "N/A- Facility Does Not Report DMRs")</f>
        <v>2.7554516124999999</v>
      </c>
      <c r="R71" s="33">
        <f t="shared" si="25"/>
        <v>7.5491824999999995E-3</v>
      </c>
      <c r="S71" s="33" cm="1">
        <f t="array" ref="S71">IF(COUNTIF('Processed Non-zero DMR Data'!$K:$K,$I71)&gt;0,MEDIAN(IF('Processed Non-zero DMR Data'!$K:$K=I71,'Processed Non-zero DMR Data'!$T:$T)),"N/A - Facility Does Not Report DMRs")</f>
        <v>2.8017326999999996</v>
      </c>
      <c r="T71" s="33">
        <f t="shared" si="26"/>
        <v>7.6759799999999989E-3</v>
      </c>
      <c r="U71" s="33">
        <f>IF(COUNTIF('Processed Non-zero DMR Data'!$K:$K,$I71)&gt;0,_xlfn.MAXIFS('Processed Non-zero DMR Data'!$T:$T,'Processed Non-zero DMR Data'!$K:$K,$I71), "N/A - Facility Does Not Report DMRs")</f>
        <v>2.8480137874999998</v>
      </c>
      <c r="V71" s="33">
        <f t="shared" si="27"/>
        <v>7.8027774999999992E-3</v>
      </c>
      <c r="W71" s="110" cm="1">
        <f t="array" ref="W71">IF(COUNTIF('Processed Non-zero DMR Data'!$K:$K,$I71)&gt;0,INDEX('Processed Non-zero DMR Data'!$A:$A,MATCH(1,($I71='Processed Non-zero DMR Data'!$K:$K)*($U71='Processed Non-zero DMR Data'!$T:$T),0)), "N/A - Facility Does Not Report DMRs")</f>
        <v>2020</v>
      </c>
      <c r="X71" s="109" cm="1">
        <f t="array" ref="X71">IFERROR(_xlfn.XLOOKUP(1,  (MAX(IF(H71 = 'Processed Non-zero TRI Data'!$I:$I,'Processed Non-zero TRI Data'!$A:$A)) = 'Processed Non-zero TRI Data'!$A:$A)*('Processed Non-zero TRI Data'!$I:$I = H71), 'Processed Non-zero TRI Data'!$S:$S), "N/A- Facility Does Not Report to TRI")</f>
        <v>0</v>
      </c>
      <c r="Y71" s="33">
        <f t="shared" si="16"/>
        <v>0</v>
      </c>
      <c r="Z71" s="33" t="str" cm="1">
        <f t="array" ref="Z71">IF(COUNTIF('Processed Non-zero TRI Data'!$I:$I,$H71)&gt;0,MEDIAN(IF('Processed Non-zero TRI Data'!$I:$I=H71,'Processed Non-zero TRI Data'!$S:$S)), "N/A - Facility Does Not Report to TRI")</f>
        <v>N/A - Facility Does Not Report to TRI</v>
      </c>
      <c r="AA71" s="33" t="str">
        <f t="shared" si="17"/>
        <v>N/A - Facility Does Not Report to TRI</v>
      </c>
      <c r="AB71" s="33" t="str">
        <f>IF(COUNTIF('Processed Non-zero TRI Data'!$I:$I,$H71)&gt;0,_xlfn.MAXIFS('Processed Non-zero TRI Data'!$S:$S,'Processed Non-zero TRI Data'!$I:$I,$H71), "N/A - Facility Does Not Report to TRI")</f>
        <v>N/A - Facility Does Not Report to TRI</v>
      </c>
      <c r="AC71" s="33" t="str">
        <f t="shared" si="18"/>
        <v>N/A - Facility Does Not Report to TRI</v>
      </c>
      <c r="AD71" s="110" t="str" cm="1">
        <f t="array" ref="AD71">IFERROR(IF(B71 = "TRI Form R", IF(AB71 = 0, "Facility has no on-site water discharges between 2019-2023.",  IF(COUNTIF('Processed Non-zero TRI Data'!$I:$I,$H71)&gt;0,INDEX('Processed Non-zero TRI Data'!$A:$A,MATCH(1,($H71='Processed Non-zero TRI Data'!$I:$I)*(AB71='Processed Non-zero TRI Data'!$S:$S),0)))), VLOOKUP(H71, 'Form A Recent Reporting'!$L:$M, 2, FALSE)), ("N/A - Facility Does Not Report to TRI"))</f>
        <v>N/A - Facility Does Not Report to TRI</v>
      </c>
      <c r="AE71" s="109" cm="1">
        <f t="array" ref="AE71">IFERROR(_xlfn.XLOOKUP(1,  (MAX(IF(H71 = 'Processed Non-zero TRI Data'!$I:$I,'Processed Non-zero TRI Data'!$A:$A)) = 'Processed Non-zero TRI Data'!$A:$A)*('Processed Non-zero TRI Data'!$I:$I = H71), 'Processed Non-zero TRI Data'!$U:$U), "N/A- Facility Does Not Report to TRI")</f>
        <v>0</v>
      </c>
      <c r="AF71" s="33">
        <f t="shared" si="19"/>
        <v>0</v>
      </c>
      <c r="AG71" s="33" t="str" cm="1">
        <f t="array" ref="AG71">IF(COUNTIF('Processed Non-zero TRI Data'!$I:$I,$H71)&gt;0,MEDIAN(IF('Processed Non-zero TRI Data'!$I:$I=H71,'Processed Non-zero TRI Data'!$U:$U)), "N/A - Facility Does Not Report to TRI")</f>
        <v>N/A - Facility Does Not Report to TRI</v>
      </c>
      <c r="AH71" s="33" t="str">
        <f t="shared" si="20"/>
        <v>N/A - Facility Does Not Report to TRI</v>
      </c>
      <c r="AI71" s="33" t="str">
        <f>IF(COUNTIF('Processed Non-zero TRI Data'!$I:$I,$H71)&gt;0,_xlfn.MAXIFS('Processed Non-zero TRI Data'!$U:$U,'Processed Non-zero TRI Data'!$I:$I,$H71), "N/A - Facility Does Not Report to TRI")</f>
        <v>N/A - Facility Does Not Report to TRI</v>
      </c>
      <c r="AJ71" s="33" t="str">
        <f t="shared" si="21"/>
        <v>N/A - Facility Does Not Report to TRI</v>
      </c>
      <c r="AK71" s="110" t="str" cm="1">
        <f t="array" ref="AK71">IF(B71="TRI Form A",AD71,IF(AI71=0,"Facility has no transfers to POTWs between 2019-2023.",IF(COUNTIF('Processed Non-zero TRI Data'!$I:$I,$H71)&gt;0,INDEX('Processed Non-zero TRI Data'!$A:$A,MATCH(1,($H71='Processed Non-zero TRI Data'!$I:$I)*(AI71='Processed Non-zero TRI Data'!$U:$U),0)),"N/A - Facility Does Not Report to TRI")))</f>
        <v>N/A - Facility Does Not Report to TRI</v>
      </c>
      <c r="AL71" s="109" cm="1">
        <f t="array" ref="AL71">IFERROR(_xlfn.XLOOKUP(1,  (MAX(IF(H71 = 'Processed Non-zero TRI Data'!$I$2:$I$23,'Processed Non-zero TRI Data'!$A$2:$A$23)) = 'Processed Non-zero TRI Data'!$A$2:$A$23)*('Processed Non-zero TRI Data'!$I$2:$I$23 = H71), 'Processed Non-zero TRI Data'!$W$2:$W$23), "N/A- Facility Does Not Report to TRI")</f>
        <v>0</v>
      </c>
      <c r="AM71" s="33">
        <f t="shared" si="22"/>
        <v>0</v>
      </c>
      <c r="AN71" s="33" t="str" cm="1">
        <f t="array" ref="AN71">IF(COUNTIF('Processed Non-zero TRI Data'!$I:$I,$H71)&gt;0,MEDIAN(IF('Processed Non-zero TRI Data'!$I:$I=H71,'Processed Non-zero TRI Data'!$W:$W)), "N/A - Facility Does Not Report to TRI")</f>
        <v>N/A - Facility Does Not Report to TRI</v>
      </c>
      <c r="AO71" s="33" t="str">
        <f t="shared" si="23"/>
        <v>N/A - Facility Does Not Report to TRI</v>
      </c>
      <c r="AP71" s="33" t="str">
        <f>IF(COUNTIF('Processed Non-zero TRI Data'!$I:$I,$H71)&gt;0,_xlfn.MAXIFS('Processed Non-zero TRI Data'!$W:$W,'Processed Non-zero TRI Data'!$I:$I,$H71), "N/A - Facility Does Not Report to TRI")</f>
        <v>N/A - Facility Does Not Report to TRI</v>
      </c>
      <c r="AQ71" s="33" t="str">
        <f t="shared" si="24"/>
        <v>N/A - Facility Does Not Report to TRI</v>
      </c>
      <c r="AR71" s="110" t="str" cm="1">
        <f t="array" ref="AR71">IF(B71="TRI Form A",AD71,IF(AP71=0,"Facility has no transfers to non-POTWs between 2019-2023.",IF(COUNTIF('Processed Non-zero TRI Data'!$I:$I,$H71)&gt;0,INDEX('Processed Non-zero TRI Data'!$A:$A,MATCH(1,($H71='Processed Non-zero TRI Data'!$I:$I)*(AP71='Processed Non-zero TRI Data'!$W:$W),0)),"N/A - Facility Does Not Report to TRI")))</f>
        <v>N/A - Facility Does Not Report to TRI</v>
      </c>
    </row>
    <row r="72" spans="1:44" ht="29" x14ac:dyDescent="0.35">
      <c r="A72" s="34">
        <v>69</v>
      </c>
      <c r="B72" s="33" t="str">
        <f>IFERROR("TRI Form "&amp;VLOOKUP(H72,'Processed Non-zero TRI Data'!$I$2:$K$23,3,FALSE),"DMR")</f>
        <v>DMR</v>
      </c>
      <c r="C72" s="33" t="str">
        <f>VLOOKUP($D72, 'COU.OES Summary'!C:D, 2, FALSE)</f>
        <v> </v>
      </c>
      <c r="D72" s="33" t="str">
        <f>IFERROR(VLOOKUP($H72, 'Processed Non-zero TRI Data'!$I:$O, 7, FALSE), VLOOKUP($I72, 'Processed Non-zero DMR Data'!$K:$R, 8, FALSE))</f>
        <v>Waste handling, treatment, and disposal - POTW</v>
      </c>
      <c r="E72" s="34" t="s">
        <v>233</v>
      </c>
      <c r="F72" s="34" t="s">
        <v>234</v>
      </c>
      <c r="G72" s="34" t="s">
        <v>108</v>
      </c>
      <c r="H72" s="34"/>
      <c r="I72" s="105">
        <v>110000557013</v>
      </c>
      <c r="J72" s="33" t="str">
        <f>IFERROR(VLOOKUP($I72, 'Processed Non-zero DMR Data'!$K:$U, 11, FALSE),"")</f>
        <v>KY0021270</v>
      </c>
      <c r="K72" s="33" t="str">
        <f>IFERROR(VLOOKUP($I72, 'Processed Non-zero DMR Data'!$K:$V, 12, FALSE),"Not Reported")</f>
        <v>Little Laurel River</v>
      </c>
      <c r="L72" s="106">
        <f>IFERROR(VLOOKUP($I72, 'Processed Non-zero DMR Data'!$K:$W, 13, FALSE),"No Reach Code Reported")</f>
        <v>51301010802</v>
      </c>
      <c r="M72" s="107" t="str">
        <f>IFERROR(IFERROR(VLOOKUP(H72, 'Off-site Locations'!$K$3:$O$5, 5, FALSE), VLOOKUP(H72, 'Off-site Locations'!$B$3:$E$4, 4, FALSE)), "No Offsite Transfers")</f>
        <v>No Offsite Transfers</v>
      </c>
      <c r="N72" s="33">
        <f>VLOOKUP($D72, 'COU.OES Summary'!C:E, 3, FALSE)</f>
        <v>365</v>
      </c>
      <c r="O72" s="108">
        <f t="shared" si="14"/>
        <v>0</v>
      </c>
      <c r="P72" s="108">
        <f t="shared" si="15"/>
        <v>2.8348892999999999</v>
      </c>
      <c r="Q72" s="109" cm="1">
        <f t="array" ref="Q72">IFERROR(_xlfn.XLOOKUP(1,  (MAX(IF(I72 = 'Processed Non-zero DMR Data'!$K:$K,'Processed Non-zero DMR Data'!$A:$A)) = 'Processed Non-zero DMR Data'!$A:$A)*('Processed Non-zero DMR Data'!$K:$K = I72),'Processed Non-zero DMR Data'!$T:$T), "N/A- Facility Does Not Report DMRs")</f>
        <v>2.1586328125000001</v>
      </c>
      <c r="R72" s="33">
        <f t="shared" si="25"/>
        <v>5.9140625E-3</v>
      </c>
      <c r="S72" s="33" cm="1">
        <f t="array" ref="S72">IF(COUNTIF('Processed Non-zero DMR Data'!$K:$K,$I72)&gt;0,MEDIAN(IF('Processed Non-zero DMR Data'!$K:$K=I72,'Processed Non-zero DMR Data'!$T:$T)),"N/A - Facility Does Not Report DMRs")</f>
        <v>2.49676105625</v>
      </c>
      <c r="T72" s="33">
        <f t="shared" si="26"/>
        <v>6.8404412499999999E-3</v>
      </c>
      <c r="U72" s="33">
        <f>IF(COUNTIF('Processed Non-zero DMR Data'!$K:$K,$I72)&gt;0,_xlfn.MAXIFS('Processed Non-zero DMR Data'!$T:$T,'Processed Non-zero DMR Data'!$K:$K,$I72), "N/A - Facility Does Not Report DMRs")</f>
        <v>2.8348892999999999</v>
      </c>
      <c r="V72" s="33">
        <f t="shared" si="27"/>
        <v>7.7668199999999998E-3</v>
      </c>
      <c r="W72" s="110" cm="1">
        <f t="array" ref="W72">IF(COUNTIF('Processed Non-zero DMR Data'!$K:$K,$I72)&gt;0,INDEX('Processed Non-zero DMR Data'!$A:$A,MATCH(1,($I72='Processed Non-zero DMR Data'!$K:$K)*($U72='Processed Non-zero DMR Data'!$T:$T),0)), "N/A - Facility Does Not Report DMRs")</f>
        <v>2020</v>
      </c>
      <c r="X72" s="109" cm="1">
        <f t="array" ref="X72">IFERROR(_xlfn.XLOOKUP(1,  (MAX(IF(H72 = 'Processed Non-zero TRI Data'!$I:$I,'Processed Non-zero TRI Data'!$A:$A)) = 'Processed Non-zero TRI Data'!$A:$A)*('Processed Non-zero TRI Data'!$I:$I = H72), 'Processed Non-zero TRI Data'!$S:$S), "N/A- Facility Does Not Report to TRI")</f>
        <v>0</v>
      </c>
      <c r="Y72" s="33">
        <f t="shared" si="16"/>
        <v>0</v>
      </c>
      <c r="Z72" s="33" t="str" cm="1">
        <f t="array" ref="Z72">IF(COUNTIF('Processed Non-zero TRI Data'!$I:$I,$H72)&gt;0,MEDIAN(IF('Processed Non-zero TRI Data'!$I:$I=H72,'Processed Non-zero TRI Data'!$S:$S)), "N/A - Facility Does Not Report to TRI")</f>
        <v>N/A - Facility Does Not Report to TRI</v>
      </c>
      <c r="AA72" s="33" t="str">
        <f t="shared" si="17"/>
        <v>N/A - Facility Does Not Report to TRI</v>
      </c>
      <c r="AB72" s="33" t="str">
        <f>IF(COUNTIF('Processed Non-zero TRI Data'!$I:$I,$H72)&gt;0,_xlfn.MAXIFS('Processed Non-zero TRI Data'!$S:$S,'Processed Non-zero TRI Data'!$I:$I,$H72), "N/A - Facility Does Not Report to TRI")</f>
        <v>N/A - Facility Does Not Report to TRI</v>
      </c>
      <c r="AC72" s="33" t="str">
        <f t="shared" si="18"/>
        <v>N/A - Facility Does Not Report to TRI</v>
      </c>
      <c r="AD72" s="110" t="str" cm="1">
        <f t="array" ref="AD72">IFERROR(IF(B72 = "TRI Form R", IF(AB72 = 0, "Facility has no on-site water discharges between 2019-2023.",  IF(COUNTIF('Processed Non-zero TRI Data'!$I:$I,$H72)&gt;0,INDEX('Processed Non-zero TRI Data'!$A:$A,MATCH(1,($H72='Processed Non-zero TRI Data'!$I:$I)*(AB72='Processed Non-zero TRI Data'!$S:$S),0)))), VLOOKUP(H72, 'Form A Recent Reporting'!$L:$M, 2, FALSE)), ("N/A - Facility Does Not Report to TRI"))</f>
        <v>N/A - Facility Does Not Report to TRI</v>
      </c>
      <c r="AE72" s="109" cm="1">
        <f t="array" ref="AE72">IFERROR(_xlfn.XLOOKUP(1,  (MAX(IF(H72 = 'Processed Non-zero TRI Data'!$I:$I,'Processed Non-zero TRI Data'!$A:$A)) = 'Processed Non-zero TRI Data'!$A:$A)*('Processed Non-zero TRI Data'!$I:$I = H72), 'Processed Non-zero TRI Data'!$U:$U), "N/A- Facility Does Not Report to TRI")</f>
        <v>0</v>
      </c>
      <c r="AF72" s="33">
        <f t="shared" si="19"/>
        <v>0</v>
      </c>
      <c r="AG72" s="33" t="str" cm="1">
        <f t="array" ref="AG72">IF(COUNTIF('Processed Non-zero TRI Data'!$I:$I,$H72)&gt;0,MEDIAN(IF('Processed Non-zero TRI Data'!$I:$I=H72,'Processed Non-zero TRI Data'!$U:$U)), "N/A - Facility Does Not Report to TRI")</f>
        <v>N/A - Facility Does Not Report to TRI</v>
      </c>
      <c r="AH72" s="33" t="str">
        <f t="shared" si="20"/>
        <v>N/A - Facility Does Not Report to TRI</v>
      </c>
      <c r="AI72" s="33" t="str">
        <f>IF(COUNTIF('Processed Non-zero TRI Data'!$I:$I,$H72)&gt;0,_xlfn.MAXIFS('Processed Non-zero TRI Data'!$U:$U,'Processed Non-zero TRI Data'!$I:$I,$H72), "N/A - Facility Does Not Report to TRI")</f>
        <v>N/A - Facility Does Not Report to TRI</v>
      </c>
      <c r="AJ72" s="33" t="str">
        <f t="shared" si="21"/>
        <v>N/A - Facility Does Not Report to TRI</v>
      </c>
      <c r="AK72" s="110" t="str" cm="1">
        <f t="array" ref="AK72">IF(B72="TRI Form A",AD72,IF(AI72=0,"Facility has no transfers to POTWs between 2019-2023.",IF(COUNTIF('Processed Non-zero TRI Data'!$I:$I,$H72)&gt;0,INDEX('Processed Non-zero TRI Data'!$A:$A,MATCH(1,($H72='Processed Non-zero TRI Data'!$I:$I)*(AI72='Processed Non-zero TRI Data'!$U:$U),0)),"N/A - Facility Does Not Report to TRI")))</f>
        <v>N/A - Facility Does Not Report to TRI</v>
      </c>
      <c r="AL72" s="109" cm="1">
        <f t="array" ref="AL72">IFERROR(_xlfn.XLOOKUP(1,  (MAX(IF(H72 = 'Processed Non-zero TRI Data'!$I$2:$I$23,'Processed Non-zero TRI Data'!$A$2:$A$23)) = 'Processed Non-zero TRI Data'!$A$2:$A$23)*('Processed Non-zero TRI Data'!$I$2:$I$23 = H72), 'Processed Non-zero TRI Data'!$W$2:$W$23), "N/A- Facility Does Not Report to TRI")</f>
        <v>0</v>
      </c>
      <c r="AM72" s="33">
        <f t="shared" si="22"/>
        <v>0</v>
      </c>
      <c r="AN72" s="33" t="str" cm="1">
        <f t="array" ref="AN72">IF(COUNTIF('Processed Non-zero TRI Data'!$I:$I,$H72)&gt;0,MEDIAN(IF('Processed Non-zero TRI Data'!$I:$I=H72,'Processed Non-zero TRI Data'!$W:$W)), "N/A - Facility Does Not Report to TRI")</f>
        <v>N/A - Facility Does Not Report to TRI</v>
      </c>
      <c r="AO72" s="33" t="str">
        <f t="shared" si="23"/>
        <v>N/A - Facility Does Not Report to TRI</v>
      </c>
      <c r="AP72" s="33" t="str">
        <f>IF(COUNTIF('Processed Non-zero TRI Data'!$I:$I,$H72)&gt;0,_xlfn.MAXIFS('Processed Non-zero TRI Data'!$W:$W,'Processed Non-zero TRI Data'!$I:$I,$H72), "N/A - Facility Does Not Report to TRI")</f>
        <v>N/A - Facility Does Not Report to TRI</v>
      </c>
      <c r="AQ72" s="33" t="str">
        <f t="shared" si="24"/>
        <v>N/A - Facility Does Not Report to TRI</v>
      </c>
      <c r="AR72" s="110" t="str" cm="1">
        <f t="array" ref="AR72">IF(B72="TRI Form A",AD72,IF(AP72=0,"Facility has no transfers to non-POTWs between 2019-2023.",IF(COUNTIF('Processed Non-zero TRI Data'!$I:$I,$H72)&gt;0,INDEX('Processed Non-zero TRI Data'!$A:$A,MATCH(1,($H72='Processed Non-zero TRI Data'!$I:$I)*(AP72='Processed Non-zero TRI Data'!$W:$W),0)),"N/A - Facility Does Not Report to TRI")))</f>
        <v>N/A - Facility Does Not Report to TRI</v>
      </c>
    </row>
    <row r="73" spans="1:44" ht="29" x14ac:dyDescent="0.35">
      <c r="A73" s="34">
        <v>70</v>
      </c>
      <c r="B73" s="33" t="str">
        <f>IFERROR("TRI Form "&amp;VLOOKUP(H73,'Processed Non-zero TRI Data'!$I$2:$K$23,3,FALSE),"DMR")</f>
        <v>DMR</v>
      </c>
      <c r="C73" s="33" t="str">
        <f>VLOOKUP($D73, 'COU.OES Summary'!C:D, 2, FALSE)</f>
        <v> </v>
      </c>
      <c r="D73" s="33" t="str">
        <f>IFERROR(VLOOKUP($H73, 'Processed Non-zero TRI Data'!$I:$O, 7, FALSE), VLOOKUP($I73, 'Processed Non-zero DMR Data'!$K:$R, 8, FALSE))</f>
        <v>Waste handling, treatment, and disposal - POTW</v>
      </c>
      <c r="E73" s="34" t="s">
        <v>235</v>
      </c>
      <c r="F73" s="34" t="s">
        <v>236</v>
      </c>
      <c r="G73" s="34" t="s">
        <v>108</v>
      </c>
      <c r="H73" s="34"/>
      <c r="I73" s="105">
        <v>110022905588</v>
      </c>
      <c r="J73" s="33" t="str">
        <f>IFERROR(VLOOKUP($I73, 'Processed Non-zero DMR Data'!$K:$U, 11, FALSE),"")</f>
        <v>KY0106143</v>
      </c>
      <c r="K73" s="33" t="str">
        <f>IFERROR(VLOOKUP($I73, 'Processed Non-zero DMR Data'!$K:$V, 12, FALSE),"Not Reported")</f>
        <v>Little Huckleberry Creek-Ohio River</v>
      </c>
      <c r="L73" s="106">
        <f>IFERROR(VLOOKUP($I73, 'Processed Non-zero DMR Data'!$K:$W, 13, FALSE),"No Reach Code Reported")</f>
        <v>51401010604</v>
      </c>
      <c r="M73" s="107" t="str">
        <f>IFERROR(IFERROR(VLOOKUP(H73, 'Off-site Locations'!$K$3:$O$5, 5, FALSE), VLOOKUP(H73, 'Off-site Locations'!$B$3:$E$4, 4, FALSE)), "No Offsite Transfers")</f>
        <v>No Offsite Transfers</v>
      </c>
      <c r="N73" s="33">
        <f>VLOOKUP($D73, 'COU.OES Summary'!C:E, 3, FALSE)</f>
        <v>365</v>
      </c>
      <c r="O73" s="108">
        <f t="shared" si="14"/>
        <v>0</v>
      </c>
      <c r="P73" s="108">
        <f t="shared" si="15"/>
        <v>2.756142375</v>
      </c>
      <c r="Q73" s="109" cm="1">
        <f t="array" ref="Q73">IFERROR(_xlfn.XLOOKUP(1,  (MAX(IF(I73 = 'Processed Non-zero DMR Data'!$K:$K,'Processed Non-zero DMR Data'!$A:$A)) = 'Processed Non-zero DMR Data'!$A:$A)*('Processed Non-zero DMR Data'!$K:$K = I73),'Processed Non-zero DMR Data'!$T:$T), "N/A- Facility Does Not Report DMRs")</f>
        <v>2.756142375</v>
      </c>
      <c r="R73" s="33">
        <f t="shared" si="25"/>
        <v>7.551075E-3</v>
      </c>
      <c r="S73" s="33" cm="1">
        <f t="array" ref="S73">IF(COUNTIF('Processed Non-zero DMR Data'!$K:$K,$I73)&gt;0,MEDIAN(IF('Processed Non-zero DMR Data'!$K:$K=I73,'Processed Non-zero DMR Data'!$T:$T)),"N/A - Facility Does Not Report DMRs")</f>
        <v>2.1310023125000002</v>
      </c>
      <c r="T73" s="33">
        <f t="shared" si="26"/>
        <v>5.8383625000000003E-3</v>
      </c>
      <c r="U73" s="33">
        <f>IF(COUNTIF('Processed Non-zero DMR Data'!$K:$K,$I73)&gt;0,_xlfn.MAXIFS('Processed Non-zero DMR Data'!$T:$T,'Processed Non-zero DMR Data'!$K:$K,$I73), "N/A - Facility Does Not Report DMRs")</f>
        <v>2.756142375</v>
      </c>
      <c r="V73" s="33">
        <f t="shared" si="27"/>
        <v>7.551075E-3</v>
      </c>
      <c r="W73" s="110" cm="1">
        <f t="array" ref="W73">IF(COUNTIF('Processed Non-zero DMR Data'!$K:$K,$I73)&gt;0,INDEX('Processed Non-zero DMR Data'!$A:$A,MATCH(1,($I73='Processed Non-zero DMR Data'!$K:$K)*($U73='Processed Non-zero DMR Data'!$T:$T),0)), "N/A - Facility Does Not Report DMRs")</f>
        <v>2022</v>
      </c>
      <c r="X73" s="109" cm="1">
        <f t="array" ref="X73">IFERROR(_xlfn.XLOOKUP(1,  (MAX(IF(H73 = 'Processed Non-zero TRI Data'!$I:$I,'Processed Non-zero TRI Data'!$A:$A)) = 'Processed Non-zero TRI Data'!$A:$A)*('Processed Non-zero TRI Data'!$I:$I = H73), 'Processed Non-zero TRI Data'!$S:$S), "N/A- Facility Does Not Report to TRI")</f>
        <v>0</v>
      </c>
      <c r="Y73" s="33">
        <f t="shared" si="16"/>
        <v>0</v>
      </c>
      <c r="Z73" s="33" t="str" cm="1">
        <f t="array" ref="Z73">IF(COUNTIF('Processed Non-zero TRI Data'!$I:$I,$H73)&gt;0,MEDIAN(IF('Processed Non-zero TRI Data'!$I:$I=H73,'Processed Non-zero TRI Data'!$S:$S)), "N/A - Facility Does Not Report to TRI")</f>
        <v>N/A - Facility Does Not Report to TRI</v>
      </c>
      <c r="AA73" s="33" t="str">
        <f t="shared" si="17"/>
        <v>N/A - Facility Does Not Report to TRI</v>
      </c>
      <c r="AB73" s="33" t="str">
        <f>IF(COUNTIF('Processed Non-zero TRI Data'!$I:$I,$H73)&gt;0,_xlfn.MAXIFS('Processed Non-zero TRI Data'!$S:$S,'Processed Non-zero TRI Data'!$I:$I,$H73), "N/A - Facility Does Not Report to TRI")</f>
        <v>N/A - Facility Does Not Report to TRI</v>
      </c>
      <c r="AC73" s="33" t="str">
        <f t="shared" si="18"/>
        <v>N/A - Facility Does Not Report to TRI</v>
      </c>
      <c r="AD73" s="110" t="str" cm="1">
        <f t="array" ref="AD73">IFERROR(IF(B73 = "TRI Form R", IF(AB73 = 0, "Facility has no on-site water discharges between 2019-2023.",  IF(COUNTIF('Processed Non-zero TRI Data'!$I:$I,$H73)&gt;0,INDEX('Processed Non-zero TRI Data'!$A:$A,MATCH(1,($H73='Processed Non-zero TRI Data'!$I:$I)*(AB73='Processed Non-zero TRI Data'!$S:$S),0)))), VLOOKUP(H73, 'Form A Recent Reporting'!$L:$M, 2, FALSE)), ("N/A - Facility Does Not Report to TRI"))</f>
        <v>N/A - Facility Does Not Report to TRI</v>
      </c>
      <c r="AE73" s="109" cm="1">
        <f t="array" ref="AE73">IFERROR(_xlfn.XLOOKUP(1,  (MAX(IF(H73 = 'Processed Non-zero TRI Data'!$I:$I,'Processed Non-zero TRI Data'!$A:$A)) = 'Processed Non-zero TRI Data'!$A:$A)*('Processed Non-zero TRI Data'!$I:$I = H73), 'Processed Non-zero TRI Data'!$U:$U), "N/A- Facility Does Not Report to TRI")</f>
        <v>0</v>
      </c>
      <c r="AF73" s="33">
        <f t="shared" si="19"/>
        <v>0</v>
      </c>
      <c r="AG73" s="33" t="str" cm="1">
        <f t="array" ref="AG73">IF(COUNTIF('Processed Non-zero TRI Data'!$I:$I,$H73)&gt;0,MEDIAN(IF('Processed Non-zero TRI Data'!$I:$I=H73,'Processed Non-zero TRI Data'!$U:$U)), "N/A - Facility Does Not Report to TRI")</f>
        <v>N/A - Facility Does Not Report to TRI</v>
      </c>
      <c r="AH73" s="33" t="str">
        <f t="shared" si="20"/>
        <v>N/A - Facility Does Not Report to TRI</v>
      </c>
      <c r="AI73" s="33" t="str">
        <f>IF(COUNTIF('Processed Non-zero TRI Data'!$I:$I,$H73)&gt;0,_xlfn.MAXIFS('Processed Non-zero TRI Data'!$U:$U,'Processed Non-zero TRI Data'!$I:$I,$H73), "N/A - Facility Does Not Report to TRI")</f>
        <v>N/A - Facility Does Not Report to TRI</v>
      </c>
      <c r="AJ73" s="33" t="str">
        <f t="shared" si="21"/>
        <v>N/A - Facility Does Not Report to TRI</v>
      </c>
      <c r="AK73" s="110" t="str" cm="1">
        <f t="array" ref="AK73">IF(B73="TRI Form A",AD73,IF(AI73=0,"Facility has no transfers to POTWs between 2019-2023.",IF(COUNTIF('Processed Non-zero TRI Data'!$I:$I,$H73)&gt;0,INDEX('Processed Non-zero TRI Data'!$A:$A,MATCH(1,($H73='Processed Non-zero TRI Data'!$I:$I)*(AI73='Processed Non-zero TRI Data'!$U:$U),0)),"N/A - Facility Does Not Report to TRI")))</f>
        <v>N/A - Facility Does Not Report to TRI</v>
      </c>
      <c r="AL73" s="109" cm="1">
        <f t="array" ref="AL73">IFERROR(_xlfn.XLOOKUP(1,  (MAX(IF(H73 = 'Processed Non-zero TRI Data'!$I$2:$I$23,'Processed Non-zero TRI Data'!$A$2:$A$23)) = 'Processed Non-zero TRI Data'!$A$2:$A$23)*('Processed Non-zero TRI Data'!$I$2:$I$23 = H73), 'Processed Non-zero TRI Data'!$W$2:$W$23), "N/A- Facility Does Not Report to TRI")</f>
        <v>0</v>
      </c>
      <c r="AM73" s="33">
        <f t="shared" si="22"/>
        <v>0</v>
      </c>
      <c r="AN73" s="33" t="str" cm="1">
        <f t="array" ref="AN73">IF(COUNTIF('Processed Non-zero TRI Data'!$I:$I,$H73)&gt;0,MEDIAN(IF('Processed Non-zero TRI Data'!$I:$I=H73,'Processed Non-zero TRI Data'!$W:$W)), "N/A - Facility Does Not Report to TRI")</f>
        <v>N/A - Facility Does Not Report to TRI</v>
      </c>
      <c r="AO73" s="33" t="str">
        <f t="shared" si="23"/>
        <v>N/A - Facility Does Not Report to TRI</v>
      </c>
      <c r="AP73" s="33" t="str">
        <f>IF(COUNTIF('Processed Non-zero TRI Data'!$I:$I,$H73)&gt;0,_xlfn.MAXIFS('Processed Non-zero TRI Data'!$W:$W,'Processed Non-zero TRI Data'!$I:$I,$H73), "N/A - Facility Does Not Report to TRI")</f>
        <v>N/A - Facility Does Not Report to TRI</v>
      </c>
      <c r="AQ73" s="33" t="str">
        <f t="shared" si="24"/>
        <v>N/A - Facility Does Not Report to TRI</v>
      </c>
      <c r="AR73" s="110" t="str" cm="1">
        <f t="array" ref="AR73">IF(B73="TRI Form A",AD73,IF(AP73=0,"Facility has no transfers to non-POTWs between 2019-2023.",IF(COUNTIF('Processed Non-zero TRI Data'!$I:$I,$H73)&gt;0,INDEX('Processed Non-zero TRI Data'!$A:$A,MATCH(1,($H73='Processed Non-zero TRI Data'!$I:$I)*(AP73='Processed Non-zero TRI Data'!$W:$W),0)),"N/A - Facility Does Not Report to TRI")))</f>
        <v>N/A - Facility Does Not Report to TRI</v>
      </c>
    </row>
    <row r="74" spans="1:44" ht="29" x14ac:dyDescent="0.35">
      <c r="A74" s="34">
        <v>71</v>
      </c>
      <c r="B74" s="33" t="str">
        <f>IFERROR("TRI Form "&amp;VLOOKUP(H74,'Processed Non-zero TRI Data'!$I$2:$K$23,3,FALSE),"DMR")</f>
        <v>DMR</v>
      </c>
      <c r="C74" s="33" t="str">
        <f>VLOOKUP($D74, 'COU.OES Summary'!C:D, 2, FALSE)</f>
        <v> </v>
      </c>
      <c r="D74" s="33" t="str">
        <f>IFERROR(VLOOKUP($H74, 'Processed Non-zero TRI Data'!$I:$O, 7, FALSE), VLOOKUP($I74, 'Processed Non-zero DMR Data'!$K:$R, 8, FALSE))</f>
        <v>Waste handling, treatment, and disposal - POTW</v>
      </c>
      <c r="E74" s="34" t="s">
        <v>237</v>
      </c>
      <c r="F74" s="34" t="s">
        <v>238</v>
      </c>
      <c r="G74" s="34" t="s">
        <v>108</v>
      </c>
      <c r="H74" s="34"/>
      <c r="I74" s="105">
        <v>110045085457</v>
      </c>
      <c r="J74" s="33" t="str">
        <f>IFERROR(VLOOKUP($I74, 'Processed Non-zero DMR Data'!$K:$U, 11, FALSE),"")</f>
        <v>KY0052752</v>
      </c>
      <c r="K74" s="33" t="str">
        <f>IFERROR(VLOOKUP($I74, 'Processed Non-zero DMR Data'!$K:$V, 12, FALSE),"Not Reported")</f>
        <v>Lower North Fork Triplett Creek</v>
      </c>
      <c r="L74" s="106">
        <f>IFERROR(VLOOKUP($I74, 'Processed Non-zero DMR Data'!$K:$W, 13, FALSE),"No Reach Code Reported")</f>
        <v>51001010603</v>
      </c>
      <c r="M74" s="107" t="str">
        <f>IFERROR(IFERROR(VLOOKUP(H74, 'Off-site Locations'!$K$3:$O$5, 5, FALSE), VLOOKUP(H74, 'Off-site Locations'!$B$3:$E$4, 4, FALSE)), "No Offsite Transfers")</f>
        <v>No Offsite Transfers</v>
      </c>
      <c r="N74" s="33">
        <f>VLOOKUP($D74, 'COU.OES Summary'!C:E, 3, FALSE)</f>
        <v>365</v>
      </c>
      <c r="O74" s="108">
        <f t="shared" si="14"/>
        <v>0</v>
      </c>
      <c r="P74" s="108">
        <f t="shared" si="15"/>
        <v>2.6352589375000002</v>
      </c>
      <c r="Q74" s="109" cm="1">
        <f t="array" ref="Q74">IFERROR(_xlfn.XLOOKUP(1,  (MAX(IF(I74 = 'Processed Non-zero DMR Data'!$K:$K,'Processed Non-zero DMR Data'!$A:$A)) = 'Processed Non-zero DMR Data'!$A:$A)*('Processed Non-zero DMR Data'!$K:$K = I74),'Processed Non-zero DMR Data'!$T:$T), "N/A- Facility Does Not Report DMRs")</f>
        <v>2.6352589375000002</v>
      </c>
      <c r="R74" s="33">
        <f t="shared" si="25"/>
        <v>7.2198875000000001E-3</v>
      </c>
      <c r="S74" s="33" cm="1">
        <f t="array" ref="S74">IF(COUNTIF('Processed Non-zero DMR Data'!$K:$K,$I74)&gt;0,MEDIAN(IF('Processed Non-zero DMR Data'!$K:$K=I74,'Processed Non-zero DMR Data'!$T:$T)),"N/A - Facility Does Not Report DMRs")</f>
        <v>2.5133393562500004</v>
      </c>
      <c r="T74" s="33">
        <f t="shared" si="26"/>
        <v>6.8858612500000008E-3</v>
      </c>
      <c r="U74" s="33">
        <f>IF(COUNTIF('Processed Non-zero DMR Data'!$K:$K,$I74)&gt;0,_xlfn.MAXIFS('Processed Non-zero DMR Data'!$T:$T,'Processed Non-zero DMR Data'!$K:$K,$I74), "N/A - Facility Does Not Report DMRs")</f>
        <v>2.6352589375000002</v>
      </c>
      <c r="V74" s="33">
        <f t="shared" si="27"/>
        <v>7.2198875000000001E-3</v>
      </c>
      <c r="W74" s="110" cm="1">
        <f t="array" ref="W74">IF(COUNTIF('Processed Non-zero DMR Data'!$K:$K,$I74)&gt;0,INDEX('Processed Non-zero DMR Data'!$A:$A,MATCH(1,($I74='Processed Non-zero DMR Data'!$K:$K)*($U74='Processed Non-zero DMR Data'!$T:$T),0)), "N/A - Facility Does Not Report DMRs")</f>
        <v>2020</v>
      </c>
      <c r="X74" s="109" cm="1">
        <f t="array" ref="X74">IFERROR(_xlfn.XLOOKUP(1,  (MAX(IF(H74 = 'Processed Non-zero TRI Data'!$I:$I,'Processed Non-zero TRI Data'!$A:$A)) = 'Processed Non-zero TRI Data'!$A:$A)*('Processed Non-zero TRI Data'!$I:$I = H74), 'Processed Non-zero TRI Data'!$S:$S), "N/A- Facility Does Not Report to TRI")</f>
        <v>0</v>
      </c>
      <c r="Y74" s="33">
        <f t="shared" si="16"/>
        <v>0</v>
      </c>
      <c r="Z74" s="33" t="str" cm="1">
        <f t="array" ref="Z74">IF(COUNTIF('Processed Non-zero TRI Data'!$I:$I,$H74)&gt;0,MEDIAN(IF('Processed Non-zero TRI Data'!$I:$I=H74,'Processed Non-zero TRI Data'!$S:$S)), "N/A - Facility Does Not Report to TRI")</f>
        <v>N/A - Facility Does Not Report to TRI</v>
      </c>
      <c r="AA74" s="33" t="str">
        <f t="shared" si="17"/>
        <v>N/A - Facility Does Not Report to TRI</v>
      </c>
      <c r="AB74" s="33" t="str">
        <f>IF(COUNTIF('Processed Non-zero TRI Data'!$I:$I,$H74)&gt;0,_xlfn.MAXIFS('Processed Non-zero TRI Data'!$S:$S,'Processed Non-zero TRI Data'!$I:$I,$H74), "N/A - Facility Does Not Report to TRI")</f>
        <v>N/A - Facility Does Not Report to TRI</v>
      </c>
      <c r="AC74" s="33" t="str">
        <f t="shared" si="18"/>
        <v>N/A - Facility Does Not Report to TRI</v>
      </c>
      <c r="AD74" s="110" t="str" cm="1">
        <f t="array" ref="AD74">IFERROR(IF(B74 = "TRI Form R", IF(AB74 = 0, "Facility has no on-site water discharges between 2019-2023.",  IF(COUNTIF('Processed Non-zero TRI Data'!$I:$I,$H74)&gt;0,INDEX('Processed Non-zero TRI Data'!$A:$A,MATCH(1,($H74='Processed Non-zero TRI Data'!$I:$I)*(AB74='Processed Non-zero TRI Data'!$S:$S),0)))), VLOOKUP(H74, 'Form A Recent Reporting'!$L:$M, 2, FALSE)), ("N/A - Facility Does Not Report to TRI"))</f>
        <v>N/A - Facility Does Not Report to TRI</v>
      </c>
      <c r="AE74" s="109" cm="1">
        <f t="array" ref="AE74">IFERROR(_xlfn.XLOOKUP(1,  (MAX(IF(H74 = 'Processed Non-zero TRI Data'!$I:$I,'Processed Non-zero TRI Data'!$A:$A)) = 'Processed Non-zero TRI Data'!$A:$A)*('Processed Non-zero TRI Data'!$I:$I = H74), 'Processed Non-zero TRI Data'!$U:$U), "N/A- Facility Does Not Report to TRI")</f>
        <v>0</v>
      </c>
      <c r="AF74" s="33">
        <f t="shared" si="19"/>
        <v>0</v>
      </c>
      <c r="AG74" s="33" t="str" cm="1">
        <f t="array" ref="AG74">IF(COUNTIF('Processed Non-zero TRI Data'!$I:$I,$H74)&gt;0,MEDIAN(IF('Processed Non-zero TRI Data'!$I:$I=H74,'Processed Non-zero TRI Data'!$U:$U)), "N/A - Facility Does Not Report to TRI")</f>
        <v>N/A - Facility Does Not Report to TRI</v>
      </c>
      <c r="AH74" s="33" t="str">
        <f t="shared" si="20"/>
        <v>N/A - Facility Does Not Report to TRI</v>
      </c>
      <c r="AI74" s="33" t="str">
        <f>IF(COUNTIF('Processed Non-zero TRI Data'!$I:$I,$H74)&gt;0,_xlfn.MAXIFS('Processed Non-zero TRI Data'!$U:$U,'Processed Non-zero TRI Data'!$I:$I,$H74), "N/A - Facility Does Not Report to TRI")</f>
        <v>N/A - Facility Does Not Report to TRI</v>
      </c>
      <c r="AJ74" s="33" t="str">
        <f t="shared" si="21"/>
        <v>N/A - Facility Does Not Report to TRI</v>
      </c>
      <c r="AK74" s="110" t="str" cm="1">
        <f t="array" ref="AK74">IF(B74="TRI Form A",AD74,IF(AI74=0,"Facility has no transfers to POTWs between 2019-2023.",IF(COUNTIF('Processed Non-zero TRI Data'!$I:$I,$H74)&gt;0,INDEX('Processed Non-zero TRI Data'!$A:$A,MATCH(1,($H74='Processed Non-zero TRI Data'!$I:$I)*(AI74='Processed Non-zero TRI Data'!$U:$U),0)),"N/A - Facility Does Not Report to TRI")))</f>
        <v>N/A - Facility Does Not Report to TRI</v>
      </c>
      <c r="AL74" s="109" cm="1">
        <f t="array" ref="AL74">IFERROR(_xlfn.XLOOKUP(1,  (MAX(IF(H74 = 'Processed Non-zero TRI Data'!$I$2:$I$23,'Processed Non-zero TRI Data'!$A$2:$A$23)) = 'Processed Non-zero TRI Data'!$A$2:$A$23)*('Processed Non-zero TRI Data'!$I$2:$I$23 = H74), 'Processed Non-zero TRI Data'!$W$2:$W$23), "N/A- Facility Does Not Report to TRI")</f>
        <v>0</v>
      </c>
      <c r="AM74" s="33">
        <f t="shared" si="22"/>
        <v>0</v>
      </c>
      <c r="AN74" s="33" t="str" cm="1">
        <f t="array" ref="AN74">IF(COUNTIF('Processed Non-zero TRI Data'!$I:$I,$H74)&gt;0,MEDIAN(IF('Processed Non-zero TRI Data'!$I:$I=H74,'Processed Non-zero TRI Data'!$W:$W)), "N/A - Facility Does Not Report to TRI")</f>
        <v>N/A - Facility Does Not Report to TRI</v>
      </c>
      <c r="AO74" s="33" t="str">
        <f t="shared" si="23"/>
        <v>N/A - Facility Does Not Report to TRI</v>
      </c>
      <c r="AP74" s="33" t="str">
        <f>IF(COUNTIF('Processed Non-zero TRI Data'!$I:$I,$H74)&gt;0,_xlfn.MAXIFS('Processed Non-zero TRI Data'!$W:$W,'Processed Non-zero TRI Data'!$I:$I,$H74), "N/A - Facility Does Not Report to TRI")</f>
        <v>N/A - Facility Does Not Report to TRI</v>
      </c>
      <c r="AQ74" s="33" t="str">
        <f t="shared" si="24"/>
        <v>N/A - Facility Does Not Report to TRI</v>
      </c>
      <c r="AR74" s="110" t="str" cm="1">
        <f t="array" ref="AR74">IF(B74="TRI Form A",AD74,IF(AP74=0,"Facility has no transfers to non-POTWs between 2019-2023.",IF(COUNTIF('Processed Non-zero TRI Data'!$I:$I,$H74)&gt;0,INDEX('Processed Non-zero TRI Data'!$A:$A,MATCH(1,($H74='Processed Non-zero TRI Data'!$I:$I)*(AP74='Processed Non-zero TRI Data'!$W:$W),0)),"N/A - Facility Does Not Report to TRI")))</f>
        <v>N/A - Facility Does Not Report to TRI</v>
      </c>
    </row>
    <row r="75" spans="1:44" ht="29" x14ac:dyDescent="0.35">
      <c r="A75" s="34">
        <v>72</v>
      </c>
      <c r="B75" s="33" t="str">
        <f>IFERROR("TRI Form "&amp;VLOOKUP(H75,'Processed Non-zero TRI Data'!$I$2:$K$23,3,FALSE),"DMR")</f>
        <v>DMR</v>
      </c>
      <c r="C75" s="33" t="str">
        <f>VLOOKUP($D75, 'COU.OES Summary'!C:D, 2, FALSE)</f>
        <v> </v>
      </c>
      <c r="D75" s="33" t="str">
        <f>IFERROR(VLOOKUP($H75, 'Processed Non-zero TRI Data'!$I:$O, 7, FALSE), VLOOKUP($I75, 'Processed Non-zero DMR Data'!$K:$R, 8, FALSE))</f>
        <v>Waste handling, treatment, and disposal - POTW</v>
      </c>
      <c r="E75" s="34" t="s">
        <v>239</v>
      </c>
      <c r="F75" s="34" t="s">
        <v>240</v>
      </c>
      <c r="G75" s="34" t="s">
        <v>102</v>
      </c>
      <c r="H75" s="34"/>
      <c r="I75" s="105">
        <v>110013848453</v>
      </c>
      <c r="J75" s="33" t="str">
        <f>IFERROR(VLOOKUP($I75, 'Processed Non-zero DMR Data'!$K:$U, 11, FALSE),"")</f>
        <v>CA0048194</v>
      </c>
      <c r="K75" s="33" t="str">
        <f>IFERROR(VLOOKUP($I75, 'Processed Non-zero DMR Data'!$K:$V, 12, FALSE),"Not Reported")</f>
        <v>Monterey Bay</v>
      </c>
      <c r="L75" s="106">
        <f>IFERROR(VLOOKUP($I75, 'Processed Non-zero DMR Data'!$K:$W, 13, FALSE),"No Reach Code Reported")</f>
        <v>180600150305</v>
      </c>
      <c r="M75" s="107" t="str">
        <f>IFERROR(IFERROR(VLOOKUP(H75, 'Off-site Locations'!$K$3:$O$5, 5, FALSE), VLOOKUP(H75, 'Off-site Locations'!$B$3:$E$4, 4, FALSE)), "No Offsite Transfers")</f>
        <v>No Offsite Transfers</v>
      </c>
      <c r="N75" s="33">
        <f>VLOOKUP($D75, 'COU.OES Summary'!C:E, 3, FALSE)</f>
        <v>365</v>
      </c>
      <c r="O75" s="108">
        <f t="shared" si="14"/>
        <v>0</v>
      </c>
      <c r="P75" s="108">
        <f t="shared" si="15"/>
        <v>2.5934479349999999</v>
      </c>
      <c r="Q75" s="109" cm="1">
        <f t="array" ref="Q75">IFERROR(_xlfn.XLOOKUP(1,  (MAX(IF(I75 = 'Processed Non-zero DMR Data'!$K:$K,'Processed Non-zero DMR Data'!$A:$A)) = 'Processed Non-zero DMR Data'!$A:$A)*('Processed Non-zero DMR Data'!$K:$K = I75),'Processed Non-zero DMR Data'!$T:$T), "N/A- Facility Does Not Report DMRs")</f>
        <v>2.5934479349999999</v>
      </c>
      <c r="R75" s="33">
        <f t="shared" si="25"/>
        <v>7.1053368082191776E-3</v>
      </c>
      <c r="S75" s="33" cm="1">
        <f t="array" ref="S75">IF(COUNTIF('Processed Non-zero DMR Data'!$K:$K,$I75)&gt;0,MEDIAN(IF('Processed Non-zero DMR Data'!$K:$K=I75,'Processed Non-zero DMR Data'!$T:$T)),"N/A - Facility Does Not Report DMRs")</f>
        <v>1.0518088430499999</v>
      </c>
      <c r="T75" s="33">
        <f t="shared" si="26"/>
        <v>2.8816680631506848E-3</v>
      </c>
      <c r="U75" s="33">
        <f>IF(COUNTIF('Processed Non-zero DMR Data'!$K:$K,$I75)&gt;0,_xlfn.MAXIFS('Processed Non-zero DMR Data'!$T:$T,'Processed Non-zero DMR Data'!$K:$K,$I75), "N/A - Facility Does Not Report DMRs")</f>
        <v>2.5934479349999999</v>
      </c>
      <c r="V75" s="33">
        <f t="shared" si="27"/>
        <v>7.1053368082191776E-3</v>
      </c>
      <c r="W75" s="110" cm="1">
        <f t="array" ref="W75">IF(COUNTIF('Processed Non-zero DMR Data'!$K:$K,$I75)&gt;0,INDEX('Processed Non-zero DMR Data'!$A:$A,MATCH(1,($I75='Processed Non-zero DMR Data'!$K:$K)*($U75='Processed Non-zero DMR Data'!$T:$T),0)), "N/A - Facility Does Not Report DMRs")</f>
        <v>2023</v>
      </c>
      <c r="X75" s="109" cm="1">
        <f t="array" ref="X75">IFERROR(_xlfn.XLOOKUP(1,  (MAX(IF(H75 = 'Processed Non-zero TRI Data'!$I:$I,'Processed Non-zero TRI Data'!$A:$A)) = 'Processed Non-zero TRI Data'!$A:$A)*('Processed Non-zero TRI Data'!$I:$I = H75), 'Processed Non-zero TRI Data'!$S:$S), "N/A- Facility Does Not Report to TRI")</f>
        <v>0</v>
      </c>
      <c r="Y75" s="33">
        <f t="shared" si="16"/>
        <v>0</v>
      </c>
      <c r="Z75" s="33" t="str" cm="1">
        <f t="array" ref="Z75">IF(COUNTIF('Processed Non-zero TRI Data'!$I:$I,$H75)&gt;0,MEDIAN(IF('Processed Non-zero TRI Data'!$I:$I=H75,'Processed Non-zero TRI Data'!$S:$S)), "N/A - Facility Does Not Report to TRI")</f>
        <v>N/A - Facility Does Not Report to TRI</v>
      </c>
      <c r="AA75" s="33" t="str">
        <f t="shared" si="17"/>
        <v>N/A - Facility Does Not Report to TRI</v>
      </c>
      <c r="AB75" s="33" t="str">
        <f>IF(COUNTIF('Processed Non-zero TRI Data'!$I:$I,$H75)&gt;0,_xlfn.MAXIFS('Processed Non-zero TRI Data'!$S:$S,'Processed Non-zero TRI Data'!$I:$I,$H75), "N/A - Facility Does Not Report to TRI")</f>
        <v>N/A - Facility Does Not Report to TRI</v>
      </c>
      <c r="AC75" s="33" t="str">
        <f t="shared" si="18"/>
        <v>N/A - Facility Does Not Report to TRI</v>
      </c>
      <c r="AD75" s="110" t="str" cm="1">
        <f t="array" ref="AD75">IFERROR(IF(B75 = "TRI Form R", IF(AB75 = 0, "Facility has no on-site water discharges between 2019-2023.",  IF(COUNTIF('Processed Non-zero TRI Data'!$I:$I,$H75)&gt;0,INDEX('Processed Non-zero TRI Data'!$A:$A,MATCH(1,($H75='Processed Non-zero TRI Data'!$I:$I)*(AB75='Processed Non-zero TRI Data'!$S:$S),0)))), VLOOKUP(H75, 'Form A Recent Reporting'!$L:$M, 2, FALSE)), ("N/A - Facility Does Not Report to TRI"))</f>
        <v>N/A - Facility Does Not Report to TRI</v>
      </c>
      <c r="AE75" s="109" cm="1">
        <f t="array" ref="AE75">IFERROR(_xlfn.XLOOKUP(1,  (MAX(IF(H75 = 'Processed Non-zero TRI Data'!$I:$I,'Processed Non-zero TRI Data'!$A:$A)) = 'Processed Non-zero TRI Data'!$A:$A)*('Processed Non-zero TRI Data'!$I:$I = H75), 'Processed Non-zero TRI Data'!$U:$U), "N/A- Facility Does Not Report to TRI")</f>
        <v>0</v>
      </c>
      <c r="AF75" s="33">
        <f t="shared" si="19"/>
        <v>0</v>
      </c>
      <c r="AG75" s="33" t="str" cm="1">
        <f t="array" ref="AG75">IF(COUNTIF('Processed Non-zero TRI Data'!$I:$I,$H75)&gt;0,MEDIAN(IF('Processed Non-zero TRI Data'!$I:$I=H75,'Processed Non-zero TRI Data'!$U:$U)), "N/A - Facility Does Not Report to TRI")</f>
        <v>N/A - Facility Does Not Report to TRI</v>
      </c>
      <c r="AH75" s="33" t="str">
        <f t="shared" si="20"/>
        <v>N/A - Facility Does Not Report to TRI</v>
      </c>
      <c r="AI75" s="33" t="str">
        <f>IF(COUNTIF('Processed Non-zero TRI Data'!$I:$I,$H75)&gt;0,_xlfn.MAXIFS('Processed Non-zero TRI Data'!$U:$U,'Processed Non-zero TRI Data'!$I:$I,$H75), "N/A - Facility Does Not Report to TRI")</f>
        <v>N/A - Facility Does Not Report to TRI</v>
      </c>
      <c r="AJ75" s="33" t="str">
        <f t="shared" si="21"/>
        <v>N/A - Facility Does Not Report to TRI</v>
      </c>
      <c r="AK75" s="110" t="str" cm="1">
        <f t="array" ref="AK75">IF(B75="TRI Form A",AD75,IF(AI75=0,"Facility has no transfers to POTWs between 2019-2023.",IF(COUNTIF('Processed Non-zero TRI Data'!$I:$I,$H75)&gt;0,INDEX('Processed Non-zero TRI Data'!$A:$A,MATCH(1,($H75='Processed Non-zero TRI Data'!$I:$I)*(AI75='Processed Non-zero TRI Data'!$U:$U),0)),"N/A - Facility Does Not Report to TRI")))</f>
        <v>N/A - Facility Does Not Report to TRI</v>
      </c>
      <c r="AL75" s="109" cm="1">
        <f t="array" ref="AL75">IFERROR(_xlfn.XLOOKUP(1,  (MAX(IF(H75 = 'Processed Non-zero TRI Data'!$I$2:$I$23,'Processed Non-zero TRI Data'!$A$2:$A$23)) = 'Processed Non-zero TRI Data'!$A$2:$A$23)*('Processed Non-zero TRI Data'!$I$2:$I$23 = H75), 'Processed Non-zero TRI Data'!$W$2:$W$23), "N/A- Facility Does Not Report to TRI")</f>
        <v>0</v>
      </c>
      <c r="AM75" s="33">
        <f t="shared" si="22"/>
        <v>0</v>
      </c>
      <c r="AN75" s="33" t="str" cm="1">
        <f t="array" ref="AN75">IF(COUNTIF('Processed Non-zero TRI Data'!$I:$I,$H75)&gt;0,MEDIAN(IF('Processed Non-zero TRI Data'!$I:$I=H75,'Processed Non-zero TRI Data'!$W:$W)), "N/A - Facility Does Not Report to TRI")</f>
        <v>N/A - Facility Does Not Report to TRI</v>
      </c>
      <c r="AO75" s="33" t="str">
        <f t="shared" si="23"/>
        <v>N/A - Facility Does Not Report to TRI</v>
      </c>
      <c r="AP75" s="33" t="str">
        <f>IF(COUNTIF('Processed Non-zero TRI Data'!$I:$I,$H75)&gt;0,_xlfn.MAXIFS('Processed Non-zero TRI Data'!$W:$W,'Processed Non-zero TRI Data'!$I:$I,$H75), "N/A - Facility Does Not Report to TRI")</f>
        <v>N/A - Facility Does Not Report to TRI</v>
      </c>
      <c r="AQ75" s="33" t="str">
        <f t="shared" si="24"/>
        <v>N/A - Facility Does Not Report to TRI</v>
      </c>
      <c r="AR75" s="110" t="str" cm="1">
        <f t="array" ref="AR75">IF(B75="TRI Form A",AD75,IF(AP75=0,"Facility has no transfers to non-POTWs between 2019-2023.",IF(COUNTIF('Processed Non-zero TRI Data'!$I:$I,$H75)&gt;0,INDEX('Processed Non-zero TRI Data'!$A:$A,MATCH(1,($H75='Processed Non-zero TRI Data'!$I:$I)*(AP75='Processed Non-zero TRI Data'!$W:$W),0)),"N/A - Facility Does Not Report to TRI")))</f>
        <v>N/A - Facility Does Not Report to TRI</v>
      </c>
    </row>
    <row r="76" spans="1:44" ht="29" x14ac:dyDescent="0.35">
      <c r="A76" s="34">
        <v>73</v>
      </c>
      <c r="B76" s="33" t="str">
        <f>IFERROR("TRI Form "&amp;VLOOKUP(H76,'Processed Non-zero TRI Data'!$I$2:$K$23,3,FALSE),"DMR")</f>
        <v>DMR</v>
      </c>
      <c r="C76" s="33" t="str">
        <f>VLOOKUP($D76, 'COU.OES Summary'!C:D, 2, FALSE)</f>
        <v> </v>
      </c>
      <c r="D76" s="33" t="str">
        <f>IFERROR(VLOOKUP($H76, 'Processed Non-zero TRI Data'!$I:$O, 7, FALSE), VLOOKUP($I76, 'Processed Non-zero DMR Data'!$K:$R, 8, FALSE))</f>
        <v>Waste handling, treatment, and disposal - Remediation or Monitoring</v>
      </c>
      <c r="E76" s="34" t="s">
        <v>241</v>
      </c>
      <c r="F76" s="34" t="s">
        <v>90</v>
      </c>
      <c r="G76" s="34" t="s">
        <v>91</v>
      </c>
      <c r="H76" s="34"/>
      <c r="I76" s="105">
        <v>110064611969</v>
      </c>
      <c r="J76" s="33" t="str">
        <f>IFERROR(VLOOKUP($I76, 'Processed Non-zero DMR Data'!$K:$U, 11, FALSE),"")</f>
        <v>LA0125041</v>
      </c>
      <c r="K76" s="33" t="str">
        <f>IFERROR(VLOOKUP($I76, 'Processed Non-zero DMR Data'!$K:$V, 12, FALSE),"Not Reported")</f>
        <v>Bayou Verdine-Calcasieu River</v>
      </c>
      <c r="L76" s="106">
        <f>IFERROR(VLOOKUP($I76, 'Processed Non-zero DMR Data'!$K:$W, 13, FALSE),"No Reach Code Reported")</f>
        <v>80802060302</v>
      </c>
      <c r="M76" s="107" t="str">
        <f>IFERROR(IFERROR(VLOOKUP(H76, 'Off-site Locations'!$K$3:$O$5, 5, FALSE), VLOOKUP(H76, 'Off-site Locations'!$B$3:$E$4, 4, FALSE)), "No Offsite Transfers")</f>
        <v>No Offsite Transfers</v>
      </c>
      <c r="N76" s="33">
        <f>VLOOKUP($D76, 'COU.OES Summary'!C:E, 3, FALSE)</f>
        <v>365</v>
      </c>
      <c r="O76" s="108">
        <f t="shared" si="14"/>
        <v>0</v>
      </c>
      <c r="P76" s="108">
        <f t="shared" si="15"/>
        <v>2.5903593749999998</v>
      </c>
      <c r="Q76" s="109" cm="1">
        <f t="array" ref="Q76">IFERROR(_xlfn.XLOOKUP(1,  (MAX(IF(I76 = 'Processed Non-zero DMR Data'!$K:$K,'Processed Non-zero DMR Data'!$A:$A)) = 'Processed Non-zero DMR Data'!$A:$A)*('Processed Non-zero DMR Data'!$K:$K = I76),'Processed Non-zero DMR Data'!$T:$T), "N/A- Facility Does Not Report DMRs")</f>
        <v>2.5903593749999998</v>
      </c>
      <c r="R76" s="33">
        <f t="shared" si="25"/>
        <v>7.096874999999999E-3</v>
      </c>
      <c r="S76" s="33" cm="1">
        <f t="array" ref="S76">IF(COUNTIF('Processed Non-zero DMR Data'!$K:$K,$I76)&gt;0,MEDIAN(IF('Processed Non-zero DMR Data'!$K:$K=I76,'Processed Non-zero DMR Data'!$T:$T)),"N/A - Facility Does Not Report DMRs")</f>
        <v>2.5903593749999998</v>
      </c>
      <c r="T76" s="33">
        <f t="shared" si="26"/>
        <v>7.096874999999999E-3</v>
      </c>
      <c r="U76" s="33">
        <f>IF(COUNTIF('Processed Non-zero DMR Data'!$K:$K,$I76)&gt;0,_xlfn.MAXIFS('Processed Non-zero DMR Data'!$T:$T,'Processed Non-zero DMR Data'!$K:$K,$I76), "N/A - Facility Does Not Report DMRs")</f>
        <v>2.5903593749999998</v>
      </c>
      <c r="V76" s="33">
        <f t="shared" si="27"/>
        <v>7.096874999999999E-3</v>
      </c>
      <c r="W76" s="110" cm="1">
        <f t="array" ref="W76">IF(COUNTIF('Processed Non-zero DMR Data'!$K:$K,$I76)&gt;0,INDEX('Processed Non-zero DMR Data'!$A:$A,MATCH(1,($I76='Processed Non-zero DMR Data'!$K:$K)*($U76='Processed Non-zero DMR Data'!$T:$T),0)), "N/A - Facility Does Not Report DMRs")</f>
        <v>2019</v>
      </c>
      <c r="X76" s="109" cm="1">
        <f t="array" ref="X76">IFERROR(_xlfn.XLOOKUP(1,  (MAX(IF(H76 = 'Processed Non-zero TRI Data'!$I:$I,'Processed Non-zero TRI Data'!$A:$A)) = 'Processed Non-zero TRI Data'!$A:$A)*('Processed Non-zero TRI Data'!$I:$I = H76), 'Processed Non-zero TRI Data'!$S:$S), "N/A- Facility Does Not Report to TRI")</f>
        <v>0</v>
      </c>
      <c r="Y76" s="33">
        <f t="shared" si="16"/>
        <v>0</v>
      </c>
      <c r="Z76" s="33" t="str" cm="1">
        <f t="array" ref="Z76">IF(COUNTIF('Processed Non-zero TRI Data'!$I:$I,$H76)&gt;0,MEDIAN(IF('Processed Non-zero TRI Data'!$I:$I=H76,'Processed Non-zero TRI Data'!$S:$S)), "N/A - Facility Does Not Report to TRI")</f>
        <v>N/A - Facility Does Not Report to TRI</v>
      </c>
      <c r="AA76" s="33" t="str">
        <f t="shared" si="17"/>
        <v>N/A - Facility Does Not Report to TRI</v>
      </c>
      <c r="AB76" s="33" t="str">
        <f>IF(COUNTIF('Processed Non-zero TRI Data'!$I:$I,$H76)&gt;0,_xlfn.MAXIFS('Processed Non-zero TRI Data'!$S:$S,'Processed Non-zero TRI Data'!$I:$I,$H76), "N/A - Facility Does Not Report to TRI")</f>
        <v>N/A - Facility Does Not Report to TRI</v>
      </c>
      <c r="AC76" s="33" t="str">
        <f t="shared" si="18"/>
        <v>N/A - Facility Does Not Report to TRI</v>
      </c>
      <c r="AD76" s="110" t="str" cm="1">
        <f t="array" ref="AD76">IFERROR(IF(B76 = "TRI Form R", IF(AB76 = 0, "Facility has no on-site water discharges between 2019-2023.",  IF(COUNTIF('Processed Non-zero TRI Data'!$I:$I,$H76)&gt;0,INDEX('Processed Non-zero TRI Data'!$A:$A,MATCH(1,($H76='Processed Non-zero TRI Data'!$I:$I)*(AB76='Processed Non-zero TRI Data'!$S:$S),0)))), VLOOKUP(H76, 'Form A Recent Reporting'!$L:$M, 2, FALSE)), ("N/A - Facility Does Not Report to TRI"))</f>
        <v>N/A - Facility Does Not Report to TRI</v>
      </c>
      <c r="AE76" s="109" cm="1">
        <f t="array" ref="AE76">IFERROR(_xlfn.XLOOKUP(1,  (MAX(IF(H76 = 'Processed Non-zero TRI Data'!$I:$I,'Processed Non-zero TRI Data'!$A:$A)) = 'Processed Non-zero TRI Data'!$A:$A)*('Processed Non-zero TRI Data'!$I:$I = H76), 'Processed Non-zero TRI Data'!$U:$U), "N/A- Facility Does Not Report to TRI")</f>
        <v>0</v>
      </c>
      <c r="AF76" s="33">
        <f t="shared" si="19"/>
        <v>0</v>
      </c>
      <c r="AG76" s="33" t="str" cm="1">
        <f t="array" ref="AG76">IF(COUNTIF('Processed Non-zero TRI Data'!$I:$I,$H76)&gt;0,MEDIAN(IF('Processed Non-zero TRI Data'!$I:$I=H76,'Processed Non-zero TRI Data'!$U:$U)), "N/A - Facility Does Not Report to TRI")</f>
        <v>N/A - Facility Does Not Report to TRI</v>
      </c>
      <c r="AH76" s="33" t="str">
        <f t="shared" si="20"/>
        <v>N/A - Facility Does Not Report to TRI</v>
      </c>
      <c r="AI76" s="33" t="str">
        <f>IF(COUNTIF('Processed Non-zero TRI Data'!$I:$I,$H76)&gt;0,_xlfn.MAXIFS('Processed Non-zero TRI Data'!$U:$U,'Processed Non-zero TRI Data'!$I:$I,$H76), "N/A - Facility Does Not Report to TRI")</f>
        <v>N/A - Facility Does Not Report to TRI</v>
      </c>
      <c r="AJ76" s="33" t="str">
        <f t="shared" si="21"/>
        <v>N/A - Facility Does Not Report to TRI</v>
      </c>
      <c r="AK76" s="110" t="str" cm="1">
        <f t="array" ref="AK76">IF(B76="TRI Form A",AD76,IF(AI76=0,"Facility has no transfers to POTWs between 2019-2023.",IF(COUNTIF('Processed Non-zero TRI Data'!$I:$I,$H76)&gt;0,INDEX('Processed Non-zero TRI Data'!$A:$A,MATCH(1,($H76='Processed Non-zero TRI Data'!$I:$I)*(AI76='Processed Non-zero TRI Data'!$U:$U),0)),"N/A - Facility Does Not Report to TRI")))</f>
        <v>N/A - Facility Does Not Report to TRI</v>
      </c>
      <c r="AL76" s="109" cm="1">
        <f t="array" ref="AL76">IFERROR(_xlfn.XLOOKUP(1,  (MAX(IF(H76 = 'Processed Non-zero TRI Data'!$I$2:$I$23,'Processed Non-zero TRI Data'!$A$2:$A$23)) = 'Processed Non-zero TRI Data'!$A$2:$A$23)*('Processed Non-zero TRI Data'!$I$2:$I$23 = H76), 'Processed Non-zero TRI Data'!$W$2:$W$23), "N/A- Facility Does Not Report to TRI")</f>
        <v>0</v>
      </c>
      <c r="AM76" s="33">
        <f t="shared" si="22"/>
        <v>0</v>
      </c>
      <c r="AN76" s="33" t="str" cm="1">
        <f t="array" ref="AN76">IF(COUNTIF('Processed Non-zero TRI Data'!$I:$I,$H76)&gt;0,MEDIAN(IF('Processed Non-zero TRI Data'!$I:$I=H76,'Processed Non-zero TRI Data'!$W:$W)), "N/A - Facility Does Not Report to TRI")</f>
        <v>N/A - Facility Does Not Report to TRI</v>
      </c>
      <c r="AO76" s="33" t="str">
        <f t="shared" si="23"/>
        <v>N/A - Facility Does Not Report to TRI</v>
      </c>
      <c r="AP76" s="33" t="str">
        <f>IF(COUNTIF('Processed Non-zero TRI Data'!$I:$I,$H76)&gt;0,_xlfn.MAXIFS('Processed Non-zero TRI Data'!$W:$W,'Processed Non-zero TRI Data'!$I:$I,$H76), "N/A - Facility Does Not Report to TRI")</f>
        <v>N/A - Facility Does Not Report to TRI</v>
      </c>
      <c r="AQ76" s="33" t="str">
        <f t="shared" si="24"/>
        <v>N/A - Facility Does Not Report to TRI</v>
      </c>
      <c r="AR76" s="110" t="str" cm="1">
        <f t="array" ref="AR76">IF(B76="TRI Form A",AD76,IF(AP76=0,"Facility has no transfers to non-POTWs between 2019-2023.",IF(COUNTIF('Processed Non-zero TRI Data'!$I:$I,$H76)&gt;0,INDEX('Processed Non-zero TRI Data'!$A:$A,MATCH(1,($H76='Processed Non-zero TRI Data'!$I:$I)*(AP76='Processed Non-zero TRI Data'!$W:$W),0)),"N/A - Facility Does Not Report to TRI")))</f>
        <v>N/A - Facility Does Not Report to TRI</v>
      </c>
    </row>
    <row r="77" spans="1:44" ht="29" x14ac:dyDescent="0.35">
      <c r="A77" s="34">
        <v>74</v>
      </c>
      <c r="B77" s="33" t="str">
        <f>IFERROR("TRI Form "&amp;VLOOKUP(H77,'Processed Non-zero TRI Data'!$I$2:$K$23,3,FALSE),"DMR")</f>
        <v>DMR</v>
      </c>
      <c r="C77" s="33" t="str">
        <f>VLOOKUP($D77, 'COU.OES Summary'!C:D, 2, FALSE)</f>
        <v> </v>
      </c>
      <c r="D77" s="33" t="str">
        <f>IFERROR(VLOOKUP($H77, 'Processed Non-zero TRI Data'!$I:$O, 7, FALSE), VLOOKUP($I77, 'Processed Non-zero DMR Data'!$K:$R, 8, FALSE))</f>
        <v>Waste handling, treatment, and disposal - POTW</v>
      </c>
      <c r="E77" s="34" t="s">
        <v>242</v>
      </c>
      <c r="F77" s="34" t="s">
        <v>243</v>
      </c>
      <c r="G77" s="34" t="s">
        <v>102</v>
      </c>
      <c r="H77" s="34"/>
      <c r="I77" s="105">
        <v>110000525842</v>
      </c>
      <c r="J77" s="33" t="str">
        <f>IFERROR(VLOOKUP($I77, 'Processed Non-zero DMR Data'!$K:$U, 11, FALSE),"")</f>
        <v>CA0105295</v>
      </c>
      <c r="K77" s="33" t="str">
        <f>IFERROR(VLOOKUP($I77, 'Processed Non-zero DMR Data'!$K:$V, 12, FALSE),"Not Reported")</f>
        <v>East Etiwanda Creek-Santa Ana River</v>
      </c>
      <c r="L77" s="106">
        <f>IFERROR(VLOOKUP($I77, 'Processed Non-zero DMR Data'!$K:$W, 13, FALSE),"No Reach Code Reported")</f>
        <v>180702030804</v>
      </c>
      <c r="M77" s="107" t="str">
        <f>IFERROR(IFERROR(VLOOKUP(H77, 'Off-site Locations'!$K$3:$O$5, 5, FALSE), VLOOKUP(H77, 'Off-site Locations'!$B$3:$E$4, 4, FALSE)), "No Offsite Transfers")</f>
        <v>No Offsite Transfers</v>
      </c>
      <c r="N77" s="33">
        <f>VLOOKUP($D77, 'COU.OES Summary'!C:E, 3, FALSE)</f>
        <v>365</v>
      </c>
      <c r="O77" s="108">
        <f t="shared" si="14"/>
        <v>0</v>
      </c>
      <c r="P77" s="108">
        <f t="shared" si="15"/>
        <v>2.4338193449999999</v>
      </c>
      <c r="Q77" s="109" cm="1">
        <f t="array" ref="Q77">IFERROR(_xlfn.XLOOKUP(1,  (MAX(IF(I77 = 'Processed Non-zero DMR Data'!$K:$K,'Processed Non-zero DMR Data'!$A:$A)) = 'Processed Non-zero DMR Data'!$A:$A)*('Processed Non-zero DMR Data'!$K:$K = I77),'Processed Non-zero DMR Data'!$T:$T), "N/A- Facility Does Not Report DMRs")</f>
        <v>2.4338193449999999</v>
      </c>
      <c r="R77" s="33">
        <f t="shared" si="25"/>
        <v>6.6679982054794517E-3</v>
      </c>
      <c r="S77" s="33" cm="1">
        <f t="array" ref="S77">IF(COUNTIF('Processed Non-zero DMR Data'!$K:$K,$I77)&gt;0,MEDIAN(IF('Processed Non-zero DMR Data'!$K:$K=I77,'Processed Non-zero DMR Data'!$T:$T)),"N/A - Facility Does Not Report DMRs")</f>
        <v>2.3969326275</v>
      </c>
      <c r="T77" s="33">
        <f t="shared" si="26"/>
        <v>6.5669387054794522E-3</v>
      </c>
      <c r="U77" s="33">
        <f>IF(COUNTIF('Processed Non-zero DMR Data'!$K:$K,$I77)&gt;0,_xlfn.MAXIFS('Processed Non-zero DMR Data'!$T:$T,'Processed Non-zero DMR Data'!$K:$K,$I77), "N/A - Facility Does Not Report DMRs")</f>
        <v>2.4338193449999999</v>
      </c>
      <c r="V77" s="33">
        <f t="shared" si="27"/>
        <v>6.6679982054794517E-3</v>
      </c>
      <c r="W77" s="110" cm="1">
        <f t="array" ref="W77">IF(COUNTIF('Processed Non-zero DMR Data'!$K:$K,$I77)&gt;0,INDEX('Processed Non-zero DMR Data'!$A:$A,MATCH(1,($I77='Processed Non-zero DMR Data'!$K:$K)*($U77='Processed Non-zero DMR Data'!$T:$T),0)), "N/A - Facility Does Not Report DMRs")</f>
        <v>2023</v>
      </c>
      <c r="X77" s="109" cm="1">
        <f t="array" ref="X77">IFERROR(_xlfn.XLOOKUP(1,  (MAX(IF(H77 = 'Processed Non-zero TRI Data'!$I:$I,'Processed Non-zero TRI Data'!$A:$A)) = 'Processed Non-zero TRI Data'!$A:$A)*('Processed Non-zero TRI Data'!$I:$I = H77), 'Processed Non-zero TRI Data'!$S:$S), "N/A- Facility Does Not Report to TRI")</f>
        <v>0</v>
      </c>
      <c r="Y77" s="33">
        <f t="shared" si="16"/>
        <v>0</v>
      </c>
      <c r="Z77" s="33" t="str" cm="1">
        <f t="array" ref="Z77">IF(COUNTIF('Processed Non-zero TRI Data'!$I:$I,$H77)&gt;0,MEDIAN(IF('Processed Non-zero TRI Data'!$I:$I=H77,'Processed Non-zero TRI Data'!$S:$S)), "N/A - Facility Does Not Report to TRI")</f>
        <v>N/A - Facility Does Not Report to TRI</v>
      </c>
      <c r="AA77" s="33" t="str">
        <f t="shared" si="17"/>
        <v>N/A - Facility Does Not Report to TRI</v>
      </c>
      <c r="AB77" s="33" t="str">
        <f>IF(COUNTIF('Processed Non-zero TRI Data'!$I:$I,$H77)&gt;0,_xlfn.MAXIFS('Processed Non-zero TRI Data'!$S:$S,'Processed Non-zero TRI Data'!$I:$I,$H77), "N/A - Facility Does Not Report to TRI")</f>
        <v>N/A - Facility Does Not Report to TRI</v>
      </c>
      <c r="AC77" s="33" t="str">
        <f t="shared" si="18"/>
        <v>N/A - Facility Does Not Report to TRI</v>
      </c>
      <c r="AD77" s="110" t="str" cm="1">
        <f t="array" ref="AD77">IFERROR(IF(B77 = "TRI Form R", IF(AB77 = 0, "Facility has no on-site water discharges between 2019-2023.",  IF(COUNTIF('Processed Non-zero TRI Data'!$I:$I,$H77)&gt;0,INDEX('Processed Non-zero TRI Data'!$A:$A,MATCH(1,($H77='Processed Non-zero TRI Data'!$I:$I)*(AB77='Processed Non-zero TRI Data'!$S:$S),0)))), VLOOKUP(H77, 'Form A Recent Reporting'!$L:$M, 2, FALSE)), ("N/A - Facility Does Not Report to TRI"))</f>
        <v>N/A - Facility Does Not Report to TRI</v>
      </c>
      <c r="AE77" s="109" cm="1">
        <f t="array" ref="AE77">IFERROR(_xlfn.XLOOKUP(1,  (MAX(IF(H77 = 'Processed Non-zero TRI Data'!$I:$I,'Processed Non-zero TRI Data'!$A:$A)) = 'Processed Non-zero TRI Data'!$A:$A)*('Processed Non-zero TRI Data'!$I:$I = H77), 'Processed Non-zero TRI Data'!$U:$U), "N/A- Facility Does Not Report to TRI")</f>
        <v>0</v>
      </c>
      <c r="AF77" s="33">
        <f t="shared" si="19"/>
        <v>0</v>
      </c>
      <c r="AG77" s="33" t="str" cm="1">
        <f t="array" ref="AG77">IF(COUNTIF('Processed Non-zero TRI Data'!$I:$I,$H77)&gt;0,MEDIAN(IF('Processed Non-zero TRI Data'!$I:$I=H77,'Processed Non-zero TRI Data'!$U:$U)), "N/A - Facility Does Not Report to TRI")</f>
        <v>N/A - Facility Does Not Report to TRI</v>
      </c>
      <c r="AH77" s="33" t="str">
        <f t="shared" si="20"/>
        <v>N/A - Facility Does Not Report to TRI</v>
      </c>
      <c r="AI77" s="33" t="str">
        <f>IF(COUNTIF('Processed Non-zero TRI Data'!$I:$I,$H77)&gt;0,_xlfn.MAXIFS('Processed Non-zero TRI Data'!$U:$U,'Processed Non-zero TRI Data'!$I:$I,$H77), "N/A - Facility Does Not Report to TRI")</f>
        <v>N/A - Facility Does Not Report to TRI</v>
      </c>
      <c r="AJ77" s="33" t="str">
        <f t="shared" si="21"/>
        <v>N/A - Facility Does Not Report to TRI</v>
      </c>
      <c r="AK77" s="110" t="str" cm="1">
        <f t="array" ref="AK77">IF(B77="TRI Form A",AD77,IF(AI77=0,"Facility has no transfers to POTWs between 2019-2023.",IF(COUNTIF('Processed Non-zero TRI Data'!$I:$I,$H77)&gt;0,INDEX('Processed Non-zero TRI Data'!$A:$A,MATCH(1,($H77='Processed Non-zero TRI Data'!$I:$I)*(AI77='Processed Non-zero TRI Data'!$U:$U),0)),"N/A - Facility Does Not Report to TRI")))</f>
        <v>N/A - Facility Does Not Report to TRI</v>
      </c>
      <c r="AL77" s="109" cm="1">
        <f t="array" ref="AL77">IFERROR(_xlfn.XLOOKUP(1,  (MAX(IF(H77 = 'Processed Non-zero TRI Data'!$I$2:$I$23,'Processed Non-zero TRI Data'!$A$2:$A$23)) = 'Processed Non-zero TRI Data'!$A$2:$A$23)*('Processed Non-zero TRI Data'!$I$2:$I$23 = H77), 'Processed Non-zero TRI Data'!$W$2:$W$23), "N/A- Facility Does Not Report to TRI")</f>
        <v>0</v>
      </c>
      <c r="AM77" s="33">
        <f t="shared" si="22"/>
        <v>0</v>
      </c>
      <c r="AN77" s="33" t="str" cm="1">
        <f t="array" ref="AN77">IF(COUNTIF('Processed Non-zero TRI Data'!$I:$I,$H77)&gt;0,MEDIAN(IF('Processed Non-zero TRI Data'!$I:$I=H77,'Processed Non-zero TRI Data'!$W:$W)), "N/A - Facility Does Not Report to TRI")</f>
        <v>N/A - Facility Does Not Report to TRI</v>
      </c>
      <c r="AO77" s="33" t="str">
        <f t="shared" si="23"/>
        <v>N/A - Facility Does Not Report to TRI</v>
      </c>
      <c r="AP77" s="33" t="str">
        <f>IF(COUNTIF('Processed Non-zero TRI Data'!$I:$I,$H77)&gt;0,_xlfn.MAXIFS('Processed Non-zero TRI Data'!$W:$W,'Processed Non-zero TRI Data'!$I:$I,$H77), "N/A - Facility Does Not Report to TRI")</f>
        <v>N/A - Facility Does Not Report to TRI</v>
      </c>
      <c r="AQ77" s="33" t="str">
        <f t="shared" si="24"/>
        <v>N/A - Facility Does Not Report to TRI</v>
      </c>
      <c r="AR77" s="110" t="str" cm="1">
        <f t="array" ref="AR77">IF(B77="TRI Form A",AD77,IF(AP77=0,"Facility has no transfers to non-POTWs between 2019-2023.",IF(COUNTIF('Processed Non-zero TRI Data'!$I:$I,$H77)&gt;0,INDEX('Processed Non-zero TRI Data'!$A:$A,MATCH(1,($H77='Processed Non-zero TRI Data'!$I:$I)*(AP77='Processed Non-zero TRI Data'!$W:$W),0)),"N/A - Facility Does Not Report to TRI")))</f>
        <v>N/A - Facility Does Not Report to TRI</v>
      </c>
    </row>
    <row r="78" spans="1:44" ht="29" x14ac:dyDescent="0.35">
      <c r="A78" s="34">
        <v>75</v>
      </c>
      <c r="B78" s="33" t="str">
        <f>IFERROR("TRI Form "&amp;VLOOKUP(H78,'Processed Non-zero TRI Data'!$I$2:$K$23,3,FALSE),"DMR")</f>
        <v>DMR</v>
      </c>
      <c r="C78" s="33" t="str">
        <f>VLOOKUP($D78, 'COU.OES Summary'!C:D, 2, FALSE)</f>
        <v> </v>
      </c>
      <c r="D78" s="33" t="str">
        <f>IFERROR(VLOOKUP($H78, 'Processed Non-zero TRI Data'!$I:$O, 7, FALSE), VLOOKUP($I78, 'Processed Non-zero DMR Data'!$K:$R, 8, FALSE))</f>
        <v>Waste handling, treatment, and disposal - Remediation or Monitoring</v>
      </c>
      <c r="E78" s="34" t="s">
        <v>244</v>
      </c>
      <c r="F78" s="34" t="s">
        <v>245</v>
      </c>
      <c r="G78" s="34" t="s">
        <v>111</v>
      </c>
      <c r="H78" s="34"/>
      <c r="I78" s="105">
        <v>110044852068</v>
      </c>
      <c r="J78" s="33" t="str">
        <f>IFERROR(VLOOKUP($I78, 'Processed Non-zero DMR Data'!$K:$U, 11, FALSE),"")</f>
        <v>IL0076996</v>
      </c>
      <c r="K78" s="33" t="str">
        <f>IFERROR(VLOOKUP($I78, 'Processed Non-zero DMR Data'!$K:$V, 12, FALSE),"Not Reported")</f>
        <v>South Fork Mud Creek</v>
      </c>
      <c r="L78" s="106">
        <f>IFERROR(VLOOKUP($I78, 'Processed Non-zero DMR Data'!$K:$W, 13, FALSE),"No Reach Code Reported")</f>
        <v>71402040302</v>
      </c>
      <c r="M78" s="107" t="str">
        <f>IFERROR(IFERROR(VLOOKUP(H78, 'Off-site Locations'!$K$3:$O$5, 5, FALSE), VLOOKUP(H78, 'Off-site Locations'!$B$3:$E$4, 4, FALSE)), "No Offsite Transfers")</f>
        <v>No Offsite Transfers</v>
      </c>
      <c r="N78" s="33">
        <f>VLOOKUP($D78, 'COU.OES Summary'!C:E, 3, FALSE)</f>
        <v>365</v>
      </c>
      <c r="O78" s="108">
        <f t="shared" si="14"/>
        <v>0</v>
      </c>
      <c r="P78" s="108">
        <f t="shared" si="15"/>
        <v>2.4298261700000001</v>
      </c>
      <c r="Q78" s="109" cm="1">
        <f t="array" ref="Q78">IFERROR(_xlfn.XLOOKUP(1,  (MAX(IF(I78 = 'Processed Non-zero DMR Data'!$K:$K,'Processed Non-zero DMR Data'!$A:$A)) = 'Processed Non-zero DMR Data'!$A:$A)*('Processed Non-zero DMR Data'!$K:$K = I78),'Processed Non-zero DMR Data'!$T:$T), "N/A- Facility Does Not Report DMRs")</f>
        <v>2.4298261700000001</v>
      </c>
      <c r="R78" s="33">
        <f t="shared" si="25"/>
        <v>6.6570580000000004E-3</v>
      </c>
      <c r="S78" s="33" cm="1">
        <f t="array" ref="S78">IF(COUNTIF('Processed Non-zero DMR Data'!$K:$K,$I78)&gt;0,MEDIAN(IF('Processed Non-zero DMR Data'!$K:$K=I78,'Processed Non-zero DMR Data'!$T:$T)),"N/A - Facility Does Not Report DMRs")</f>
        <v>2.03367387625</v>
      </c>
      <c r="T78" s="33">
        <f t="shared" si="26"/>
        <v>5.5717092500000001E-3</v>
      </c>
      <c r="U78" s="33">
        <f>IF(COUNTIF('Processed Non-zero DMR Data'!$K:$K,$I78)&gt;0,_xlfn.MAXIFS('Processed Non-zero DMR Data'!$T:$T,'Processed Non-zero DMR Data'!$K:$K,$I78), "N/A - Facility Does Not Report DMRs")</f>
        <v>2.4298261700000001</v>
      </c>
      <c r="V78" s="33">
        <f t="shared" si="27"/>
        <v>6.6570580000000004E-3</v>
      </c>
      <c r="W78" s="110" cm="1">
        <f t="array" ref="W78">IF(COUNTIF('Processed Non-zero DMR Data'!$K:$K,$I78)&gt;0,INDEX('Processed Non-zero DMR Data'!$A:$A,MATCH(1,($I78='Processed Non-zero DMR Data'!$K:$K)*($U78='Processed Non-zero DMR Data'!$T:$T),0)), "N/A - Facility Does Not Report DMRs")</f>
        <v>2023</v>
      </c>
      <c r="X78" s="109" cm="1">
        <f t="array" ref="X78">IFERROR(_xlfn.XLOOKUP(1,  (MAX(IF(H78 = 'Processed Non-zero TRI Data'!$I:$I,'Processed Non-zero TRI Data'!$A:$A)) = 'Processed Non-zero TRI Data'!$A:$A)*('Processed Non-zero TRI Data'!$I:$I = H78), 'Processed Non-zero TRI Data'!$S:$S), "N/A- Facility Does Not Report to TRI")</f>
        <v>0</v>
      </c>
      <c r="Y78" s="33">
        <f t="shared" si="16"/>
        <v>0</v>
      </c>
      <c r="Z78" s="33" t="str" cm="1">
        <f t="array" ref="Z78">IF(COUNTIF('Processed Non-zero TRI Data'!$I:$I,$H78)&gt;0,MEDIAN(IF('Processed Non-zero TRI Data'!$I:$I=H78,'Processed Non-zero TRI Data'!$S:$S)), "N/A - Facility Does Not Report to TRI")</f>
        <v>N/A - Facility Does Not Report to TRI</v>
      </c>
      <c r="AA78" s="33" t="str">
        <f t="shared" si="17"/>
        <v>N/A - Facility Does Not Report to TRI</v>
      </c>
      <c r="AB78" s="33" t="str">
        <f>IF(COUNTIF('Processed Non-zero TRI Data'!$I:$I,$H78)&gt;0,_xlfn.MAXIFS('Processed Non-zero TRI Data'!$S:$S,'Processed Non-zero TRI Data'!$I:$I,$H78), "N/A - Facility Does Not Report to TRI")</f>
        <v>N/A - Facility Does Not Report to TRI</v>
      </c>
      <c r="AC78" s="33" t="str">
        <f t="shared" si="18"/>
        <v>N/A - Facility Does Not Report to TRI</v>
      </c>
      <c r="AD78" s="110" t="str" cm="1">
        <f t="array" ref="AD78">IFERROR(IF(B78 = "TRI Form R", IF(AB78 = 0, "Facility has no on-site water discharges between 2019-2023.",  IF(COUNTIF('Processed Non-zero TRI Data'!$I:$I,$H78)&gt;0,INDEX('Processed Non-zero TRI Data'!$A:$A,MATCH(1,($H78='Processed Non-zero TRI Data'!$I:$I)*(AB78='Processed Non-zero TRI Data'!$S:$S),0)))), VLOOKUP(H78, 'Form A Recent Reporting'!$L:$M, 2, FALSE)), ("N/A - Facility Does Not Report to TRI"))</f>
        <v>N/A - Facility Does Not Report to TRI</v>
      </c>
      <c r="AE78" s="109" cm="1">
        <f t="array" ref="AE78">IFERROR(_xlfn.XLOOKUP(1,  (MAX(IF(H78 = 'Processed Non-zero TRI Data'!$I:$I,'Processed Non-zero TRI Data'!$A:$A)) = 'Processed Non-zero TRI Data'!$A:$A)*('Processed Non-zero TRI Data'!$I:$I = H78), 'Processed Non-zero TRI Data'!$U:$U), "N/A- Facility Does Not Report to TRI")</f>
        <v>0</v>
      </c>
      <c r="AF78" s="33">
        <f t="shared" si="19"/>
        <v>0</v>
      </c>
      <c r="AG78" s="33" t="str" cm="1">
        <f t="array" ref="AG78">IF(COUNTIF('Processed Non-zero TRI Data'!$I:$I,$H78)&gt;0,MEDIAN(IF('Processed Non-zero TRI Data'!$I:$I=H78,'Processed Non-zero TRI Data'!$U:$U)), "N/A - Facility Does Not Report to TRI")</f>
        <v>N/A - Facility Does Not Report to TRI</v>
      </c>
      <c r="AH78" s="33" t="str">
        <f t="shared" si="20"/>
        <v>N/A - Facility Does Not Report to TRI</v>
      </c>
      <c r="AI78" s="33" t="str">
        <f>IF(COUNTIF('Processed Non-zero TRI Data'!$I:$I,$H78)&gt;0,_xlfn.MAXIFS('Processed Non-zero TRI Data'!$U:$U,'Processed Non-zero TRI Data'!$I:$I,$H78), "N/A - Facility Does Not Report to TRI")</f>
        <v>N/A - Facility Does Not Report to TRI</v>
      </c>
      <c r="AJ78" s="33" t="str">
        <f t="shared" si="21"/>
        <v>N/A - Facility Does Not Report to TRI</v>
      </c>
      <c r="AK78" s="110" t="str" cm="1">
        <f t="array" ref="AK78">IF(B78="TRI Form A",AD78,IF(AI78=0,"Facility has no transfers to POTWs between 2019-2023.",IF(COUNTIF('Processed Non-zero TRI Data'!$I:$I,$H78)&gt;0,INDEX('Processed Non-zero TRI Data'!$A:$A,MATCH(1,($H78='Processed Non-zero TRI Data'!$I:$I)*(AI78='Processed Non-zero TRI Data'!$U:$U),0)),"N/A - Facility Does Not Report to TRI")))</f>
        <v>N/A - Facility Does Not Report to TRI</v>
      </c>
      <c r="AL78" s="109" cm="1">
        <f t="array" ref="AL78">IFERROR(_xlfn.XLOOKUP(1,  (MAX(IF(H78 = 'Processed Non-zero TRI Data'!$I$2:$I$23,'Processed Non-zero TRI Data'!$A$2:$A$23)) = 'Processed Non-zero TRI Data'!$A$2:$A$23)*('Processed Non-zero TRI Data'!$I$2:$I$23 = H78), 'Processed Non-zero TRI Data'!$W$2:$W$23), "N/A- Facility Does Not Report to TRI")</f>
        <v>0</v>
      </c>
      <c r="AM78" s="33">
        <f t="shared" si="22"/>
        <v>0</v>
      </c>
      <c r="AN78" s="33" t="str" cm="1">
        <f t="array" ref="AN78">IF(COUNTIF('Processed Non-zero TRI Data'!$I:$I,$H78)&gt;0,MEDIAN(IF('Processed Non-zero TRI Data'!$I:$I=H78,'Processed Non-zero TRI Data'!$W:$W)), "N/A - Facility Does Not Report to TRI")</f>
        <v>N/A - Facility Does Not Report to TRI</v>
      </c>
      <c r="AO78" s="33" t="str">
        <f t="shared" si="23"/>
        <v>N/A - Facility Does Not Report to TRI</v>
      </c>
      <c r="AP78" s="33" t="str">
        <f>IF(COUNTIF('Processed Non-zero TRI Data'!$I:$I,$H78)&gt;0,_xlfn.MAXIFS('Processed Non-zero TRI Data'!$W:$W,'Processed Non-zero TRI Data'!$I:$I,$H78), "N/A - Facility Does Not Report to TRI")</f>
        <v>N/A - Facility Does Not Report to TRI</v>
      </c>
      <c r="AQ78" s="33" t="str">
        <f t="shared" si="24"/>
        <v>N/A - Facility Does Not Report to TRI</v>
      </c>
      <c r="AR78" s="110" t="str" cm="1">
        <f t="array" ref="AR78">IF(B78="TRI Form A",AD78,IF(AP78=0,"Facility has no transfers to non-POTWs between 2019-2023.",IF(COUNTIF('Processed Non-zero TRI Data'!$I:$I,$H78)&gt;0,INDEX('Processed Non-zero TRI Data'!$A:$A,MATCH(1,($H78='Processed Non-zero TRI Data'!$I:$I)*(AP78='Processed Non-zero TRI Data'!$W:$W),0)),"N/A - Facility Does Not Report to TRI")))</f>
        <v>N/A - Facility Does Not Report to TRI</v>
      </c>
    </row>
    <row r="79" spans="1:44" ht="29" x14ac:dyDescent="0.35">
      <c r="A79" s="34">
        <v>76</v>
      </c>
      <c r="B79" s="33" t="str">
        <f>IFERROR("TRI Form "&amp;VLOOKUP(H79,'Processed Non-zero TRI Data'!$I$2:$K$23,3,FALSE),"DMR")</f>
        <v>DMR</v>
      </c>
      <c r="C79" s="33" t="str">
        <f>VLOOKUP($D79, 'COU.OES Summary'!C:D, 2, FALSE)</f>
        <v> </v>
      </c>
      <c r="D79" s="33" t="str">
        <f>IFERROR(VLOOKUP($H79, 'Processed Non-zero TRI Data'!$I:$O, 7, FALSE), VLOOKUP($I79, 'Processed Non-zero DMR Data'!$K:$R, 8, FALSE))</f>
        <v>Waste handling, treatment, and disposal - POTW</v>
      </c>
      <c r="E79" s="34" t="s">
        <v>246</v>
      </c>
      <c r="F79" s="34" t="s">
        <v>247</v>
      </c>
      <c r="G79" s="34" t="s">
        <v>108</v>
      </c>
      <c r="H79" s="34"/>
      <c r="I79" s="105">
        <v>110064268260</v>
      </c>
      <c r="J79" s="33" t="str">
        <f>IFERROR(VLOOKUP($I79, 'Processed Non-zero DMR Data'!$K:$U, 11, FALSE),"")</f>
        <v>KY0026883</v>
      </c>
      <c r="K79" s="33" t="str">
        <f>IFERROR(VLOOKUP($I79, 'Processed Non-zero DMR Data'!$K:$V, 12, FALSE),"Not Reported")</f>
        <v>Fox Run</v>
      </c>
      <c r="L79" s="106">
        <f>IFERROR(VLOOKUP($I79, 'Processed Non-zero DMR Data'!$K:$W, 13, FALSE),"No Reach Code Reported")</f>
        <v>51401020404</v>
      </c>
      <c r="M79" s="107" t="str">
        <f>IFERROR(IFERROR(VLOOKUP(H79, 'Off-site Locations'!$K$3:$O$5, 5, FALSE), VLOOKUP(H79, 'Off-site Locations'!$B$3:$E$4, 4, FALSE)), "No Offsite Transfers")</f>
        <v>No Offsite Transfers</v>
      </c>
      <c r="N79" s="33">
        <f>VLOOKUP($D79, 'COU.OES Summary'!C:E, 3, FALSE)</f>
        <v>365</v>
      </c>
      <c r="O79" s="108">
        <f t="shared" si="14"/>
        <v>0</v>
      </c>
      <c r="P79" s="108">
        <f t="shared" si="15"/>
        <v>2.3520463125000002</v>
      </c>
      <c r="Q79" s="109" cm="1">
        <f t="array" ref="Q79">IFERROR(_xlfn.XLOOKUP(1,  (MAX(IF(I79 = 'Processed Non-zero DMR Data'!$K:$K,'Processed Non-zero DMR Data'!$A:$A)) = 'Processed Non-zero DMR Data'!$A:$A)*('Processed Non-zero DMR Data'!$K:$K = I79),'Processed Non-zero DMR Data'!$T:$T), "N/A- Facility Does Not Report DMRs")</f>
        <v>0.79783068749999997</v>
      </c>
      <c r="R79" s="33">
        <f t="shared" si="25"/>
        <v>2.1858375000000001E-3</v>
      </c>
      <c r="S79" s="33" cm="1">
        <f t="array" ref="S79">IF(COUNTIF('Processed Non-zero DMR Data'!$K:$K,$I79)&gt;0,MEDIAN(IF('Processed Non-zero DMR Data'!$K:$K=I79,'Processed Non-zero DMR Data'!$T:$T)),"N/A - Facility Does Not Report DMRs")</f>
        <v>1.3746173749999999</v>
      </c>
      <c r="T79" s="33">
        <f t="shared" si="26"/>
        <v>3.7660749999999998E-3</v>
      </c>
      <c r="U79" s="33">
        <f>IF(COUNTIF('Processed Non-zero DMR Data'!$K:$K,$I79)&gt;0,_xlfn.MAXIFS('Processed Non-zero DMR Data'!$T:$T,'Processed Non-zero DMR Data'!$K:$K,$I79), "N/A - Facility Does Not Report DMRs")</f>
        <v>2.3520463125000002</v>
      </c>
      <c r="V79" s="33">
        <f t="shared" si="27"/>
        <v>6.4439625000000007E-3</v>
      </c>
      <c r="W79" s="110" cm="1">
        <f t="array" ref="W79">IF(COUNTIF('Processed Non-zero DMR Data'!$K:$K,$I79)&gt;0,INDEX('Processed Non-zero DMR Data'!$A:$A,MATCH(1,($I79='Processed Non-zero DMR Data'!$K:$K)*($U79='Processed Non-zero DMR Data'!$T:$T),0)), "N/A - Facility Does Not Report DMRs")</f>
        <v>2021</v>
      </c>
      <c r="X79" s="109" cm="1">
        <f t="array" ref="X79">IFERROR(_xlfn.XLOOKUP(1,  (MAX(IF(H79 = 'Processed Non-zero TRI Data'!$I:$I,'Processed Non-zero TRI Data'!$A:$A)) = 'Processed Non-zero TRI Data'!$A:$A)*('Processed Non-zero TRI Data'!$I:$I = H79), 'Processed Non-zero TRI Data'!$S:$S), "N/A- Facility Does Not Report to TRI")</f>
        <v>0</v>
      </c>
      <c r="Y79" s="33">
        <f t="shared" si="16"/>
        <v>0</v>
      </c>
      <c r="Z79" s="33" t="str" cm="1">
        <f t="array" ref="Z79">IF(COUNTIF('Processed Non-zero TRI Data'!$I:$I,$H79)&gt;0,MEDIAN(IF('Processed Non-zero TRI Data'!$I:$I=H79,'Processed Non-zero TRI Data'!$S:$S)), "N/A - Facility Does Not Report to TRI")</f>
        <v>N/A - Facility Does Not Report to TRI</v>
      </c>
      <c r="AA79" s="33" t="str">
        <f t="shared" si="17"/>
        <v>N/A - Facility Does Not Report to TRI</v>
      </c>
      <c r="AB79" s="33" t="str">
        <f>IF(COUNTIF('Processed Non-zero TRI Data'!$I:$I,$H79)&gt;0,_xlfn.MAXIFS('Processed Non-zero TRI Data'!$S:$S,'Processed Non-zero TRI Data'!$I:$I,$H79), "N/A - Facility Does Not Report to TRI")</f>
        <v>N/A - Facility Does Not Report to TRI</v>
      </c>
      <c r="AC79" s="33" t="str">
        <f t="shared" si="18"/>
        <v>N/A - Facility Does Not Report to TRI</v>
      </c>
      <c r="AD79" s="110" t="str" cm="1">
        <f t="array" ref="AD79">IFERROR(IF(B79 = "TRI Form R", IF(AB79 = 0, "Facility has no on-site water discharges between 2019-2023.",  IF(COUNTIF('Processed Non-zero TRI Data'!$I:$I,$H79)&gt;0,INDEX('Processed Non-zero TRI Data'!$A:$A,MATCH(1,($H79='Processed Non-zero TRI Data'!$I:$I)*(AB79='Processed Non-zero TRI Data'!$S:$S),0)))), VLOOKUP(H79, 'Form A Recent Reporting'!$L:$M, 2, FALSE)), ("N/A - Facility Does Not Report to TRI"))</f>
        <v>N/A - Facility Does Not Report to TRI</v>
      </c>
      <c r="AE79" s="109" cm="1">
        <f t="array" ref="AE79">IFERROR(_xlfn.XLOOKUP(1,  (MAX(IF(H79 = 'Processed Non-zero TRI Data'!$I:$I,'Processed Non-zero TRI Data'!$A:$A)) = 'Processed Non-zero TRI Data'!$A:$A)*('Processed Non-zero TRI Data'!$I:$I = H79), 'Processed Non-zero TRI Data'!$U:$U), "N/A- Facility Does Not Report to TRI")</f>
        <v>0</v>
      </c>
      <c r="AF79" s="33">
        <f t="shared" si="19"/>
        <v>0</v>
      </c>
      <c r="AG79" s="33" t="str" cm="1">
        <f t="array" ref="AG79">IF(COUNTIF('Processed Non-zero TRI Data'!$I:$I,$H79)&gt;0,MEDIAN(IF('Processed Non-zero TRI Data'!$I:$I=H79,'Processed Non-zero TRI Data'!$U:$U)), "N/A - Facility Does Not Report to TRI")</f>
        <v>N/A - Facility Does Not Report to TRI</v>
      </c>
      <c r="AH79" s="33" t="str">
        <f t="shared" si="20"/>
        <v>N/A - Facility Does Not Report to TRI</v>
      </c>
      <c r="AI79" s="33" t="str">
        <f>IF(COUNTIF('Processed Non-zero TRI Data'!$I:$I,$H79)&gt;0,_xlfn.MAXIFS('Processed Non-zero TRI Data'!$U:$U,'Processed Non-zero TRI Data'!$I:$I,$H79), "N/A - Facility Does Not Report to TRI")</f>
        <v>N/A - Facility Does Not Report to TRI</v>
      </c>
      <c r="AJ79" s="33" t="str">
        <f t="shared" si="21"/>
        <v>N/A - Facility Does Not Report to TRI</v>
      </c>
      <c r="AK79" s="110" t="str" cm="1">
        <f t="array" ref="AK79">IF(B79="TRI Form A",AD79,IF(AI79=0,"Facility has no transfers to POTWs between 2019-2023.",IF(COUNTIF('Processed Non-zero TRI Data'!$I:$I,$H79)&gt;0,INDEX('Processed Non-zero TRI Data'!$A:$A,MATCH(1,($H79='Processed Non-zero TRI Data'!$I:$I)*(AI79='Processed Non-zero TRI Data'!$U:$U),0)),"N/A - Facility Does Not Report to TRI")))</f>
        <v>N/A - Facility Does Not Report to TRI</v>
      </c>
      <c r="AL79" s="109" cm="1">
        <f t="array" ref="AL79">IFERROR(_xlfn.XLOOKUP(1,  (MAX(IF(H79 = 'Processed Non-zero TRI Data'!$I$2:$I$23,'Processed Non-zero TRI Data'!$A$2:$A$23)) = 'Processed Non-zero TRI Data'!$A$2:$A$23)*('Processed Non-zero TRI Data'!$I$2:$I$23 = H79), 'Processed Non-zero TRI Data'!$W$2:$W$23), "N/A- Facility Does Not Report to TRI")</f>
        <v>0</v>
      </c>
      <c r="AM79" s="33">
        <f t="shared" si="22"/>
        <v>0</v>
      </c>
      <c r="AN79" s="33" t="str" cm="1">
        <f t="array" ref="AN79">IF(COUNTIF('Processed Non-zero TRI Data'!$I:$I,$H79)&gt;0,MEDIAN(IF('Processed Non-zero TRI Data'!$I:$I=H79,'Processed Non-zero TRI Data'!$W:$W)), "N/A - Facility Does Not Report to TRI")</f>
        <v>N/A - Facility Does Not Report to TRI</v>
      </c>
      <c r="AO79" s="33" t="str">
        <f t="shared" si="23"/>
        <v>N/A - Facility Does Not Report to TRI</v>
      </c>
      <c r="AP79" s="33" t="str">
        <f>IF(COUNTIF('Processed Non-zero TRI Data'!$I:$I,$H79)&gt;0,_xlfn.MAXIFS('Processed Non-zero TRI Data'!$W:$W,'Processed Non-zero TRI Data'!$I:$I,$H79), "N/A - Facility Does Not Report to TRI")</f>
        <v>N/A - Facility Does Not Report to TRI</v>
      </c>
      <c r="AQ79" s="33" t="str">
        <f t="shared" si="24"/>
        <v>N/A - Facility Does Not Report to TRI</v>
      </c>
      <c r="AR79" s="110" t="str" cm="1">
        <f t="array" ref="AR79">IF(B79="TRI Form A",AD79,IF(AP79=0,"Facility has no transfers to non-POTWs between 2019-2023.",IF(COUNTIF('Processed Non-zero TRI Data'!$I:$I,$H79)&gt;0,INDEX('Processed Non-zero TRI Data'!$A:$A,MATCH(1,($H79='Processed Non-zero TRI Data'!$I:$I)*(AP79='Processed Non-zero TRI Data'!$W:$W),0)),"N/A - Facility Does Not Report to TRI")))</f>
        <v>N/A - Facility Does Not Report to TRI</v>
      </c>
    </row>
    <row r="80" spans="1:44" ht="29" x14ac:dyDescent="0.35">
      <c r="A80" s="34">
        <v>77</v>
      </c>
      <c r="B80" s="33" t="str">
        <f>IFERROR("TRI Form "&amp;VLOOKUP(H80,'Processed Non-zero TRI Data'!$I$2:$K$23,3,FALSE),"DMR")</f>
        <v>DMR</v>
      </c>
      <c r="C80" s="33" t="str">
        <f>VLOOKUP($D80, 'COU.OES Summary'!C:D, 2, FALSE)</f>
        <v> </v>
      </c>
      <c r="D80" s="33" t="str">
        <f>IFERROR(VLOOKUP($H80, 'Processed Non-zero TRI Data'!$I:$O, 7, FALSE), VLOOKUP($I80, 'Processed Non-zero DMR Data'!$K:$R, 8, FALSE))</f>
        <v>Waste handling, treatment, and disposal - POTW</v>
      </c>
      <c r="E80" s="34" t="s">
        <v>248</v>
      </c>
      <c r="F80" s="34" t="s">
        <v>249</v>
      </c>
      <c r="G80" s="34" t="s">
        <v>108</v>
      </c>
      <c r="H80" s="34"/>
      <c r="I80" s="105">
        <v>110020941383</v>
      </c>
      <c r="J80" s="33" t="str">
        <f>IFERROR(VLOOKUP($I80, 'Processed Non-zero DMR Data'!$K:$U, 11, FALSE),"")</f>
        <v>KY0027359</v>
      </c>
      <c r="K80" s="33" t="str">
        <f>IFERROR(VLOOKUP($I80, 'Processed Non-zero DMR Data'!$K:$V, 12, FALSE),"Not Reported")</f>
        <v>Bullitt Lick Creek-Salt River</v>
      </c>
      <c r="L80" s="106">
        <f>IFERROR(VLOOKUP($I80, 'Processed Non-zero DMR Data'!$K:$W, 13, FALSE),"No Reach Code Reported")</f>
        <v>51401021103</v>
      </c>
      <c r="M80" s="107" t="str">
        <f>IFERROR(IFERROR(VLOOKUP(H80, 'Off-site Locations'!$K$3:$O$5, 5, FALSE), VLOOKUP(H80, 'Off-site Locations'!$B$3:$E$4, 4, FALSE)), "No Offsite Transfers")</f>
        <v>No Offsite Transfers</v>
      </c>
      <c r="N80" s="33">
        <f>VLOOKUP($D80, 'COU.OES Summary'!C:E, 3, FALSE)</f>
        <v>365</v>
      </c>
      <c r="O80" s="108">
        <f t="shared" si="14"/>
        <v>0</v>
      </c>
      <c r="P80" s="108">
        <f t="shared" si="15"/>
        <v>2.3485925000000001</v>
      </c>
      <c r="Q80" s="109" cm="1">
        <f t="array" ref="Q80">IFERROR(_xlfn.XLOOKUP(1,  (MAX(IF(I80 = 'Processed Non-zero DMR Data'!$K:$K,'Processed Non-zero DMR Data'!$A:$A)) = 'Processed Non-zero DMR Data'!$A:$A)*('Processed Non-zero DMR Data'!$K:$K = I80),'Processed Non-zero DMR Data'!$T:$T), "N/A- Facility Does Not Report DMRs")</f>
        <v>2.1828094999999998</v>
      </c>
      <c r="R80" s="33">
        <f t="shared" si="25"/>
        <v>5.9802999999999992E-3</v>
      </c>
      <c r="S80" s="33" cm="1">
        <f t="array" ref="S80">IF(COUNTIF('Processed Non-zero DMR Data'!$K:$K,$I80)&gt;0,MEDIAN(IF('Processed Non-zero DMR Data'!$K:$K=I80,'Processed Non-zero DMR Data'!$T:$T)),"N/A - Facility Does Not Report DMRs")</f>
        <v>2.1828094999999998</v>
      </c>
      <c r="T80" s="33">
        <f t="shared" si="26"/>
        <v>5.9802999999999992E-3</v>
      </c>
      <c r="U80" s="33">
        <f>IF(COUNTIF('Processed Non-zero DMR Data'!$K:$K,$I80)&gt;0,_xlfn.MAXIFS('Processed Non-zero DMR Data'!$T:$T,'Processed Non-zero DMR Data'!$K:$K,$I80), "N/A - Facility Does Not Report DMRs")</f>
        <v>2.3485925000000001</v>
      </c>
      <c r="V80" s="33">
        <f t="shared" si="27"/>
        <v>6.4345000000000001E-3</v>
      </c>
      <c r="W80" s="110" cm="1">
        <f t="array" ref="W80">IF(COUNTIF('Processed Non-zero DMR Data'!$K:$K,$I80)&gt;0,INDEX('Processed Non-zero DMR Data'!$A:$A,MATCH(1,($I80='Processed Non-zero DMR Data'!$K:$K)*($U80='Processed Non-zero DMR Data'!$T:$T),0)), "N/A - Facility Does Not Report DMRs")</f>
        <v>2019</v>
      </c>
      <c r="X80" s="109" cm="1">
        <f t="array" ref="X80">IFERROR(_xlfn.XLOOKUP(1,  (MAX(IF(H80 = 'Processed Non-zero TRI Data'!$I:$I,'Processed Non-zero TRI Data'!$A:$A)) = 'Processed Non-zero TRI Data'!$A:$A)*('Processed Non-zero TRI Data'!$I:$I = H80), 'Processed Non-zero TRI Data'!$S:$S), "N/A- Facility Does Not Report to TRI")</f>
        <v>0</v>
      </c>
      <c r="Y80" s="33">
        <f t="shared" si="16"/>
        <v>0</v>
      </c>
      <c r="Z80" s="33" t="str" cm="1">
        <f t="array" ref="Z80">IF(COUNTIF('Processed Non-zero TRI Data'!$I:$I,$H80)&gt;0,MEDIAN(IF('Processed Non-zero TRI Data'!$I:$I=H80,'Processed Non-zero TRI Data'!$S:$S)), "N/A - Facility Does Not Report to TRI")</f>
        <v>N/A - Facility Does Not Report to TRI</v>
      </c>
      <c r="AA80" s="33" t="str">
        <f t="shared" si="17"/>
        <v>N/A - Facility Does Not Report to TRI</v>
      </c>
      <c r="AB80" s="33" t="str">
        <f>IF(COUNTIF('Processed Non-zero TRI Data'!$I:$I,$H80)&gt;0,_xlfn.MAXIFS('Processed Non-zero TRI Data'!$S:$S,'Processed Non-zero TRI Data'!$I:$I,$H80), "N/A - Facility Does Not Report to TRI")</f>
        <v>N/A - Facility Does Not Report to TRI</v>
      </c>
      <c r="AC80" s="33" t="str">
        <f t="shared" si="18"/>
        <v>N/A - Facility Does Not Report to TRI</v>
      </c>
      <c r="AD80" s="110" t="str" cm="1">
        <f t="array" ref="AD80">IFERROR(IF(B80 = "TRI Form R", IF(AB80 = 0, "Facility has no on-site water discharges between 2019-2023.",  IF(COUNTIF('Processed Non-zero TRI Data'!$I:$I,$H80)&gt;0,INDEX('Processed Non-zero TRI Data'!$A:$A,MATCH(1,($H80='Processed Non-zero TRI Data'!$I:$I)*(AB80='Processed Non-zero TRI Data'!$S:$S),0)))), VLOOKUP(H80, 'Form A Recent Reporting'!$L:$M, 2, FALSE)), ("N/A - Facility Does Not Report to TRI"))</f>
        <v>N/A - Facility Does Not Report to TRI</v>
      </c>
      <c r="AE80" s="109" cm="1">
        <f t="array" ref="AE80">IFERROR(_xlfn.XLOOKUP(1,  (MAX(IF(H80 = 'Processed Non-zero TRI Data'!$I:$I,'Processed Non-zero TRI Data'!$A:$A)) = 'Processed Non-zero TRI Data'!$A:$A)*('Processed Non-zero TRI Data'!$I:$I = H80), 'Processed Non-zero TRI Data'!$U:$U), "N/A- Facility Does Not Report to TRI")</f>
        <v>0</v>
      </c>
      <c r="AF80" s="33">
        <f t="shared" si="19"/>
        <v>0</v>
      </c>
      <c r="AG80" s="33" t="str" cm="1">
        <f t="array" ref="AG80">IF(COUNTIF('Processed Non-zero TRI Data'!$I:$I,$H80)&gt;0,MEDIAN(IF('Processed Non-zero TRI Data'!$I:$I=H80,'Processed Non-zero TRI Data'!$U:$U)), "N/A - Facility Does Not Report to TRI")</f>
        <v>N/A - Facility Does Not Report to TRI</v>
      </c>
      <c r="AH80" s="33" t="str">
        <f t="shared" si="20"/>
        <v>N/A - Facility Does Not Report to TRI</v>
      </c>
      <c r="AI80" s="33" t="str">
        <f>IF(COUNTIF('Processed Non-zero TRI Data'!$I:$I,$H80)&gt;0,_xlfn.MAXIFS('Processed Non-zero TRI Data'!$U:$U,'Processed Non-zero TRI Data'!$I:$I,$H80), "N/A - Facility Does Not Report to TRI")</f>
        <v>N/A - Facility Does Not Report to TRI</v>
      </c>
      <c r="AJ80" s="33" t="str">
        <f t="shared" si="21"/>
        <v>N/A - Facility Does Not Report to TRI</v>
      </c>
      <c r="AK80" s="110" t="str" cm="1">
        <f t="array" ref="AK80">IF(B80="TRI Form A",AD80,IF(AI80=0,"Facility has no transfers to POTWs between 2019-2023.",IF(COUNTIF('Processed Non-zero TRI Data'!$I:$I,$H80)&gt;0,INDEX('Processed Non-zero TRI Data'!$A:$A,MATCH(1,($H80='Processed Non-zero TRI Data'!$I:$I)*(AI80='Processed Non-zero TRI Data'!$U:$U),0)),"N/A - Facility Does Not Report to TRI")))</f>
        <v>N/A - Facility Does Not Report to TRI</v>
      </c>
      <c r="AL80" s="109" cm="1">
        <f t="array" ref="AL80">IFERROR(_xlfn.XLOOKUP(1,  (MAX(IF(H80 = 'Processed Non-zero TRI Data'!$I$2:$I$23,'Processed Non-zero TRI Data'!$A$2:$A$23)) = 'Processed Non-zero TRI Data'!$A$2:$A$23)*('Processed Non-zero TRI Data'!$I$2:$I$23 = H80), 'Processed Non-zero TRI Data'!$W$2:$W$23), "N/A- Facility Does Not Report to TRI")</f>
        <v>0</v>
      </c>
      <c r="AM80" s="33">
        <f t="shared" si="22"/>
        <v>0</v>
      </c>
      <c r="AN80" s="33" t="str" cm="1">
        <f t="array" ref="AN80">IF(COUNTIF('Processed Non-zero TRI Data'!$I:$I,$H80)&gt;0,MEDIAN(IF('Processed Non-zero TRI Data'!$I:$I=H80,'Processed Non-zero TRI Data'!$W:$W)), "N/A - Facility Does Not Report to TRI")</f>
        <v>N/A - Facility Does Not Report to TRI</v>
      </c>
      <c r="AO80" s="33" t="str">
        <f t="shared" si="23"/>
        <v>N/A - Facility Does Not Report to TRI</v>
      </c>
      <c r="AP80" s="33" t="str">
        <f>IF(COUNTIF('Processed Non-zero TRI Data'!$I:$I,$H80)&gt;0,_xlfn.MAXIFS('Processed Non-zero TRI Data'!$W:$W,'Processed Non-zero TRI Data'!$I:$I,$H80), "N/A - Facility Does Not Report to TRI")</f>
        <v>N/A - Facility Does Not Report to TRI</v>
      </c>
      <c r="AQ80" s="33" t="str">
        <f t="shared" si="24"/>
        <v>N/A - Facility Does Not Report to TRI</v>
      </c>
      <c r="AR80" s="110" t="str" cm="1">
        <f t="array" ref="AR80">IF(B80="TRI Form A",AD80,IF(AP80=0,"Facility has no transfers to non-POTWs between 2019-2023.",IF(COUNTIF('Processed Non-zero TRI Data'!$I:$I,$H80)&gt;0,INDEX('Processed Non-zero TRI Data'!$A:$A,MATCH(1,($H80='Processed Non-zero TRI Data'!$I:$I)*(AP80='Processed Non-zero TRI Data'!$W:$W),0)),"N/A - Facility Does Not Report to TRI")))</f>
        <v>N/A - Facility Does Not Report to TRI</v>
      </c>
    </row>
    <row r="81" spans="1:44" ht="29" x14ac:dyDescent="0.35">
      <c r="A81" s="34">
        <v>78</v>
      </c>
      <c r="B81" s="33" t="str">
        <f>IFERROR("TRI Form "&amp;VLOOKUP(H81,'Processed Non-zero TRI Data'!$I$2:$K$23,3,FALSE),"DMR")</f>
        <v>DMR</v>
      </c>
      <c r="C81" s="33" t="str">
        <f>VLOOKUP($D81, 'COU.OES Summary'!C:D, 2, FALSE)</f>
        <v> </v>
      </c>
      <c r="D81" s="33" t="str">
        <f>IFERROR(VLOOKUP($H81, 'Processed Non-zero TRI Data'!$I:$O, 7, FALSE), VLOOKUP($I81, 'Processed Non-zero DMR Data'!$K:$R, 8, FALSE))</f>
        <v>Waste handling, treatment, and disposal - POTW</v>
      </c>
      <c r="E81" s="34" t="s">
        <v>250</v>
      </c>
      <c r="F81" s="34" t="s">
        <v>251</v>
      </c>
      <c r="G81" s="34" t="s">
        <v>156</v>
      </c>
      <c r="H81" s="34"/>
      <c r="I81" s="105">
        <v>110013786698</v>
      </c>
      <c r="J81" s="33" t="str">
        <f>IFERROR(VLOOKUP($I81, 'Processed Non-zero DMR Data'!$K:$U, 11, FALSE),"")</f>
        <v>HI0021377</v>
      </c>
      <c r="K81" s="33" t="str">
        <f>IFERROR(VLOOKUP($I81, 'Processed Non-zero DMR Data'!$K:$V, 12, FALSE),"Not Reported")</f>
        <v>Waiakea Stream</v>
      </c>
      <c r="L81" s="106">
        <f>IFERROR(VLOOKUP($I81, 'Processed Non-zero DMR Data'!$K:$W, 13, FALSE),"No Reach Code Reported")</f>
        <v>200100000407</v>
      </c>
      <c r="M81" s="107" t="str">
        <f>IFERROR(IFERROR(VLOOKUP(H81, 'Off-site Locations'!$K$3:$O$5, 5, FALSE), VLOOKUP(H81, 'Off-site Locations'!$B$3:$E$4, 4, FALSE)), "No Offsite Transfers")</f>
        <v>No Offsite Transfers</v>
      </c>
      <c r="N81" s="33">
        <f>VLOOKUP($D81, 'COU.OES Summary'!C:E, 3, FALSE)</f>
        <v>365</v>
      </c>
      <c r="O81" s="108">
        <f t="shared" si="14"/>
        <v>0</v>
      </c>
      <c r="P81" s="108">
        <f t="shared" si="15"/>
        <v>2.305765225</v>
      </c>
      <c r="Q81" s="109" cm="1">
        <f t="array" ref="Q81">IFERROR(_xlfn.XLOOKUP(1,  (MAX(IF(I81 = 'Processed Non-zero DMR Data'!$K:$K,'Processed Non-zero DMR Data'!$A:$A)) = 'Processed Non-zero DMR Data'!$A:$A)*('Processed Non-zero DMR Data'!$K:$K = I81),'Processed Non-zero DMR Data'!$T:$T), "N/A- Facility Does Not Report DMRs")</f>
        <v>2.2691548125000001</v>
      </c>
      <c r="R81" s="33">
        <f t="shared" si="25"/>
        <v>6.2168624999999998E-3</v>
      </c>
      <c r="S81" s="33" cm="1">
        <f t="array" ref="S81">IF(COUNTIF('Processed Non-zero DMR Data'!$K:$K,$I81)&gt;0,MEDIAN(IF('Processed Non-zero DMR Data'!$K:$K=I81,'Processed Non-zero DMR Data'!$T:$T)),"N/A - Facility Does Not Report DMRs")</f>
        <v>2.2691548125000001</v>
      </c>
      <c r="T81" s="33">
        <f t="shared" si="26"/>
        <v>6.2168624999999998E-3</v>
      </c>
      <c r="U81" s="33">
        <f>IF(COUNTIF('Processed Non-zero DMR Data'!$K:$K,$I81)&gt;0,_xlfn.MAXIFS('Processed Non-zero DMR Data'!$T:$T,'Processed Non-zero DMR Data'!$K:$K,$I81), "N/A - Facility Does Not Report DMRs")</f>
        <v>2.305765225</v>
      </c>
      <c r="V81" s="33">
        <f t="shared" si="27"/>
        <v>6.3171650000000005E-3</v>
      </c>
      <c r="W81" s="110" cm="1">
        <f t="array" ref="W81">IF(COUNTIF('Processed Non-zero DMR Data'!$K:$K,$I81)&gt;0,INDEX('Processed Non-zero DMR Data'!$A:$A,MATCH(1,($I81='Processed Non-zero DMR Data'!$K:$K)*($U81='Processed Non-zero DMR Data'!$T:$T),0)), "N/A - Facility Does Not Report DMRs")</f>
        <v>2021</v>
      </c>
      <c r="X81" s="109" cm="1">
        <f t="array" ref="X81">IFERROR(_xlfn.XLOOKUP(1,  (MAX(IF(H81 = 'Processed Non-zero TRI Data'!$I:$I,'Processed Non-zero TRI Data'!$A:$A)) = 'Processed Non-zero TRI Data'!$A:$A)*('Processed Non-zero TRI Data'!$I:$I = H81), 'Processed Non-zero TRI Data'!$S:$S), "N/A- Facility Does Not Report to TRI")</f>
        <v>0</v>
      </c>
      <c r="Y81" s="33">
        <f t="shared" si="16"/>
        <v>0</v>
      </c>
      <c r="Z81" s="33" t="str" cm="1">
        <f t="array" ref="Z81">IF(COUNTIF('Processed Non-zero TRI Data'!$I:$I,$H81)&gt;0,MEDIAN(IF('Processed Non-zero TRI Data'!$I:$I=H81,'Processed Non-zero TRI Data'!$S:$S)), "N/A - Facility Does Not Report to TRI")</f>
        <v>N/A - Facility Does Not Report to TRI</v>
      </c>
      <c r="AA81" s="33" t="str">
        <f t="shared" si="17"/>
        <v>N/A - Facility Does Not Report to TRI</v>
      </c>
      <c r="AB81" s="33" t="str">
        <f>IF(COUNTIF('Processed Non-zero TRI Data'!$I:$I,$H81)&gt;0,_xlfn.MAXIFS('Processed Non-zero TRI Data'!$S:$S,'Processed Non-zero TRI Data'!$I:$I,$H81), "N/A - Facility Does Not Report to TRI")</f>
        <v>N/A - Facility Does Not Report to TRI</v>
      </c>
      <c r="AC81" s="33" t="str">
        <f t="shared" si="18"/>
        <v>N/A - Facility Does Not Report to TRI</v>
      </c>
      <c r="AD81" s="110" t="str" cm="1">
        <f t="array" ref="AD81">IFERROR(IF(B81 = "TRI Form R", IF(AB81 = 0, "Facility has no on-site water discharges between 2019-2023.",  IF(COUNTIF('Processed Non-zero TRI Data'!$I:$I,$H81)&gt;0,INDEX('Processed Non-zero TRI Data'!$A:$A,MATCH(1,($H81='Processed Non-zero TRI Data'!$I:$I)*(AB81='Processed Non-zero TRI Data'!$S:$S),0)))), VLOOKUP(H81, 'Form A Recent Reporting'!$L:$M, 2, FALSE)), ("N/A - Facility Does Not Report to TRI"))</f>
        <v>N/A - Facility Does Not Report to TRI</v>
      </c>
      <c r="AE81" s="109" cm="1">
        <f t="array" ref="AE81">IFERROR(_xlfn.XLOOKUP(1,  (MAX(IF(H81 = 'Processed Non-zero TRI Data'!$I:$I,'Processed Non-zero TRI Data'!$A:$A)) = 'Processed Non-zero TRI Data'!$A:$A)*('Processed Non-zero TRI Data'!$I:$I = H81), 'Processed Non-zero TRI Data'!$U:$U), "N/A- Facility Does Not Report to TRI")</f>
        <v>0</v>
      </c>
      <c r="AF81" s="33">
        <f t="shared" si="19"/>
        <v>0</v>
      </c>
      <c r="AG81" s="33" t="str" cm="1">
        <f t="array" ref="AG81">IF(COUNTIF('Processed Non-zero TRI Data'!$I:$I,$H81)&gt;0,MEDIAN(IF('Processed Non-zero TRI Data'!$I:$I=H81,'Processed Non-zero TRI Data'!$U:$U)), "N/A - Facility Does Not Report to TRI")</f>
        <v>N/A - Facility Does Not Report to TRI</v>
      </c>
      <c r="AH81" s="33" t="str">
        <f t="shared" si="20"/>
        <v>N/A - Facility Does Not Report to TRI</v>
      </c>
      <c r="AI81" s="33" t="str">
        <f>IF(COUNTIF('Processed Non-zero TRI Data'!$I:$I,$H81)&gt;0,_xlfn.MAXIFS('Processed Non-zero TRI Data'!$U:$U,'Processed Non-zero TRI Data'!$I:$I,$H81), "N/A - Facility Does Not Report to TRI")</f>
        <v>N/A - Facility Does Not Report to TRI</v>
      </c>
      <c r="AJ81" s="33" t="str">
        <f t="shared" si="21"/>
        <v>N/A - Facility Does Not Report to TRI</v>
      </c>
      <c r="AK81" s="110" t="str" cm="1">
        <f t="array" ref="AK81">IF(B81="TRI Form A",AD81,IF(AI81=0,"Facility has no transfers to POTWs between 2019-2023.",IF(COUNTIF('Processed Non-zero TRI Data'!$I:$I,$H81)&gt;0,INDEX('Processed Non-zero TRI Data'!$A:$A,MATCH(1,($H81='Processed Non-zero TRI Data'!$I:$I)*(AI81='Processed Non-zero TRI Data'!$U:$U),0)),"N/A - Facility Does Not Report to TRI")))</f>
        <v>N/A - Facility Does Not Report to TRI</v>
      </c>
      <c r="AL81" s="109" cm="1">
        <f t="array" ref="AL81">IFERROR(_xlfn.XLOOKUP(1,  (MAX(IF(H81 = 'Processed Non-zero TRI Data'!$I$2:$I$23,'Processed Non-zero TRI Data'!$A$2:$A$23)) = 'Processed Non-zero TRI Data'!$A$2:$A$23)*('Processed Non-zero TRI Data'!$I$2:$I$23 = H81), 'Processed Non-zero TRI Data'!$W$2:$W$23), "N/A- Facility Does Not Report to TRI")</f>
        <v>0</v>
      </c>
      <c r="AM81" s="33">
        <f t="shared" si="22"/>
        <v>0</v>
      </c>
      <c r="AN81" s="33" t="str" cm="1">
        <f t="array" ref="AN81">IF(COUNTIF('Processed Non-zero TRI Data'!$I:$I,$H81)&gt;0,MEDIAN(IF('Processed Non-zero TRI Data'!$I:$I=H81,'Processed Non-zero TRI Data'!$W:$W)), "N/A - Facility Does Not Report to TRI")</f>
        <v>N/A - Facility Does Not Report to TRI</v>
      </c>
      <c r="AO81" s="33" t="str">
        <f t="shared" si="23"/>
        <v>N/A - Facility Does Not Report to TRI</v>
      </c>
      <c r="AP81" s="33" t="str">
        <f>IF(COUNTIF('Processed Non-zero TRI Data'!$I:$I,$H81)&gt;0,_xlfn.MAXIFS('Processed Non-zero TRI Data'!$W:$W,'Processed Non-zero TRI Data'!$I:$I,$H81), "N/A - Facility Does Not Report to TRI")</f>
        <v>N/A - Facility Does Not Report to TRI</v>
      </c>
      <c r="AQ81" s="33" t="str">
        <f t="shared" si="24"/>
        <v>N/A - Facility Does Not Report to TRI</v>
      </c>
      <c r="AR81" s="110" t="str" cm="1">
        <f t="array" ref="AR81">IF(B81="TRI Form A",AD81,IF(AP81=0,"Facility has no transfers to non-POTWs between 2019-2023.",IF(COUNTIF('Processed Non-zero TRI Data'!$I:$I,$H81)&gt;0,INDEX('Processed Non-zero TRI Data'!$A:$A,MATCH(1,($H81='Processed Non-zero TRI Data'!$I:$I)*(AP81='Processed Non-zero TRI Data'!$W:$W),0)),"N/A - Facility Does Not Report to TRI")))</f>
        <v>N/A - Facility Does Not Report to TRI</v>
      </c>
    </row>
    <row r="82" spans="1:44" ht="29" x14ac:dyDescent="0.35">
      <c r="A82" s="34">
        <v>79</v>
      </c>
      <c r="B82" s="33" t="str">
        <f>IFERROR("TRI Form "&amp;VLOOKUP(H82,'Processed Non-zero TRI Data'!$I$2:$K$23,3,FALSE),"DMR")</f>
        <v>DMR</v>
      </c>
      <c r="C82" s="33" t="str">
        <f>VLOOKUP($D82, 'COU.OES Summary'!C:D, 2, FALSE)</f>
        <v> </v>
      </c>
      <c r="D82" s="33" t="str">
        <f>IFERROR(VLOOKUP($H82, 'Processed Non-zero TRI Data'!$I:$O, 7, FALSE), VLOOKUP($I82, 'Processed Non-zero DMR Data'!$K:$R, 8, FALSE))</f>
        <v>Waste handling, treatment, and disposal - Remediation or Monitoring</v>
      </c>
      <c r="E82" s="34" t="s">
        <v>252</v>
      </c>
      <c r="F82" s="34" t="s">
        <v>253</v>
      </c>
      <c r="G82" s="34" t="s">
        <v>254</v>
      </c>
      <c r="H82" s="34"/>
      <c r="I82" s="105">
        <v>110041133163</v>
      </c>
      <c r="J82" s="33" t="str">
        <f>IFERROR(VLOOKUP($I82, 'Processed Non-zero DMR Data'!$K:$U, 11, FALSE),"")</f>
        <v>NJ0001511</v>
      </c>
      <c r="K82" s="33" t="str">
        <f>IFERROR(VLOOKUP($I82, 'Processed Non-zero DMR Data'!$K:$V, 12, FALSE),"Not Reported")</f>
        <v>Morses Creek-Arthur Kill</v>
      </c>
      <c r="L82" s="106">
        <f>IFERROR(VLOOKUP($I82, 'Processed Non-zero DMR Data'!$K:$W, 13, FALSE),"No Reach Code Reported")</f>
        <v>20301040204</v>
      </c>
      <c r="M82" s="107" t="str">
        <f>IFERROR(IFERROR(VLOOKUP(H82, 'Off-site Locations'!$K$3:$O$5, 5, FALSE), VLOOKUP(H82, 'Off-site Locations'!$B$3:$E$4, 4, FALSE)), "No Offsite Transfers")</f>
        <v>No Offsite Transfers</v>
      </c>
      <c r="N82" s="33">
        <f>VLOOKUP($D82, 'COU.OES Summary'!C:E, 3, FALSE)</f>
        <v>365</v>
      </c>
      <c r="O82" s="108">
        <f t="shared" si="14"/>
        <v>0</v>
      </c>
      <c r="P82" s="108">
        <f t="shared" si="15"/>
        <v>2.3050000000000002</v>
      </c>
      <c r="Q82" s="109" cm="1">
        <f t="array" ref="Q82">IFERROR(_xlfn.XLOOKUP(1,  (MAX(IF(I82 = 'Processed Non-zero DMR Data'!$K:$K,'Processed Non-zero DMR Data'!$A:$A)) = 'Processed Non-zero DMR Data'!$A:$A)*('Processed Non-zero DMR Data'!$K:$K = I82),'Processed Non-zero DMR Data'!$T:$T), "N/A- Facility Does Not Report DMRs")</f>
        <v>2.3050000000000002</v>
      </c>
      <c r="R82" s="33">
        <f t="shared" si="25"/>
        <v>6.3150684931506853E-3</v>
      </c>
      <c r="S82" s="33" cm="1">
        <f t="array" ref="S82">IF(COUNTIF('Processed Non-zero DMR Data'!$K:$K,$I82)&gt;0,MEDIAN(IF('Processed Non-zero DMR Data'!$K:$K=I82,'Processed Non-zero DMR Data'!$T:$T)),"N/A - Facility Does Not Report DMRs")</f>
        <v>2</v>
      </c>
      <c r="T82" s="33">
        <f t="shared" si="26"/>
        <v>5.4794520547945206E-3</v>
      </c>
      <c r="U82" s="33">
        <f>IF(COUNTIF('Processed Non-zero DMR Data'!$K:$K,$I82)&gt;0,_xlfn.MAXIFS('Processed Non-zero DMR Data'!$T:$T,'Processed Non-zero DMR Data'!$K:$K,$I82), "N/A - Facility Does Not Report DMRs")</f>
        <v>2.3050000000000002</v>
      </c>
      <c r="V82" s="33">
        <f t="shared" si="27"/>
        <v>6.3150684931506853E-3</v>
      </c>
      <c r="W82" s="110" cm="1">
        <f t="array" ref="W82">IF(COUNTIF('Processed Non-zero DMR Data'!$K:$K,$I82)&gt;0,INDEX('Processed Non-zero DMR Data'!$A:$A,MATCH(1,($I82='Processed Non-zero DMR Data'!$K:$K)*($U82='Processed Non-zero DMR Data'!$T:$T),0)), "N/A - Facility Does Not Report DMRs")</f>
        <v>2020</v>
      </c>
      <c r="X82" s="109" cm="1">
        <f t="array" ref="X82">IFERROR(_xlfn.XLOOKUP(1,  (MAX(IF(H82 = 'Processed Non-zero TRI Data'!$I:$I,'Processed Non-zero TRI Data'!$A:$A)) = 'Processed Non-zero TRI Data'!$A:$A)*('Processed Non-zero TRI Data'!$I:$I = H82), 'Processed Non-zero TRI Data'!$S:$S), "N/A- Facility Does Not Report to TRI")</f>
        <v>0</v>
      </c>
      <c r="Y82" s="33">
        <f t="shared" si="16"/>
        <v>0</v>
      </c>
      <c r="Z82" s="33" t="str" cm="1">
        <f t="array" ref="Z82">IF(COUNTIF('Processed Non-zero TRI Data'!$I:$I,$H82)&gt;0,MEDIAN(IF('Processed Non-zero TRI Data'!$I:$I=H82,'Processed Non-zero TRI Data'!$S:$S)), "N/A - Facility Does Not Report to TRI")</f>
        <v>N/A - Facility Does Not Report to TRI</v>
      </c>
      <c r="AA82" s="33" t="str">
        <f t="shared" si="17"/>
        <v>N/A - Facility Does Not Report to TRI</v>
      </c>
      <c r="AB82" s="33" t="str">
        <f>IF(COUNTIF('Processed Non-zero TRI Data'!$I:$I,$H82)&gt;0,_xlfn.MAXIFS('Processed Non-zero TRI Data'!$S:$S,'Processed Non-zero TRI Data'!$I:$I,$H82), "N/A - Facility Does Not Report to TRI")</f>
        <v>N/A - Facility Does Not Report to TRI</v>
      </c>
      <c r="AC82" s="33" t="str">
        <f t="shared" si="18"/>
        <v>N/A - Facility Does Not Report to TRI</v>
      </c>
      <c r="AD82" s="110" t="str" cm="1">
        <f t="array" ref="AD82">IFERROR(IF(B82 = "TRI Form R", IF(AB82 = 0, "Facility has no on-site water discharges between 2019-2023.",  IF(COUNTIF('Processed Non-zero TRI Data'!$I:$I,$H82)&gt;0,INDEX('Processed Non-zero TRI Data'!$A:$A,MATCH(1,($H82='Processed Non-zero TRI Data'!$I:$I)*(AB82='Processed Non-zero TRI Data'!$S:$S),0)))), VLOOKUP(H82, 'Form A Recent Reporting'!$L:$M, 2, FALSE)), ("N/A - Facility Does Not Report to TRI"))</f>
        <v>N/A - Facility Does Not Report to TRI</v>
      </c>
      <c r="AE82" s="109" cm="1">
        <f t="array" ref="AE82">IFERROR(_xlfn.XLOOKUP(1,  (MAX(IF(H82 = 'Processed Non-zero TRI Data'!$I:$I,'Processed Non-zero TRI Data'!$A:$A)) = 'Processed Non-zero TRI Data'!$A:$A)*('Processed Non-zero TRI Data'!$I:$I = H82), 'Processed Non-zero TRI Data'!$U:$U), "N/A- Facility Does Not Report to TRI")</f>
        <v>0</v>
      </c>
      <c r="AF82" s="33">
        <f t="shared" si="19"/>
        <v>0</v>
      </c>
      <c r="AG82" s="33" t="str" cm="1">
        <f t="array" ref="AG82">IF(COUNTIF('Processed Non-zero TRI Data'!$I:$I,$H82)&gt;0,MEDIAN(IF('Processed Non-zero TRI Data'!$I:$I=H82,'Processed Non-zero TRI Data'!$U:$U)), "N/A - Facility Does Not Report to TRI")</f>
        <v>N/A - Facility Does Not Report to TRI</v>
      </c>
      <c r="AH82" s="33" t="str">
        <f t="shared" si="20"/>
        <v>N/A - Facility Does Not Report to TRI</v>
      </c>
      <c r="AI82" s="33" t="str">
        <f>IF(COUNTIF('Processed Non-zero TRI Data'!$I:$I,$H82)&gt;0,_xlfn.MAXIFS('Processed Non-zero TRI Data'!$U:$U,'Processed Non-zero TRI Data'!$I:$I,$H82), "N/A - Facility Does Not Report to TRI")</f>
        <v>N/A - Facility Does Not Report to TRI</v>
      </c>
      <c r="AJ82" s="33" t="str">
        <f t="shared" si="21"/>
        <v>N/A - Facility Does Not Report to TRI</v>
      </c>
      <c r="AK82" s="110" t="str" cm="1">
        <f t="array" ref="AK82">IF(B82="TRI Form A",AD82,IF(AI82=0,"Facility has no transfers to POTWs between 2019-2023.",IF(COUNTIF('Processed Non-zero TRI Data'!$I:$I,$H82)&gt;0,INDEX('Processed Non-zero TRI Data'!$A:$A,MATCH(1,($H82='Processed Non-zero TRI Data'!$I:$I)*(AI82='Processed Non-zero TRI Data'!$U:$U),0)),"N/A - Facility Does Not Report to TRI")))</f>
        <v>N/A - Facility Does Not Report to TRI</v>
      </c>
      <c r="AL82" s="109" cm="1">
        <f t="array" ref="AL82">IFERROR(_xlfn.XLOOKUP(1,  (MAX(IF(H82 = 'Processed Non-zero TRI Data'!$I$2:$I$23,'Processed Non-zero TRI Data'!$A$2:$A$23)) = 'Processed Non-zero TRI Data'!$A$2:$A$23)*('Processed Non-zero TRI Data'!$I$2:$I$23 = H82), 'Processed Non-zero TRI Data'!$W$2:$W$23), "N/A- Facility Does Not Report to TRI")</f>
        <v>0</v>
      </c>
      <c r="AM82" s="33">
        <f t="shared" si="22"/>
        <v>0</v>
      </c>
      <c r="AN82" s="33" t="str" cm="1">
        <f t="array" ref="AN82">IF(COUNTIF('Processed Non-zero TRI Data'!$I:$I,$H82)&gt;0,MEDIAN(IF('Processed Non-zero TRI Data'!$I:$I=H82,'Processed Non-zero TRI Data'!$W:$W)), "N/A - Facility Does Not Report to TRI")</f>
        <v>N/A - Facility Does Not Report to TRI</v>
      </c>
      <c r="AO82" s="33" t="str">
        <f t="shared" si="23"/>
        <v>N/A - Facility Does Not Report to TRI</v>
      </c>
      <c r="AP82" s="33" t="str">
        <f>IF(COUNTIF('Processed Non-zero TRI Data'!$I:$I,$H82)&gt;0,_xlfn.MAXIFS('Processed Non-zero TRI Data'!$W:$W,'Processed Non-zero TRI Data'!$I:$I,$H82), "N/A - Facility Does Not Report to TRI")</f>
        <v>N/A - Facility Does Not Report to TRI</v>
      </c>
      <c r="AQ82" s="33" t="str">
        <f t="shared" si="24"/>
        <v>N/A - Facility Does Not Report to TRI</v>
      </c>
      <c r="AR82" s="110" t="str" cm="1">
        <f t="array" ref="AR82">IF(B82="TRI Form A",AD82,IF(AP82=0,"Facility has no transfers to non-POTWs between 2019-2023.",IF(COUNTIF('Processed Non-zero TRI Data'!$I:$I,$H82)&gt;0,INDEX('Processed Non-zero TRI Data'!$A:$A,MATCH(1,($H82='Processed Non-zero TRI Data'!$I:$I)*(AP82='Processed Non-zero TRI Data'!$W:$W),0)),"N/A - Facility Does Not Report to TRI")))</f>
        <v>N/A - Facility Does Not Report to TRI</v>
      </c>
    </row>
    <row r="83" spans="1:44" ht="29" x14ac:dyDescent="0.35">
      <c r="A83" s="34">
        <v>80</v>
      </c>
      <c r="B83" s="33" t="str">
        <f>IFERROR("TRI Form "&amp;VLOOKUP(H83,'Processed Non-zero TRI Data'!$I$2:$K$23,3,FALSE),"DMR")</f>
        <v>DMR</v>
      </c>
      <c r="C83" s="33" t="str">
        <f>VLOOKUP($D83, 'COU.OES Summary'!C:D, 2, FALSE)</f>
        <v> </v>
      </c>
      <c r="D83" s="33" t="str">
        <f>IFERROR(VLOOKUP($H83, 'Processed Non-zero TRI Data'!$I:$O, 7, FALSE), VLOOKUP($I83, 'Processed Non-zero DMR Data'!$K:$R, 8, FALSE))</f>
        <v>Waste handling, treatment, and disposal - POTW</v>
      </c>
      <c r="E83" s="34" t="s">
        <v>255</v>
      </c>
      <c r="F83" s="34" t="s">
        <v>256</v>
      </c>
      <c r="G83" s="34" t="s">
        <v>102</v>
      </c>
      <c r="H83" s="34"/>
      <c r="I83" s="105">
        <v>110009547222</v>
      </c>
      <c r="J83" s="33" t="str">
        <f>IFERROR(VLOOKUP($I83, 'Processed Non-zero DMR Data'!$K:$U, 11, FALSE),"")</f>
        <v>CA0048127</v>
      </c>
      <c r="K83" s="33" t="str">
        <f>IFERROR(VLOOKUP($I83, 'Processed Non-zero DMR Data'!$K:$V, 12, FALSE),"Not Reported")</f>
        <v>San Miguelito Creek-Santa Ynez River</v>
      </c>
      <c r="L83" s="106">
        <f>IFERROR(VLOOKUP($I83, 'Processed Non-zero DMR Data'!$K:$W, 13, FALSE),"No Reach Code Reported")</f>
        <v>180600100703</v>
      </c>
      <c r="M83" s="107" t="str">
        <f>IFERROR(IFERROR(VLOOKUP(H83, 'Off-site Locations'!$K$3:$O$5, 5, FALSE), VLOOKUP(H83, 'Off-site Locations'!$B$3:$E$4, 4, FALSE)), "No Offsite Transfers")</f>
        <v>No Offsite Transfers</v>
      </c>
      <c r="N83" s="33">
        <f>VLOOKUP($D83, 'COU.OES Summary'!C:E, 3, FALSE)</f>
        <v>365</v>
      </c>
      <c r="O83" s="108">
        <f t="shared" si="14"/>
        <v>0</v>
      </c>
      <c r="P83" s="108">
        <f t="shared" si="15"/>
        <v>2.1206408749999999</v>
      </c>
      <c r="Q83" s="109" cm="1">
        <f t="array" ref="Q83">IFERROR(_xlfn.XLOOKUP(1,  (MAX(IF(I83 = 'Processed Non-zero DMR Data'!$K:$K,'Processed Non-zero DMR Data'!$A:$A)) = 'Processed Non-zero DMR Data'!$A:$A)*('Processed Non-zero DMR Data'!$K:$K = I83),'Processed Non-zero DMR Data'!$T:$T), "N/A- Facility Does Not Report DMRs")</f>
        <v>2.1206408749999999</v>
      </c>
      <c r="R83" s="33">
        <f t="shared" si="25"/>
        <v>5.8099749999999993E-3</v>
      </c>
      <c r="S83" s="33" cm="1">
        <f t="array" ref="S83">IF(COUNTIF('Processed Non-zero DMR Data'!$K:$K,$I83)&gt;0,MEDIAN(IF('Processed Non-zero DMR Data'!$K:$K=I83,'Processed Non-zero DMR Data'!$T:$T)),"N/A - Facility Does Not Report DMRs")</f>
        <v>2.1206408749999999</v>
      </c>
      <c r="T83" s="33">
        <f t="shared" si="26"/>
        <v>5.8099749999999993E-3</v>
      </c>
      <c r="U83" s="33">
        <f>IF(COUNTIF('Processed Non-zero DMR Data'!$K:$K,$I83)&gt;0,_xlfn.MAXIFS('Processed Non-zero DMR Data'!$T:$T,'Processed Non-zero DMR Data'!$K:$K,$I83), "N/A - Facility Does Not Report DMRs")</f>
        <v>2.1206408749999999</v>
      </c>
      <c r="V83" s="33">
        <f t="shared" si="27"/>
        <v>5.8099749999999993E-3</v>
      </c>
      <c r="W83" s="110" cm="1">
        <f t="array" ref="W83">IF(COUNTIF('Processed Non-zero DMR Data'!$K:$K,$I83)&gt;0,INDEX('Processed Non-zero DMR Data'!$A:$A,MATCH(1,($I83='Processed Non-zero DMR Data'!$K:$K)*($U83='Processed Non-zero DMR Data'!$T:$T),0)), "N/A - Facility Does Not Report DMRs")</f>
        <v>2019</v>
      </c>
      <c r="X83" s="109" cm="1">
        <f t="array" ref="X83">IFERROR(_xlfn.XLOOKUP(1,  (MAX(IF(H83 = 'Processed Non-zero TRI Data'!$I:$I,'Processed Non-zero TRI Data'!$A:$A)) = 'Processed Non-zero TRI Data'!$A:$A)*('Processed Non-zero TRI Data'!$I:$I = H83), 'Processed Non-zero TRI Data'!$S:$S), "N/A- Facility Does Not Report to TRI")</f>
        <v>0</v>
      </c>
      <c r="Y83" s="33">
        <f t="shared" si="16"/>
        <v>0</v>
      </c>
      <c r="Z83" s="33" t="str" cm="1">
        <f t="array" ref="Z83">IF(COUNTIF('Processed Non-zero TRI Data'!$I:$I,$H83)&gt;0,MEDIAN(IF('Processed Non-zero TRI Data'!$I:$I=H83,'Processed Non-zero TRI Data'!$S:$S)), "N/A - Facility Does Not Report to TRI")</f>
        <v>N/A - Facility Does Not Report to TRI</v>
      </c>
      <c r="AA83" s="33" t="str">
        <f t="shared" si="17"/>
        <v>N/A - Facility Does Not Report to TRI</v>
      </c>
      <c r="AB83" s="33" t="str">
        <f>IF(COUNTIF('Processed Non-zero TRI Data'!$I:$I,$H83)&gt;0,_xlfn.MAXIFS('Processed Non-zero TRI Data'!$S:$S,'Processed Non-zero TRI Data'!$I:$I,$H83), "N/A - Facility Does Not Report to TRI")</f>
        <v>N/A - Facility Does Not Report to TRI</v>
      </c>
      <c r="AC83" s="33" t="str">
        <f t="shared" si="18"/>
        <v>N/A - Facility Does Not Report to TRI</v>
      </c>
      <c r="AD83" s="110" t="str" cm="1">
        <f t="array" ref="AD83">IFERROR(IF(B83 = "TRI Form R", IF(AB83 = 0, "Facility has no on-site water discharges between 2019-2023.",  IF(COUNTIF('Processed Non-zero TRI Data'!$I:$I,$H83)&gt;0,INDEX('Processed Non-zero TRI Data'!$A:$A,MATCH(1,($H83='Processed Non-zero TRI Data'!$I:$I)*(AB83='Processed Non-zero TRI Data'!$S:$S),0)))), VLOOKUP(H83, 'Form A Recent Reporting'!$L:$M, 2, FALSE)), ("N/A - Facility Does Not Report to TRI"))</f>
        <v>N/A - Facility Does Not Report to TRI</v>
      </c>
      <c r="AE83" s="109" cm="1">
        <f t="array" ref="AE83">IFERROR(_xlfn.XLOOKUP(1,  (MAX(IF(H83 = 'Processed Non-zero TRI Data'!$I:$I,'Processed Non-zero TRI Data'!$A:$A)) = 'Processed Non-zero TRI Data'!$A:$A)*('Processed Non-zero TRI Data'!$I:$I = H83), 'Processed Non-zero TRI Data'!$U:$U), "N/A- Facility Does Not Report to TRI")</f>
        <v>0</v>
      </c>
      <c r="AF83" s="33">
        <f t="shared" si="19"/>
        <v>0</v>
      </c>
      <c r="AG83" s="33" t="str" cm="1">
        <f t="array" ref="AG83">IF(COUNTIF('Processed Non-zero TRI Data'!$I:$I,$H83)&gt;0,MEDIAN(IF('Processed Non-zero TRI Data'!$I:$I=H83,'Processed Non-zero TRI Data'!$U:$U)), "N/A - Facility Does Not Report to TRI")</f>
        <v>N/A - Facility Does Not Report to TRI</v>
      </c>
      <c r="AH83" s="33" t="str">
        <f t="shared" si="20"/>
        <v>N/A - Facility Does Not Report to TRI</v>
      </c>
      <c r="AI83" s="33" t="str">
        <f>IF(COUNTIF('Processed Non-zero TRI Data'!$I:$I,$H83)&gt;0,_xlfn.MAXIFS('Processed Non-zero TRI Data'!$U:$U,'Processed Non-zero TRI Data'!$I:$I,$H83), "N/A - Facility Does Not Report to TRI")</f>
        <v>N/A - Facility Does Not Report to TRI</v>
      </c>
      <c r="AJ83" s="33" t="str">
        <f t="shared" si="21"/>
        <v>N/A - Facility Does Not Report to TRI</v>
      </c>
      <c r="AK83" s="110" t="str" cm="1">
        <f t="array" ref="AK83">IF(B83="TRI Form A",AD83,IF(AI83=0,"Facility has no transfers to POTWs between 2019-2023.",IF(COUNTIF('Processed Non-zero TRI Data'!$I:$I,$H83)&gt;0,INDEX('Processed Non-zero TRI Data'!$A:$A,MATCH(1,($H83='Processed Non-zero TRI Data'!$I:$I)*(AI83='Processed Non-zero TRI Data'!$U:$U),0)),"N/A - Facility Does Not Report to TRI")))</f>
        <v>N/A - Facility Does Not Report to TRI</v>
      </c>
      <c r="AL83" s="109" cm="1">
        <f t="array" ref="AL83">IFERROR(_xlfn.XLOOKUP(1,  (MAX(IF(H83 = 'Processed Non-zero TRI Data'!$I$2:$I$23,'Processed Non-zero TRI Data'!$A$2:$A$23)) = 'Processed Non-zero TRI Data'!$A$2:$A$23)*('Processed Non-zero TRI Data'!$I$2:$I$23 = H83), 'Processed Non-zero TRI Data'!$W$2:$W$23), "N/A- Facility Does Not Report to TRI")</f>
        <v>0</v>
      </c>
      <c r="AM83" s="33">
        <f t="shared" si="22"/>
        <v>0</v>
      </c>
      <c r="AN83" s="33" t="str" cm="1">
        <f t="array" ref="AN83">IF(COUNTIF('Processed Non-zero TRI Data'!$I:$I,$H83)&gt;0,MEDIAN(IF('Processed Non-zero TRI Data'!$I:$I=H83,'Processed Non-zero TRI Data'!$W:$W)), "N/A - Facility Does Not Report to TRI")</f>
        <v>N/A - Facility Does Not Report to TRI</v>
      </c>
      <c r="AO83" s="33" t="str">
        <f t="shared" si="23"/>
        <v>N/A - Facility Does Not Report to TRI</v>
      </c>
      <c r="AP83" s="33" t="str">
        <f>IF(COUNTIF('Processed Non-zero TRI Data'!$I:$I,$H83)&gt;0,_xlfn.MAXIFS('Processed Non-zero TRI Data'!$W:$W,'Processed Non-zero TRI Data'!$I:$I,$H83), "N/A - Facility Does Not Report to TRI")</f>
        <v>N/A - Facility Does Not Report to TRI</v>
      </c>
      <c r="AQ83" s="33" t="str">
        <f t="shared" si="24"/>
        <v>N/A - Facility Does Not Report to TRI</v>
      </c>
      <c r="AR83" s="110" t="str" cm="1">
        <f t="array" ref="AR83">IF(B83="TRI Form A",AD83,IF(AP83=0,"Facility has no transfers to non-POTWs between 2019-2023.",IF(COUNTIF('Processed Non-zero TRI Data'!$I:$I,$H83)&gt;0,INDEX('Processed Non-zero TRI Data'!$A:$A,MATCH(1,($H83='Processed Non-zero TRI Data'!$I:$I)*(AP83='Processed Non-zero TRI Data'!$W:$W),0)),"N/A - Facility Does Not Report to TRI")))</f>
        <v>N/A - Facility Does Not Report to TRI</v>
      </c>
    </row>
    <row r="84" spans="1:44" ht="29" x14ac:dyDescent="0.35">
      <c r="A84" s="34">
        <v>81</v>
      </c>
      <c r="B84" s="33" t="str">
        <f>IFERROR("TRI Form "&amp;VLOOKUP(H84,'Processed Non-zero TRI Data'!$I$2:$K$23,3,FALSE),"DMR")</f>
        <v>DMR</v>
      </c>
      <c r="C84" s="33" t="str">
        <f>VLOOKUP($D84, 'COU.OES Summary'!C:D, 2, FALSE)</f>
        <v> </v>
      </c>
      <c r="D84" s="33" t="str">
        <f>IFERROR(VLOOKUP($H84, 'Processed Non-zero TRI Data'!$I:$O, 7, FALSE), VLOOKUP($I84, 'Processed Non-zero DMR Data'!$K:$R, 8, FALSE))</f>
        <v>Waste handling, treatment, and disposal - Remediation or Monitoring</v>
      </c>
      <c r="E84" s="34" t="s">
        <v>257</v>
      </c>
      <c r="F84" s="34" t="s">
        <v>258</v>
      </c>
      <c r="G84" s="34" t="s">
        <v>108</v>
      </c>
      <c r="H84" s="34"/>
      <c r="I84" s="105">
        <v>110002108059</v>
      </c>
      <c r="J84" s="33" t="str">
        <f>IFERROR(VLOOKUP($I84, 'Processed Non-zero DMR Data'!$K:$U, 11, FALSE),"")</f>
        <v>KY0040126</v>
      </c>
      <c r="K84" s="33" t="str">
        <f>IFERROR(VLOOKUP($I84, 'Processed Non-zero DMR Data'!$K:$V, 12, FALSE),"Not Reported")</f>
        <v>Brush Creek-Harrods Creek</v>
      </c>
      <c r="L84" s="106">
        <f>IFERROR(VLOOKUP($I84, 'Processed Non-zero DMR Data'!$K:$W, 13, FALSE),"No Reach Code Reported")</f>
        <v>51401010502</v>
      </c>
      <c r="M84" s="107" t="str">
        <f>IFERROR(IFERROR(VLOOKUP(H84, 'Off-site Locations'!$K$3:$O$5, 5, FALSE), VLOOKUP(H84, 'Off-site Locations'!$B$3:$E$4, 4, FALSE)), "No Offsite Transfers")</f>
        <v>No Offsite Transfers</v>
      </c>
      <c r="N84" s="33">
        <f>VLOOKUP($D84, 'COU.OES Summary'!C:E, 3, FALSE)</f>
        <v>365</v>
      </c>
      <c r="O84" s="108">
        <f t="shared" si="14"/>
        <v>0</v>
      </c>
      <c r="P84" s="108">
        <f t="shared" si="15"/>
        <v>2.1137332500000001</v>
      </c>
      <c r="Q84" s="109" cm="1">
        <f t="array" ref="Q84">IFERROR(_xlfn.XLOOKUP(1,  (MAX(IF(I84 = 'Processed Non-zero DMR Data'!$K:$K,'Processed Non-zero DMR Data'!$A:$A)) = 'Processed Non-zero DMR Data'!$A:$A)*('Processed Non-zero DMR Data'!$K:$K = I84),'Processed Non-zero DMR Data'!$T:$T), "N/A- Facility Does Not Report DMRs")</f>
        <v>1.7752596249999999</v>
      </c>
      <c r="R84" s="33">
        <f t="shared" si="25"/>
        <v>4.8637249999999993E-3</v>
      </c>
      <c r="S84" s="33" cm="1">
        <f t="array" ref="S84">IF(COUNTIF('Processed Non-zero DMR Data'!$K:$K,$I84)&gt;0,MEDIAN(IF('Processed Non-zero DMR Data'!$K:$K=I84,'Processed Non-zero DMR Data'!$T:$T)),"N/A - Facility Does Not Report DMRs")</f>
        <v>1.9444964375</v>
      </c>
      <c r="T84" s="33">
        <f t="shared" si="26"/>
        <v>5.3273875E-3</v>
      </c>
      <c r="U84" s="33">
        <f>IF(COUNTIF('Processed Non-zero DMR Data'!$K:$K,$I84)&gt;0,_xlfn.MAXIFS('Processed Non-zero DMR Data'!$T:$T,'Processed Non-zero DMR Data'!$K:$K,$I84), "N/A - Facility Does Not Report DMRs")</f>
        <v>2.1137332500000001</v>
      </c>
      <c r="V84" s="33">
        <f t="shared" si="27"/>
        <v>5.7910500000000007E-3</v>
      </c>
      <c r="W84" s="110" cm="1">
        <f t="array" ref="W84">IF(COUNTIF('Processed Non-zero DMR Data'!$K:$K,$I84)&gt;0,INDEX('Processed Non-zero DMR Data'!$A:$A,MATCH(1,($I84='Processed Non-zero DMR Data'!$K:$K)*($U84='Processed Non-zero DMR Data'!$T:$T),0)), "N/A - Facility Does Not Report DMRs")</f>
        <v>2020</v>
      </c>
      <c r="X84" s="109" cm="1">
        <f t="array" ref="X84">IFERROR(_xlfn.XLOOKUP(1,  (MAX(IF(H84 = 'Processed Non-zero TRI Data'!$I:$I,'Processed Non-zero TRI Data'!$A:$A)) = 'Processed Non-zero TRI Data'!$A:$A)*('Processed Non-zero TRI Data'!$I:$I = H84), 'Processed Non-zero TRI Data'!$S:$S), "N/A- Facility Does Not Report to TRI")</f>
        <v>0</v>
      </c>
      <c r="Y84" s="33">
        <f t="shared" si="16"/>
        <v>0</v>
      </c>
      <c r="Z84" s="33" t="str" cm="1">
        <f t="array" ref="Z84">IF(COUNTIF('Processed Non-zero TRI Data'!$I:$I,$H84)&gt;0,MEDIAN(IF('Processed Non-zero TRI Data'!$I:$I=H84,'Processed Non-zero TRI Data'!$S:$S)), "N/A - Facility Does Not Report to TRI")</f>
        <v>N/A - Facility Does Not Report to TRI</v>
      </c>
      <c r="AA84" s="33" t="str">
        <f t="shared" si="17"/>
        <v>N/A - Facility Does Not Report to TRI</v>
      </c>
      <c r="AB84" s="33" t="str">
        <f>IF(COUNTIF('Processed Non-zero TRI Data'!$I:$I,$H84)&gt;0,_xlfn.MAXIFS('Processed Non-zero TRI Data'!$S:$S,'Processed Non-zero TRI Data'!$I:$I,$H84), "N/A - Facility Does Not Report to TRI")</f>
        <v>N/A - Facility Does Not Report to TRI</v>
      </c>
      <c r="AC84" s="33" t="str">
        <f t="shared" si="18"/>
        <v>N/A - Facility Does Not Report to TRI</v>
      </c>
      <c r="AD84" s="110" t="str" cm="1">
        <f t="array" ref="AD84">IFERROR(IF(B84 = "TRI Form R", IF(AB84 = 0, "Facility has no on-site water discharges between 2019-2023.",  IF(COUNTIF('Processed Non-zero TRI Data'!$I:$I,$H84)&gt;0,INDEX('Processed Non-zero TRI Data'!$A:$A,MATCH(1,($H84='Processed Non-zero TRI Data'!$I:$I)*(AB84='Processed Non-zero TRI Data'!$S:$S),0)))), VLOOKUP(H84, 'Form A Recent Reporting'!$L:$M, 2, FALSE)), ("N/A - Facility Does Not Report to TRI"))</f>
        <v>N/A - Facility Does Not Report to TRI</v>
      </c>
      <c r="AE84" s="109" cm="1">
        <f t="array" ref="AE84">IFERROR(_xlfn.XLOOKUP(1,  (MAX(IF(H84 = 'Processed Non-zero TRI Data'!$I:$I,'Processed Non-zero TRI Data'!$A:$A)) = 'Processed Non-zero TRI Data'!$A:$A)*('Processed Non-zero TRI Data'!$I:$I = H84), 'Processed Non-zero TRI Data'!$U:$U), "N/A- Facility Does Not Report to TRI")</f>
        <v>0</v>
      </c>
      <c r="AF84" s="33">
        <f t="shared" si="19"/>
        <v>0</v>
      </c>
      <c r="AG84" s="33" t="str" cm="1">
        <f t="array" ref="AG84">IF(COUNTIF('Processed Non-zero TRI Data'!$I:$I,$H84)&gt;0,MEDIAN(IF('Processed Non-zero TRI Data'!$I:$I=H84,'Processed Non-zero TRI Data'!$U:$U)), "N/A - Facility Does Not Report to TRI")</f>
        <v>N/A - Facility Does Not Report to TRI</v>
      </c>
      <c r="AH84" s="33" t="str">
        <f t="shared" si="20"/>
        <v>N/A - Facility Does Not Report to TRI</v>
      </c>
      <c r="AI84" s="33" t="str">
        <f>IF(COUNTIF('Processed Non-zero TRI Data'!$I:$I,$H84)&gt;0,_xlfn.MAXIFS('Processed Non-zero TRI Data'!$U:$U,'Processed Non-zero TRI Data'!$I:$I,$H84), "N/A - Facility Does Not Report to TRI")</f>
        <v>N/A - Facility Does Not Report to TRI</v>
      </c>
      <c r="AJ84" s="33" t="str">
        <f t="shared" si="21"/>
        <v>N/A - Facility Does Not Report to TRI</v>
      </c>
      <c r="AK84" s="110" t="str" cm="1">
        <f t="array" ref="AK84">IF(B84="TRI Form A",AD84,IF(AI84=0,"Facility has no transfers to POTWs between 2019-2023.",IF(COUNTIF('Processed Non-zero TRI Data'!$I:$I,$H84)&gt;0,INDEX('Processed Non-zero TRI Data'!$A:$A,MATCH(1,($H84='Processed Non-zero TRI Data'!$I:$I)*(AI84='Processed Non-zero TRI Data'!$U:$U),0)),"N/A - Facility Does Not Report to TRI")))</f>
        <v>N/A - Facility Does Not Report to TRI</v>
      </c>
      <c r="AL84" s="109" cm="1">
        <f t="array" ref="AL84">IFERROR(_xlfn.XLOOKUP(1,  (MAX(IF(H84 = 'Processed Non-zero TRI Data'!$I$2:$I$23,'Processed Non-zero TRI Data'!$A$2:$A$23)) = 'Processed Non-zero TRI Data'!$A$2:$A$23)*('Processed Non-zero TRI Data'!$I$2:$I$23 = H84), 'Processed Non-zero TRI Data'!$W$2:$W$23), "N/A- Facility Does Not Report to TRI")</f>
        <v>0</v>
      </c>
      <c r="AM84" s="33">
        <f t="shared" si="22"/>
        <v>0</v>
      </c>
      <c r="AN84" s="33" t="str" cm="1">
        <f t="array" ref="AN84">IF(COUNTIF('Processed Non-zero TRI Data'!$I:$I,$H84)&gt;0,MEDIAN(IF('Processed Non-zero TRI Data'!$I:$I=H84,'Processed Non-zero TRI Data'!$W:$W)), "N/A - Facility Does Not Report to TRI")</f>
        <v>N/A - Facility Does Not Report to TRI</v>
      </c>
      <c r="AO84" s="33" t="str">
        <f t="shared" si="23"/>
        <v>N/A - Facility Does Not Report to TRI</v>
      </c>
      <c r="AP84" s="33" t="str">
        <f>IF(COUNTIF('Processed Non-zero TRI Data'!$I:$I,$H84)&gt;0,_xlfn.MAXIFS('Processed Non-zero TRI Data'!$W:$W,'Processed Non-zero TRI Data'!$I:$I,$H84), "N/A - Facility Does Not Report to TRI")</f>
        <v>N/A - Facility Does Not Report to TRI</v>
      </c>
      <c r="AQ84" s="33" t="str">
        <f t="shared" si="24"/>
        <v>N/A - Facility Does Not Report to TRI</v>
      </c>
      <c r="AR84" s="110" t="str" cm="1">
        <f t="array" ref="AR84">IF(B84="TRI Form A",AD84,IF(AP84=0,"Facility has no transfers to non-POTWs between 2019-2023.",IF(COUNTIF('Processed Non-zero TRI Data'!$I:$I,$H84)&gt;0,INDEX('Processed Non-zero TRI Data'!$A:$A,MATCH(1,($H84='Processed Non-zero TRI Data'!$I:$I)*(AP84='Processed Non-zero TRI Data'!$W:$W),0)),"N/A - Facility Does Not Report to TRI")))</f>
        <v>N/A - Facility Does Not Report to TRI</v>
      </c>
    </row>
    <row r="85" spans="1:44" ht="29" x14ac:dyDescent="0.35">
      <c r="A85" s="34">
        <v>82</v>
      </c>
      <c r="B85" s="33" t="str">
        <f>IFERROR("TRI Form "&amp;VLOOKUP(H85,'Processed Non-zero TRI Data'!$I$2:$K$23,3,FALSE),"DMR")</f>
        <v>DMR</v>
      </c>
      <c r="C85" s="33" t="str">
        <f>VLOOKUP($D85, 'COU.OES Summary'!C:D, 2, FALSE)</f>
        <v> </v>
      </c>
      <c r="D85" s="33" t="str">
        <f>IFERROR(VLOOKUP($H85, 'Processed Non-zero TRI Data'!$I:$O, 7, FALSE), VLOOKUP($I85, 'Processed Non-zero DMR Data'!$K:$R, 8, FALSE))</f>
        <v>Waste handling, treatment, and disposal - Remediation or Monitoring</v>
      </c>
      <c r="E85" s="34" t="s">
        <v>259</v>
      </c>
      <c r="F85" s="34" t="s">
        <v>260</v>
      </c>
      <c r="G85" s="34" t="s">
        <v>111</v>
      </c>
      <c r="H85" s="34"/>
      <c r="I85" s="105">
        <v>110000433013</v>
      </c>
      <c r="J85" s="33" t="str">
        <f>IFERROR(VLOOKUP($I85, 'Processed Non-zero DMR Data'!$K:$U, 11, FALSE),"")</f>
        <v>IL0002917</v>
      </c>
      <c r="K85" s="33" t="str">
        <f>IFERROR(VLOOKUP($I85, 'Processed Non-zero DMR Data'!$K:$V, 12, FALSE),"Not Reported")</f>
        <v>Walley Run-Aux Sable Creek</v>
      </c>
      <c r="L85" s="106">
        <f>IFERROR(VLOOKUP($I85, 'Processed Non-zero DMR Data'!$K:$W, 13, FALSE),"No Reach Code Reported")</f>
        <v>71200050106</v>
      </c>
      <c r="M85" s="107" t="str">
        <f>IFERROR(IFERROR(VLOOKUP(H85, 'Off-site Locations'!$K$3:$O$5, 5, FALSE), VLOOKUP(H85, 'Off-site Locations'!$B$3:$E$4, 4, FALSE)), "No Offsite Transfers")</f>
        <v>No Offsite Transfers</v>
      </c>
      <c r="N85" s="33">
        <f>VLOOKUP($D85, 'COU.OES Summary'!C:E, 3, FALSE)</f>
        <v>365</v>
      </c>
      <c r="O85" s="108">
        <f t="shared" si="14"/>
        <v>0</v>
      </c>
      <c r="P85" s="108">
        <f t="shared" si="15"/>
        <v>2.898336</v>
      </c>
      <c r="Q85" s="109" cm="1">
        <f t="array" ref="Q85">IFERROR(_xlfn.XLOOKUP(1,  (MAX(IF(I85 = 'Processed Non-zero DMR Data'!$K:$K,'Processed Non-zero DMR Data'!$A:$A)) = 'Processed Non-zero DMR Data'!$A:$A)*('Processed Non-zero DMR Data'!$K:$K = I85),'Processed Non-zero DMR Data'!$T:$T), "N/A- Facility Does Not Report DMRs")</f>
        <v>2.898336</v>
      </c>
      <c r="R85" s="33">
        <f t="shared" si="25"/>
        <v>7.9406465753424655E-3</v>
      </c>
      <c r="S85" s="33" cm="1">
        <f t="array" ref="S85">IF(COUNTIF('Processed Non-zero DMR Data'!$K:$K,$I85)&gt;0,MEDIAN(IF('Processed Non-zero DMR Data'!$K:$K=I85,'Processed Non-zero DMR Data'!$T:$T)),"N/A - Facility Does Not Report DMRs")</f>
        <v>1.2026460000000001</v>
      </c>
      <c r="T85" s="33">
        <f t="shared" si="26"/>
        <v>3.2949205479452059E-3</v>
      </c>
      <c r="U85" s="33">
        <f>IF(COUNTIF('Processed Non-zero DMR Data'!$K:$K,$I85)&gt;0,_xlfn.MAXIFS('Processed Non-zero DMR Data'!$T:$T,'Processed Non-zero DMR Data'!$K:$K,$I85), "N/A - Facility Does Not Report DMRs")</f>
        <v>2.898336</v>
      </c>
      <c r="V85" s="33">
        <f t="shared" si="27"/>
        <v>7.9406465753424655E-3</v>
      </c>
      <c r="W85" s="110" cm="1">
        <f t="array" ref="W85">IF(COUNTIF('Processed Non-zero DMR Data'!$K:$K,$I85)&gt;0,INDEX('Processed Non-zero DMR Data'!$A:$A,MATCH(1,($I85='Processed Non-zero DMR Data'!$K:$K)*($U85='Processed Non-zero DMR Data'!$T:$T),0)), "N/A - Facility Does Not Report DMRs")</f>
        <v>2023</v>
      </c>
      <c r="X85" s="109" cm="1">
        <f t="array" ref="X85">IFERROR(_xlfn.XLOOKUP(1,  (MAX(IF(H85 = 'Processed Non-zero TRI Data'!$I:$I,'Processed Non-zero TRI Data'!$A:$A)) = 'Processed Non-zero TRI Data'!$A:$A)*('Processed Non-zero TRI Data'!$I:$I = H85), 'Processed Non-zero TRI Data'!$S:$S), "N/A- Facility Does Not Report to TRI")</f>
        <v>0</v>
      </c>
      <c r="Y85" s="33">
        <f t="shared" si="16"/>
        <v>0</v>
      </c>
      <c r="Z85" s="33" t="str" cm="1">
        <f t="array" ref="Z85">IF(COUNTIF('Processed Non-zero TRI Data'!$I:$I,$H85)&gt;0,MEDIAN(IF('Processed Non-zero TRI Data'!$I:$I=H85,'Processed Non-zero TRI Data'!$S:$S)), "N/A - Facility Does Not Report to TRI")</f>
        <v>N/A - Facility Does Not Report to TRI</v>
      </c>
      <c r="AA85" s="33" t="str">
        <f t="shared" si="17"/>
        <v>N/A - Facility Does Not Report to TRI</v>
      </c>
      <c r="AB85" s="33" t="str">
        <f>IF(COUNTIF('Processed Non-zero TRI Data'!$I:$I,$H85)&gt;0,_xlfn.MAXIFS('Processed Non-zero TRI Data'!$S:$S,'Processed Non-zero TRI Data'!$I:$I,$H85), "N/A - Facility Does Not Report to TRI")</f>
        <v>N/A - Facility Does Not Report to TRI</v>
      </c>
      <c r="AC85" s="33" t="str">
        <f t="shared" si="18"/>
        <v>N/A - Facility Does Not Report to TRI</v>
      </c>
      <c r="AD85" s="110" t="str" cm="1">
        <f t="array" ref="AD85">IFERROR(IF(B85 = "TRI Form R", IF(AB85 = 0, "Facility has no on-site water discharges between 2019-2023.",  IF(COUNTIF('Processed Non-zero TRI Data'!$I:$I,$H85)&gt;0,INDEX('Processed Non-zero TRI Data'!$A:$A,MATCH(1,($H85='Processed Non-zero TRI Data'!$I:$I)*(AB85='Processed Non-zero TRI Data'!$S:$S),0)))), VLOOKUP(H85, 'Form A Recent Reporting'!$L:$M, 2, FALSE)), ("N/A - Facility Does Not Report to TRI"))</f>
        <v>N/A - Facility Does Not Report to TRI</v>
      </c>
      <c r="AE85" s="109" cm="1">
        <f t="array" ref="AE85">IFERROR(_xlfn.XLOOKUP(1,  (MAX(IF(H85 = 'Processed Non-zero TRI Data'!$I:$I,'Processed Non-zero TRI Data'!$A:$A)) = 'Processed Non-zero TRI Data'!$A:$A)*('Processed Non-zero TRI Data'!$I:$I = H85), 'Processed Non-zero TRI Data'!$U:$U), "N/A- Facility Does Not Report to TRI")</f>
        <v>0</v>
      </c>
      <c r="AF85" s="33">
        <f t="shared" si="19"/>
        <v>0</v>
      </c>
      <c r="AG85" s="33" t="str" cm="1">
        <f t="array" ref="AG85">IF(COUNTIF('Processed Non-zero TRI Data'!$I:$I,$H85)&gt;0,MEDIAN(IF('Processed Non-zero TRI Data'!$I:$I=H85,'Processed Non-zero TRI Data'!$U:$U)), "N/A - Facility Does Not Report to TRI")</f>
        <v>N/A - Facility Does Not Report to TRI</v>
      </c>
      <c r="AH85" s="33" t="str">
        <f t="shared" si="20"/>
        <v>N/A - Facility Does Not Report to TRI</v>
      </c>
      <c r="AI85" s="33" t="str">
        <f>IF(COUNTIF('Processed Non-zero TRI Data'!$I:$I,$H85)&gt;0,_xlfn.MAXIFS('Processed Non-zero TRI Data'!$U:$U,'Processed Non-zero TRI Data'!$I:$I,$H85), "N/A - Facility Does Not Report to TRI")</f>
        <v>N/A - Facility Does Not Report to TRI</v>
      </c>
      <c r="AJ85" s="33" t="str">
        <f t="shared" si="21"/>
        <v>N/A - Facility Does Not Report to TRI</v>
      </c>
      <c r="AK85" s="110" t="str" cm="1">
        <f t="array" ref="AK85">IF(B85="TRI Form A",AD85,IF(AI85=0,"Facility has no transfers to POTWs between 2019-2023.",IF(COUNTIF('Processed Non-zero TRI Data'!$I:$I,$H85)&gt;0,INDEX('Processed Non-zero TRI Data'!$A:$A,MATCH(1,($H85='Processed Non-zero TRI Data'!$I:$I)*(AI85='Processed Non-zero TRI Data'!$U:$U),0)),"N/A - Facility Does Not Report to TRI")))</f>
        <v>N/A - Facility Does Not Report to TRI</v>
      </c>
      <c r="AL85" s="109" cm="1">
        <f t="array" ref="AL85">IFERROR(_xlfn.XLOOKUP(1,  (MAX(IF(H85 = 'Processed Non-zero TRI Data'!$I$2:$I$23,'Processed Non-zero TRI Data'!$A$2:$A$23)) = 'Processed Non-zero TRI Data'!$A$2:$A$23)*('Processed Non-zero TRI Data'!$I$2:$I$23 = H85), 'Processed Non-zero TRI Data'!$W$2:$W$23), "N/A- Facility Does Not Report to TRI")</f>
        <v>0</v>
      </c>
      <c r="AM85" s="33">
        <f t="shared" si="22"/>
        <v>0</v>
      </c>
      <c r="AN85" s="33" t="str" cm="1">
        <f t="array" ref="AN85">IF(COUNTIF('Processed Non-zero TRI Data'!$I:$I,$H85)&gt;0,MEDIAN(IF('Processed Non-zero TRI Data'!$I:$I=H85,'Processed Non-zero TRI Data'!$W:$W)), "N/A - Facility Does Not Report to TRI")</f>
        <v>N/A - Facility Does Not Report to TRI</v>
      </c>
      <c r="AO85" s="33" t="str">
        <f t="shared" si="23"/>
        <v>N/A - Facility Does Not Report to TRI</v>
      </c>
      <c r="AP85" s="33" t="str">
        <f>IF(COUNTIF('Processed Non-zero TRI Data'!$I:$I,$H85)&gt;0,_xlfn.MAXIFS('Processed Non-zero TRI Data'!$W:$W,'Processed Non-zero TRI Data'!$I:$I,$H85), "N/A - Facility Does Not Report to TRI")</f>
        <v>N/A - Facility Does Not Report to TRI</v>
      </c>
      <c r="AQ85" s="33" t="str">
        <f t="shared" si="24"/>
        <v>N/A - Facility Does Not Report to TRI</v>
      </c>
      <c r="AR85" s="110" t="str" cm="1">
        <f t="array" ref="AR85">IF(B85="TRI Form A",AD85,IF(AP85=0,"Facility has no transfers to non-POTWs between 2019-2023.",IF(COUNTIF('Processed Non-zero TRI Data'!$I:$I,$H85)&gt;0,INDEX('Processed Non-zero TRI Data'!$A:$A,MATCH(1,($H85='Processed Non-zero TRI Data'!$I:$I)*(AP85='Processed Non-zero TRI Data'!$W:$W),0)),"N/A - Facility Does Not Report to TRI")))</f>
        <v>N/A - Facility Does Not Report to TRI</v>
      </c>
    </row>
    <row r="86" spans="1:44" ht="29" x14ac:dyDescent="0.35">
      <c r="A86" s="34">
        <v>83</v>
      </c>
      <c r="B86" s="33" t="str">
        <f>IFERROR("TRI Form "&amp;VLOOKUP(H86,'Processed Non-zero TRI Data'!$I$2:$K$23,3,FALSE),"DMR")</f>
        <v>DMR</v>
      </c>
      <c r="C86" s="33" t="str">
        <f>VLOOKUP($D86, 'COU.OES Summary'!C:D, 2, FALSE)</f>
        <v> </v>
      </c>
      <c r="D86" s="33" t="str">
        <f>IFERROR(VLOOKUP($H86, 'Processed Non-zero TRI Data'!$I:$O, 7, FALSE), VLOOKUP($I86, 'Processed Non-zero DMR Data'!$K:$R, 8, FALSE))</f>
        <v>Waste handling, treatment, and disposal - POTW</v>
      </c>
      <c r="E86" s="34" t="s">
        <v>261</v>
      </c>
      <c r="F86" s="34" t="s">
        <v>262</v>
      </c>
      <c r="G86" s="34" t="s">
        <v>108</v>
      </c>
      <c r="H86" s="34"/>
      <c r="I86" s="105">
        <v>110000736776</v>
      </c>
      <c r="J86" s="33" t="str">
        <f>IFERROR(VLOOKUP($I86, 'Processed Non-zero DMR Data'!$K:$U, 11, FALSE),"")</f>
        <v>KY0054437</v>
      </c>
      <c r="K86" s="33" t="str">
        <f>IFERROR(VLOOKUP($I86, 'Processed Non-zero DMR Data'!$K:$V, 12, FALSE),"Not Reported")</f>
        <v>Little Pitman Creek</v>
      </c>
      <c r="L86" s="106">
        <f>IFERROR(VLOOKUP($I86, 'Processed Non-zero DMR Data'!$K:$W, 13, FALSE),"No Reach Code Reported")</f>
        <v>51100010504</v>
      </c>
      <c r="M86" s="107" t="str">
        <f>IFERROR(IFERROR(VLOOKUP(H86, 'Off-site Locations'!$K$3:$O$5, 5, FALSE), VLOOKUP(H86, 'Off-site Locations'!$B$3:$E$4, 4, FALSE)), "No Offsite Transfers")</f>
        <v>No Offsite Transfers</v>
      </c>
      <c r="N86" s="33">
        <f>VLOOKUP($D86, 'COU.OES Summary'!C:E, 3, FALSE)</f>
        <v>365</v>
      </c>
      <c r="O86" s="108">
        <f t="shared" si="14"/>
        <v>0</v>
      </c>
      <c r="P86" s="108">
        <f t="shared" si="15"/>
        <v>2.0066650625000002</v>
      </c>
      <c r="Q86" s="109" cm="1">
        <f t="array" ref="Q86">IFERROR(_xlfn.XLOOKUP(1,  (MAX(IF(I86 = 'Processed Non-zero DMR Data'!$K:$K,'Processed Non-zero DMR Data'!$A:$A)) = 'Processed Non-zero DMR Data'!$A:$A)*('Processed Non-zero DMR Data'!$K:$K = I86),'Processed Non-zero DMR Data'!$T:$T), "N/A- Facility Does Not Report DMRs")</f>
        <v>2.0066650625000002</v>
      </c>
      <c r="R86" s="33">
        <f t="shared" si="25"/>
        <v>5.4977125000000007E-3</v>
      </c>
      <c r="S86" s="33" cm="1">
        <f t="array" ref="S86">IF(COUNTIF('Processed Non-zero DMR Data'!$K:$K,$I86)&gt;0,MEDIAN(IF('Processed Non-zero DMR Data'!$K:$K=I86,'Processed Non-zero DMR Data'!$T:$T)),"N/A - Facility Does Not Report DMRs")</f>
        <v>2.0066650625000002</v>
      </c>
      <c r="T86" s="33">
        <f t="shared" si="26"/>
        <v>5.4977125000000007E-3</v>
      </c>
      <c r="U86" s="33">
        <f>IF(COUNTIF('Processed Non-zero DMR Data'!$K:$K,$I86)&gt;0,_xlfn.MAXIFS('Processed Non-zero DMR Data'!$T:$T,'Processed Non-zero DMR Data'!$K:$K,$I86), "N/A - Facility Does Not Report DMRs")</f>
        <v>2.0066650625000002</v>
      </c>
      <c r="V86" s="33">
        <f t="shared" si="27"/>
        <v>5.4977125000000007E-3</v>
      </c>
      <c r="W86" s="110" cm="1">
        <f t="array" ref="W86">IF(COUNTIF('Processed Non-zero DMR Data'!$K:$K,$I86)&gt;0,INDEX('Processed Non-zero DMR Data'!$A:$A,MATCH(1,($I86='Processed Non-zero DMR Data'!$K:$K)*($U86='Processed Non-zero DMR Data'!$T:$T),0)), "N/A - Facility Does Not Report DMRs")</f>
        <v>2020</v>
      </c>
      <c r="X86" s="109" cm="1">
        <f t="array" ref="X86">IFERROR(_xlfn.XLOOKUP(1,  (MAX(IF(H86 = 'Processed Non-zero TRI Data'!$I:$I,'Processed Non-zero TRI Data'!$A:$A)) = 'Processed Non-zero TRI Data'!$A:$A)*('Processed Non-zero TRI Data'!$I:$I = H86), 'Processed Non-zero TRI Data'!$S:$S), "N/A- Facility Does Not Report to TRI")</f>
        <v>0</v>
      </c>
      <c r="Y86" s="33">
        <f t="shared" si="16"/>
        <v>0</v>
      </c>
      <c r="Z86" s="33" t="str" cm="1">
        <f t="array" ref="Z86">IF(COUNTIF('Processed Non-zero TRI Data'!$I:$I,$H86)&gt;0,MEDIAN(IF('Processed Non-zero TRI Data'!$I:$I=H86,'Processed Non-zero TRI Data'!$S:$S)), "N/A - Facility Does Not Report to TRI")</f>
        <v>N/A - Facility Does Not Report to TRI</v>
      </c>
      <c r="AA86" s="33" t="str">
        <f t="shared" si="17"/>
        <v>N/A - Facility Does Not Report to TRI</v>
      </c>
      <c r="AB86" s="33" t="str">
        <f>IF(COUNTIF('Processed Non-zero TRI Data'!$I:$I,$H86)&gt;0,_xlfn.MAXIFS('Processed Non-zero TRI Data'!$S:$S,'Processed Non-zero TRI Data'!$I:$I,$H86), "N/A - Facility Does Not Report to TRI")</f>
        <v>N/A - Facility Does Not Report to TRI</v>
      </c>
      <c r="AC86" s="33" t="str">
        <f t="shared" si="18"/>
        <v>N/A - Facility Does Not Report to TRI</v>
      </c>
      <c r="AD86" s="110" t="str" cm="1">
        <f t="array" ref="AD86">IFERROR(IF(B86 = "TRI Form R", IF(AB86 = 0, "Facility has no on-site water discharges between 2019-2023.",  IF(COUNTIF('Processed Non-zero TRI Data'!$I:$I,$H86)&gt;0,INDEX('Processed Non-zero TRI Data'!$A:$A,MATCH(1,($H86='Processed Non-zero TRI Data'!$I:$I)*(AB86='Processed Non-zero TRI Data'!$S:$S),0)))), VLOOKUP(H86, 'Form A Recent Reporting'!$L:$M, 2, FALSE)), ("N/A - Facility Does Not Report to TRI"))</f>
        <v>N/A - Facility Does Not Report to TRI</v>
      </c>
      <c r="AE86" s="109" cm="1">
        <f t="array" ref="AE86">IFERROR(_xlfn.XLOOKUP(1,  (MAX(IF(H86 = 'Processed Non-zero TRI Data'!$I:$I,'Processed Non-zero TRI Data'!$A:$A)) = 'Processed Non-zero TRI Data'!$A:$A)*('Processed Non-zero TRI Data'!$I:$I = H86), 'Processed Non-zero TRI Data'!$U:$U), "N/A- Facility Does Not Report to TRI")</f>
        <v>0</v>
      </c>
      <c r="AF86" s="33">
        <f t="shared" si="19"/>
        <v>0</v>
      </c>
      <c r="AG86" s="33" t="str" cm="1">
        <f t="array" ref="AG86">IF(COUNTIF('Processed Non-zero TRI Data'!$I:$I,$H86)&gt;0,MEDIAN(IF('Processed Non-zero TRI Data'!$I:$I=H86,'Processed Non-zero TRI Data'!$U:$U)), "N/A - Facility Does Not Report to TRI")</f>
        <v>N/A - Facility Does Not Report to TRI</v>
      </c>
      <c r="AH86" s="33" t="str">
        <f t="shared" si="20"/>
        <v>N/A - Facility Does Not Report to TRI</v>
      </c>
      <c r="AI86" s="33" t="str">
        <f>IF(COUNTIF('Processed Non-zero TRI Data'!$I:$I,$H86)&gt;0,_xlfn.MAXIFS('Processed Non-zero TRI Data'!$U:$U,'Processed Non-zero TRI Data'!$I:$I,$H86), "N/A - Facility Does Not Report to TRI")</f>
        <v>N/A - Facility Does Not Report to TRI</v>
      </c>
      <c r="AJ86" s="33" t="str">
        <f t="shared" si="21"/>
        <v>N/A - Facility Does Not Report to TRI</v>
      </c>
      <c r="AK86" s="110" t="str" cm="1">
        <f t="array" ref="AK86">IF(B86="TRI Form A",AD86,IF(AI86=0,"Facility has no transfers to POTWs between 2019-2023.",IF(COUNTIF('Processed Non-zero TRI Data'!$I:$I,$H86)&gt;0,INDEX('Processed Non-zero TRI Data'!$A:$A,MATCH(1,($H86='Processed Non-zero TRI Data'!$I:$I)*(AI86='Processed Non-zero TRI Data'!$U:$U),0)),"N/A - Facility Does Not Report to TRI")))</f>
        <v>N/A - Facility Does Not Report to TRI</v>
      </c>
      <c r="AL86" s="109" cm="1">
        <f t="array" ref="AL86">IFERROR(_xlfn.XLOOKUP(1,  (MAX(IF(H86 = 'Processed Non-zero TRI Data'!$I$2:$I$23,'Processed Non-zero TRI Data'!$A$2:$A$23)) = 'Processed Non-zero TRI Data'!$A$2:$A$23)*('Processed Non-zero TRI Data'!$I$2:$I$23 = H86), 'Processed Non-zero TRI Data'!$W$2:$W$23), "N/A- Facility Does Not Report to TRI")</f>
        <v>0</v>
      </c>
      <c r="AM86" s="33">
        <f t="shared" si="22"/>
        <v>0</v>
      </c>
      <c r="AN86" s="33" t="str" cm="1">
        <f t="array" ref="AN86">IF(COUNTIF('Processed Non-zero TRI Data'!$I:$I,$H86)&gt;0,MEDIAN(IF('Processed Non-zero TRI Data'!$I:$I=H86,'Processed Non-zero TRI Data'!$W:$W)), "N/A - Facility Does Not Report to TRI")</f>
        <v>N/A - Facility Does Not Report to TRI</v>
      </c>
      <c r="AO86" s="33" t="str">
        <f t="shared" si="23"/>
        <v>N/A - Facility Does Not Report to TRI</v>
      </c>
      <c r="AP86" s="33" t="str">
        <f>IF(COUNTIF('Processed Non-zero TRI Data'!$I:$I,$H86)&gt;0,_xlfn.MAXIFS('Processed Non-zero TRI Data'!$W:$W,'Processed Non-zero TRI Data'!$I:$I,$H86), "N/A - Facility Does Not Report to TRI")</f>
        <v>N/A - Facility Does Not Report to TRI</v>
      </c>
      <c r="AQ86" s="33" t="str">
        <f t="shared" si="24"/>
        <v>N/A - Facility Does Not Report to TRI</v>
      </c>
      <c r="AR86" s="110" t="str" cm="1">
        <f t="array" ref="AR86">IF(B86="TRI Form A",AD86,IF(AP86=0,"Facility has no transfers to non-POTWs between 2019-2023.",IF(COUNTIF('Processed Non-zero TRI Data'!$I:$I,$H86)&gt;0,INDEX('Processed Non-zero TRI Data'!$A:$A,MATCH(1,($H86='Processed Non-zero TRI Data'!$I:$I)*(AP86='Processed Non-zero TRI Data'!$W:$W),0)),"N/A - Facility Does Not Report to TRI")))</f>
        <v>N/A - Facility Does Not Report to TRI</v>
      </c>
    </row>
    <row r="87" spans="1:44" ht="29" x14ac:dyDescent="0.35">
      <c r="A87" s="34">
        <v>84</v>
      </c>
      <c r="B87" s="33" t="str">
        <f>IFERROR("TRI Form "&amp;VLOOKUP(H87,'Processed Non-zero TRI Data'!$I$2:$K$23,3,FALSE),"DMR")</f>
        <v>DMR</v>
      </c>
      <c r="C87" s="33" t="str">
        <f>VLOOKUP($D87, 'COU.OES Summary'!C:D, 2, FALSE)</f>
        <v> </v>
      </c>
      <c r="D87" s="33" t="str">
        <f>IFERROR(VLOOKUP($H87, 'Processed Non-zero TRI Data'!$I:$O, 7, FALSE), VLOOKUP($I87, 'Processed Non-zero DMR Data'!$K:$R, 8, FALSE))</f>
        <v>Waste handling, treatment, and disposal - POTW</v>
      </c>
      <c r="E87" s="34" t="s">
        <v>263</v>
      </c>
      <c r="F87" s="34" t="s">
        <v>264</v>
      </c>
      <c r="G87" s="34" t="s">
        <v>108</v>
      </c>
      <c r="H87" s="34"/>
      <c r="I87" s="105">
        <v>110009938719</v>
      </c>
      <c r="J87" s="33" t="str">
        <f>IFERROR(VLOOKUP($I87, 'Processed Non-zero DMR Data'!$K:$U, 11, FALSE),"")</f>
        <v>KY0027979</v>
      </c>
      <c r="K87" s="33" t="str">
        <f>IFERROR(VLOOKUP($I87, 'Processed Non-zero DMR Data'!$K:$V, 12, FALSE),"Not Reported")</f>
        <v>McNabb Creek-Cumberland River</v>
      </c>
      <c r="L87" s="106">
        <f>IFERROR(VLOOKUP($I87, 'Processed Non-zero DMR Data'!$K:$W, 13, FALSE),"No Reach Code Reported")</f>
        <v>51302050707</v>
      </c>
      <c r="M87" s="107" t="str">
        <f>IFERROR(IFERROR(VLOOKUP(H87, 'Off-site Locations'!$K$3:$O$5, 5, FALSE), VLOOKUP(H87, 'Off-site Locations'!$B$3:$E$4, 4, FALSE)), "No Offsite Transfers")</f>
        <v>No Offsite Transfers</v>
      </c>
      <c r="N87" s="33">
        <f>VLOOKUP($D87, 'COU.OES Summary'!C:E, 3, FALSE)</f>
        <v>365</v>
      </c>
      <c r="O87" s="108">
        <f t="shared" si="14"/>
        <v>0</v>
      </c>
      <c r="P87" s="108">
        <f t="shared" si="15"/>
        <v>1.8616049374999999</v>
      </c>
      <c r="Q87" s="109" cm="1">
        <f t="array" ref="Q87">IFERROR(_xlfn.XLOOKUP(1,  (MAX(IF(I87 = 'Processed Non-zero DMR Data'!$K:$K,'Processed Non-zero DMR Data'!$A:$A)) = 'Processed Non-zero DMR Data'!$A:$A)*('Processed Non-zero DMR Data'!$K:$K = I87),'Processed Non-zero DMR Data'!$T:$T), "N/A- Facility Does Not Report DMRs")</f>
        <v>1.8616049374999999</v>
      </c>
      <c r="R87" s="33">
        <f t="shared" si="25"/>
        <v>5.1002875E-3</v>
      </c>
      <c r="S87" s="33" cm="1">
        <f t="array" ref="S87">IF(COUNTIF('Processed Non-zero DMR Data'!$K:$K,$I87)&gt;0,MEDIAN(IF('Processed Non-zero DMR Data'!$K:$K=I87,'Processed Non-zero DMR Data'!$T:$T)),"N/A - Facility Does Not Report DMRs")</f>
        <v>1.8616049374999999</v>
      </c>
      <c r="T87" s="33">
        <f t="shared" si="26"/>
        <v>5.1002875E-3</v>
      </c>
      <c r="U87" s="33">
        <f>IF(COUNTIF('Processed Non-zero DMR Data'!$K:$K,$I87)&gt;0,_xlfn.MAXIFS('Processed Non-zero DMR Data'!$T:$T,'Processed Non-zero DMR Data'!$K:$K,$I87), "N/A - Facility Does Not Report DMRs")</f>
        <v>1.8616049374999999</v>
      </c>
      <c r="V87" s="33">
        <f t="shared" si="27"/>
        <v>5.1002875E-3</v>
      </c>
      <c r="W87" s="110" cm="1">
        <f t="array" ref="W87">IF(COUNTIF('Processed Non-zero DMR Data'!$K:$K,$I87)&gt;0,INDEX('Processed Non-zero DMR Data'!$A:$A,MATCH(1,($I87='Processed Non-zero DMR Data'!$K:$K)*($U87='Processed Non-zero DMR Data'!$T:$T),0)), "N/A - Facility Does Not Report DMRs")</f>
        <v>2019</v>
      </c>
      <c r="X87" s="109" cm="1">
        <f t="array" ref="X87">IFERROR(_xlfn.XLOOKUP(1,  (MAX(IF(H87 = 'Processed Non-zero TRI Data'!$I:$I,'Processed Non-zero TRI Data'!$A:$A)) = 'Processed Non-zero TRI Data'!$A:$A)*('Processed Non-zero TRI Data'!$I:$I = H87), 'Processed Non-zero TRI Data'!$S:$S), "N/A- Facility Does Not Report to TRI")</f>
        <v>0</v>
      </c>
      <c r="Y87" s="33">
        <f t="shared" si="16"/>
        <v>0</v>
      </c>
      <c r="Z87" s="33" t="str" cm="1">
        <f t="array" ref="Z87">IF(COUNTIF('Processed Non-zero TRI Data'!$I:$I,$H87)&gt;0,MEDIAN(IF('Processed Non-zero TRI Data'!$I:$I=H87,'Processed Non-zero TRI Data'!$S:$S)), "N/A - Facility Does Not Report to TRI")</f>
        <v>N/A - Facility Does Not Report to TRI</v>
      </c>
      <c r="AA87" s="33" t="str">
        <f t="shared" si="17"/>
        <v>N/A - Facility Does Not Report to TRI</v>
      </c>
      <c r="AB87" s="33" t="str">
        <f>IF(COUNTIF('Processed Non-zero TRI Data'!$I:$I,$H87)&gt;0,_xlfn.MAXIFS('Processed Non-zero TRI Data'!$S:$S,'Processed Non-zero TRI Data'!$I:$I,$H87), "N/A - Facility Does Not Report to TRI")</f>
        <v>N/A - Facility Does Not Report to TRI</v>
      </c>
      <c r="AC87" s="33" t="str">
        <f t="shared" si="18"/>
        <v>N/A - Facility Does Not Report to TRI</v>
      </c>
      <c r="AD87" s="110" t="str" cm="1">
        <f t="array" ref="AD87">IFERROR(IF(B87 = "TRI Form R", IF(AB87 = 0, "Facility has no on-site water discharges between 2019-2023.",  IF(COUNTIF('Processed Non-zero TRI Data'!$I:$I,$H87)&gt;0,INDEX('Processed Non-zero TRI Data'!$A:$A,MATCH(1,($H87='Processed Non-zero TRI Data'!$I:$I)*(AB87='Processed Non-zero TRI Data'!$S:$S),0)))), VLOOKUP(H87, 'Form A Recent Reporting'!$L:$M, 2, FALSE)), ("N/A - Facility Does Not Report to TRI"))</f>
        <v>N/A - Facility Does Not Report to TRI</v>
      </c>
      <c r="AE87" s="109" cm="1">
        <f t="array" ref="AE87">IFERROR(_xlfn.XLOOKUP(1,  (MAX(IF(H87 = 'Processed Non-zero TRI Data'!$I:$I,'Processed Non-zero TRI Data'!$A:$A)) = 'Processed Non-zero TRI Data'!$A:$A)*('Processed Non-zero TRI Data'!$I:$I = H87), 'Processed Non-zero TRI Data'!$U:$U), "N/A- Facility Does Not Report to TRI")</f>
        <v>0</v>
      </c>
      <c r="AF87" s="33">
        <f t="shared" si="19"/>
        <v>0</v>
      </c>
      <c r="AG87" s="33" t="str" cm="1">
        <f t="array" ref="AG87">IF(COUNTIF('Processed Non-zero TRI Data'!$I:$I,$H87)&gt;0,MEDIAN(IF('Processed Non-zero TRI Data'!$I:$I=H87,'Processed Non-zero TRI Data'!$U:$U)), "N/A - Facility Does Not Report to TRI")</f>
        <v>N/A - Facility Does Not Report to TRI</v>
      </c>
      <c r="AH87" s="33" t="str">
        <f t="shared" si="20"/>
        <v>N/A - Facility Does Not Report to TRI</v>
      </c>
      <c r="AI87" s="33" t="str">
        <f>IF(COUNTIF('Processed Non-zero TRI Data'!$I:$I,$H87)&gt;0,_xlfn.MAXIFS('Processed Non-zero TRI Data'!$U:$U,'Processed Non-zero TRI Data'!$I:$I,$H87), "N/A - Facility Does Not Report to TRI")</f>
        <v>N/A - Facility Does Not Report to TRI</v>
      </c>
      <c r="AJ87" s="33" t="str">
        <f t="shared" si="21"/>
        <v>N/A - Facility Does Not Report to TRI</v>
      </c>
      <c r="AK87" s="110" t="str" cm="1">
        <f t="array" ref="AK87">IF(B87="TRI Form A",AD87,IF(AI87=0,"Facility has no transfers to POTWs between 2019-2023.",IF(COUNTIF('Processed Non-zero TRI Data'!$I:$I,$H87)&gt;0,INDEX('Processed Non-zero TRI Data'!$A:$A,MATCH(1,($H87='Processed Non-zero TRI Data'!$I:$I)*(AI87='Processed Non-zero TRI Data'!$U:$U),0)),"N/A - Facility Does Not Report to TRI")))</f>
        <v>N/A - Facility Does Not Report to TRI</v>
      </c>
      <c r="AL87" s="109" cm="1">
        <f t="array" ref="AL87">IFERROR(_xlfn.XLOOKUP(1,  (MAX(IF(H87 = 'Processed Non-zero TRI Data'!$I$2:$I$23,'Processed Non-zero TRI Data'!$A$2:$A$23)) = 'Processed Non-zero TRI Data'!$A$2:$A$23)*('Processed Non-zero TRI Data'!$I$2:$I$23 = H87), 'Processed Non-zero TRI Data'!$W$2:$W$23), "N/A- Facility Does Not Report to TRI")</f>
        <v>0</v>
      </c>
      <c r="AM87" s="33">
        <f t="shared" si="22"/>
        <v>0</v>
      </c>
      <c r="AN87" s="33" t="str" cm="1">
        <f t="array" ref="AN87">IF(COUNTIF('Processed Non-zero TRI Data'!$I:$I,$H87)&gt;0,MEDIAN(IF('Processed Non-zero TRI Data'!$I:$I=H87,'Processed Non-zero TRI Data'!$W:$W)), "N/A - Facility Does Not Report to TRI")</f>
        <v>N/A - Facility Does Not Report to TRI</v>
      </c>
      <c r="AO87" s="33" t="str">
        <f t="shared" si="23"/>
        <v>N/A - Facility Does Not Report to TRI</v>
      </c>
      <c r="AP87" s="33" t="str">
        <f>IF(COUNTIF('Processed Non-zero TRI Data'!$I:$I,$H87)&gt;0,_xlfn.MAXIFS('Processed Non-zero TRI Data'!$W:$W,'Processed Non-zero TRI Data'!$I:$I,$H87), "N/A - Facility Does Not Report to TRI")</f>
        <v>N/A - Facility Does Not Report to TRI</v>
      </c>
      <c r="AQ87" s="33" t="str">
        <f t="shared" si="24"/>
        <v>N/A - Facility Does Not Report to TRI</v>
      </c>
      <c r="AR87" s="110" t="str" cm="1">
        <f t="array" ref="AR87">IF(B87="TRI Form A",AD87,IF(AP87=0,"Facility has no transfers to non-POTWs between 2019-2023.",IF(COUNTIF('Processed Non-zero TRI Data'!$I:$I,$H87)&gt;0,INDEX('Processed Non-zero TRI Data'!$A:$A,MATCH(1,($H87='Processed Non-zero TRI Data'!$I:$I)*(AP87='Processed Non-zero TRI Data'!$W:$W),0)),"N/A - Facility Does Not Report to TRI")))</f>
        <v>N/A - Facility Does Not Report to TRI</v>
      </c>
    </row>
    <row r="88" spans="1:44" ht="29" x14ac:dyDescent="0.35">
      <c r="A88" s="34">
        <v>85</v>
      </c>
      <c r="B88" s="33" t="str">
        <f>IFERROR("TRI Form "&amp;VLOOKUP(H88,'Processed Non-zero TRI Data'!$I$2:$K$23,3,FALSE),"DMR")</f>
        <v>DMR</v>
      </c>
      <c r="C88" s="33" t="str">
        <f>VLOOKUP($D88, 'COU.OES Summary'!C:D, 2, FALSE)</f>
        <v> </v>
      </c>
      <c r="D88" s="33" t="str">
        <f>IFERROR(VLOOKUP($H88, 'Processed Non-zero TRI Data'!$I:$O, 7, FALSE), VLOOKUP($I88, 'Processed Non-zero DMR Data'!$K:$R, 8, FALSE))</f>
        <v>Waste handling, treatment, and disposal - POTW</v>
      </c>
      <c r="E88" s="34" t="s">
        <v>265</v>
      </c>
      <c r="F88" s="34" t="s">
        <v>266</v>
      </c>
      <c r="G88" s="34" t="s">
        <v>108</v>
      </c>
      <c r="H88" s="34"/>
      <c r="I88" s="105">
        <v>110000732324</v>
      </c>
      <c r="J88" s="33" t="str">
        <f>IFERROR(VLOOKUP($I88, 'Processed Non-zero DMR Data'!$K:$U, 11, FALSE),"")</f>
        <v>KY0027421</v>
      </c>
      <c r="K88" s="33" t="str">
        <f>IFERROR(VLOOKUP($I88, 'Processed Non-zero DMR Data'!$K:$V, 12, FALSE),"Not Reported")</f>
        <v>Dry Branch-Salt River</v>
      </c>
      <c r="L88" s="106">
        <f>IFERROR(VLOOKUP($I88, 'Processed Non-zero DMR Data'!$K:$W, 13, FALSE),"No Reach Code Reported")</f>
        <v>51401020102</v>
      </c>
      <c r="M88" s="107" t="str">
        <f>IFERROR(IFERROR(VLOOKUP(H88, 'Off-site Locations'!$K$3:$O$5, 5, FALSE), VLOOKUP(H88, 'Off-site Locations'!$B$3:$E$4, 4, FALSE)), "No Offsite Transfers")</f>
        <v>No Offsite Transfers</v>
      </c>
      <c r="N88" s="33">
        <f>VLOOKUP($D88, 'COU.OES Summary'!C:E, 3, FALSE)</f>
        <v>365</v>
      </c>
      <c r="O88" s="108">
        <f t="shared" si="14"/>
        <v>0</v>
      </c>
      <c r="P88" s="108">
        <f t="shared" si="15"/>
        <v>1.8070347</v>
      </c>
      <c r="Q88" s="109" cm="1">
        <f t="array" ref="Q88">IFERROR(_xlfn.XLOOKUP(1,  (MAX(IF(I88 = 'Processed Non-zero DMR Data'!$K:$K,'Processed Non-zero DMR Data'!$A:$A)) = 'Processed Non-zero DMR Data'!$A:$A)*('Processed Non-zero DMR Data'!$K:$K = I88),'Processed Non-zero DMR Data'!$T:$T), "N/A- Facility Does Not Report DMRs")</f>
        <v>1.24613555</v>
      </c>
      <c r="R88" s="33">
        <f t="shared" si="25"/>
        <v>3.41407E-3</v>
      </c>
      <c r="S88" s="33" cm="1">
        <f t="array" ref="S88">IF(COUNTIF('Processed Non-zero DMR Data'!$K:$K,$I88)&gt;0,MEDIAN(IF('Processed Non-zero DMR Data'!$K:$K=I88,'Processed Non-zero DMR Data'!$T:$T)),"N/A - Facility Does Not Report DMRs")</f>
        <v>1.526585125</v>
      </c>
      <c r="T88" s="33">
        <f t="shared" si="26"/>
        <v>4.182425E-3</v>
      </c>
      <c r="U88" s="33">
        <f>IF(COUNTIF('Processed Non-zero DMR Data'!$K:$K,$I88)&gt;0,_xlfn.MAXIFS('Processed Non-zero DMR Data'!$T:$T,'Processed Non-zero DMR Data'!$K:$K,$I88), "N/A - Facility Does Not Report DMRs")</f>
        <v>1.8070347</v>
      </c>
      <c r="V88" s="33">
        <f t="shared" si="27"/>
        <v>4.9507800000000001E-3</v>
      </c>
      <c r="W88" s="110" cm="1">
        <f t="array" ref="W88">IF(COUNTIF('Processed Non-zero DMR Data'!$K:$K,$I88)&gt;0,INDEX('Processed Non-zero DMR Data'!$A:$A,MATCH(1,($I88='Processed Non-zero DMR Data'!$K:$K)*($U88='Processed Non-zero DMR Data'!$T:$T),0)), "N/A - Facility Does Not Report DMRs")</f>
        <v>2019</v>
      </c>
      <c r="X88" s="109" cm="1">
        <f t="array" ref="X88">IFERROR(_xlfn.XLOOKUP(1,  (MAX(IF(H88 = 'Processed Non-zero TRI Data'!$I:$I,'Processed Non-zero TRI Data'!$A:$A)) = 'Processed Non-zero TRI Data'!$A:$A)*('Processed Non-zero TRI Data'!$I:$I = H88), 'Processed Non-zero TRI Data'!$S:$S), "N/A- Facility Does Not Report to TRI")</f>
        <v>0</v>
      </c>
      <c r="Y88" s="33">
        <f t="shared" si="16"/>
        <v>0</v>
      </c>
      <c r="Z88" s="33" t="str" cm="1">
        <f t="array" ref="Z88">IF(COUNTIF('Processed Non-zero TRI Data'!$I:$I,$H88)&gt;0,MEDIAN(IF('Processed Non-zero TRI Data'!$I:$I=H88,'Processed Non-zero TRI Data'!$S:$S)), "N/A - Facility Does Not Report to TRI")</f>
        <v>N/A - Facility Does Not Report to TRI</v>
      </c>
      <c r="AA88" s="33" t="str">
        <f t="shared" si="17"/>
        <v>N/A - Facility Does Not Report to TRI</v>
      </c>
      <c r="AB88" s="33" t="str">
        <f>IF(COUNTIF('Processed Non-zero TRI Data'!$I:$I,$H88)&gt;0,_xlfn.MAXIFS('Processed Non-zero TRI Data'!$S:$S,'Processed Non-zero TRI Data'!$I:$I,$H88), "N/A - Facility Does Not Report to TRI")</f>
        <v>N/A - Facility Does Not Report to TRI</v>
      </c>
      <c r="AC88" s="33" t="str">
        <f t="shared" si="18"/>
        <v>N/A - Facility Does Not Report to TRI</v>
      </c>
      <c r="AD88" s="110" t="str" cm="1">
        <f t="array" ref="AD88">IFERROR(IF(B88 = "TRI Form R", IF(AB88 = 0, "Facility has no on-site water discharges between 2019-2023.",  IF(COUNTIF('Processed Non-zero TRI Data'!$I:$I,$H88)&gt;0,INDEX('Processed Non-zero TRI Data'!$A:$A,MATCH(1,($H88='Processed Non-zero TRI Data'!$I:$I)*(AB88='Processed Non-zero TRI Data'!$S:$S),0)))), VLOOKUP(H88, 'Form A Recent Reporting'!$L:$M, 2, FALSE)), ("N/A - Facility Does Not Report to TRI"))</f>
        <v>N/A - Facility Does Not Report to TRI</v>
      </c>
      <c r="AE88" s="109" cm="1">
        <f t="array" ref="AE88">IFERROR(_xlfn.XLOOKUP(1,  (MAX(IF(H88 = 'Processed Non-zero TRI Data'!$I:$I,'Processed Non-zero TRI Data'!$A:$A)) = 'Processed Non-zero TRI Data'!$A:$A)*('Processed Non-zero TRI Data'!$I:$I = H88), 'Processed Non-zero TRI Data'!$U:$U), "N/A- Facility Does Not Report to TRI")</f>
        <v>0</v>
      </c>
      <c r="AF88" s="33">
        <f t="shared" si="19"/>
        <v>0</v>
      </c>
      <c r="AG88" s="33" t="str" cm="1">
        <f t="array" ref="AG88">IF(COUNTIF('Processed Non-zero TRI Data'!$I:$I,$H88)&gt;0,MEDIAN(IF('Processed Non-zero TRI Data'!$I:$I=H88,'Processed Non-zero TRI Data'!$U:$U)), "N/A - Facility Does Not Report to TRI")</f>
        <v>N/A - Facility Does Not Report to TRI</v>
      </c>
      <c r="AH88" s="33" t="str">
        <f t="shared" si="20"/>
        <v>N/A - Facility Does Not Report to TRI</v>
      </c>
      <c r="AI88" s="33" t="str">
        <f>IF(COUNTIF('Processed Non-zero TRI Data'!$I:$I,$H88)&gt;0,_xlfn.MAXIFS('Processed Non-zero TRI Data'!$U:$U,'Processed Non-zero TRI Data'!$I:$I,$H88), "N/A - Facility Does Not Report to TRI")</f>
        <v>N/A - Facility Does Not Report to TRI</v>
      </c>
      <c r="AJ88" s="33" t="str">
        <f t="shared" si="21"/>
        <v>N/A - Facility Does Not Report to TRI</v>
      </c>
      <c r="AK88" s="110" t="str" cm="1">
        <f t="array" ref="AK88">IF(B88="TRI Form A",AD88,IF(AI88=0,"Facility has no transfers to POTWs between 2019-2023.",IF(COUNTIF('Processed Non-zero TRI Data'!$I:$I,$H88)&gt;0,INDEX('Processed Non-zero TRI Data'!$A:$A,MATCH(1,($H88='Processed Non-zero TRI Data'!$I:$I)*(AI88='Processed Non-zero TRI Data'!$U:$U),0)),"N/A - Facility Does Not Report to TRI")))</f>
        <v>N/A - Facility Does Not Report to TRI</v>
      </c>
      <c r="AL88" s="109" cm="1">
        <f t="array" ref="AL88">IFERROR(_xlfn.XLOOKUP(1,  (MAX(IF(H88 = 'Processed Non-zero TRI Data'!$I$2:$I$23,'Processed Non-zero TRI Data'!$A$2:$A$23)) = 'Processed Non-zero TRI Data'!$A$2:$A$23)*('Processed Non-zero TRI Data'!$I$2:$I$23 = H88), 'Processed Non-zero TRI Data'!$W$2:$W$23), "N/A- Facility Does Not Report to TRI")</f>
        <v>0</v>
      </c>
      <c r="AM88" s="33">
        <f t="shared" si="22"/>
        <v>0</v>
      </c>
      <c r="AN88" s="33" t="str" cm="1">
        <f t="array" ref="AN88">IF(COUNTIF('Processed Non-zero TRI Data'!$I:$I,$H88)&gt;0,MEDIAN(IF('Processed Non-zero TRI Data'!$I:$I=H88,'Processed Non-zero TRI Data'!$W:$W)), "N/A - Facility Does Not Report to TRI")</f>
        <v>N/A - Facility Does Not Report to TRI</v>
      </c>
      <c r="AO88" s="33" t="str">
        <f t="shared" si="23"/>
        <v>N/A - Facility Does Not Report to TRI</v>
      </c>
      <c r="AP88" s="33" t="str">
        <f>IF(COUNTIF('Processed Non-zero TRI Data'!$I:$I,$H88)&gt;0,_xlfn.MAXIFS('Processed Non-zero TRI Data'!$W:$W,'Processed Non-zero TRI Data'!$I:$I,$H88), "N/A - Facility Does Not Report to TRI")</f>
        <v>N/A - Facility Does Not Report to TRI</v>
      </c>
      <c r="AQ88" s="33" t="str">
        <f t="shared" si="24"/>
        <v>N/A - Facility Does Not Report to TRI</v>
      </c>
      <c r="AR88" s="110" t="str" cm="1">
        <f t="array" ref="AR88">IF(B88="TRI Form A",AD88,IF(AP88=0,"Facility has no transfers to non-POTWs between 2019-2023.",IF(COUNTIF('Processed Non-zero TRI Data'!$I:$I,$H88)&gt;0,INDEX('Processed Non-zero TRI Data'!$A:$A,MATCH(1,($H88='Processed Non-zero TRI Data'!$I:$I)*(AP88='Processed Non-zero TRI Data'!$W:$W),0)),"N/A - Facility Does Not Report to TRI")))</f>
        <v>N/A - Facility Does Not Report to TRI</v>
      </c>
    </row>
    <row r="89" spans="1:44" ht="29" x14ac:dyDescent="0.35">
      <c r="A89" s="34">
        <v>86</v>
      </c>
      <c r="B89" s="33" t="str">
        <f>IFERROR("TRI Form "&amp;VLOOKUP(H89,'Processed Non-zero TRI Data'!$I$2:$K$23,3,FALSE),"DMR")</f>
        <v>DMR</v>
      </c>
      <c r="C89" s="33" t="str">
        <f>VLOOKUP($D89, 'COU.OES Summary'!C:D, 2, FALSE)</f>
        <v> </v>
      </c>
      <c r="D89" s="33" t="str">
        <f>IFERROR(VLOOKUP($H89, 'Processed Non-zero TRI Data'!$I:$O, 7, FALSE), VLOOKUP($I89, 'Processed Non-zero DMR Data'!$K:$R, 8, FALSE))</f>
        <v>Waste handling, treatment, and disposal - POTW</v>
      </c>
      <c r="E89" s="34" t="s">
        <v>267</v>
      </c>
      <c r="F89" s="34" t="s">
        <v>268</v>
      </c>
      <c r="G89" s="34" t="s">
        <v>156</v>
      </c>
      <c r="H89" s="34"/>
      <c r="I89" s="105">
        <v>110041973460</v>
      </c>
      <c r="J89" s="33" t="str">
        <f>IFERROR(VLOOKUP($I89, 'Processed Non-zero DMR Data'!$K:$U, 11, FALSE),"")</f>
        <v>HI0110078</v>
      </c>
      <c r="K89" s="33" t="str">
        <f>IFERROR(VLOOKUP($I89, 'Processed Non-zero DMR Data'!$K:$V, 12, FALSE),"Not Reported")</f>
        <v>Heeia Stream-Kaneohe Stream</v>
      </c>
      <c r="L89" s="106">
        <f>IFERROR(VLOOKUP($I89, 'Processed Non-zero DMR Data'!$K:$W, 13, FALSE),"No Reach Code Reported")</f>
        <v>200600000205</v>
      </c>
      <c r="M89" s="107" t="str">
        <f>IFERROR(IFERROR(VLOOKUP(H89, 'Off-site Locations'!$K$3:$O$5, 5, FALSE), VLOOKUP(H89, 'Off-site Locations'!$B$3:$E$4, 4, FALSE)), "No Offsite Transfers")</f>
        <v>No Offsite Transfers</v>
      </c>
      <c r="N89" s="33">
        <f>VLOOKUP($D89, 'COU.OES Summary'!C:E, 3, FALSE)</f>
        <v>365</v>
      </c>
      <c r="O89" s="108">
        <f t="shared" si="14"/>
        <v>0</v>
      </c>
      <c r="P89" s="108">
        <f t="shared" si="15"/>
        <v>1.747629125</v>
      </c>
      <c r="Q89" s="109" cm="1">
        <f t="array" ref="Q89">IFERROR(_xlfn.XLOOKUP(1,  (MAX(IF(I89 = 'Processed Non-zero DMR Data'!$K:$K,'Processed Non-zero DMR Data'!$A:$A)) = 'Processed Non-zero DMR Data'!$A:$A)*('Processed Non-zero DMR Data'!$K:$K = I89),'Processed Non-zero DMR Data'!$T:$T), "N/A- Facility Does Not Report DMRs")</f>
        <v>1.6523038999999999</v>
      </c>
      <c r="R89" s="33">
        <f t="shared" si="25"/>
        <v>4.5268599999999997E-3</v>
      </c>
      <c r="S89" s="33" cm="1">
        <f t="array" ref="S89">IF(COUNTIF('Processed Non-zero DMR Data'!$K:$K,$I89)&gt;0,MEDIAN(IF('Processed Non-zero DMR Data'!$K:$K=I89,'Processed Non-zero DMR Data'!$T:$T)),"N/A - Facility Does Not Report DMRs")</f>
        <v>1.4723602687499999</v>
      </c>
      <c r="T89" s="33">
        <f t="shared" si="26"/>
        <v>4.03386375E-3</v>
      </c>
      <c r="U89" s="33">
        <f>IF(COUNTIF('Processed Non-zero DMR Data'!$K:$K,$I89)&gt;0,_xlfn.MAXIFS('Processed Non-zero DMR Data'!$T:$T,'Processed Non-zero DMR Data'!$K:$K,$I89), "N/A - Facility Does Not Report DMRs")</f>
        <v>1.747629125</v>
      </c>
      <c r="V89" s="33">
        <f t="shared" si="27"/>
        <v>4.7880250000000004E-3</v>
      </c>
      <c r="W89" s="110" cm="1">
        <f t="array" ref="W89">IF(COUNTIF('Processed Non-zero DMR Data'!$K:$K,$I89)&gt;0,INDEX('Processed Non-zero DMR Data'!$A:$A,MATCH(1,($I89='Processed Non-zero DMR Data'!$K:$K)*($U89='Processed Non-zero DMR Data'!$T:$T),0)), "N/A - Facility Does Not Report DMRs")</f>
        <v>2021</v>
      </c>
      <c r="X89" s="109" cm="1">
        <f t="array" ref="X89">IFERROR(_xlfn.XLOOKUP(1,  (MAX(IF(H89 = 'Processed Non-zero TRI Data'!$I:$I,'Processed Non-zero TRI Data'!$A:$A)) = 'Processed Non-zero TRI Data'!$A:$A)*('Processed Non-zero TRI Data'!$I:$I = H89), 'Processed Non-zero TRI Data'!$S:$S), "N/A- Facility Does Not Report to TRI")</f>
        <v>0</v>
      </c>
      <c r="Y89" s="33">
        <f t="shared" si="16"/>
        <v>0</v>
      </c>
      <c r="Z89" s="33" t="str" cm="1">
        <f t="array" ref="Z89">IF(COUNTIF('Processed Non-zero TRI Data'!$I:$I,$H89)&gt;0,MEDIAN(IF('Processed Non-zero TRI Data'!$I:$I=H89,'Processed Non-zero TRI Data'!$S:$S)), "N/A - Facility Does Not Report to TRI")</f>
        <v>N/A - Facility Does Not Report to TRI</v>
      </c>
      <c r="AA89" s="33" t="str">
        <f t="shared" si="17"/>
        <v>N/A - Facility Does Not Report to TRI</v>
      </c>
      <c r="AB89" s="33" t="str">
        <f>IF(COUNTIF('Processed Non-zero TRI Data'!$I:$I,$H89)&gt;0,_xlfn.MAXIFS('Processed Non-zero TRI Data'!$S:$S,'Processed Non-zero TRI Data'!$I:$I,$H89), "N/A - Facility Does Not Report to TRI")</f>
        <v>N/A - Facility Does Not Report to TRI</v>
      </c>
      <c r="AC89" s="33" t="str">
        <f t="shared" si="18"/>
        <v>N/A - Facility Does Not Report to TRI</v>
      </c>
      <c r="AD89" s="110" t="str" cm="1">
        <f t="array" ref="AD89">IFERROR(IF(B89 = "TRI Form R", IF(AB89 = 0, "Facility has no on-site water discharges between 2019-2023.",  IF(COUNTIF('Processed Non-zero TRI Data'!$I:$I,$H89)&gt;0,INDEX('Processed Non-zero TRI Data'!$A:$A,MATCH(1,($H89='Processed Non-zero TRI Data'!$I:$I)*(AB89='Processed Non-zero TRI Data'!$S:$S),0)))), VLOOKUP(H89, 'Form A Recent Reporting'!$L:$M, 2, FALSE)), ("N/A - Facility Does Not Report to TRI"))</f>
        <v>N/A - Facility Does Not Report to TRI</v>
      </c>
      <c r="AE89" s="109" cm="1">
        <f t="array" ref="AE89">IFERROR(_xlfn.XLOOKUP(1,  (MAX(IF(H89 = 'Processed Non-zero TRI Data'!$I:$I,'Processed Non-zero TRI Data'!$A:$A)) = 'Processed Non-zero TRI Data'!$A:$A)*('Processed Non-zero TRI Data'!$I:$I = H89), 'Processed Non-zero TRI Data'!$U:$U), "N/A- Facility Does Not Report to TRI")</f>
        <v>0</v>
      </c>
      <c r="AF89" s="33">
        <f t="shared" si="19"/>
        <v>0</v>
      </c>
      <c r="AG89" s="33" t="str" cm="1">
        <f t="array" ref="AG89">IF(COUNTIF('Processed Non-zero TRI Data'!$I:$I,$H89)&gt;0,MEDIAN(IF('Processed Non-zero TRI Data'!$I:$I=H89,'Processed Non-zero TRI Data'!$U:$U)), "N/A - Facility Does Not Report to TRI")</f>
        <v>N/A - Facility Does Not Report to TRI</v>
      </c>
      <c r="AH89" s="33" t="str">
        <f t="shared" si="20"/>
        <v>N/A - Facility Does Not Report to TRI</v>
      </c>
      <c r="AI89" s="33" t="str">
        <f>IF(COUNTIF('Processed Non-zero TRI Data'!$I:$I,$H89)&gt;0,_xlfn.MAXIFS('Processed Non-zero TRI Data'!$U:$U,'Processed Non-zero TRI Data'!$I:$I,$H89), "N/A - Facility Does Not Report to TRI")</f>
        <v>N/A - Facility Does Not Report to TRI</v>
      </c>
      <c r="AJ89" s="33" t="str">
        <f t="shared" si="21"/>
        <v>N/A - Facility Does Not Report to TRI</v>
      </c>
      <c r="AK89" s="110" t="str" cm="1">
        <f t="array" ref="AK89">IF(B89="TRI Form A",AD89,IF(AI89=0,"Facility has no transfers to POTWs between 2019-2023.",IF(COUNTIF('Processed Non-zero TRI Data'!$I:$I,$H89)&gt;0,INDEX('Processed Non-zero TRI Data'!$A:$A,MATCH(1,($H89='Processed Non-zero TRI Data'!$I:$I)*(AI89='Processed Non-zero TRI Data'!$U:$U),0)),"N/A - Facility Does Not Report to TRI")))</f>
        <v>N/A - Facility Does Not Report to TRI</v>
      </c>
      <c r="AL89" s="109" cm="1">
        <f t="array" ref="AL89">IFERROR(_xlfn.XLOOKUP(1,  (MAX(IF(H89 = 'Processed Non-zero TRI Data'!$I$2:$I$23,'Processed Non-zero TRI Data'!$A$2:$A$23)) = 'Processed Non-zero TRI Data'!$A$2:$A$23)*('Processed Non-zero TRI Data'!$I$2:$I$23 = H89), 'Processed Non-zero TRI Data'!$W$2:$W$23), "N/A- Facility Does Not Report to TRI")</f>
        <v>0</v>
      </c>
      <c r="AM89" s="33">
        <f t="shared" si="22"/>
        <v>0</v>
      </c>
      <c r="AN89" s="33" t="str" cm="1">
        <f t="array" ref="AN89">IF(COUNTIF('Processed Non-zero TRI Data'!$I:$I,$H89)&gt;0,MEDIAN(IF('Processed Non-zero TRI Data'!$I:$I=H89,'Processed Non-zero TRI Data'!$W:$W)), "N/A - Facility Does Not Report to TRI")</f>
        <v>N/A - Facility Does Not Report to TRI</v>
      </c>
      <c r="AO89" s="33" t="str">
        <f t="shared" si="23"/>
        <v>N/A - Facility Does Not Report to TRI</v>
      </c>
      <c r="AP89" s="33" t="str">
        <f>IF(COUNTIF('Processed Non-zero TRI Data'!$I:$I,$H89)&gt;0,_xlfn.MAXIFS('Processed Non-zero TRI Data'!$W:$W,'Processed Non-zero TRI Data'!$I:$I,$H89), "N/A - Facility Does Not Report to TRI")</f>
        <v>N/A - Facility Does Not Report to TRI</v>
      </c>
      <c r="AQ89" s="33" t="str">
        <f t="shared" si="24"/>
        <v>N/A - Facility Does Not Report to TRI</v>
      </c>
      <c r="AR89" s="110" t="str" cm="1">
        <f t="array" ref="AR89">IF(B89="TRI Form A",AD89,IF(AP89=0,"Facility has no transfers to non-POTWs between 2019-2023.",IF(COUNTIF('Processed Non-zero TRI Data'!$I:$I,$H89)&gt;0,INDEX('Processed Non-zero TRI Data'!$A:$A,MATCH(1,($H89='Processed Non-zero TRI Data'!$I:$I)*(AP89='Processed Non-zero TRI Data'!$W:$W),0)),"N/A - Facility Does Not Report to TRI")))</f>
        <v>N/A - Facility Does Not Report to TRI</v>
      </c>
    </row>
    <row r="90" spans="1:44" ht="29" x14ac:dyDescent="0.35">
      <c r="A90" s="34">
        <v>87</v>
      </c>
      <c r="B90" s="33" t="str">
        <f>IFERROR("TRI Form "&amp;VLOOKUP(H90,'Processed Non-zero TRI Data'!$I$2:$K$23,3,FALSE),"DMR")</f>
        <v>DMR</v>
      </c>
      <c r="C90" s="33" t="str">
        <f>VLOOKUP($D90, 'COU.OES Summary'!C:D, 2, FALSE)</f>
        <v> </v>
      </c>
      <c r="D90" s="33" t="str">
        <f>IFERROR(VLOOKUP($H90, 'Processed Non-zero TRI Data'!$I:$O, 7, FALSE), VLOOKUP($I90, 'Processed Non-zero DMR Data'!$K:$R, 8, FALSE))</f>
        <v>Waste handling, treatment, and disposal - POTW</v>
      </c>
      <c r="E90" s="34" t="s">
        <v>269</v>
      </c>
      <c r="F90" s="34" t="s">
        <v>270</v>
      </c>
      <c r="G90" s="34" t="s">
        <v>108</v>
      </c>
      <c r="H90" s="34"/>
      <c r="I90" s="105">
        <v>110009933402</v>
      </c>
      <c r="J90" s="33" t="str">
        <f>IFERROR(VLOOKUP($I90, 'Processed Non-zero DMR Data'!$K:$U, 11, FALSE),"")</f>
        <v>KY0104027</v>
      </c>
      <c r="K90" s="33" t="str">
        <f>IFERROR(VLOOKUP($I90, 'Processed Non-zero DMR Data'!$K:$V, 12, FALSE),"Not Reported")</f>
        <v>Buffalo Creek-Beech Fork</v>
      </c>
      <c r="L90" s="106">
        <f>IFERROR(VLOOKUP($I90, 'Processed Non-zero DMR Data'!$K:$W, 13, FALSE),"No Reach Code Reported")</f>
        <v>51401030306</v>
      </c>
      <c r="M90" s="107" t="str">
        <f>IFERROR(IFERROR(VLOOKUP(H90, 'Off-site Locations'!$K$3:$O$5, 5, FALSE), VLOOKUP(H90, 'Off-site Locations'!$B$3:$E$4, 4, FALSE)), "No Offsite Transfers")</f>
        <v>No Offsite Transfers</v>
      </c>
      <c r="N90" s="33">
        <f>VLOOKUP($D90, 'COU.OES Summary'!C:E, 3, FALSE)</f>
        <v>365</v>
      </c>
      <c r="O90" s="108">
        <f t="shared" si="14"/>
        <v>0</v>
      </c>
      <c r="P90" s="108">
        <f t="shared" si="15"/>
        <v>1.6219103500000001</v>
      </c>
      <c r="Q90" s="109" cm="1">
        <f t="array" ref="Q90">IFERROR(_xlfn.XLOOKUP(1,  (MAX(IF(I90 = 'Processed Non-zero DMR Data'!$K:$K,'Processed Non-zero DMR Data'!$A:$A)) = 'Processed Non-zero DMR Data'!$A:$A)*('Processed Non-zero DMR Data'!$K:$K = I90),'Processed Non-zero DMR Data'!$T:$T), "N/A- Facility Does Not Report DMRs")</f>
        <v>1.6219103500000001</v>
      </c>
      <c r="R90" s="33">
        <f t="shared" si="25"/>
        <v>4.4435899999999999E-3</v>
      </c>
      <c r="S90" s="33" cm="1">
        <f t="array" ref="S90">IF(COUNTIF('Processed Non-zero DMR Data'!$K:$K,$I90)&gt;0,MEDIAN(IF('Processed Non-zero DMR Data'!$K:$K=I90,'Processed Non-zero DMR Data'!$T:$T)),"N/A - Facility Does Not Report DMRs")</f>
        <v>1.421589225</v>
      </c>
      <c r="T90" s="33">
        <f t="shared" si="26"/>
        <v>3.8947649999999997E-3</v>
      </c>
      <c r="U90" s="33">
        <f>IF(COUNTIF('Processed Non-zero DMR Data'!$K:$K,$I90)&gt;0,_xlfn.MAXIFS('Processed Non-zero DMR Data'!$T:$T,'Processed Non-zero DMR Data'!$K:$K,$I90), "N/A - Facility Does Not Report DMRs")</f>
        <v>1.6219103500000001</v>
      </c>
      <c r="V90" s="33">
        <f t="shared" si="27"/>
        <v>4.4435899999999999E-3</v>
      </c>
      <c r="W90" s="110" cm="1">
        <f t="array" ref="W90">IF(COUNTIF('Processed Non-zero DMR Data'!$K:$K,$I90)&gt;0,INDEX('Processed Non-zero DMR Data'!$A:$A,MATCH(1,($I90='Processed Non-zero DMR Data'!$K:$K)*($U90='Processed Non-zero DMR Data'!$T:$T),0)), "N/A - Facility Does Not Report DMRs")</f>
        <v>2021</v>
      </c>
      <c r="X90" s="109" cm="1">
        <f t="array" ref="X90">IFERROR(_xlfn.XLOOKUP(1,  (MAX(IF(H90 = 'Processed Non-zero TRI Data'!$I:$I,'Processed Non-zero TRI Data'!$A:$A)) = 'Processed Non-zero TRI Data'!$A:$A)*('Processed Non-zero TRI Data'!$I:$I = H90), 'Processed Non-zero TRI Data'!$S:$S), "N/A- Facility Does Not Report to TRI")</f>
        <v>0</v>
      </c>
      <c r="Y90" s="33">
        <f t="shared" si="16"/>
        <v>0</v>
      </c>
      <c r="Z90" s="33" t="str" cm="1">
        <f t="array" ref="Z90">IF(COUNTIF('Processed Non-zero TRI Data'!$I:$I,$H90)&gt;0,MEDIAN(IF('Processed Non-zero TRI Data'!$I:$I=H90,'Processed Non-zero TRI Data'!$S:$S)), "N/A - Facility Does Not Report to TRI")</f>
        <v>N/A - Facility Does Not Report to TRI</v>
      </c>
      <c r="AA90" s="33" t="str">
        <f t="shared" si="17"/>
        <v>N/A - Facility Does Not Report to TRI</v>
      </c>
      <c r="AB90" s="33" t="str">
        <f>IF(COUNTIF('Processed Non-zero TRI Data'!$I:$I,$H90)&gt;0,_xlfn.MAXIFS('Processed Non-zero TRI Data'!$S:$S,'Processed Non-zero TRI Data'!$I:$I,$H90), "N/A - Facility Does Not Report to TRI")</f>
        <v>N/A - Facility Does Not Report to TRI</v>
      </c>
      <c r="AC90" s="33" t="str">
        <f t="shared" si="18"/>
        <v>N/A - Facility Does Not Report to TRI</v>
      </c>
      <c r="AD90" s="110" t="str" cm="1">
        <f t="array" ref="AD90">IFERROR(IF(B90 = "TRI Form R", IF(AB90 = 0, "Facility has no on-site water discharges between 2019-2023.",  IF(COUNTIF('Processed Non-zero TRI Data'!$I:$I,$H90)&gt;0,INDEX('Processed Non-zero TRI Data'!$A:$A,MATCH(1,($H90='Processed Non-zero TRI Data'!$I:$I)*(AB90='Processed Non-zero TRI Data'!$S:$S),0)))), VLOOKUP(H90, 'Form A Recent Reporting'!$L:$M, 2, FALSE)), ("N/A - Facility Does Not Report to TRI"))</f>
        <v>N/A - Facility Does Not Report to TRI</v>
      </c>
      <c r="AE90" s="109" cm="1">
        <f t="array" ref="AE90">IFERROR(_xlfn.XLOOKUP(1,  (MAX(IF(H90 = 'Processed Non-zero TRI Data'!$I:$I,'Processed Non-zero TRI Data'!$A:$A)) = 'Processed Non-zero TRI Data'!$A:$A)*('Processed Non-zero TRI Data'!$I:$I = H90), 'Processed Non-zero TRI Data'!$U:$U), "N/A- Facility Does Not Report to TRI")</f>
        <v>0</v>
      </c>
      <c r="AF90" s="33">
        <f t="shared" si="19"/>
        <v>0</v>
      </c>
      <c r="AG90" s="33" t="str" cm="1">
        <f t="array" ref="AG90">IF(COUNTIF('Processed Non-zero TRI Data'!$I:$I,$H90)&gt;0,MEDIAN(IF('Processed Non-zero TRI Data'!$I:$I=H90,'Processed Non-zero TRI Data'!$U:$U)), "N/A - Facility Does Not Report to TRI")</f>
        <v>N/A - Facility Does Not Report to TRI</v>
      </c>
      <c r="AH90" s="33" t="str">
        <f t="shared" si="20"/>
        <v>N/A - Facility Does Not Report to TRI</v>
      </c>
      <c r="AI90" s="33" t="str">
        <f>IF(COUNTIF('Processed Non-zero TRI Data'!$I:$I,$H90)&gt;0,_xlfn.MAXIFS('Processed Non-zero TRI Data'!$U:$U,'Processed Non-zero TRI Data'!$I:$I,$H90), "N/A - Facility Does Not Report to TRI")</f>
        <v>N/A - Facility Does Not Report to TRI</v>
      </c>
      <c r="AJ90" s="33" t="str">
        <f t="shared" si="21"/>
        <v>N/A - Facility Does Not Report to TRI</v>
      </c>
      <c r="AK90" s="110" t="str" cm="1">
        <f t="array" ref="AK90">IF(B90="TRI Form A",AD90,IF(AI90=0,"Facility has no transfers to POTWs between 2019-2023.",IF(COUNTIF('Processed Non-zero TRI Data'!$I:$I,$H90)&gt;0,INDEX('Processed Non-zero TRI Data'!$A:$A,MATCH(1,($H90='Processed Non-zero TRI Data'!$I:$I)*(AI90='Processed Non-zero TRI Data'!$U:$U),0)),"N/A - Facility Does Not Report to TRI")))</f>
        <v>N/A - Facility Does Not Report to TRI</v>
      </c>
      <c r="AL90" s="109" cm="1">
        <f t="array" ref="AL90">IFERROR(_xlfn.XLOOKUP(1,  (MAX(IF(H90 = 'Processed Non-zero TRI Data'!$I$2:$I$23,'Processed Non-zero TRI Data'!$A$2:$A$23)) = 'Processed Non-zero TRI Data'!$A$2:$A$23)*('Processed Non-zero TRI Data'!$I$2:$I$23 = H90), 'Processed Non-zero TRI Data'!$W$2:$W$23), "N/A- Facility Does Not Report to TRI")</f>
        <v>0</v>
      </c>
      <c r="AM90" s="33">
        <f t="shared" si="22"/>
        <v>0</v>
      </c>
      <c r="AN90" s="33" t="str" cm="1">
        <f t="array" ref="AN90">IF(COUNTIF('Processed Non-zero TRI Data'!$I:$I,$H90)&gt;0,MEDIAN(IF('Processed Non-zero TRI Data'!$I:$I=H90,'Processed Non-zero TRI Data'!$W:$W)), "N/A - Facility Does Not Report to TRI")</f>
        <v>N/A - Facility Does Not Report to TRI</v>
      </c>
      <c r="AO90" s="33" t="str">
        <f t="shared" si="23"/>
        <v>N/A - Facility Does Not Report to TRI</v>
      </c>
      <c r="AP90" s="33" t="str">
        <f>IF(COUNTIF('Processed Non-zero TRI Data'!$I:$I,$H90)&gt;0,_xlfn.MAXIFS('Processed Non-zero TRI Data'!$W:$W,'Processed Non-zero TRI Data'!$I:$I,$H90), "N/A - Facility Does Not Report to TRI")</f>
        <v>N/A - Facility Does Not Report to TRI</v>
      </c>
      <c r="AQ90" s="33" t="str">
        <f t="shared" si="24"/>
        <v>N/A - Facility Does Not Report to TRI</v>
      </c>
      <c r="AR90" s="110" t="str" cm="1">
        <f t="array" ref="AR90">IF(B90="TRI Form A",AD90,IF(AP90=0,"Facility has no transfers to non-POTWs between 2019-2023.",IF(COUNTIF('Processed Non-zero TRI Data'!$I:$I,$H90)&gt;0,INDEX('Processed Non-zero TRI Data'!$A:$A,MATCH(1,($H90='Processed Non-zero TRI Data'!$I:$I)*(AP90='Processed Non-zero TRI Data'!$W:$W),0)),"N/A - Facility Does Not Report to TRI")))</f>
        <v>N/A - Facility Does Not Report to TRI</v>
      </c>
    </row>
    <row r="91" spans="1:44" ht="29" x14ac:dyDescent="0.35">
      <c r="A91" s="34">
        <v>88</v>
      </c>
      <c r="B91" s="33" t="str">
        <f>IFERROR("TRI Form "&amp;VLOOKUP(H91,'Processed Non-zero TRI Data'!$I$2:$K$23,3,FALSE),"DMR")</f>
        <v>DMR</v>
      </c>
      <c r="C91" s="33" t="str">
        <f>VLOOKUP($D91, 'COU.OES Summary'!C:D, 2, FALSE)</f>
        <v> </v>
      </c>
      <c r="D91" s="33" t="str">
        <f>IFERROR(VLOOKUP($H91, 'Processed Non-zero TRI Data'!$I:$O, 7, FALSE), VLOOKUP($I91, 'Processed Non-zero DMR Data'!$K:$R, 8, FALSE))</f>
        <v>Waste handling, treatment, and disposal - Remediation or Monitoring</v>
      </c>
      <c r="E91" s="34" t="s">
        <v>271</v>
      </c>
      <c r="F91" s="34" t="s">
        <v>272</v>
      </c>
      <c r="G91" s="34" t="s">
        <v>273</v>
      </c>
      <c r="H91" s="34"/>
      <c r="I91" s="105">
        <v>110042068473</v>
      </c>
      <c r="J91" s="33" t="str">
        <f>IFERROR(VLOOKUP($I91, 'Processed Non-zero DMR Data'!$K:$U, 11, FALSE),"")</f>
        <v>NN0000019</v>
      </c>
      <c r="K91" s="33" t="str">
        <f>IFERROR(VLOOKUP($I91, 'Processed Non-zero DMR Data'!$K:$V, 12, FALSE),"Not Reported")</f>
        <v>Morgan Lake-Chaco River</v>
      </c>
      <c r="L91" s="106">
        <f>IFERROR(VLOOKUP($I91, 'Processed Non-zero DMR Data'!$K:$W, 13, FALSE),"No Reach Code Reported")</f>
        <v>140801062008</v>
      </c>
      <c r="M91" s="107" t="str">
        <f>IFERROR(IFERROR(VLOOKUP(H91, 'Off-site Locations'!$K$3:$O$5, 5, FALSE), VLOOKUP(H91, 'Off-site Locations'!$B$3:$E$4, 4, FALSE)), "No Offsite Transfers")</f>
        <v>No Offsite Transfers</v>
      </c>
      <c r="N91" s="33">
        <f>VLOOKUP($D91, 'COU.OES Summary'!C:E, 3, FALSE)</f>
        <v>365</v>
      </c>
      <c r="O91" s="108">
        <f t="shared" si="14"/>
        <v>0</v>
      </c>
      <c r="P91" s="108">
        <f t="shared" si="15"/>
        <v>1.6192230000000001</v>
      </c>
      <c r="Q91" s="109" cm="1">
        <f t="array" ref="Q91">IFERROR(_xlfn.XLOOKUP(1,  (MAX(IF(I91 = 'Processed Non-zero DMR Data'!$K:$K,'Processed Non-zero DMR Data'!$A:$A)) = 'Processed Non-zero DMR Data'!$A:$A)*('Processed Non-zero DMR Data'!$K:$K = I91),'Processed Non-zero DMR Data'!$T:$T), "N/A- Facility Does Not Report DMRs")</f>
        <v>1.6192230000000001</v>
      </c>
      <c r="R91" s="33">
        <f t="shared" si="25"/>
        <v>4.4362273972602742E-3</v>
      </c>
      <c r="S91" s="33" cm="1">
        <f t="array" ref="S91">IF(COUNTIF('Processed Non-zero DMR Data'!$K:$K,$I91)&gt;0,MEDIAN(IF('Processed Non-zero DMR Data'!$K:$K=I91,'Processed Non-zero DMR Data'!$T:$T)),"N/A - Facility Does Not Report DMRs")</f>
        <v>1.6192230000000001</v>
      </c>
      <c r="T91" s="33">
        <f t="shared" si="26"/>
        <v>4.4362273972602742E-3</v>
      </c>
      <c r="U91" s="33">
        <f>IF(COUNTIF('Processed Non-zero DMR Data'!$K:$K,$I91)&gt;0,_xlfn.MAXIFS('Processed Non-zero DMR Data'!$T:$T,'Processed Non-zero DMR Data'!$K:$K,$I91), "N/A - Facility Does Not Report DMRs")</f>
        <v>1.6192230000000001</v>
      </c>
      <c r="V91" s="33">
        <f t="shared" si="27"/>
        <v>4.4362273972602742E-3</v>
      </c>
      <c r="W91" s="110" cm="1">
        <f t="array" ref="W91">IF(COUNTIF('Processed Non-zero DMR Data'!$K:$K,$I91)&gt;0,INDEX('Processed Non-zero DMR Data'!$A:$A,MATCH(1,($I91='Processed Non-zero DMR Data'!$K:$K)*($U91='Processed Non-zero DMR Data'!$T:$T),0)), "N/A - Facility Does Not Report DMRs")</f>
        <v>2021</v>
      </c>
      <c r="X91" s="109" cm="1">
        <f t="array" ref="X91">IFERROR(_xlfn.XLOOKUP(1,  (MAX(IF(H91 = 'Processed Non-zero TRI Data'!$I:$I,'Processed Non-zero TRI Data'!$A:$A)) = 'Processed Non-zero TRI Data'!$A:$A)*('Processed Non-zero TRI Data'!$I:$I = H91), 'Processed Non-zero TRI Data'!$S:$S), "N/A- Facility Does Not Report to TRI")</f>
        <v>0</v>
      </c>
      <c r="Y91" s="33">
        <f t="shared" si="16"/>
        <v>0</v>
      </c>
      <c r="Z91" s="33" t="str" cm="1">
        <f t="array" ref="Z91">IF(COUNTIF('Processed Non-zero TRI Data'!$I:$I,$H91)&gt;0,MEDIAN(IF('Processed Non-zero TRI Data'!$I:$I=H91,'Processed Non-zero TRI Data'!$S:$S)), "N/A - Facility Does Not Report to TRI")</f>
        <v>N/A - Facility Does Not Report to TRI</v>
      </c>
      <c r="AA91" s="33" t="str">
        <f t="shared" si="17"/>
        <v>N/A - Facility Does Not Report to TRI</v>
      </c>
      <c r="AB91" s="33" t="str">
        <f>IF(COUNTIF('Processed Non-zero TRI Data'!$I:$I,$H91)&gt;0,_xlfn.MAXIFS('Processed Non-zero TRI Data'!$S:$S,'Processed Non-zero TRI Data'!$I:$I,$H91), "N/A - Facility Does Not Report to TRI")</f>
        <v>N/A - Facility Does Not Report to TRI</v>
      </c>
      <c r="AC91" s="33" t="str">
        <f t="shared" si="18"/>
        <v>N/A - Facility Does Not Report to TRI</v>
      </c>
      <c r="AD91" s="110" t="str" cm="1">
        <f t="array" ref="AD91">IFERROR(IF(B91 = "TRI Form R", IF(AB91 = 0, "Facility has no on-site water discharges between 2019-2023.",  IF(COUNTIF('Processed Non-zero TRI Data'!$I:$I,$H91)&gt;0,INDEX('Processed Non-zero TRI Data'!$A:$A,MATCH(1,($H91='Processed Non-zero TRI Data'!$I:$I)*(AB91='Processed Non-zero TRI Data'!$S:$S),0)))), VLOOKUP(H91, 'Form A Recent Reporting'!$L:$M, 2, FALSE)), ("N/A - Facility Does Not Report to TRI"))</f>
        <v>N/A - Facility Does Not Report to TRI</v>
      </c>
      <c r="AE91" s="109" cm="1">
        <f t="array" ref="AE91">IFERROR(_xlfn.XLOOKUP(1,  (MAX(IF(H91 = 'Processed Non-zero TRI Data'!$I:$I,'Processed Non-zero TRI Data'!$A:$A)) = 'Processed Non-zero TRI Data'!$A:$A)*('Processed Non-zero TRI Data'!$I:$I = H91), 'Processed Non-zero TRI Data'!$U:$U), "N/A- Facility Does Not Report to TRI")</f>
        <v>0</v>
      </c>
      <c r="AF91" s="33">
        <f t="shared" si="19"/>
        <v>0</v>
      </c>
      <c r="AG91" s="33" t="str" cm="1">
        <f t="array" ref="AG91">IF(COUNTIF('Processed Non-zero TRI Data'!$I:$I,$H91)&gt;0,MEDIAN(IF('Processed Non-zero TRI Data'!$I:$I=H91,'Processed Non-zero TRI Data'!$U:$U)), "N/A - Facility Does Not Report to TRI")</f>
        <v>N/A - Facility Does Not Report to TRI</v>
      </c>
      <c r="AH91" s="33" t="str">
        <f t="shared" si="20"/>
        <v>N/A - Facility Does Not Report to TRI</v>
      </c>
      <c r="AI91" s="33" t="str">
        <f>IF(COUNTIF('Processed Non-zero TRI Data'!$I:$I,$H91)&gt;0,_xlfn.MAXIFS('Processed Non-zero TRI Data'!$U:$U,'Processed Non-zero TRI Data'!$I:$I,$H91), "N/A - Facility Does Not Report to TRI")</f>
        <v>N/A - Facility Does Not Report to TRI</v>
      </c>
      <c r="AJ91" s="33" t="str">
        <f t="shared" si="21"/>
        <v>N/A - Facility Does Not Report to TRI</v>
      </c>
      <c r="AK91" s="110" t="str" cm="1">
        <f t="array" ref="AK91">IF(B91="TRI Form A",AD91,IF(AI91=0,"Facility has no transfers to POTWs between 2019-2023.",IF(COUNTIF('Processed Non-zero TRI Data'!$I:$I,$H91)&gt;0,INDEX('Processed Non-zero TRI Data'!$A:$A,MATCH(1,($H91='Processed Non-zero TRI Data'!$I:$I)*(AI91='Processed Non-zero TRI Data'!$U:$U),0)),"N/A - Facility Does Not Report to TRI")))</f>
        <v>N/A - Facility Does Not Report to TRI</v>
      </c>
      <c r="AL91" s="109" cm="1">
        <f t="array" ref="AL91">IFERROR(_xlfn.XLOOKUP(1,  (MAX(IF(H91 = 'Processed Non-zero TRI Data'!$I$2:$I$23,'Processed Non-zero TRI Data'!$A$2:$A$23)) = 'Processed Non-zero TRI Data'!$A$2:$A$23)*('Processed Non-zero TRI Data'!$I$2:$I$23 = H91), 'Processed Non-zero TRI Data'!$W$2:$W$23), "N/A- Facility Does Not Report to TRI")</f>
        <v>0</v>
      </c>
      <c r="AM91" s="33">
        <f t="shared" si="22"/>
        <v>0</v>
      </c>
      <c r="AN91" s="33" t="str" cm="1">
        <f t="array" ref="AN91">IF(COUNTIF('Processed Non-zero TRI Data'!$I:$I,$H91)&gt;0,MEDIAN(IF('Processed Non-zero TRI Data'!$I:$I=H91,'Processed Non-zero TRI Data'!$W:$W)), "N/A - Facility Does Not Report to TRI")</f>
        <v>N/A - Facility Does Not Report to TRI</v>
      </c>
      <c r="AO91" s="33" t="str">
        <f t="shared" si="23"/>
        <v>N/A - Facility Does Not Report to TRI</v>
      </c>
      <c r="AP91" s="33" t="str">
        <f>IF(COUNTIF('Processed Non-zero TRI Data'!$I:$I,$H91)&gt;0,_xlfn.MAXIFS('Processed Non-zero TRI Data'!$W:$W,'Processed Non-zero TRI Data'!$I:$I,$H91), "N/A - Facility Does Not Report to TRI")</f>
        <v>N/A - Facility Does Not Report to TRI</v>
      </c>
      <c r="AQ91" s="33" t="str">
        <f t="shared" si="24"/>
        <v>N/A - Facility Does Not Report to TRI</v>
      </c>
      <c r="AR91" s="110" t="str" cm="1">
        <f t="array" ref="AR91">IF(B91="TRI Form A",AD91,IF(AP91=0,"Facility has no transfers to non-POTWs between 2019-2023.",IF(COUNTIF('Processed Non-zero TRI Data'!$I:$I,$H91)&gt;0,INDEX('Processed Non-zero TRI Data'!$A:$A,MATCH(1,($H91='Processed Non-zero TRI Data'!$I:$I)*(AP91='Processed Non-zero TRI Data'!$W:$W),0)),"N/A - Facility Does Not Report to TRI")))</f>
        <v>N/A - Facility Does Not Report to TRI</v>
      </c>
    </row>
    <row r="92" spans="1:44" ht="29" x14ac:dyDescent="0.35">
      <c r="A92" s="34">
        <v>89</v>
      </c>
      <c r="B92" s="33" t="str">
        <f>IFERROR("TRI Form "&amp;VLOOKUP(H92,'Processed Non-zero TRI Data'!$I$2:$K$23,3,FALSE),"DMR")</f>
        <v>DMR</v>
      </c>
      <c r="C92" s="33" t="str">
        <f>VLOOKUP($D92, 'COU.OES Summary'!C:D, 2, FALSE)</f>
        <v> </v>
      </c>
      <c r="D92" s="33" t="str">
        <f>IFERROR(VLOOKUP($H92, 'Processed Non-zero TRI Data'!$I:$O, 7, FALSE), VLOOKUP($I92, 'Processed Non-zero DMR Data'!$K:$R, 8, FALSE))</f>
        <v>Waste handling, treatment, and disposal - Remediation or Monitoring</v>
      </c>
      <c r="E92" s="34" t="s">
        <v>274</v>
      </c>
      <c r="F92" s="34" t="s">
        <v>275</v>
      </c>
      <c r="G92" s="34" t="s">
        <v>276</v>
      </c>
      <c r="H92" s="34"/>
      <c r="I92" s="105">
        <v>110070545578</v>
      </c>
      <c r="J92" s="33" t="str">
        <f>IFERROR(VLOOKUP($I92, 'Processed Non-zero DMR Data'!$K:$U, 11, FALSE),"")</f>
        <v>VAG830544</v>
      </c>
      <c r="K92" s="33" t="str">
        <f>IFERROR(VLOOKUP($I92, 'Processed Non-zero DMR Data'!$K:$V, 12, FALSE),"Not Reported")</f>
        <v>Fourmile Run-Potomac River</v>
      </c>
      <c r="L92" s="106">
        <f>IFERROR(VLOOKUP($I92, 'Processed Non-zero DMR Data'!$K:$W, 13, FALSE),"No Reach Code Reported")</f>
        <v>20700100301</v>
      </c>
      <c r="M92" s="107" t="str">
        <f>IFERROR(IFERROR(VLOOKUP(H92, 'Off-site Locations'!$K$3:$O$5, 5, FALSE), VLOOKUP(H92, 'Off-site Locations'!$B$3:$E$4, 4, FALSE)), "No Offsite Transfers")</f>
        <v>No Offsite Transfers</v>
      </c>
      <c r="N92" s="33">
        <f>VLOOKUP($D92, 'COU.OES Summary'!C:E, 3, FALSE)</f>
        <v>365</v>
      </c>
      <c r="O92" s="108">
        <f t="shared" si="14"/>
        <v>0</v>
      </c>
      <c r="P92" s="108">
        <f t="shared" si="15"/>
        <v>1.50403096764375</v>
      </c>
      <c r="Q92" s="109" cm="1">
        <f t="array" ref="Q92">IFERROR(_xlfn.XLOOKUP(1,  (MAX(IF(I92 = 'Processed Non-zero DMR Data'!$K:$K,'Processed Non-zero DMR Data'!$A:$A)) = 'Processed Non-zero DMR Data'!$A:$A)*('Processed Non-zero DMR Data'!$K:$K = I92),'Processed Non-zero DMR Data'!$T:$T), "N/A- Facility Does Not Report DMRs")</f>
        <v>1.8057090037500001E-2</v>
      </c>
      <c r="R92" s="33">
        <f t="shared" si="25"/>
        <v>4.9471479554794524E-5</v>
      </c>
      <c r="S92" s="33" cm="1">
        <f t="array" ref="S92">IF(COUNTIF('Processed Non-zero DMR Data'!$K:$K,$I92)&gt;0,MEDIAN(IF('Processed Non-zero DMR Data'!$K:$K=I92,'Processed Non-zero DMR Data'!$T:$T)),"N/A - Facility Does Not Report DMRs")</f>
        <v>0.76104402884062494</v>
      </c>
      <c r="T92" s="33">
        <f t="shared" si="26"/>
        <v>2.0850521338099315E-3</v>
      </c>
      <c r="U92" s="33">
        <f>IF(COUNTIF('Processed Non-zero DMR Data'!$K:$K,$I92)&gt;0,_xlfn.MAXIFS('Processed Non-zero DMR Data'!$T:$T,'Processed Non-zero DMR Data'!$K:$K,$I92), "N/A - Facility Does Not Report DMRs")</f>
        <v>1.50403096764375</v>
      </c>
      <c r="V92" s="33">
        <f t="shared" si="27"/>
        <v>4.1206327880650689E-3</v>
      </c>
      <c r="W92" s="110" cm="1">
        <f t="array" ref="W92">IF(COUNTIF('Processed Non-zero DMR Data'!$K:$K,$I92)&gt;0,INDEX('Processed Non-zero DMR Data'!$A:$A,MATCH(1,($I92='Processed Non-zero DMR Data'!$K:$K)*($U92='Processed Non-zero DMR Data'!$T:$T),0)), "N/A - Facility Does Not Report DMRs")</f>
        <v>2019</v>
      </c>
      <c r="X92" s="109" cm="1">
        <f t="array" ref="X92">IFERROR(_xlfn.XLOOKUP(1,  (MAX(IF(H92 = 'Processed Non-zero TRI Data'!$I:$I,'Processed Non-zero TRI Data'!$A:$A)) = 'Processed Non-zero TRI Data'!$A:$A)*('Processed Non-zero TRI Data'!$I:$I = H92), 'Processed Non-zero TRI Data'!$S:$S), "N/A- Facility Does Not Report to TRI")</f>
        <v>0</v>
      </c>
      <c r="Y92" s="33">
        <f t="shared" si="16"/>
        <v>0</v>
      </c>
      <c r="Z92" s="33" t="str" cm="1">
        <f t="array" ref="Z92">IF(COUNTIF('Processed Non-zero TRI Data'!$I:$I,$H92)&gt;0,MEDIAN(IF('Processed Non-zero TRI Data'!$I:$I=H92,'Processed Non-zero TRI Data'!$S:$S)), "N/A - Facility Does Not Report to TRI")</f>
        <v>N/A - Facility Does Not Report to TRI</v>
      </c>
      <c r="AA92" s="33" t="str">
        <f t="shared" si="17"/>
        <v>N/A - Facility Does Not Report to TRI</v>
      </c>
      <c r="AB92" s="33" t="str">
        <f>IF(COUNTIF('Processed Non-zero TRI Data'!$I:$I,$H92)&gt;0,_xlfn.MAXIFS('Processed Non-zero TRI Data'!$S:$S,'Processed Non-zero TRI Data'!$I:$I,$H92), "N/A - Facility Does Not Report to TRI")</f>
        <v>N/A - Facility Does Not Report to TRI</v>
      </c>
      <c r="AC92" s="33" t="str">
        <f t="shared" si="18"/>
        <v>N/A - Facility Does Not Report to TRI</v>
      </c>
      <c r="AD92" s="110" t="str" cm="1">
        <f t="array" ref="AD92">IFERROR(IF(B92 = "TRI Form R", IF(AB92 = 0, "Facility has no on-site water discharges between 2019-2023.",  IF(COUNTIF('Processed Non-zero TRI Data'!$I:$I,$H92)&gt;0,INDEX('Processed Non-zero TRI Data'!$A:$A,MATCH(1,($H92='Processed Non-zero TRI Data'!$I:$I)*(AB92='Processed Non-zero TRI Data'!$S:$S),0)))), VLOOKUP(H92, 'Form A Recent Reporting'!$L:$M, 2, FALSE)), ("N/A - Facility Does Not Report to TRI"))</f>
        <v>N/A - Facility Does Not Report to TRI</v>
      </c>
      <c r="AE92" s="109" cm="1">
        <f t="array" ref="AE92">IFERROR(_xlfn.XLOOKUP(1,  (MAX(IF(H92 = 'Processed Non-zero TRI Data'!$I:$I,'Processed Non-zero TRI Data'!$A:$A)) = 'Processed Non-zero TRI Data'!$A:$A)*('Processed Non-zero TRI Data'!$I:$I = H92), 'Processed Non-zero TRI Data'!$U:$U), "N/A- Facility Does Not Report to TRI")</f>
        <v>0</v>
      </c>
      <c r="AF92" s="33">
        <f t="shared" si="19"/>
        <v>0</v>
      </c>
      <c r="AG92" s="33" t="str" cm="1">
        <f t="array" ref="AG92">IF(COUNTIF('Processed Non-zero TRI Data'!$I:$I,$H92)&gt;0,MEDIAN(IF('Processed Non-zero TRI Data'!$I:$I=H92,'Processed Non-zero TRI Data'!$U:$U)), "N/A - Facility Does Not Report to TRI")</f>
        <v>N/A - Facility Does Not Report to TRI</v>
      </c>
      <c r="AH92" s="33" t="str">
        <f t="shared" si="20"/>
        <v>N/A - Facility Does Not Report to TRI</v>
      </c>
      <c r="AI92" s="33" t="str">
        <f>IF(COUNTIF('Processed Non-zero TRI Data'!$I:$I,$H92)&gt;0,_xlfn.MAXIFS('Processed Non-zero TRI Data'!$U:$U,'Processed Non-zero TRI Data'!$I:$I,$H92), "N/A - Facility Does Not Report to TRI")</f>
        <v>N/A - Facility Does Not Report to TRI</v>
      </c>
      <c r="AJ92" s="33" t="str">
        <f t="shared" si="21"/>
        <v>N/A - Facility Does Not Report to TRI</v>
      </c>
      <c r="AK92" s="110" t="str" cm="1">
        <f t="array" ref="AK92">IF(B92="TRI Form A",AD92,IF(AI92=0,"Facility has no transfers to POTWs between 2019-2023.",IF(COUNTIF('Processed Non-zero TRI Data'!$I:$I,$H92)&gt;0,INDEX('Processed Non-zero TRI Data'!$A:$A,MATCH(1,($H92='Processed Non-zero TRI Data'!$I:$I)*(AI92='Processed Non-zero TRI Data'!$U:$U),0)),"N/A - Facility Does Not Report to TRI")))</f>
        <v>N/A - Facility Does Not Report to TRI</v>
      </c>
      <c r="AL92" s="109" cm="1">
        <f t="array" ref="AL92">IFERROR(_xlfn.XLOOKUP(1,  (MAX(IF(H92 = 'Processed Non-zero TRI Data'!$I$2:$I$23,'Processed Non-zero TRI Data'!$A$2:$A$23)) = 'Processed Non-zero TRI Data'!$A$2:$A$23)*('Processed Non-zero TRI Data'!$I$2:$I$23 = H92), 'Processed Non-zero TRI Data'!$W$2:$W$23), "N/A- Facility Does Not Report to TRI")</f>
        <v>0</v>
      </c>
      <c r="AM92" s="33">
        <f t="shared" si="22"/>
        <v>0</v>
      </c>
      <c r="AN92" s="33" t="str" cm="1">
        <f t="array" ref="AN92">IF(COUNTIF('Processed Non-zero TRI Data'!$I:$I,$H92)&gt;0,MEDIAN(IF('Processed Non-zero TRI Data'!$I:$I=H92,'Processed Non-zero TRI Data'!$W:$W)), "N/A - Facility Does Not Report to TRI")</f>
        <v>N/A - Facility Does Not Report to TRI</v>
      </c>
      <c r="AO92" s="33" t="str">
        <f t="shared" si="23"/>
        <v>N/A - Facility Does Not Report to TRI</v>
      </c>
      <c r="AP92" s="33" t="str">
        <f>IF(COUNTIF('Processed Non-zero TRI Data'!$I:$I,$H92)&gt;0,_xlfn.MAXIFS('Processed Non-zero TRI Data'!$W:$W,'Processed Non-zero TRI Data'!$I:$I,$H92), "N/A - Facility Does Not Report to TRI")</f>
        <v>N/A - Facility Does Not Report to TRI</v>
      </c>
      <c r="AQ92" s="33" t="str">
        <f t="shared" si="24"/>
        <v>N/A - Facility Does Not Report to TRI</v>
      </c>
      <c r="AR92" s="110" t="str" cm="1">
        <f t="array" ref="AR92">IF(B92="TRI Form A",AD92,IF(AP92=0,"Facility has no transfers to non-POTWs between 2019-2023.",IF(COUNTIF('Processed Non-zero TRI Data'!$I:$I,$H92)&gt;0,INDEX('Processed Non-zero TRI Data'!$A:$A,MATCH(1,($H92='Processed Non-zero TRI Data'!$I:$I)*(AP92='Processed Non-zero TRI Data'!$W:$W),0)),"N/A - Facility Does Not Report to TRI")))</f>
        <v>N/A - Facility Does Not Report to TRI</v>
      </c>
    </row>
    <row r="93" spans="1:44" ht="29" x14ac:dyDescent="0.35">
      <c r="A93" s="34">
        <v>90</v>
      </c>
      <c r="B93" s="33" t="str">
        <f>IFERROR("TRI Form "&amp;VLOOKUP(H93,'Processed Non-zero TRI Data'!$I$2:$K$23,3,FALSE),"DMR")</f>
        <v>DMR</v>
      </c>
      <c r="C93" s="33" t="str">
        <f>VLOOKUP($D93, 'COU.OES Summary'!C:D, 2, FALSE)</f>
        <v> </v>
      </c>
      <c r="D93" s="33" t="str">
        <f>IFERROR(VLOOKUP($H93, 'Processed Non-zero TRI Data'!$I:$O, 7, FALSE), VLOOKUP($I93, 'Processed Non-zero DMR Data'!$K:$R, 8, FALSE))</f>
        <v>Waste handling, treatment, and disposal - POTW</v>
      </c>
      <c r="E93" s="34" t="s">
        <v>277</v>
      </c>
      <c r="F93" s="34" t="s">
        <v>278</v>
      </c>
      <c r="G93" s="34" t="s">
        <v>108</v>
      </c>
      <c r="H93" s="34"/>
      <c r="I93" s="105">
        <v>110000736730</v>
      </c>
      <c r="J93" s="33" t="str">
        <f>IFERROR(VLOOKUP($I93, 'Processed Non-zero DMR Data'!$K:$U, 11, FALSE),"")</f>
        <v>KY0020877</v>
      </c>
      <c r="K93" s="33" t="str">
        <f>IFERROR(VLOOKUP($I93, 'Processed Non-zero DMR Data'!$K:$V, 12, FALSE),"Not Reported")</f>
        <v>Headwaters Mud River</v>
      </c>
      <c r="L93" s="106">
        <f>IFERROR(VLOOKUP($I93, 'Processed Non-zero DMR Data'!$K:$W, 13, FALSE),"No Reach Code Reported")</f>
        <v>51100030204</v>
      </c>
      <c r="M93" s="107" t="str">
        <f>IFERROR(IFERROR(VLOOKUP(H93, 'Off-site Locations'!$K$3:$O$5, 5, FALSE), VLOOKUP(H93, 'Off-site Locations'!$B$3:$E$4, 4, FALSE)), "No Offsite Transfers")</f>
        <v>No Offsite Transfers</v>
      </c>
      <c r="N93" s="33">
        <f>VLOOKUP($D93, 'COU.OES Summary'!C:E, 3, FALSE)</f>
        <v>365</v>
      </c>
      <c r="O93" s="108">
        <f t="shared" si="14"/>
        <v>0</v>
      </c>
      <c r="P93" s="108">
        <f t="shared" si="15"/>
        <v>1.4202077</v>
      </c>
      <c r="Q93" s="109" cm="1">
        <f t="array" ref="Q93">IFERROR(_xlfn.XLOOKUP(1,  (MAX(IF(I93 = 'Processed Non-zero DMR Data'!$K:$K,'Processed Non-zero DMR Data'!$A:$A)) = 'Processed Non-zero DMR Data'!$A:$A)*('Processed Non-zero DMR Data'!$K:$K = I93),'Processed Non-zero DMR Data'!$T:$T), "N/A- Facility Does Not Report DMRs")</f>
        <v>4.6557392499999999E-4</v>
      </c>
      <c r="R93" s="33">
        <f t="shared" si="25"/>
        <v>1.2755449999999999E-6</v>
      </c>
      <c r="S93" s="33" cm="1">
        <f t="array" ref="S93">IF(COUNTIF('Processed Non-zero DMR Data'!$K:$K,$I93)&gt;0,MEDIAN(IF('Processed Non-zero DMR Data'!$K:$K=I93,'Processed Non-zero DMR Data'!$T:$T)),"N/A - Facility Does Not Report DMRs")</f>
        <v>3.8199166250000001E-3</v>
      </c>
      <c r="T93" s="33">
        <f t="shared" si="26"/>
        <v>1.0465525E-5</v>
      </c>
      <c r="U93" s="33">
        <f>IF(COUNTIF('Processed Non-zero DMR Data'!$K:$K,$I93)&gt;0,_xlfn.MAXIFS('Processed Non-zero DMR Data'!$T:$T,'Processed Non-zero DMR Data'!$K:$K,$I93), "N/A - Facility Does Not Report DMRs")</f>
        <v>1.4202077</v>
      </c>
      <c r="V93" s="33">
        <f t="shared" si="27"/>
        <v>3.89098E-3</v>
      </c>
      <c r="W93" s="110" cm="1">
        <f t="array" ref="W93">IF(COUNTIF('Processed Non-zero DMR Data'!$K:$K,$I93)&gt;0,INDEX('Processed Non-zero DMR Data'!$A:$A,MATCH(1,($I93='Processed Non-zero DMR Data'!$K:$K)*($U93='Processed Non-zero DMR Data'!$T:$T),0)), "N/A - Facility Does Not Report DMRs")</f>
        <v>2019</v>
      </c>
      <c r="X93" s="109" cm="1">
        <f t="array" ref="X93">IFERROR(_xlfn.XLOOKUP(1,  (MAX(IF(H93 = 'Processed Non-zero TRI Data'!$I:$I,'Processed Non-zero TRI Data'!$A:$A)) = 'Processed Non-zero TRI Data'!$A:$A)*('Processed Non-zero TRI Data'!$I:$I = H93), 'Processed Non-zero TRI Data'!$S:$S), "N/A- Facility Does Not Report to TRI")</f>
        <v>0</v>
      </c>
      <c r="Y93" s="33">
        <f t="shared" si="16"/>
        <v>0</v>
      </c>
      <c r="Z93" s="33" t="str" cm="1">
        <f t="array" ref="Z93">IF(COUNTIF('Processed Non-zero TRI Data'!$I:$I,$H93)&gt;0,MEDIAN(IF('Processed Non-zero TRI Data'!$I:$I=H93,'Processed Non-zero TRI Data'!$S:$S)), "N/A - Facility Does Not Report to TRI")</f>
        <v>N/A - Facility Does Not Report to TRI</v>
      </c>
      <c r="AA93" s="33" t="str">
        <f t="shared" si="17"/>
        <v>N/A - Facility Does Not Report to TRI</v>
      </c>
      <c r="AB93" s="33" t="str">
        <f>IF(COUNTIF('Processed Non-zero TRI Data'!$I:$I,$H93)&gt;0,_xlfn.MAXIFS('Processed Non-zero TRI Data'!$S:$S,'Processed Non-zero TRI Data'!$I:$I,$H93), "N/A - Facility Does Not Report to TRI")</f>
        <v>N/A - Facility Does Not Report to TRI</v>
      </c>
      <c r="AC93" s="33" t="str">
        <f t="shared" si="18"/>
        <v>N/A - Facility Does Not Report to TRI</v>
      </c>
      <c r="AD93" s="110" t="str" cm="1">
        <f t="array" ref="AD93">IFERROR(IF(B93 = "TRI Form R", IF(AB93 = 0, "Facility has no on-site water discharges between 2019-2023.",  IF(COUNTIF('Processed Non-zero TRI Data'!$I:$I,$H93)&gt;0,INDEX('Processed Non-zero TRI Data'!$A:$A,MATCH(1,($H93='Processed Non-zero TRI Data'!$I:$I)*(AB93='Processed Non-zero TRI Data'!$S:$S),0)))), VLOOKUP(H93, 'Form A Recent Reporting'!$L:$M, 2, FALSE)), ("N/A - Facility Does Not Report to TRI"))</f>
        <v>N/A - Facility Does Not Report to TRI</v>
      </c>
      <c r="AE93" s="109" cm="1">
        <f t="array" ref="AE93">IFERROR(_xlfn.XLOOKUP(1,  (MAX(IF(H93 = 'Processed Non-zero TRI Data'!$I:$I,'Processed Non-zero TRI Data'!$A:$A)) = 'Processed Non-zero TRI Data'!$A:$A)*('Processed Non-zero TRI Data'!$I:$I = H93), 'Processed Non-zero TRI Data'!$U:$U), "N/A- Facility Does Not Report to TRI")</f>
        <v>0</v>
      </c>
      <c r="AF93" s="33">
        <f t="shared" si="19"/>
        <v>0</v>
      </c>
      <c r="AG93" s="33" t="str" cm="1">
        <f t="array" ref="AG93">IF(COUNTIF('Processed Non-zero TRI Data'!$I:$I,$H93)&gt;0,MEDIAN(IF('Processed Non-zero TRI Data'!$I:$I=H93,'Processed Non-zero TRI Data'!$U:$U)), "N/A - Facility Does Not Report to TRI")</f>
        <v>N/A - Facility Does Not Report to TRI</v>
      </c>
      <c r="AH93" s="33" t="str">
        <f t="shared" si="20"/>
        <v>N/A - Facility Does Not Report to TRI</v>
      </c>
      <c r="AI93" s="33" t="str">
        <f>IF(COUNTIF('Processed Non-zero TRI Data'!$I:$I,$H93)&gt;0,_xlfn.MAXIFS('Processed Non-zero TRI Data'!$U:$U,'Processed Non-zero TRI Data'!$I:$I,$H93), "N/A - Facility Does Not Report to TRI")</f>
        <v>N/A - Facility Does Not Report to TRI</v>
      </c>
      <c r="AJ93" s="33" t="str">
        <f t="shared" si="21"/>
        <v>N/A - Facility Does Not Report to TRI</v>
      </c>
      <c r="AK93" s="110" t="str" cm="1">
        <f t="array" ref="AK93">IF(B93="TRI Form A",AD93,IF(AI93=0,"Facility has no transfers to POTWs between 2019-2023.",IF(COUNTIF('Processed Non-zero TRI Data'!$I:$I,$H93)&gt;0,INDEX('Processed Non-zero TRI Data'!$A:$A,MATCH(1,($H93='Processed Non-zero TRI Data'!$I:$I)*(AI93='Processed Non-zero TRI Data'!$U:$U),0)),"N/A - Facility Does Not Report to TRI")))</f>
        <v>N/A - Facility Does Not Report to TRI</v>
      </c>
      <c r="AL93" s="109" cm="1">
        <f t="array" ref="AL93">IFERROR(_xlfn.XLOOKUP(1,  (MAX(IF(H93 = 'Processed Non-zero TRI Data'!$I$2:$I$23,'Processed Non-zero TRI Data'!$A$2:$A$23)) = 'Processed Non-zero TRI Data'!$A$2:$A$23)*('Processed Non-zero TRI Data'!$I$2:$I$23 = H93), 'Processed Non-zero TRI Data'!$W$2:$W$23), "N/A- Facility Does Not Report to TRI")</f>
        <v>0</v>
      </c>
      <c r="AM93" s="33">
        <f t="shared" si="22"/>
        <v>0</v>
      </c>
      <c r="AN93" s="33" t="str" cm="1">
        <f t="array" ref="AN93">IF(COUNTIF('Processed Non-zero TRI Data'!$I:$I,$H93)&gt;0,MEDIAN(IF('Processed Non-zero TRI Data'!$I:$I=H93,'Processed Non-zero TRI Data'!$W:$W)), "N/A - Facility Does Not Report to TRI")</f>
        <v>N/A - Facility Does Not Report to TRI</v>
      </c>
      <c r="AO93" s="33" t="str">
        <f t="shared" si="23"/>
        <v>N/A - Facility Does Not Report to TRI</v>
      </c>
      <c r="AP93" s="33" t="str">
        <f>IF(COUNTIF('Processed Non-zero TRI Data'!$I:$I,$H93)&gt;0,_xlfn.MAXIFS('Processed Non-zero TRI Data'!$W:$W,'Processed Non-zero TRI Data'!$I:$I,$H93), "N/A - Facility Does Not Report to TRI")</f>
        <v>N/A - Facility Does Not Report to TRI</v>
      </c>
      <c r="AQ93" s="33" t="str">
        <f t="shared" si="24"/>
        <v>N/A - Facility Does Not Report to TRI</v>
      </c>
      <c r="AR93" s="110" t="str" cm="1">
        <f t="array" ref="AR93">IF(B93="TRI Form A",AD93,IF(AP93=0,"Facility has no transfers to non-POTWs between 2019-2023.",IF(COUNTIF('Processed Non-zero TRI Data'!$I:$I,$H93)&gt;0,INDEX('Processed Non-zero TRI Data'!$A:$A,MATCH(1,($H93='Processed Non-zero TRI Data'!$I:$I)*(AP93='Processed Non-zero TRI Data'!$W:$W),0)),"N/A - Facility Does Not Report to TRI")))</f>
        <v>N/A - Facility Does Not Report to TRI</v>
      </c>
    </row>
    <row r="94" spans="1:44" ht="29" x14ac:dyDescent="0.35">
      <c r="A94" s="34">
        <v>91</v>
      </c>
      <c r="B94" s="33" t="str">
        <f>IFERROR("TRI Form "&amp;VLOOKUP(H94,'Processed Non-zero TRI Data'!$I$2:$K$23,3,FALSE),"DMR")</f>
        <v>DMR</v>
      </c>
      <c r="C94" s="33" t="str">
        <f>VLOOKUP($D94, 'COU.OES Summary'!C:D, 2, FALSE)</f>
        <v> </v>
      </c>
      <c r="D94" s="33" t="str">
        <f>IFERROR(VLOOKUP($H94, 'Processed Non-zero TRI Data'!$I:$O, 7, FALSE), VLOOKUP($I94, 'Processed Non-zero DMR Data'!$K:$R, 8, FALSE))</f>
        <v>Waste handling, treatment, and disposal - POTW</v>
      </c>
      <c r="E94" s="34" t="s">
        <v>279</v>
      </c>
      <c r="F94" s="34" t="s">
        <v>280</v>
      </c>
      <c r="G94" s="34" t="s">
        <v>108</v>
      </c>
      <c r="H94" s="34"/>
      <c r="I94" s="105">
        <v>110023140420</v>
      </c>
      <c r="J94" s="33" t="str">
        <f>IFERROR(VLOOKUP($I94, 'Processed Non-zero DMR Data'!$K:$U, 11, FALSE),"")</f>
        <v>KY0106267</v>
      </c>
      <c r="K94" s="33" t="str">
        <f>IFERROR(VLOOKUP($I94, 'Processed Non-zero DMR Data'!$K:$V, 12, FALSE),"Not Reported")</f>
        <v>Blanket Creek-Licking River</v>
      </c>
      <c r="L94" s="106" t="str">
        <f>IFERROR(VLOOKUP($I94, 'Processed Non-zero DMR Data'!$K:$W, 13, FALSE),"No Reach Code Reported")</f>
        <v>051001011203</v>
      </c>
      <c r="M94" s="107" t="str">
        <f>IFERROR(IFERROR(VLOOKUP(H94, 'Off-site Locations'!$K$3:$O$5, 5, FALSE), VLOOKUP(H94, 'Off-site Locations'!$B$3:$E$4, 4, FALSE)), "No Offsite Transfers")</f>
        <v>No Offsite Transfers</v>
      </c>
      <c r="N94" s="33">
        <f>VLOOKUP($D94, 'COU.OES Summary'!C:E, 3, FALSE)</f>
        <v>365</v>
      </c>
      <c r="O94" s="108">
        <f t="shared" si="14"/>
        <v>0</v>
      </c>
      <c r="P94" s="108">
        <f t="shared" si="15"/>
        <v>1.4194029616874999</v>
      </c>
      <c r="Q94" s="109" cm="1">
        <f t="array" ref="Q94">IFERROR(_xlfn.XLOOKUP(1,  (MAX(IF(I94 = 'Processed Non-zero DMR Data'!$K:$K,'Processed Non-zero DMR Data'!$A:$A)) = 'Processed Non-zero DMR Data'!$A:$A)*('Processed Non-zero DMR Data'!$K:$K = I94),'Processed Non-zero DMR Data'!$T:$T), "N/A- Facility Does Not Report DMRs")</f>
        <v>1.4194029616874999</v>
      </c>
      <c r="R94" s="33">
        <f t="shared" si="25"/>
        <v>3.8887752374999998E-3</v>
      </c>
      <c r="S94" s="33" cm="1">
        <f t="array" ref="S94">IF(COUNTIF('Processed Non-zero DMR Data'!$K:$K,$I94)&gt;0,MEDIAN(IF('Processed Non-zero DMR Data'!$K:$K=I94,'Processed Non-zero DMR Data'!$T:$T)),"N/A - Facility Does Not Report DMRs")</f>
        <v>1.4194029616874999</v>
      </c>
      <c r="T94" s="33">
        <f t="shared" si="26"/>
        <v>3.8887752374999998E-3</v>
      </c>
      <c r="U94" s="33">
        <f>IF(COUNTIF('Processed Non-zero DMR Data'!$K:$K,$I94)&gt;0,_xlfn.MAXIFS('Processed Non-zero DMR Data'!$T:$T,'Processed Non-zero DMR Data'!$K:$K,$I94), "N/A - Facility Does Not Report DMRs")</f>
        <v>1.4194029616874999</v>
      </c>
      <c r="V94" s="33">
        <f t="shared" si="27"/>
        <v>3.8887752374999998E-3</v>
      </c>
      <c r="W94" s="110" cm="1">
        <f t="array" ref="W94">IF(COUNTIF('Processed Non-zero DMR Data'!$K:$K,$I94)&gt;0,INDEX('Processed Non-zero DMR Data'!$A:$A,MATCH(1,($I94='Processed Non-zero DMR Data'!$K:$K)*($U94='Processed Non-zero DMR Data'!$T:$T),0)), "N/A - Facility Does Not Report DMRs")</f>
        <v>2023</v>
      </c>
      <c r="X94" s="109" cm="1">
        <f t="array" ref="X94">IFERROR(_xlfn.XLOOKUP(1,  (MAX(IF(H94 = 'Processed Non-zero TRI Data'!$I:$I,'Processed Non-zero TRI Data'!$A:$A)) = 'Processed Non-zero TRI Data'!$A:$A)*('Processed Non-zero TRI Data'!$I:$I = H94), 'Processed Non-zero TRI Data'!$S:$S), "N/A- Facility Does Not Report to TRI")</f>
        <v>0</v>
      </c>
      <c r="Y94" s="33">
        <f t="shared" si="16"/>
        <v>0</v>
      </c>
      <c r="Z94" s="33" t="str" cm="1">
        <f t="array" ref="Z94">IF(COUNTIF('Processed Non-zero TRI Data'!$I:$I,$H94)&gt;0,MEDIAN(IF('Processed Non-zero TRI Data'!$I:$I=H94,'Processed Non-zero TRI Data'!$S:$S)), "N/A - Facility Does Not Report to TRI")</f>
        <v>N/A - Facility Does Not Report to TRI</v>
      </c>
      <c r="AA94" s="33" t="str">
        <f t="shared" si="17"/>
        <v>N/A - Facility Does Not Report to TRI</v>
      </c>
      <c r="AB94" s="33" t="str">
        <f>IF(COUNTIF('Processed Non-zero TRI Data'!$I:$I,$H94)&gt;0,_xlfn.MAXIFS('Processed Non-zero TRI Data'!$S:$S,'Processed Non-zero TRI Data'!$I:$I,$H94), "N/A - Facility Does Not Report to TRI")</f>
        <v>N/A - Facility Does Not Report to TRI</v>
      </c>
      <c r="AC94" s="33" t="str">
        <f t="shared" si="18"/>
        <v>N/A - Facility Does Not Report to TRI</v>
      </c>
      <c r="AD94" s="110" t="str" cm="1">
        <f t="array" ref="AD94">IFERROR(IF(B94 = "TRI Form R", IF(AB94 = 0, "Facility has no on-site water discharges between 2019-2023.",  IF(COUNTIF('Processed Non-zero TRI Data'!$I:$I,$H94)&gt;0,INDEX('Processed Non-zero TRI Data'!$A:$A,MATCH(1,($H94='Processed Non-zero TRI Data'!$I:$I)*(AB94='Processed Non-zero TRI Data'!$S:$S),0)))), VLOOKUP(H94, 'Form A Recent Reporting'!$L:$M, 2, FALSE)), ("N/A - Facility Does Not Report to TRI"))</f>
        <v>N/A - Facility Does Not Report to TRI</v>
      </c>
      <c r="AE94" s="109" cm="1">
        <f t="array" ref="AE94">IFERROR(_xlfn.XLOOKUP(1,  (MAX(IF(H94 = 'Processed Non-zero TRI Data'!$I:$I,'Processed Non-zero TRI Data'!$A:$A)) = 'Processed Non-zero TRI Data'!$A:$A)*('Processed Non-zero TRI Data'!$I:$I = H94), 'Processed Non-zero TRI Data'!$U:$U), "N/A- Facility Does Not Report to TRI")</f>
        <v>0</v>
      </c>
      <c r="AF94" s="33">
        <f t="shared" si="19"/>
        <v>0</v>
      </c>
      <c r="AG94" s="33" t="str" cm="1">
        <f t="array" ref="AG94">IF(COUNTIF('Processed Non-zero TRI Data'!$I:$I,$H94)&gt;0,MEDIAN(IF('Processed Non-zero TRI Data'!$I:$I=H94,'Processed Non-zero TRI Data'!$U:$U)), "N/A - Facility Does Not Report to TRI")</f>
        <v>N/A - Facility Does Not Report to TRI</v>
      </c>
      <c r="AH94" s="33" t="str">
        <f t="shared" si="20"/>
        <v>N/A - Facility Does Not Report to TRI</v>
      </c>
      <c r="AI94" s="33" t="str">
        <f>IF(COUNTIF('Processed Non-zero TRI Data'!$I:$I,$H94)&gt;0,_xlfn.MAXIFS('Processed Non-zero TRI Data'!$U:$U,'Processed Non-zero TRI Data'!$I:$I,$H94), "N/A - Facility Does Not Report to TRI")</f>
        <v>N/A - Facility Does Not Report to TRI</v>
      </c>
      <c r="AJ94" s="33" t="str">
        <f t="shared" si="21"/>
        <v>N/A - Facility Does Not Report to TRI</v>
      </c>
      <c r="AK94" s="110" t="str" cm="1">
        <f t="array" ref="AK94">IF(B94="TRI Form A",AD94,IF(AI94=0,"Facility has no transfers to POTWs between 2019-2023.",IF(COUNTIF('Processed Non-zero TRI Data'!$I:$I,$H94)&gt;0,INDEX('Processed Non-zero TRI Data'!$A:$A,MATCH(1,($H94='Processed Non-zero TRI Data'!$I:$I)*(AI94='Processed Non-zero TRI Data'!$U:$U),0)),"N/A - Facility Does Not Report to TRI")))</f>
        <v>N/A - Facility Does Not Report to TRI</v>
      </c>
      <c r="AL94" s="109" cm="1">
        <f t="array" ref="AL94">IFERROR(_xlfn.XLOOKUP(1,  (MAX(IF(H94 = 'Processed Non-zero TRI Data'!$I$2:$I$23,'Processed Non-zero TRI Data'!$A$2:$A$23)) = 'Processed Non-zero TRI Data'!$A$2:$A$23)*('Processed Non-zero TRI Data'!$I$2:$I$23 = H94), 'Processed Non-zero TRI Data'!$W$2:$W$23), "N/A- Facility Does Not Report to TRI")</f>
        <v>0</v>
      </c>
      <c r="AM94" s="33">
        <f t="shared" si="22"/>
        <v>0</v>
      </c>
      <c r="AN94" s="33" t="str" cm="1">
        <f t="array" ref="AN94">IF(COUNTIF('Processed Non-zero TRI Data'!$I:$I,$H94)&gt;0,MEDIAN(IF('Processed Non-zero TRI Data'!$I:$I=H94,'Processed Non-zero TRI Data'!$W:$W)), "N/A - Facility Does Not Report to TRI")</f>
        <v>N/A - Facility Does Not Report to TRI</v>
      </c>
      <c r="AO94" s="33" t="str">
        <f t="shared" si="23"/>
        <v>N/A - Facility Does Not Report to TRI</v>
      </c>
      <c r="AP94" s="33" t="str">
        <f>IF(COUNTIF('Processed Non-zero TRI Data'!$I:$I,$H94)&gt;0,_xlfn.MAXIFS('Processed Non-zero TRI Data'!$W:$W,'Processed Non-zero TRI Data'!$I:$I,$H94), "N/A - Facility Does Not Report to TRI")</f>
        <v>N/A - Facility Does Not Report to TRI</v>
      </c>
      <c r="AQ94" s="33" t="str">
        <f t="shared" si="24"/>
        <v>N/A - Facility Does Not Report to TRI</v>
      </c>
      <c r="AR94" s="110" t="str" cm="1">
        <f t="array" ref="AR94">IF(B94="TRI Form A",AD94,IF(AP94=0,"Facility has no transfers to non-POTWs between 2019-2023.",IF(COUNTIF('Processed Non-zero TRI Data'!$I:$I,$H94)&gt;0,INDEX('Processed Non-zero TRI Data'!$A:$A,MATCH(1,($H94='Processed Non-zero TRI Data'!$I:$I)*(AP94='Processed Non-zero TRI Data'!$W:$W),0)),"N/A - Facility Does Not Report to TRI")))</f>
        <v>N/A - Facility Does Not Report to TRI</v>
      </c>
    </row>
    <row r="95" spans="1:44" ht="29" x14ac:dyDescent="0.35">
      <c r="A95" s="34">
        <v>92</v>
      </c>
      <c r="B95" s="33" t="str">
        <f>IFERROR("TRI Form "&amp;VLOOKUP(H95,'Processed Non-zero TRI Data'!$I$2:$K$23,3,FALSE),"DMR")</f>
        <v>DMR</v>
      </c>
      <c r="C95" s="33" t="str">
        <f>VLOOKUP($D95, 'COU.OES Summary'!C:D, 2, FALSE)</f>
        <v> </v>
      </c>
      <c r="D95" s="33" t="str">
        <f>IFERROR(VLOOKUP($H95, 'Processed Non-zero TRI Data'!$I:$O, 7, FALSE), VLOOKUP($I95, 'Processed Non-zero DMR Data'!$K:$R, 8, FALSE))</f>
        <v>Waste handling, treatment, and disposal - Remediation or Monitoring</v>
      </c>
      <c r="E95" s="34" t="s">
        <v>281</v>
      </c>
      <c r="F95" s="34" t="s">
        <v>160</v>
      </c>
      <c r="G95" s="34" t="s">
        <v>161</v>
      </c>
      <c r="H95" s="34"/>
      <c r="I95" s="105">
        <v>110070828339</v>
      </c>
      <c r="J95" s="33" t="str">
        <f>IFERROR(VLOOKUP($I95, 'Processed Non-zero DMR Data'!$K:$U, 11, FALSE),"")</f>
        <v>TN0003671</v>
      </c>
      <c r="K95" s="33" t="str">
        <f>IFERROR(VLOOKUP($I95, 'Processed Non-zero DMR Data'!$K:$V, 12, FALSE),"Not Reported")</f>
        <v>Holston River-Hord Creek</v>
      </c>
      <c r="L95" s="106">
        <f>IFERROR(VLOOKUP($I95, 'Processed Non-zero DMR Data'!$K:$W, 13, FALSE),"No Reach Code Reported")</f>
        <v>60101040101</v>
      </c>
      <c r="M95" s="107" t="str">
        <f>IFERROR(IFERROR(VLOOKUP(H95, 'Off-site Locations'!$K$3:$O$5, 5, FALSE), VLOOKUP(H95, 'Off-site Locations'!$B$3:$E$4, 4, FALSE)), "No Offsite Transfers")</f>
        <v>No Offsite Transfers</v>
      </c>
      <c r="N95" s="33">
        <f>VLOOKUP($D95, 'COU.OES Summary'!C:E, 3, FALSE)</f>
        <v>365</v>
      </c>
      <c r="O95" s="108">
        <f t="shared" si="14"/>
        <v>0</v>
      </c>
      <c r="P95" s="108">
        <f t="shared" si="15"/>
        <v>1.4085350000000001</v>
      </c>
      <c r="Q95" s="109" cm="1">
        <f t="array" ref="Q95">IFERROR(_xlfn.XLOOKUP(1,  (MAX(IF(I95 = 'Processed Non-zero DMR Data'!$K:$K,'Processed Non-zero DMR Data'!$A:$A)) = 'Processed Non-zero DMR Data'!$A:$A)*('Processed Non-zero DMR Data'!$K:$K = I95),'Processed Non-zero DMR Data'!$T:$T), "N/A- Facility Does Not Report DMRs")</f>
        <v>0.49713000000000002</v>
      </c>
      <c r="R95" s="33">
        <f t="shared" si="25"/>
        <v>1.3620000000000001E-3</v>
      </c>
      <c r="S95" s="33" cm="1">
        <f t="array" ref="S95">IF(COUNTIF('Processed Non-zero DMR Data'!$K:$K,$I95)&gt;0,MEDIAN(IF('Processed Non-zero DMR Data'!$K:$K=I95,'Processed Non-zero DMR Data'!$T:$T)),"N/A - Facility Does Not Report DMRs")</f>
        <v>0.95283249999999997</v>
      </c>
      <c r="T95" s="33">
        <f t="shared" si="26"/>
        <v>2.6105E-3</v>
      </c>
      <c r="U95" s="33">
        <f>IF(COUNTIF('Processed Non-zero DMR Data'!$K:$K,$I95)&gt;0,_xlfn.MAXIFS('Processed Non-zero DMR Data'!$T:$T,'Processed Non-zero DMR Data'!$K:$K,$I95), "N/A - Facility Does Not Report DMRs")</f>
        <v>1.4085350000000001</v>
      </c>
      <c r="V95" s="33">
        <f t="shared" si="27"/>
        <v>3.8590000000000005E-3</v>
      </c>
      <c r="W95" s="110" cm="1">
        <f t="array" ref="W95">IF(COUNTIF('Processed Non-zero DMR Data'!$K:$K,$I95)&gt;0,INDEX('Processed Non-zero DMR Data'!$A:$A,MATCH(1,($I95='Processed Non-zero DMR Data'!$K:$K)*($U95='Processed Non-zero DMR Data'!$T:$T),0)), "N/A - Facility Does Not Report DMRs")</f>
        <v>2020</v>
      </c>
      <c r="X95" s="109" cm="1">
        <f t="array" ref="X95">IFERROR(_xlfn.XLOOKUP(1,  (MAX(IF(H95 = 'Processed Non-zero TRI Data'!$I:$I,'Processed Non-zero TRI Data'!$A:$A)) = 'Processed Non-zero TRI Data'!$A:$A)*('Processed Non-zero TRI Data'!$I:$I = H95), 'Processed Non-zero TRI Data'!$S:$S), "N/A- Facility Does Not Report to TRI")</f>
        <v>0</v>
      </c>
      <c r="Y95" s="33">
        <f t="shared" si="16"/>
        <v>0</v>
      </c>
      <c r="Z95" s="33" t="str" cm="1">
        <f t="array" ref="Z95">IF(COUNTIF('Processed Non-zero TRI Data'!$I:$I,$H95)&gt;0,MEDIAN(IF('Processed Non-zero TRI Data'!$I:$I=H95,'Processed Non-zero TRI Data'!$S:$S)), "N/A - Facility Does Not Report to TRI")</f>
        <v>N/A - Facility Does Not Report to TRI</v>
      </c>
      <c r="AA95" s="33" t="str">
        <f t="shared" si="17"/>
        <v>N/A - Facility Does Not Report to TRI</v>
      </c>
      <c r="AB95" s="33" t="str">
        <f>IF(COUNTIF('Processed Non-zero TRI Data'!$I:$I,$H95)&gt;0,_xlfn.MAXIFS('Processed Non-zero TRI Data'!$S:$S,'Processed Non-zero TRI Data'!$I:$I,$H95), "N/A - Facility Does Not Report to TRI")</f>
        <v>N/A - Facility Does Not Report to TRI</v>
      </c>
      <c r="AC95" s="33" t="str">
        <f t="shared" si="18"/>
        <v>N/A - Facility Does Not Report to TRI</v>
      </c>
      <c r="AD95" s="110" t="str" cm="1">
        <f t="array" ref="AD95">IFERROR(IF(B95 = "TRI Form R", IF(AB95 = 0, "Facility has no on-site water discharges between 2019-2023.",  IF(COUNTIF('Processed Non-zero TRI Data'!$I:$I,$H95)&gt;0,INDEX('Processed Non-zero TRI Data'!$A:$A,MATCH(1,($H95='Processed Non-zero TRI Data'!$I:$I)*(AB95='Processed Non-zero TRI Data'!$S:$S),0)))), VLOOKUP(H95, 'Form A Recent Reporting'!$L:$M, 2, FALSE)), ("N/A - Facility Does Not Report to TRI"))</f>
        <v>N/A - Facility Does Not Report to TRI</v>
      </c>
      <c r="AE95" s="109" cm="1">
        <f t="array" ref="AE95">IFERROR(_xlfn.XLOOKUP(1,  (MAX(IF(H95 = 'Processed Non-zero TRI Data'!$I:$I,'Processed Non-zero TRI Data'!$A:$A)) = 'Processed Non-zero TRI Data'!$A:$A)*('Processed Non-zero TRI Data'!$I:$I = H95), 'Processed Non-zero TRI Data'!$U:$U), "N/A- Facility Does Not Report to TRI")</f>
        <v>0</v>
      </c>
      <c r="AF95" s="33">
        <f t="shared" si="19"/>
        <v>0</v>
      </c>
      <c r="AG95" s="33" t="str" cm="1">
        <f t="array" ref="AG95">IF(COUNTIF('Processed Non-zero TRI Data'!$I:$I,$H95)&gt;0,MEDIAN(IF('Processed Non-zero TRI Data'!$I:$I=H95,'Processed Non-zero TRI Data'!$U:$U)), "N/A - Facility Does Not Report to TRI")</f>
        <v>N/A - Facility Does Not Report to TRI</v>
      </c>
      <c r="AH95" s="33" t="str">
        <f t="shared" si="20"/>
        <v>N/A - Facility Does Not Report to TRI</v>
      </c>
      <c r="AI95" s="33" t="str">
        <f>IF(COUNTIF('Processed Non-zero TRI Data'!$I:$I,$H95)&gt;0,_xlfn.MAXIFS('Processed Non-zero TRI Data'!$U:$U,'Processed Non-zero TRI Data'!$I:$I,$H95), "N/A - Facility Does Not Report to TRI")</f>
        <v>N/A - Facility Does Not Report to TRI</v>
      </c>
      <c r="AJ95" s="33" t="str">
        <f t="shared" si="21"/>
        <v>N/A - Facility Does Not Report to TRI</v>
      </c>
      <c r="AK95" s="110" t="str" cm="1">
        <f t="array" ref="AK95">IF(B95="TRI Form A",AD95,IF(AI95=0,"Facility has no transfers to POTWs between 2019-2023.",IF(COUNTIF('Processed Non-zero TRI Data'!$I:$I,$H95)&gt;0,INDEX('Processed Non-zero TRI Data'!$A:$A,MATCH(1,($H95='Processed Non-zero TRI Data'!$I:$I)*(AI95='Processed Non-zero TRI Data'!$U:$U),0)),"N/A - Facility Does Not Report to TRI")))</f>
        <v>N/A - Facility Does Not Report to TRI</v>
      </c>
      <c r="AL95" s="109" cm="1">
        <f t="array" ref="AL95">IFERROR(_xlfn.XLOOKUP(1,  (MAX(IF(H95 = 'Processed Non-zero TRI Data'!$I$2:$I$23,'Processed Non-zero TRI Data'!$A$2:$A$23)) = 'Processed Non-zero TRI Data'!$A$2:$A$23)*('Processed Non-zero TRI Data'!$I$2:$I$23 = H95), 'Processed Non-zero TRI Data'!$W$2:$W$23), "N/A- Facility Does Not Report to TRI")</f>
        <v>0</v>
      </c>
      <c r="AM95" s="33">
        <f t="shared" si="22"/>
        <v>0</v>
      </c>
      <c r="AN95" s="33" t="str" cm="1">
        <f t="array" ref="AN95">IF(COUNTIF('Processed Non-zero TRI Data'!$I:$I,$H95)&gt;0,MEDIAN(IF('Processed Non-zero TRI Data'!$I:$I=H95,'Processed Non-zero TRI Data'!$W:$W)), "N/A - Facility Does Not Report to TRI")</f>
        <v>N/A - Facility Does Not Report to TRI</v>
      </c>
      <c r="AO95" s="33" t="str">
        <f t="shared" si="23"/>
        <v>N/A - Facility Does Not Report to TRI</v>
      </c>
      <c r="AP95" s="33" t="str">
        <f>IF(COUNTIF('Processed Non-zero TRI Data'!$I:$I,$H95)&gt;0,_xlfn.MAXIFS('Processed Non-zero TRI Data'!$W:$W,'Processed Non-zero TRI Data'!$I:$I,$H95), "N/A - Facility Does Not Report to TRI")</f>
        <v>N/A - Facility Does Not Report to TRI</v>
      </c>
      <c r="AQ95" s="33" t="str">
        <f t="shared" si="24"/>
        <v>N/A - Facility Does Not Report to TRI</v>
      </c>
      <c r="AR95" s="110" t="str" cm="1">
        <f t="array" ref="AR95">IF(B95="TRI Form A",AD95,IF(AP95=0,"Facility has no transfers to non-POTWs between 2019-2023.",IF(COUNTIF('Processed Non-zero TRI Data'!$I:$I,$H95)&gt;0,INDEX('Processed Non-zero TRI Data'!$A:$A,MATCH(1,($H95='Processed Non-zero TRI Data'!$I:$I)*(AP95='Processed Non-zero TRI Data'!$W:$W),0)),"N/A - Facility Does Not Report to TRI")))</f>
        <v>N/A - Facility Does Not Report to TRI</v>
      </c>
    </row>
    <row r="96" spans="1:44" ht="29" x14ac:dyDescent="0.35">
      <c r="A96" s="34">
        <v>93</v>
      </c>
      <c r="B96" s="33" t="str">
        <f>IFERROR("TRI Form "&amp;VLOOKUP(H96,'Processed Non-zero TRI Data'!$I$2:$K$23,3,FALSE),"DMR")</f>
        <v>DMR</v>
      </c>
      <c r="C96" s="33" t="str">
        <f>VLOOKUP($D96, 'COU.OES Summary'!C:D, 2, FALSE)</f>
        <v> </v>
      </c>
      <c r="D96" s="33" t="str">
        <f>IFERROR(VLOOKUP($H96, 'Processed Non-zero TRI Data'!$I:$O, 7, FALSE), VLOOKUP($I96, 'Processed Non-zero DMR Data'!$K:$R, 8, FALSE))</f>
        <v>Waste handling, treatment, and disposal - Remediation or Monitoring</v>
      </c>
      <c r="E96" s="34" t="s">
        <v>282</v>
      </c>
      <c r="F96" s="34" t="s">
        <v>283</v>
      </c>
      <c r="G96" s="34" t="s">
        <v>95</v>
      </c>
      <c r="H96" s="34"/>
      <c r="I96" s="105">
        <v>110000748095</v>
      </c>
      <c r="J96" s="33" t="str">
        <f>IFERROR(VLOOKUP($I96, 'Processed Non-zero DMR Data'!$K:$U, 11, FALSE),"")</f>
        <v>TX0005592</v>
      </c>
      <c r="K96" s="33" t="str">
        <f>IFERROR(VLOOKUP($I96, 'Processed Non-zero DMR Data'!$K:$V, 12, FALSE),"Not Reported")</f>
        <v>Crystal Creek</v>
      </c>
      <c r="L96" s="106">
        <f>IFERROR(VLOOKUP($I96, 'Processed Non-zero DMR Data'!$K:$W, 13, FALSE),"No Reach Code Reported")</f>
        <v>120401010403</v>
      </c>
      <c r="M96" s="107" t="str">
        <f>IFERROR(IFERROR(VLOOKUP(H96, 'Off-site Locations'!$K$3:$O$5, 5, FALSE), VLOOKUP(H96, 'Off-site Locations'!$B$3:$E$4, 4, FALSE)), "No Offsite Transfers")</f>
        <v>No Offsite Transfers</v>
      </c>
      <c r="N96" s="33">
        <f>VLOOKUP($D96, 'COU.OES Summary'!C:E, 3, FALSE)</f>
        <v>365</v>
      </c>
      <c r="O96" s="108">
        <f t="shared" si="14"/>
        <v>0</v>
      </c>
      <c r="P96" s="108">
        <f t="shared" si="15"/>
        <v>2.1293734999999998</v>
      </c>
      <c r="Q96" s="109" cm="1">
        <f t="array" ref="Q96">IFERROR(_xlfn.XLOOKUP(1,  (MAX(IF(I96 = 'Processed Non-zero DMR Data'!$K:$K,'Processed Non-zero DMR Data'!$A:$A)) = 'Processed Non-zero DMR Data'!$A:$A)*('Processed Non-zero DMR Data'!$K:$K = I96),'Processed Non-zero DMR Data'!$T:$T), "N/A- Facility Does Not Report DMRs")</f>
        <v>0.2071375</v>
      </c>
      <c r="R96" s="33">
        <f t="shared" si="25"/>
        <v>5.6749999999999997E-4</v>
      </c>
      <c r="S96" s="33" cm="1">
        <f t="array" ref="S96">IF(COUNTIF('Processed Non-zero DMR Data'!$K:$K,$I96)&gt;0,MEDIAN(IF('Processed Non-zero DMR Data'!$K:$K=I96,'Processed Non-zero DMR Data'!$T:$T)),"N/A - Facility Does Not Report DMRs")</f>
        <v>1.6405289999999999</v>
      </c>
      <c r="T96" s="33">
        <f t="shared" si="26"/>
        <v>4.4945999999999996E-3</v>
      </c>
      <c r="U96" s="33">
        <f>IF(COUNTIF('Processed Non-zero DMR Data'!$K:$K,$I96)&gt;0,_xlfn.MAXIFS('Processed Non-zero DMR Data'!$T:$T,'Processed Non-zero DMR Data'!$K:$K,$I96), "N/A - Facility Does Not Report DMRs")</f>
        <v>2.1293734999999998</v>
      </c>
      <c r="V96" s="33">
        <f t="shared" si="27"/>
        <v>5.8338999999999995E-3</v>
      </c>
      <c r="W96" s="110" cm="1">
        <f t="array" ref="W96">IF(COUNTIF('Processed Non-zero DMR Data'!$K:$K,$I96)&gt;0,INDEX('Processed Non-zero DMR Data'!$A:$A,MATCH(1,($I96='Processed Non-zero DMR Data'!$K:$K)*($U96='Processed Non-zero DMR Data'!$T:$T),0)), "N/A - Facility Does Not Report DMRs")</f>
        <v>2021</v>
      </c>
      <c r="X96" s="109" cm="1">
        <f t="array" ref="X96">IFERROR(_xlfn.XLOOKUP(1,  (MAX(IF(H96 = 'Processed Non-zero TRI Data'!$I:$I,'Processed Non-zero TRI Data'!$A:$A)) = 'Processed Non-zero TRI Data'!$A:$A)*('Processed Non-zero TRI Data'!$I:$I = H96), 'Processed Non-zero TRI Data'!$S:$S), "N/A- Facility Does Not Report to TRI")</f>
        <v>0</v>
      </c>
      <c r="Y96" s="33">
        <f t="shared" si="16"/>
        <v>0</v>
      </c>
      <c r="Z96" s="33" t="str" cm="1">
        <f t="array" ref="Z96">IF(COUNTIF('Processed Non-zero TRI Data'!$I:$I,$H96)&gt;0,MEDIAN(IF('Processed Non-zero TRI Data'!$I:$I=H96,'Processed Non-zero TRI Data'!$S:$S)), "N/A - Facility Does Not Report to TRI")</f>
        <v>N/A - Facility Does Not Report to TRI</v>
      </c>
      <c r="AA96" s="33" t="str">
        <f t="shared" si="17"/>
        <v>N/A - Facility Does Not Report to TRI</v>
      </c>
      <c r="AB96" s="33" t="str">
        <f>IF(COUNTIF('Processed Non-zero TRI Data'!$I:$I,$H96)&gt;0,_xlfn.MAXIFS('Processed Non-zero TRI Data'!$S:$S,'Processed Non-zero TRI Data'!$I:$I,$H96), "N/A - Facility Does Not Report to TRI")</f>
        <v>N/A - Facility Does Not Report to TRI</v>
      </c>
      <c r="AC96" s="33" t="str">
        <f t="shared" si="18"/>
        <v>N/A - Facility Does Not Report to TRI</v>
      </c>
      <c r="AD96" s="110" t="str" cm="1">
        <f t="array" ref="AD96">IFERROR(IF(B96 = "TRI Form R", IF(AB96 = 0, "Facility has no on-site water discharges between 2019-2023.",  IF(COUNTIF('Processed Non-zero TRI Data'!$I:$I,$H96)&gt;0,INDEX('Processed Non-zero TRI Data'!$A:$A,MATCH(1,($H96='Processed Non-zero TRI Data'!$I:$I)*(AB96='Processed Non-zero TRI Data'!$S:$S),0)))), VLOOKUP(H96, 'Form A Recent Reporting'!$L:$M, 2, FALSE)), ("N/A - Facility Does Not Report to TRI"))</f>
        <v>N/A - Facility Does Not Report to TRI</v>
      </c>
      <c r="AE96" s="109" cm="1">
        <f t="array" ref="AE96">IFERROR(_xlfn.XLOOKUP(1,  (MAX(IF(H96 = 'Processed Non-zero TRI Data'!$I:$I,'Processed Non-zero TRI Data'!$A:$A)) = 'Processed Non-zero TRI Data'!$A:$A)*('Processed Non-zero TRI Data'!$I:$I = H96), 'Processed Non-zero TRI Data'!$U:$U), "N/A- Facility Does Not Report to TRI")</f>
        <v>0</v>
      </c>
      <c r="AF96" s="33">
        <f t="shared" si="19"/>
        <v>0</v>
      </c>
      <c r="AG96" s="33" t="str" cm="1">
        <f t="array" ref="AG96">IF(COUNTIF('Processed Non-zero TRI Data'!$I:$I,$H96)&gt;0,MEDIAN(IF('Processed Non-zero TRI Data'!$I:$I=H96,'Processed Non-zero TRI Data'!$U:$U)), "N/A - Facility Does Not Report to TRI")</f>
        <v>N/A - Facility Does Not Report to TRI</v>
      </c>
      <c r="AH96" s="33" t="str">
        <f t="shared" si="20"/>
        <v>N/A - Facility Does Not Report to TRI</v>
      </c>
      <c r="AI96" s="33" t="str">
        <f>IF(COUNTIF('Processed Non-zero TRI Data'!$I:$I,$H96)&gt;0,_xlfn.MAXIFS('Processed Non-zero TRI Data'!$U:$U,'Processed Non-zero TRI Data'!$I:$I,$H96), "N/A - Facility Does Not Report to TRI")</f>
        <v>N/A - Facility Does Not Report to TRI</v>
      </c>
      <c r="AJ96" s="33" t="str">
        <f t="shared" si="21"/>
        <v>N/A - Facility Does Not Report to TRI</v>
      </c>
      <c r="AK96" s="110" t="str" cm="1">
        <f t="array" ref="AK96">IF(B96="TRI Form A",AD96,IF(AI96=0,"Facility has no transfers to POTWs between 2019-2023.",IF(COUNTIF('Processed Non-zero TRI Data'!$I:$I,$H96)&gt;0,INDEX('Processed Non-zero TRI Data'!$A:$A,MATCH(1,($H96='Processed Non-zero TRI Data'!$I:$I)*(AI96='Processed Non-zero TRI Data'!$U:$U),0)),"N/A - Facility Does Not Report to TRI")))</f>
        <v>N/A - Facility Does Not Report to TRI</v>
      </c>
      <c r="AL96" s="109" cm="1">
        <f t="array" ref="AL96">IFERROR(_xlfn.XLOOKUP(1,  (MAX(IF(H96 = 'Processed Non-zero TRI Data'!$I$2:$I$23,'Processed Non-zero TRI Data'!$A$2:$A$23)) = 'Processed Non-zero TRI Data'!$A$2:$A$23)*('Processed Non-zero TRI Data'!$I$2:$I$23 = H96), 'Processed Non-zero TRI Data'!$W$2:$W$23), "N/A- Facility Does Not Report to TRI")</f>
        <v>0</v>
      </c>
      <c r="AM96" s="33">
        <f t="shared" si="22"/>
        <v>0</v>
      </c>
      <c r="AN96" s="33" t="str" cm="1">
        <f t="array" ref="AN96">IF(COUNTIF('Processed Non-zero TRI Data'!$I:$I,$H96)&gt;0,MEDIAN(IF('Processed Non-zero TRI Data'!$I:$I=H96,'Processed Non-zero TRI Data'!$W:$W)), "N/A - Facility Does Not Report to TRI")</f>
        <v>N/A - Facility Does Not Report to TRI</v>
      </c>
      <c r="AO96" s="33" t="str">
        <f t="shared" si="23"/>
        <v>N/A - Facility Does Not Report to TRI</v>
      </c>
      <c r="AP96" s="33" t="str">
        <f>IF(COUNTIF('Processed Non-zero TRI Data'!$I:$I,$H96)&gt;0,_xlfn.MAXIFS('Processed Non-zero TRI Data'!$W:$W,'Processed Non-zero TRI Data'!$I:$I,$H96), "N/A - Facility Does Not Report to TRI")</f>
        <v>N/A - Facility Does Not Report to TRI</v>
      </c>
      <c r="AQ96" s="33" t="str">
        <f t="shared" si="24"/>
        <v>N/A - Facility Does Not Report to TRI</v>
      </c>
      <c r="AR96" s="110" t="str" cm="1">
        <f t="array" ref="AR96">IF(B96="TRI Form A",AD96,IF(AP96=0,"Facility has no transfers to non-POTWs between 2019-2023.",IF(COUNTIF('Processed Non-zero TRI Data'!$I:$I,$H96)&gt;0,INDEX('Processed Non-zero TRI Data'!$A:$A,MATCH(1,($H96='Processed Non-zero TRI Data'!$I:$I)*(AP96='Processed Non-zero TRI Data'!$W:$W),0)),"N/A - Facility Does Not Report to TRI")))</f>
        <v>N/A - Facility Does Not Report to TRI</v>
      </c>
    </row>
    <row r="97" spans="1:44" ht="29" x14ac:dyDescent="0.35">
      <c r="A97" s="34">
        <v>94</v>
      </c>
      <c r="B97" s="33" t="str">
        <f>IFERROR("TRI Form "&amp;VLOOKUP(H97,'Processed Non-zero TRI Data'!$I$2:$K$23,3,FALSE),"DMR")</f>
        <v>DMR</v>
      </c>
      <c r="C97" s="33" t="str">
        <f>VLOOKUP($D97, 'COU.OES Summary'!C:D, 2, FALSE)</f>
        <v> </v>
      </c>
      <c r="D97" s="33" t="str">
        <f>IFERROR(VLOOKUP($H97, 'Processed Non-zero TRI Data'!$I:$O, 7, FALSE), VLOOKUP($I97, 'Processed Non-zero DMR Data'!$K:$R, 8, FALSE))</f>
        <v>Waste handling, treatment, and disposal - POTW</v>
      </c>
      <c r="E97" s="34" t="s">
        <v>284</v>
      </c>
      <c r="F97" s="34" t="s">
        <v>285</v>
      </c>
      <c r="G97" s="34" t="s">
        <v>108</v>
      </c>
      <c r="H97" s="34"/>
      <c r="I97" s="105">
        <v>110000759723</v>
      </c>
      <c r="J97" s="33" t="str">
        <f>IFERROR(VLOOKUP($I97, 'Processed Non-zero DMR Data'!$K:$U, 11, FALSE),"")</f>
        <v>KY0033553</v>
      </c>
      <c r="K97" s="33" t="str">
        <f>IFERROR(VLOOKUP($I97, 'Processed Non-zero DMR Data'!$K:$V, 12, FALSE),"Not Reported")</f>
        <v>Pond Run-Ohio River</v>
      </c>
      <c r="L97" s="106">
        <f>IFERROR(VLOOKUP($I97, 'Processed Non-zero DMR Data'!$K:$W, 13, FALSE),"No Reach Code Reported")</f>
        <v>50901030105</v>
      </c>
      <c r="M97" s="107" t="str">
        <f>IFERROR(IFERROR(VLOOKUP(H97, 'Off-site Locations'!$K$3:$O$5, 5, FALSE), VLOOKUP(H97, 'Off-site Locations'!$B$3:$E$4, 4, FALSE)), "No Offsite Transfers")</f>
        <v>No Offsite Transfers</v>
      </c>
      <c r="N97" s="33">
        <f>VLOOKUP($D97, 'COU.OES Summary'!C:E, 3, FALSE)</f>
        <v>365</v>
      </c>
      <c r="O97" s="108">
        <f t="shared" si="14"/>
        <v>0</v>
      </c>
      <c r="P97" s="108">
        <f t="shared" si="15"/>
        <v>1.3815249999999999</v>
      </c>
      <c r="Q97" s="109" cm="1">
        <f t="array" ref="Q97">IFERROR(_xlfn.XLOOKUP(1,  (MAX(IF(I97 = 'Processed Non-zero DMR Data'!$K:$K,'Processed Non-zero DMR Data'!$A:$A)) = 'Processed Non-zero DMR Data'!$A:$A)*('Processed Non-zero DMR Data'!$K:$K = I97),'Processed Non-zero DMR Data'!$T:$T), "N/A- Facility Does Not Report DMRs")</f>
        <v>1.0050594374999999</v>
      </c>
      <c r="R97" s="33">
        <f t="shared" si="25"/>
        <v>2.7535874999999998E-3</v>
      </c>
      <c r="S97" s="33" cm="1">
        <f t="array" ref="S97">IF(COUNTIF('Processed Non-zero DMR Data'!$K:$K,$I97)&gt;0,MEDIAN(IF('Processed Non-zero DMR Data'!$K:$K=I97,'Processed Non-zero DMR Data'!$T:$T)),"N/A - Facility Does Not Report DMRs")</f>
        <v>1.1932922187499999</v>
      </c>
      <c r="T97" s="33">
        <f t="shared" si="26"/>
        <v>3.2692937499999995E-3</v>
      </c>
      <c r="U97" s="33">
        <f>IF(COUNTIF('Processed Non-zero DMR Data'!$K:$K,$I97)&gt;0,_xlfn.MAXIFS('Processed Non-zero DMR Data'!$T:$T,'Processed Non-zero DMR Data'!$K:$K,$I97), "N/A - Facility Does Not Report DMRs")</f>
        <v>1.3815249999999999</v>
      </c>
      <c r="V97" s="33">
        <f t="shared" si="27"/>
        <v>3.7849999999999997E-3</v>
      </c>
      <c r="W97" s="110" cm="1">
        <f t="array" ref="W97">IF(COUNTIF('Processed Non-zero DMR Data'!$K:$K,$I97)&gt;0,INDEX('Processed Non-zero DMR Data'!$A:$A,MATCH(1,($I97='Processed Non-zero DMR Data'!$K:$K)*($U97='Processed Non-zero DMR Data'!$T:$T),0)), "N/A - Facility Does Not Report DMRs")</f>
        <v>2020</v>
      </c>
      <c r="X97" s="109" cm="1">
        <f t="array" ref="X97">IFERROR(_xlfn.XLOOKUP(1,  (MAX(IF(H97 = 'Processed Non-zero TRI Data'!$I:$I,'Processed Non-zero TRI Data'!$A:$A)) = 'Processed Non-zero TRI Data'!$A:$A)*('Processed Non-zero TRI Data'!$I:$I = H97), 'Processed Non-zero TRI Data'!$S:$S), "N/A- Facility Does Not Report to TRI")</f>
        <v>0</v>
      </c>
      <c r="Y97" s="33">
        <f t="shared" si="16"/>
        <v>0</v>
      </c>
      <c r="Z97" s="33" t="str" cm="1">
        <f t="array" ref="Z97">IF(COUNTIF('Processed Non-zero TRI Data'!$I:$I,$H97)&gt;0,MEDIAN(IF('Processed Non-zero TRI Data'!$I:$I=H97,'Processed Non-zero TRI Data'!$S:$S)), "N/A - Facility Does Not Report to TRI")</f>
        <v>N/A - Facility Does Not Report to TRI</v>
      </c>
      <c r="AA97" s="33" t="str">
        <f t="shared" si="17"/>
        <v>N/A - Facility Does Not Report to TRI</v>
      </c>
      <c r="AB97" s="33" t="str">
        <f>IF(COUNTIF('Processed Non-zero TRI Data'!$I:$I,$H97)&gt;0,_xlfn.MAXIFS('Processed Non-zero TRI Data'!$S:$S,'Processed Non-zero TRI Data'!$I:$I,$H97), "N/A - Facility Does Not Report to TRI")</f>
        <v>N/A - Facility Does Not Report to TRI</v>
      </c>
      <c r="AC97" s="33" t="str">
        <f t="shared" si="18"/>
        <v>N/A - Facility Does Not Report to TRI</v>
      </c>
      <c r="AD97" s="110" t="str" cm="1">
        <f t="array" ref="AD97">IFERROR(IF(B97 = "TRI Form R", IF(AB97 = 0, "Facility has no on-site water discharges between 2019-2023.",  IF(COUNTIF('Processed Non-zero TRI Data'!$I:$I,$H97)&gt;0,INDEX('Processed Non-zero TRI Data'!$A:$A,MATCH(1,($H97='Processed Non-zero TRI Data'!$I:$I)*(AB97='Processed Non-zero TRI Data'!$S:$S),0)))), VLOOKUP(H97, 'Form A Recent Reporting'!$L:$M, 2, FALSE)), ("N/A - Facility Does Not Report to TRI"))</f>
        <v>N/A - Facility Does Not Report to TRI</v>
      </c>
      <c r="AE97" s="109" cm="1">
        <f t="array" ref="AE97">IFERROR(_xlfn.XLOOKUP(1,  (MAX(IF(H97 = 'Processed Non-zero TRI Data'!$I:$I,'Processed Non-zero TRI Data'!$A:$A)) = 'Processed Non-zero TRI Data'!$A:$A)*('Processed Non-zero TRI Data'!$I:$I = H97), 'Processed Non-zero TRI Data'!$U:$U), "N/A- Facility Does Not Report to TRI")</f>
        <v>0</v>
      </c>
      <c r="AF97" s="33">
        <f t="shared" si="19"/>
        <v>0</v>
      </c>
      <c r="AG97" s="33" t="str" cm="1">
        <f t="array" ref="AG97">IF(COUNTIF('Processed Non-zero TRI Data'!$I:$I,$H97)&gt;0,MEDIAN(IF('Processed Non-zero TRI Data'!$I:$I=H97,'Processed Non-zero TRI Data'!$U:$U)), "N/A - Facility Does Not Report to TRI")</f>
        <v>N/A - Facility Does Not Report to TRI</v>
      </c>
      <c r="AH97" s="33" t="str">
        <f t="shared" si="20"/>
        <v>N/A - Facility Does Not Report to TRI</v>
      </c>
      <c r="AI97" s="33" t="str">
        <f>IF(COUNTIF('Processed Non-zero TRI Data'!$I:$I,$H97)&gt;0,_xlfn.MAXIFS('Processed Non-zero TRI Data'!$U:$U,'Processed Non-zero TRI Data'!$I:$I,$H97), "N/A - Facility Does Not Report to TRI")</f>
        <v>N/A - Facility Does Not Report to TRI</v>
      </c>
      <c r="AJ97" s="33" t="str">
        <f t="shared" si="21"/>
        <v>N/A - Facility Does Not Report to TRI</v>
      </c>
      <c r="AK97" s="110" t="str" cm="1">
        <f t="array" ref="AK97">IF(B97="TRI Form A",AD97,IF(AI97=0,"Facility has no transfers to POTWs between 2019-2023.",IF(COUNTIF('Processed Non-zero TRI Data'!$I:$I,$H97)&gt;0,INDEX('Processed Non-zero TRI Data'!$A:$A,MATCH(1,($H97='Processed Non-zero TRI Data'!$I:$I)*(AI97='Processed Non-zero TRI Data'!$U:$U),0)),"N/A - Facility Does Not Report to TRI")))</f>
        <v>N/A - Facility Does Not Report to TRI</v>
      </c>
      <c r="AL97" s="109" cm="1">
        <f t="array" ref="AL97">IFERROR(_xlfn.XLOOKUP(1,  (MAX(IF(H97 = 'Processed Non-zero TRI Data'!$I$2:$I$23,'Processed Non-zero TRI Data'!$A$2:$A$23)) = 'Processed Non-zero TRI Data'!$A$2:$A$23)*('Processed Non-zero TRI Data'!$I$2:$I$23 = H97), 'Processed Non-zero TRI Data'!$W$2:$W$23), "N/A- Facility Does Not Report to TRI")</f>
        <v>0</v>
      </c>
      <c r="AM97" s="33">
        <f t="shared" si="22"/>
        <v>0</v>
      </c>
      <c r="AN97" s="33" t="str" cm="1">
        <f t="array" ref="AN97">IF(COUNTIF('Processed Non-zero TRI Data'!$I:$I,$H97)&gt;0,MEDIAN(IF('Processed Non-zero TRI Data'!$I:$I=H97,'Processed Non-zero TRI Data'!$W:$W)), "N/A - Facility Does Not Report to TRI")</f>
        <v>N/A - Facility Does Not Report to TRI</v>
      </c>
      <c r="AO97" s="33" t="str">
        <f t="shared" si="23"/>
        <v>N/A - Facility Does Not Report to TRI</v>
      </c>
      <c r="AP97" s="33" t="str">
        <f>IF(COUNTIF('Processed Non-zero TRI Data'!$I:$I,$H97)&gt;0,_xlfn.MAXIFS('Processed Non-zero TRI Data'!$W:$W,'Processed Non-zero TRI Data'!$I:$I,$H97), "N/A - Facility Does Not Report to TRI")</f>
        <v>N/A - Facility Does Not Report to TRI</v>
      </c>
      <c r="AQ97" s="33" t="str">
        <f t="shared" si="24"/>
        <v>N/A - Facility Does Not Report to TRI</v>
      </c>
      <c r="AR97" s="110" t="str" cm="1">
        <f t="array" ref="AR97">IF(B97="TRI Form A",AD97,IF(AP97=0,"Facility has no transfers to non-POTWs between 2019-2023.",IF(COUNTIF('Processed Non-zero TRI Data'!$I:$I,$H97)&gt;0,INDEX('Processed Non-zero TRI Data'!$A:$A,MATCH(1,($H97='Processed Non-zero TRI Data'!$I:$I)*(AP97='Processed Non-zero TRI Data'!$W:$W),0)),"N/A - Facility Does Not Report to TRI")))</f>
        <v>N/A - Facility Does Not Report to TRI</v>
      </c>
    </row>
    <row r="98" spans="1:44" ht="29" x14ac:dyDescent="0.35">
      <c r="A98" s="34">
        <v>95</v>
      </c>
      <c r="B98" s="33" t="str">
        <f>IFERROR("TRI Form "&amp;VLOOKUP(H98,'Processed Non-zero TRI Data'!$I$2:$K$23,3,FALSE),"DMR")</f>
        <v>DMR</v>
      </c>
      <c r="C98" s="33" t="str">
        <f>VLOOKUP($D98, 'COU.OES Summary'!C:D, 2, FALSE)</f>
        <v> </v>
      </c>
      <c r="D98" s="33" t="str">
        <f>IFERROR(VLOOKUP($H98, 'Processed Non-zero TRI Data'!$I:$O, 7, FALSE), VLOOKUP($I98, 'Processed Non-zero DMR Data'!$K:$R, 8, FALSE))</f>
        <v>Waste handling, treatment, and disposal - POTW</v>
      </c>
      <c r="E98" s="34" t="s">
        <v>286</v>
      </c>
      <c r="F98" s="34" t="s">
        <v>287</v>
      </c>
      <c r="G98" s="34" t="s">
        <v>288</v>
      </c>
      <c r="H98" s="34"/>
      <c r="I98" s="105">
        <v>110024409344</v>
      </c>
      <c r="J98" s="33" t="str">
        <f>IFERROR(VLOOKUP($I98, 'Processed Non-zero DMR Data'!$K:$U, 11, FALSE),"")</f>
        <v>NN0020290</v>
      </c>
      <c r="K98" s="33" t="str">
        <f>IFERROR(VLOOKUP($I98, 'Processed Non-zero DMR Data'!$K:$V, 12, FALSE),"Not Reported")</f>
        <v>Kerley Valley-Moenkopi Wash (Local Drainage)</v>
      </c>
      <c r="L98" s="106">
        <f>IFERROR(VLOOKUP($I98, 'Processed Non-zero DMR Data'!$K:$W, 13, FALSE),"No Reach Code Reported")</f>
        <v>150200181004</v>
      </c>
      <c r="M98" s="107" t="str">
        <f>IFERROR(IFERROR(VLOOKUP(H98, 'Off-site Locations'!$K$3:$O$5, 5, FALSE), VLOOKUP(H98, 'Off-site Locations'!$B$3:$E$4, 4, FALSE)), "No Offsite Transfers")</f>
        <v>No Offsite Transfers</v>
      </c>
      <c r="N98" s="33">
        <f>VLOOKUP($D98, 'COU.OES Summary'!C:E, 3, FALSE)</f>
        <v>365</v>
      </c>
      <c r="O98" s="108">
        <f t="shared" si="14"/>
        <v>0</v>
      </c>
      <c r="P98" s="108">
        <f t="shared" si="15"/>
        <v>1.2317904</v>
      </c>
      <c r="Q98" s="109" cm="1">
        <f t="array" ref="Q98">IFERROR(_xlfn.XLOOKUP(1,  (MAX(IF(I98 = 'Processed Non-zero DMR Data'!$K:$K,'Processed Non-zero DMR Data'!$A:$A)) = 'Processed Non-zero DMR Data'!$A:$A)*('Processed Non-zero DMR Data'!$K:$K = I98),'Processed Non-zero DMR Data'!$T:$T), "N/A- Facility Does Not Report DMRs")</f>
        <v>1.2317904</v>
      </c>
      <c r="R98" s="33">
        <f t="shared" si="25"/>
        <v>3.3747682191780821E-3</v>
      </c>
      <c r="S98" s="33" cm="1">
        <f t="array" ref="S98">IF(COUNTIF('Processed Non-zero DMR Data'!$K:$K,$I98)&gt;0,MEDIAN(IF('Processed Non-zero DMR Data'!$K:$K=I98,'Processed Non-zero DMR Data'!$T:$T)),"N/A - Facility Does Not Report DMRs")</f>
        <v>0.99173056000000004</v>
      </c>
      <c r="T98" s="33">
        <f t="shared" si="26"/>
        <v>2.7170700273972605E-3</v>
      </c>
      <c r="U98" s="33">
        <f>IF(COUNTIF('Processed Non-zero DMR Data'!$K:$K,$I98)&gt;0,_xlfn.MAXIFS('Processed Non-zero DMR Data'!$T:$T,'Processed Non-zero DMR Data'!$K:$K,$I98), "N/A - Facility Does Not Report DMRs")</f>
        <v>1.2317904</v>
      </c>
      <c r="V98" s="33">
        <f t="shared" si="27"/>
        <v>3.3747682191780821E-3</v>
      </c>
      <c r="W98" s="110" cm="1">
        <f t="array" ref="W98">IF(COUNTIF('Processed Non-zero DMR Data'!$K:$K,$I98)&gt;0,INDEX('Processed Non-zero DMR Data'!$A:$A,MATCH(1,($I98='Processed Non-zero DMR Data'!$K:$K)*($U98='Processed Non-zero DMR Data'!$T:$T),0)), "N/A - Facility Does Not Report DMRs")</f>
        <v>2023</v>
      </c>
      <c r="X98" s="109" cm="1">
        <f t="array" ref="X98">IFERROR(_xlfn.XLOOKUP(1,  (MAX(IF(H98 = 'Processed Non-zero TRI Data'!$I:$I,'Processed Non-zero TRI Data'!$A:$A)) = 'Processed Non-zero TRI Data'!$A:$A)*('Processed Non-zero TRI Data'!$I:$I = H98), 'Processed Non-zero TRI Data'!$S:$S), "N/A- Facility Does Not Report to TRI")</f>
        <v>0</v>
      </c>
      <c r="Y98" s="33">
        <f t="shared" si="16"/>
        <v>0</v>
      </c>
      <c r="Z98" s="33" t="str" cm="1">
        <f t="array" ref="Z98">IF(COUNTIF('Processed Non-zero TRI Data'!$I:$I,$H98)&gt;0,MEDIAN(IF('Processed Non-zero TRI Data'!$I:$I=H98,'Processed Non-zero TRI Data'!$S:$S)), "N/A - Facility Does Not Report to TRI")</f>
        <v>N/A - Facility Does Not Report to TRI</v>
      </c>
      <c r="AA98" s="33" t="str">
        <f t="shared" si="17"/>
        <v>N/A - Facility Does Not Report to TRI</v>
      </c>
      <c r="AB98" s="33" t="str">
        <f>IF(COUNTIF('Processed Non-zero TRI Data'!$I:$I,$H98)&gt;0,_xlfn.MAXIFS('Processed Non-zero TRI Data'!$S:$S,'Processed Non-zero TRI Data'!$I:$I,$H98), "N/A - Facility Does Not Report to TRI")</f>
        <v>N/A - Facility Does Not Report to TRI</v>
      </c>
      <c r="AC98" s="33" t="str">
        <f t="shared" si="18"/>
        <v>N/A - Facility Does Not Report to TRI</v>
      </c>
      <c r="AD98" s="110" t="str" cm="1">
        <f t="array" ref="AD98">IFERROR(IF(B98 = "TRI Form R", IF(AB98 = 0, "Facility has no on-site water discharges between 2019-2023.",  IF(COUNTIF('Processed Non-zero TRI Data'!$I:$I,$H98)&gt;0,INDEX('Processed Non-zero TRI Data'!$A:$A,MATCH(1,($H98='Processed Non-zero TRI Data'!$I:$I)*(AB98='Processed Non-zero TRI Data'!$S:$S),0)))), VLOOKUP(H98, 'Form A Recent Reporting'!$L:$M, 2, FALSE)), ("N/A - Facility Does Not Report to TRI"))</f>
        <v>N/A - Facility Does Not Report to TRI</v>
      </c>
      <c r="AE98" s="109" cm="1">
        <f t="array" ref="AE98">IFERROR(_xlfn.XLOOKUP(1,  (MAX(IF(H98 = 'Processed Non-zero TRI Data'!$I:$I,'Processed Non-zero TRI Data'!$A:$A)) = 'Processed Non-zero TRI Data'!$A:$A)*('Processed Non-zero TRI Data'!$I:$I = H98), 'Processed Non-zero TRI Data'!$U:$U), "N/A- Facility Does Not Report to TRI")</f>
        <v>0</v>
      </c>
      <c r="AF98" s="33">
        <f t="shared" si="19"/>
        <v>0</v>
      </c>
      <c r="AG98" s="33" t="str" cm="1">
        <f t="array" ref="AG98">IF(COUNTIF('Processed Non-zero TRI Data'!$I:$I,$H98)&gt;0,MEDIAN(IF('Processed Non-zero TRI Data'!$I:$I=H98,'Processed Non-zero TRI Data'!$U:$U)), "N/A - Facility Does Not Report to TRI")</f>
        <v>N/A - Facility Does Not Report to TRI</v>
      </c>
      <c r="AH98" s="33" t="str">
        <f t="shared" si="20"/>
        <v>N/A - Facility Does Not Report to TRI</v>
      </c>
      <c r="AI98" s="33" t="str">
        <f>IF(COUNTIF('Processed Non-zero TRI Data'!$I:$I,$H98)&gt;0,_xlfn.MAXIFS('Processed Non-zero TRI Data'!$U:$U,'Processed Non-zero TRI Data'!$I:$I,$H98), "N/A - Facility Does Not Report to TRI")</f>
        <v>N/A - Facility Does Not Report to TRI</v>
      </c>
      <c r="AJ98" s="33" t="str">
        <f t="shared" si="21"/>
        <v>N/A - Facility Does Not Report to TRI</v>
      </c>
      <c r="AK98" s="110" t="str" cm="1">
        <f t="array" ref="AK98">IF(B98="TRI Form A",AD98,IF(AI98=0,"Facility has no transfers to POTWs between 2019-2023.",IF(COUNTIF('Processed Non-zero TRI Data'!$I:$I,$H98)&gt;0,INDEX('Processed Non-zero TRI Data'!$A:$A,MATCH(1,($H98='Processed Non-zero TRI Data'!$I:$I)*(AI98='Processed Non-zero TRI Data'!$U:$U),0)),"N/A - Facility Does Not Report to TRI")))</f>
        <v>N/A - Facility Does Not Report to TRI</v>
      </c>
      <c r="AL98" s="109" cm="1">
        <f t="array" ref="AL98">IFERROR(_xlfn.XLOOKUP(1,  (MAX(IF(H98 = 'Processed Non-zero TRI Data'!$I$2:$I$23,'Processed Non-zero TRI Data'!$A$2:$A$23)) = 'Processed Non-zero TRI Data'!$A$2:$A$23)*('Processed Non-zero TRI Data'!$I$2:$I$23 = H98), 'Processed Non-zero TRI Data'!$W$2:$W$23), "N/A- Facility Does Not Report to TRI")</f>
        <v>0</v>
      </c>
      <c r="AM98" s="33">
        <f t="shared" si="22"/>
        <v>0</v>
      </c>
      <c r="AN98" s="33" t="str" cm="1">
        <f t="array" ref="AN98">IF(COUNTIF('Processed Non-zero TRI Data'!$I:$I,$H98)&gt;0,MEDIAN(IF('Processed Non-zero TRI Data'!$I:$I=H98,'Processed Non-zero TRI Data'!$W:$W)), "N/A - Facility Does Not Report to TRI")</f>
        <v>N/A - Facility Does Not Report to TRI</v>
      </c>
      <c r="AO98" s="33" t="str">
        <f t="shared" si="23"/>
        <v>N/A - Facility Does Not Report to TRI</v>
      </c>
      <c r="AP98" s="33" t="str">
        <f>IF(COUNTIF('Processed Non-zero TRI Data'!$I:$I,$H98)&gt;0,_xlfn.MAXIFS('Processed Non-zero TRI Data'!$W:$W,'Processed Non-zero TRI Data'!$I:$I,$H98), "N/A - Facility Does Not Report to TRI")</f>
        <v>N/A - Facility Does Not Report to TRI</v>
      </c>
      <c r="AQ98" s="33" t="str">
        <f t="shared" si="24"/>
        <v>N/A - Facility Does Not Report to TRI</v>
      </c>
      <c r="AR98" s="110" t="str" cm="1">
        <f t="array" ref="AR98">IF(B98="TRI Form A",AD98,IF(AP98=0,"Facility has no transfers to non-POTWs between 2019-2023.",IF(COUNTIF('Processed Non-zero TRI Data'!$I:$I,$H98)&gt;0,INDEX('Processed Non-zero TRI Data'!$A:$A,MATCH(1,($H98='Processed Non-zero TRI Data'!$I:$I)*(AP98='Processed Non-zero TRI Data'!$W:$W),0)),"N/A - Facility Does Not Report to TRI")))</f>
        <v>N/A - Facility Does Not Report to TRI</v>
      </c>
    </row>
    <row r="99" spans="1:44" ht="29" x14ac:dyDescent="0.35">
      <c r="A99" s="34">
        <v>96</v>
      </c>
      <c r="B99" s="33" t="str">
        <f>IFERROR("TRI Form "&amp;VLOOKUP(H99,'Processed Non-zero TRI Data'!$I$2:$K$23,3,FALSE),"DMR")</f>
        <v>DMR</v>
      </c>
      <c r="C99" s="33" t="str">
        <f>VLOOKUP($D99, 'COU.OES Summary'!C:D, 2, FALSE)</f>
        <v> </v>
      </c>
      <c r="D99" s="33" t="str">
        <f>IFERROR(VLOOKUP($H99, 'Processed Non-zero TRI Data'!$I:$O, 7, FALSE), VLOOKUP($I99, 'Processed Non-zero DMR Data'!$K:$R, 8, FALSE))</f>
        <v>Waste handling, treatment, and disposal - POTW</v>
      </c>
      <c r="E99" s="34" t="s">
        <v>289</v>
      </c>
      <c r="F99" s="34" t="s">
        <v>290</v>
      </c>
      <c r="G99" s="34" t="s">
        <v>108</v>
      </c>
      <c r="H99" s="34"/>
      <c r="I99" s="105">
        <v>110064615590</v>
      </c>
      <c r="J99" s="33" t="str">
        <f>IFERROR(VLOOKUP($I99, 'Processed Non-zero DMR Data'!$K:$U, 11, FALSE),"")</f>
        <v>KY0111716</v>
      </c>
      <c r="K99" s="33" t="str">
        <f>IFERROR(VLOOKUP($I99, 'Processed Non-zero DMR Data'!$K:$V, 12, FALSE),"Not Reported")</f>
        <v>South Fork Harrods Creek</v>
      </c>
      <c r="L99" s="106">
        <f>IFERROR(VLOOKUP($I99, 'Processed Non-zero DMR Data'!$K:$W, 13, FALSE),"No Reach Code Reported")</f>
        <v>51401010504</v>
      </c>
      <c r="M99" s="107" t="str">
        <f>IFERROR(IFERROR(VLOOKUP(H99, 'Off-site Locations'!$K$3:$O$5, 5, FALSE), VLOOKUP(H99, 'Off-site Locations'!$B$3:$E$4, 4, FALSE)), "No Offsite Transfers")</f>
        <v>No Offsite Transfers</v>
      </c>
      <c r="N99" s="33">
        <f>VLOOKUP($D99, 'COU.OES Summary'!C:E, 3, FALSE)</f>
        <v>365</v>
      </c>
      <c r="O99" s="108">
        <f t="shared" si="14"/>
        <v>0</v>
      </c>
      <c r="P99" s="108">
        <f t="shared" si="15"/>
        <v>1.1846576874999999</v>
      </c>
      <c r="Q99" s="109" cm="1">
        <f t="array" ref="Q99">IFERROR(_xlfn.XLOOKUP(1,  (MAX(IF(I99 = 'Processed Non-zero DMR Data'!$K:$K,'Processed Non-zero DMR Data'!$A:$A)) = 'Processed Non-zero DMR Data'!$A:$A)*('Processed Non-zero DMR Data'!$K:$K = I99),'Processed Non-zero DMR Data'!$T:$T), "N/A- Facility Does Not Report DMRs")</f>
        <v>0.74256968749999996</v>
      </c>
      <c r="R99" s="33">
        <f t="shared" si="25"/>
        <v>2.0344374999999998E-3</v>
      </c>
      <c r="S99" s="33" cm="1">
        <f t="array" ref="S99">IF(COUNTIF('Processed Non-zero DMR Data'!$K:$K,$I99)&gt;0,MEDIAN(IF('Processed Non-zero DMR Data'!$K:$K=I99,'Processed Non-zero DMR Data'!$T:$T)),"N/A - Facility Does Not Report DMRs")</f>
        <v>0.97397512500000005</v>
      </c>
      <c r="T99" s="33">
        <f t="shared" si="26"/>
        <v>2.6684250000000003E-3</v>
      </c>
      <c r="U99" s="33">
        <f>IF(COUNTIF('Processed Non-zero DMR Data'!$K:$K,$I99)&gt;0,_xlfn.MAXIFS('Processed Non-zero DMR Data'!$T:$T,'Processed Non-zero DMR Data'!$K:$K,$I99), "N/A - Facility Does Not Report DMRs")</f>
        <v>1.1846576874999999</v>
      </c>
      <c r="V99" s="33">
        <f t="shared" si="27"/>
        <v>3.2456374999999997E-3</v>
      </c>
      <c r="W99" s="110" cm="1">
        <f t="array" ref="W99">IF(COUNTIF('Processed Non-zero DMR Data'!$K:$K,$I99)&gt;0,INDEX('Processed Non-zero DMR Data'!$A:$A,MATCH(1,($I99='Processed Non-zero DMR Data'!$K:$K)*($U99='Processed Non-zero DMR Data'!$T:$T),0)), "N/A - Facility Does Not Report DMRs")</f>
        <v>2021</v>
      </c>
      <c r="X99" s="109" cm="1">
        <f t="array" ref="X99">IFERROR(_xlfn.XLOOKUP(1,  (MAX(IF(H99 = 'Processed Non-zero TRI Data'!$I:$I,'Processed Non-zero TRI Data'!$A:$A)) = 'Processed Non-zero TRI Data'!$A:$A)*('Processed Non-zero TRI Data'!$I:$I = H99), 'Processed Non-zero TRI Data'!$S:$S), "N/A- Facility Does Not Report to TRI")</f>
        <v>0</v>
      </c>
      <c r="Y99" s="33">
        <f t="shared" si="16"/>
        <v>0</v>
      </c>
      <c r="Z99" s="33" t="str" cm="1">
        <f t="array" ref="Z99">IF(COUNTIF('Processed Non-zero TRI Data'!$I:$I,$H99)&gt;0,MEDIAN(IF('Processed Non-zero TRI Data'!$I:$I=H99,'Processed Non-zero TRI Data'!$S:$S)), "N/A - Facility Does Not Report to TRI")</f>
        <v>N/A - Facility Does Not Report to TRI</v>
      </c>
      <c r="AA99" s="33" t="str">
        <f t="shared" si="17"/>
        <v>N/A - Facility Does Not Report to TRI</v>
      </c>
      <c r="AB99" s="33" t="str">
        <f>IF(COUNTIF('Processed Non-zero TRI Data'!$I:$I,$H99)&gt;0,_xlfn.MAXIFS('Processed Non-zero TRI Data'!$S:$S,'Processed Non-zero TRI Data'!$I:$I,$H99), "N/A - Facility Does Not Report to TRI")</f>
        <v>N/A - Facility Does Not Report to TRI</v>
      </c>
      <c r="AC99" s="33" t="str">
        <f t="shared" si="18"/>
        <v>N/A - Facility Does Not Report to TRI</v>
      </c>
      <c r="AD99" s="110" t="str" cm="1">
        <f t="array" ref="AD99">IFERROR(IF(B99 = "TRI Form R", IF(AB99 = 0, "Facility has no on-site water discharges between 2019-2023.",  IF(COUNTIF('Processed Non-zero TRI Data'!$I:$I,$H99)&gt;0,INDEX('Processed Non-zero TRI Data'!$A:$A,MATCH(1,($H99='Processed Non-zero TRI Data'!$I:$I)*(AB99='Processed Non-zero TRI Data'!$S:$S),0)))), VLOOKUP(H99, 'Form A Recent Reporting'!$L:$M, 2, FALSE)), ("N/A - Facility Does Not Report to TRI"))</f>
        <v>N/A - Facility Does Not Report to TRI</v>
      </c>
      <c r="AE99" s="109" cm="1">
        <f t="array" ref="AE99">IFERROR(_xlfn.XLOOKUP(1,  (MAX(IF(H99 = 'Processed Non-zero TRI Data'!$I:$I,'Processed Non-zero TRI Data'!$A:$A)) = 'Processed Non-zero TRI Data'!$A:$A)*('Processed Non-zero TRI Data'!$I:$I = H99), 'Processed Non-zero TRI Data'!$U:$U), "N/A- Facility Does Not Report to TRI")</f>
        <v>0</v>
      </c>
      <c r="AF99" s="33">
        <f t="shared" si="19"/>
        <v>0</v>
      </c>
      <c r="AG99" s="33" t="str" cm="1">
        <f t="array" ref="AG99">IF(COUNTIF('Processed Non-zero TRI Data'!$I:$I,$H99)&gt;0,MEDIAN(IF('Processed Non-zero TRI Data'!$I:$I=H99,'Processed Non-zero TRI Data'!$U:$U)), "N/A - Facility Does Not Report to TRI")</f>
        <v>N/A - Facility Does Not Report to TRI</v>
      </c>
      <c r="AH99" s="33" t="str">
        <f t="shared" si="20"/>
        <v>N/A - Facility Does Not Report to TRI</v>
      </c>
      <c r="AI99" s="33" t="str">
        <f>IF(COUNTIF('Processed Non-zero TRI Data'!$I:$I,$H99)&gt;0,_xlfn.MAXIFS('Processed Non-zero TRI Data'!$U:$U,'Processed Non-zero TRI Data'!$I:$I,$H99), "N/A - Facility Does Not Report to TRI")</f>
        <v>N/A - Facility Does Not Report to TRI</v>
      </c>
      <c r="AJ99" s="33" t="str">
        <f t="shared" si="21"/>
        <v>N/A - Facility Does Not Report to TRI</v>
      </c>
      <c r="AK99" s="110" t="str" cm="1">
        <f t="array" ref="AK99">IF(B99="TRI Form A",AD99,IF(AI99=0,"Facility has no transfers to POTWs between 2019-2023.",IF(COUNTIF('Processed Non-zero TRI Data'!$I:$I,$H99)&gt;0,INDEX('Processed Non-zero TRI Data'!$A:$A,MATCH(1,($H99='Processed Non-zero TRI Data'!$I:$I)*(AI99='Processed Non-zero TRI Data'!$U:$U),0)),"N/A - Facility Does Not Report to TRI")))</f>
        <v>N/A - Facility Does Not Report to TRI</v>
      </c>
      <c r="AL99" s="109" cm="1">
        <f t="array" ref="AL99">IFERROR(_xlfn.XLOOKUP(1,  (MAX(IF(H99 = 'Processed Non-zero TRI Data'!$I$2:$I$23,'Processed Non-zero TRI Data'!$A$2:$A$23)) = 'Processed Non-zero TRI Data'!$A$2:$A$23)*('Processed Non-zero TRI Data'!$I$2:$I$23 = H99), 'Processed Non-zero TRI Data'!$W$2:$W$23), "N/A- Facility Does Not Report to TRI")</f>
        <v>0</v>
      </c>
      <c r="AM99" s="33">
        <f t="shared" si="22"/>
        <v>0</v>
      </c>
      <c r="AN99" s="33" t="str" cm="1">
        <f t="array" ref="AN99">IF(COUNTIF('Processed Non-zero TRI Data'!$I:$I,$H99)&gt;0,MEDIAN(IF('Processed Non-zero TRI Data'!$I:$I=H99,'Processed Non-zero TRI Data'!$W:$W)), "N/A - Facility Does Not Report to TRI")</f>
        <v>N/A - Facility Does Not Report to TRI</v>
      </c>
      <c r="AO99" s="33" t="str">
        <f t="shared" si="23"/>
        <v>N/A - Facility Does Not Report to TRI</v>
      </c>
      <c r="AP99" s="33" t="str">
        <f>IF(COUNTIF('Processed Non-zero TRI Data'!$I:$I,$H99)&gt;0,_xlfn.MAXIFS('Processed Non-zero TRI Data'!$W:$W,'Processed Non-zero TRI Data'!$I:$I,$H99), "N/A - Facility Does Not Report to TRI")</f>
        <v>N/A - Facility Does Not Report to TRI</v>
      </c>
      <c r="AQ99" s="33" t="str">
        <f t="shared" si="24"/>
        <v>N/A - Facility Does Not Report to TRI</v>
      </c>
      <c r="AR99" s="110" t="str" cm="1">
        <f t="array" ref="AR99">IF(B99="TRI Form A",AD99,IF(AP99=0,"Facility has no transfers to non-POTWs between 2019-2023.",IF(COUNTIF('Processed Non-zero TRI Data'!$I:$I,$H99)&gt;0,INDEX('Processed Non-zero TRI Data'!$A:$A,MATCH(1,($H99='Processed Non-zero TRI Data'!$I:$I)*(AP99='Processed Non-zero TRI Data'!$W:$W),0)),"N/A - Facility Does Not Report to TRI")))</f>
        <v>N/A - Facility Does Not Report to TRI</v>
      </c>
    </row>
    <row r="100" spans="1:44" ht="29" x14ac:dyDescent="0.35">
      <c r="A100" s="34">
        <v>97</v>
      </c>
      <c r="B100" s="33" t="str">
        <f>IFERROR("TRI Form "&amp;VLOOKUP(H100,'Processed Non-zero TRI Data'!$I$2:$K$23,3,FALSE),"DMR")</f>
        <v>DMR</v>
      </c>
      <c r="C100" s="33" t="str">
        <f>VLOOKUP($D100, 'COU.OES Summary'!C:D, 2, FALSE)</f>
        <v> </v>
      </c>
      <c r="D100" s="33" t="str">
        <f>IFERROR(VLOOKUP($H100, 'Processed Non-zero TRI Data'!$I:$O, 7, FALSE), VLOOKUP($I100, 'Processed Non-zero DMR Data'!$K:$R, 8, FALSE))</f>
        <v>Waste handling, treatment, and disposal - POTW</v>
      </c>
      <c r="E100" s="34" t="s">
        <v>291</v>
      </c>
      <c r="F100" s="34" t="s">
        <v>292</v>
      </c>
      <c r="G100" s="34" t="s">
        <v>102</v>
      </c>
      <c r="H100" s="34"/>
      <c r="I100" s="105">
        <v>110055992993</v>
      </c>
      <c r="J100" s="33" t="str">
        <f>IFERROR(VLOOKUP($I100, 'Processed Non-zero DMR Data'!$K:$U, 11, FALSE),"")</f>
        <v>CA0105376</v>
      </c>
      <c r="K100" s="33" t="str">
        <f>IFERROR(VLOOKUP($I100, 'Processed Non-zero DMR Data'!$K:$V, 12, FALSE),"Not Reported")</f>
        <v>Little San Gorgonio Creek</v>
      </c>
      <c r="L100" s="106">
        <f>IFERROR(VLOOKUP($I100, 'Processed Non-zero DMR Data'!$K:$W, 13, FALSE),"No Reach Code Reported")</f>
        <v>180702030401</v>
      </c>
      <c r="M100" s="107" t="str">
        <f>IFERROR(IFERROR(VLOOKUP(H100, 'Off-site Locations'!$K$3:$O$5, 5, FALSE), VLOOKUP(H100, 'Off-site Locations'!$B$3:$E$4, 4, FALSE)), "No Offsite Transfers")</f>
        <v>No Offsite Transfers</v>
      </c>
      <c r="N100" s="33">
        <f>VLOOKUP($D100, 'COU.OES Summary'!C:E, 3, FALSE)</f>
        <v>365</v>
      </c>
      <c r="O100" s="108">
        <f t="shared" si="14"/>
        <v>0</v>
      </c>
      <c r="P100" s="108">
        <f t="shared" si="15"/>
        <v>1.178440825</v>
      </c>
      <c r="Q100" s="109" cm="1">
        <f t="array" ref="Q100">IFERROR(_xlfn.XLOOKUP(1,  (MAX(IF(I100 = 'Processed Non-zero DMR Data'!$K:$K,'Processed Non-zero DMR Data'!$A:$A)) = 'Processed Non-zero DMR Data'!$A:$A)*('Processed Non-zero DMR Data'!$K:$K = I100),'Processed Non-zero DMR Data'!$T:$T), "N/A- Facility Does Not Report DMRs")</f>
        <v>1.178440825</v>
      </c>
      <c r="R100" s="33">
        <f t="shared" si="25"/>
        <v>3.2286050000000003E-3</v>
      </c>
      <c r="S100" s="33" cm="1">
        <f t="array" ref="S100">IF(COUNTIF('Processed Non-zero DMR Data'!$K:$K,$I100)&gt;0,MEDIAN(IF('Processed Non-zero DMR Data'!$K:$K=I100,'Processed Non-zero DMR Data'!$T:$T)),"N/A - Facility Does Not Report DMRs")</f>
        <v>0.26313215912499999</v>
      </c>
      <c r="T100" s="33">
        <f t="shared" si="26"/>
        <v>7.2091002499999996E-4</v>
      </c>
      <c r="U100" s="33">
        <f>IF(COUNTIF('Processed Non-zero DMR Data'!$K:$K,$I100)&gt;0,_xlfn.MAXIFS('Processed Non-zero DMR Data'!$T:$T,'Processed Non-zero DMR Data'!$K:$K,$I100), "N/A - Facility Does Not Report DMRs")</f>
        <v>1.178440825</v>
      </c>
      <c r="V100" s="33">
        <f t="shared" si="27"/>
        <v>3.2286050000000003E-3</v>
      </c>
      <c r="W100" s="110" cm="1">
        <f t="array" ref="W100">IF(COUNTIF('Processed Non-zero DMR Data'!$K:$K,$I100)&gt;0,INDEX('Processed Non-zero DMR Data'!$A:$A,MATCH(1,($I100='Processed Non-zero DMR Data'!$K:$K)*($U100='Processed Non-zero DMR Data'!$T:$T),0)), "N/A - Facility Does Not Report DMRs")</f>
        <v>2023</v>
      </c>
      <c r="X100" s="109" cm="1">
        <f t="array" ref="X100">IFERROR(_xlfn.XLOOKUP(1,  (MAX(IF(H100 = 'Processed Non-zero TRI Data'!$I:$I,'Processed Non-zero TRI Data'!$A:$A)) = 'Processed Non-zero TRI Data'!$A:$A)*('Processed Non-zero TRI Data'!$I:$I = H100), 'Processed Non-zero TRI Data'!$S:$S), "N/A- Facility Does Not Report to TRI")</f>
        <v>0</v>
      </c>
      <c r="Y100" s="33">
        <f t="shared" si="16"/>
        <v>0</v>
      </c>
      <c r="Z100" s="33" t="str" cm="1">
        <f t="array" ref="Z100">IF(COUNTIF('Processed Non-zero TRI Data'!$I:$I,$H100)&gt;0,MEDIAN(IF('Processed Non-zero TRI Data'!$I:$I=H100,'Processed Non-zero TRI Data'!$S:$S)), "N/A - Facility Does Not Report to TRI")</f>
        <v>N/A - Facility Does Not Report to TRI</v>
      </c>
      <c r="AA100" s="33" t="str">
        <f t="shared" si="17"/>
        <v>N/A - Facility Does Not Report to TRI</v>
      </c>
      <c r="AB100" s="33" t="str">
        <f>IF(COUNTIF('Processed Non-zero TRI Data'!$I:$I,$H100)&gt;0,_xlfn.MAXIFS('Processed Non-zero TRI Data'!$S:$S,'Processed Non-zero TRI Data'!$I:$I,$H100), "N/A - Facility Does Not Report to TRI")</f>
        <v>N/A - Facility Does Not Report to TRI</v>
      </c>
      <c r="AC100" s="33" t="str">
        <f t="shared" si="18"/>
        <v>N/A - Facility Does Not Report to TRI</v>
      </c>
      <c r="AD100" s="110" t="str" cm="1">
        <f t="array" ref="AD100">IFERROR(IF(B100 = "TRI Form R", IF(AB100 = 0, "Facility has no on-site water discharges between 2019-2023.",  IF(COUNTIF('Processed Non-zero TRI Data'!$I:$I,$H100)&gt;0,INDEX('Processed Non-zero TRI Data'!$A:$A,MATCH(1,($H100='Processed Non-zero TRI Data'!$I:$I)*(AB100='Processed Non-zero TRI Data'!$S:$S),0)))), VLOOKUP(H100, 'Form A Recent Reporting'!$L:$M, 2, FALSE)), ("N/A - Facility Does Not Report to TRI"))</f>
        <v>N/A - Facility Does Not Report to TRI</v>
      </c>
      <c r="AE100" s="109" cm="1">
        <f t="array" ref="AE100">IFERROR(_xlfn.XLOOKUP(1,  (MAX(IF(H100 = 'Processed Non-zero TRI Data'!$I:$I,'Processed Non-zero TRI Data'!$A:$A)) = 'Processed Non-zero TRI Data'!$A:$A)*('Processed Non-zero TRI Data'!$I:$I = H100), 'Processed Non-zero TRI Data'!$U:$U), "N/A- Facility Does Not Report to TRI")</f>
        <v>0</v>
      </c>
      <c r="AF100" s="33">
        <f t="shared" si="19"/>
        <v>0</v>
      </c>
      <c r="AG100" s="33" t="str" cm="1">
        <f t="array" ref="AG100">IF(COUNTIF('Processed Non-zero TRI Data'!$I:$I,$H100)&gt;0,MEDIAN(IF('Processed Non-zero TRI Data'!$I:$I=H100,'Processed Non-zero TRI Data'!$U:$U)), "N/A - Facility Does Not Report to TRI")</f>
        <v>N/A - Facility Does Not Report to TRI</v>
      </c>
      <c r="AH100" s="33" t="str">
        <f t="shared" si="20"/>
        <v>N/A - Facility Does Not Report to TRI</v>
      </c>
      <c r="AI100" s="33" t="str">
        <f>IF(COUNTIF('Processed Non-zero TRI Data'!$I:$I,$H100)&gt;0,_xlfn.MAXIFS('Processed Non-zero TRI Data'!$U:$U,'Processed Non-zero TRI Data'!$I:$I,$H100), "N/A - Facility Does Not Report to TRI")</f>
        <v>N/A - Facility Does Not Report to TRI</v>
      </c>
      <c r="AJ100" s="33" t="str">
        <f t="shared" si="21"/>
        <v>N/A - Facility Does Not Report to TRI</v>
      </c>
      <c r="AK100" s="110" t="str" cm="1">
        <f t="array" ref="AK100">IF(B100="TRI Form A",AD100,IF(AI100=0,"Facility has no transfers to POTWs between 2019-2023.",IF(COUNTIF('Processed Non-zero TRI Data'!$I:$I,$H100)&gt;0,INDEX('Processed Non-zero TRI Data'!$A:$A,MATCH(1,($H100='Processed Non-zero TRI Data'!$I:$I)*(AI100='Processed Non-zero TRI Data'!$U:$U),0)),"N/A - Facility Does Not Report to TRI")))</f>
        <v>N/A - Facility Does Not Report to TRI</v>
      </c>
      <c r="AL100" s="109" cm="1">
        <f t="array" ref="AL100">IFERROR(_xlfn.XLOOKUP(1,  (MAX(IF(H100 = 'Processed Non-zero TRI Data'!$I$2:$I$23,'Processed Non-zero TRI Data'!$A$2:$A$23)) = 'Processed Non-zero TRI Data'!$A$2:$A$23)*('Processed Non-zero TRI Data'!$I$2:$I$23 = H100), 'Processed Non-zero TRI Data'!$W$2:$W$23), "N/A- Facility Does Not Report to TRI")</f>
        <v>0</v>
      </c>
      <c r="AM100" s="33">
        <f t="shared" si="22"/>
        <v>0</v>
      </c>
      <c r="AN100" s="33" t="str" cm="1">
        <f t="array" ref="AN100">IF(COUNTIF('Processed Non-zero TRI Data'!$I:$I,$H100)&gt;0,MEDIAN(IF('Processed Non-zero TRI Data'!$I:$I=H100,'Processed Non-zero TRI Data'!$W:$W)), "N/A - Facility Does Not Report to TRI")</f>
        <v>N/A - Facility Does Not Report to TRI</v>
      </c>
      <c r="AO100" s="33" t="str">
        <f t="shared" si="23"/>
        <v>N/A - Facility Does Not Report to TRI</v>
      </c>
      <c r="AP100" s="33" t="str">
        <f>IF(COUNTIF('Processed Non-zero TRI Data'!$I:$I,$H100)&gt;0,_xlfn.MAXIFS('Processed Non-zero TRI Data'!$W:$W,'Processed Non-zero TRI Data'!$I:$I,$H100), "N/A - Facility Does Not Report to TRI")</f>
        <v>N/A - Facility Does Not Report to TRI</v>
      </c>
      <c r="AQ100" s="33" t="str">
        <f t="shared" si="24"/>
        <v>N/A - Facility Does Not Report to TRI</v>
      </c>
      <c r="AR100" s="110" t="str" cm="1">
        <f t="array" ref="AR100">IF(B100="TRI Form A",AD100,IF(AP100=0,"Facility has no transfers to non-POTWs between 2019-2023.",IF(COUNTIF('Processed Non-zero TRI Data'!$I:$I,$H100)&gt;0,INDEX('Processed Non-zero TRI Data'!$A:$A,MATCH(1,($H100='Processed Non-zero TRI Data'!$I:$I)*(AP100='Processed Non-zero TRI Data'!$W:$W),0)),"N/A - Facility Does Not Report to TRI")))</f>
        <v>N/A - Facility Does Not Report to TRI</v>
      </c>
    </row>
    <row r="101" spans="1:44" ht="29" x14ac:dyDescent="0.35">
      <c r="A101" s="34">
        <v>98</v>
      </c>
      <c r="B101" s="33" t="str">
        <f>IFERROR("TRI Form "&amp;VLOOKUP(H101,'Processed Non-zero TRI Data'!$I$2:$K$23,3,FALSE),"DMR")</f>
        <v>DMR</v>
      </c>
      <c r="C101" s="33" t="str">
        <f>VLOOKUP($D101, 'COU.OES Summary'!C:D, 2, FALSE)</f>
        <v> </v>
      </c>
      <c r="D101" s="33" t="str">
        <f>IFERROR(VLOOKUP($H101, 'Processed Non-zero TRI Data'!$I:$O, 7, FALSE), VLOOKUP($I101, 'Processed Non-zero DMR Data'!$K:$R, 8, FALSE))</f>
        <v>Waste handling, treatment, and disposal - Remediation or Monitoring</v>
      </c>
      <c r="E101" s="34" t="s">
        <v>293</v>
      </c>
      <c r="F101" s="34" t="s">
        <v>294</v>
      </c>
      <c r="G101" s="34" t="s">
        <v>254</v>
      </c>
      <c r="H101" s="34"/>
      <c r="I101" s="105">
        <v>110007970142</v>
      </c>
      <c r="J101" s="33" t="str">
        <f>IFERROR(VLOOKUP($I101, 'Processed Non-zero DMR Data'!$K:$U, 11, FALSE),"")</f>
        <v>NJ0005100</v>
      </c>
      <c r="K101" s="33" t="str">
        <f>IFERROR(VLOOKUP($I101, 'Processed Non-zero DMR Data'!$K:$V, 12, FALSE),"Not Reported")</f>
        <v>Salem Canal-Whooping John Creek</v>
      </c>
      <c r="L101" s="106">
        <f>IFERROR(VLOOKUP($I101, 'Processed Non-zero DMR Data'!$K:$W, 13, FALSE),"No Reach Code Reported")</f>
        <v>20402060103</v>
      </c>
      <c r="M101" s="107" t="str">
        <f>IFERROR(IFERROR(VLOOKUP(H101, 'Off-site Locations'!$K$3:$O$5, 5, FALSE), VLOOKUP(H101, 'Off-site Locations'!$B$3:$E$4, 4, FALSE)), "No Offsite Transfers")</f>
        <v>No Offsite Transfers</v>
      </c>
      <c r="N101" s="33">
        <f>VLOOKUP($D101, 'COU.OES Summary'!C:E, 3, FALSE)</f>
        <v>365</v>
      </c>
      <c r="O101" s="108">
        <f t="shared" si="14"/>
        <v>0</v>
      </c>
      <c r="P101" s="108">
        <f t="shared" si="15"/>
        <v>1.1679999999999999</v>
      </c>
      <c r="Q101" s="109" cm="1">
        <f t="array" ref="Q101">IFERROR(_xlfn.XLOOKUP(1,  (MAX(IF(I101 = 'Processed Non-zero DMR Data'!$K:$K,'Processed Non-zero DMR Data'!$A:$A)) = 'Processed Non-zero DMR Data'!$A:$A)*('Processed Non-zero DMR Data'!$K:$K = I101),'Processed Non-zero DMR Data'!$T:$T), "N/A- Facility Does Not Report DMRs")</f>
        <v>0.80800000000000005</v>
      </c>
      <c r="R101" s="33">
        <f t="shared" si="25"/>
        <v>2.2136986301369865E-3</v>
      </c>
      <c r="S101" s="33" cm="1">
        <f t="array" ref="S101">IF(COUNTIF('Processed Non-zero DMR Data'!$K:$K,$I101)&gt;0,MEDIAN(IF('Processed Non-zero DMR Data'!$K:$K=I101,'Processed Non-zero DMR Data'!$T:$T)),"N/A - Facility Does Not Report DMRs")</f>
        <v>0.80800000000000005</v>
      </c>
      <c r="T101" s="33">
        <f t="shared" si="26"/>
        <v>2.2136986301369865E-3</v>
      </c>
      <c r="U101" s="33">
        <f>IF(COUNTIF('Processed Non-zero DMR Data'!$K:$K,$I101)&gt;0,_xlfn.MAXIFS('Processed Non-zero DMR Data'!$T:$T,'Processed Non-zero DMR Data'!$K:$K,$I101), "N/A - Facility Does Not Report DMRs")</f>
        <v>1.1679999999999999</v>
      </c>
      <c r="V101" s="33">
        <f t="shared" si="27"/>
        <v>3.1999999999999997E-3</v>
      </c>
      <c r="W101" s="110" cm="1">
        <f t="array" ref="W101">IF(COUNTIF('Processed Non-zero DMR Data'!$K:$K,$I101)&gt;0,INDEX('Processed Non-zero DMR Data'!$A:$A,MATCH(1,($I101='Processed Non-zero DMR Data'!$K:$K)*($U101='Processed Non-zero DMR Data'!$T:$T),0)), "N/A - Facility Does Not Report DMRs")</f>
        <v>2021</v>
      </c>
      <c r="X101" s="109" cm="1">
        <f t="array" ref="X101">IFERROR(_xlfn.XLOOKUP(1,  (MAX(IF(H101 = 'Processed Non-zero TRI Data'!$I:$I,'Processed Non-zero TRI Data'!$A:$A)) = 'Processed Non-zero TRI Data'!$A:$A)*('Processed Non-zero TRI Data'!$I:$I = H101), 'Processed Non-zero TRI Data'!$S:$S), "N/A- Facility Does Not Report to TRI")</f>
        <v>0</v>
      </c>
      <c r="Y101" s="33">
        <f t="shared" si="16"/>
        <v>0</v>
      </c>
      <c r="Z101" s="33" t="str" cm="1">
        <f t="array" ref="Z101">IF(COUNTIF('Processed Non-zero TRI Data'!$I:$I,$H101)&gt;0,MEDIAN(IF('Processed Non-zero TRI Data'!$I:$I=H101,'Processed Non-zero TRI Data'!$S:$S)), "N/A - Facility Does Not Report to TRI")</f>
        <v>N/A - Facility Does Not Report to TRI</v>
      </c>
      <c r="AA101" s="33" t="str">
        <f t="shared" si="17"/>
        <v>N/A - Facility Does Not Report to TRI</v>
      </c>
      <c r="AB101" s="33" t="str">
        <f>IF(COUNTIF('Processed Non-zero TRI Data'!$I:$I,$H101)&gt;0,_xlfn.MAXIFS('Processed Non-zero TRI Data'!$S:$S,'Processed Non-zero TRI Data'!$I:$I,$H101), "N/A - Facility Does Not Report to TRI")</f>
        <v>N/A - Facility Does Not Report to TRI</v>
      </c>
      <c r="AC101" s="33" t="str">
        <f t="shared" si="18"/>
        <v>N/A - Facility Does Not Report to TRI</v>
      </c>
      <c r="AD101" s="110" t="str" cm="1">
        <f t="array" ref="AD101">IFERROR(IF(B101 = "TRI Form R", IF(AB101 = 0, "Facility has no on-site water discharges between 2019-2023.",  IF(COUNTIF('Processed Non-zero TRI Data'!$I:$I,$H101)&gt;0,INDEX('Processed Non-zero TRI Data'!$A:$A,MATCH(1,($H101='Processed Non-zero TRI Data'!$I:$I)*(AB101='Processed Non-zero TRI Data'!$S:$S),0)))), VLOOKUP(H101, 'Form A Recent Reporting'!$L:$M, 2, FALSE)), ("N/A - Facility Does Not Report to TRI"))</f>
        <v>N/A - Facility Does Not Report to TRI</v>
      </c>
      <c r="AE101" s="109" cm="1">
        <f t="array" ref="AE101">IFERROR(_xlfn.XLOOKUP(1,  (MAX(IF(H101 = 'Processed Non-zero TRI Data'!$I:$I,'Processed Non-zero TRI Data'!$A:$A)) = 'Processed Non-zero TRI Data'!$A:$A)*('Processed Non-zero TRI Data'!$I:$I = H101), 'Processed Non-zero TRI Data'!$U:$U), "N/A- Facility Does Not Report to TRI")</f>
        <v>0</v>
      </c>
      <c r="AF101" s="33">
        <f t="shared" si="19"/>
        <v>0</v>
      </c>
      <c r="AG101" s="33" t="str" cm="1">
        <f t="array" ref="AG101">IF(COUNTIF('Processed Non-zero TRI Data'!$I:$I,$H101)&gt;0,MEDIAN(IF('Processed Non-zero TRI Data'!$I:$I=H101,'Processed Non-zero TRI Data'!$U:$U)), "N/A - Facility Does Not Report to TRI")</f>
        <v>N/A - Facility Does Not Report to TRI</v>
      </c>
      <c r="AH101" s="33" t="str">
        <f t="shared" si="20"/>
        <v>N/A - Facility Does Not Report to TRI</v>
      </c>
      <c r="AI101" s="33" t="str">
        <f>IF(COUNTIF('Processed Non-zero TRI Data'!$I:$I,$H101)&gt;0,_xlfn.MAXIFS('Processed Non-zero TRI Data'!$U:$U,'Processed Non-zero TRI Data'!$I:$I,$H101), "N/A - Facility Does Not Report to TRI")</f>
        <v>N/A - Facility Does Not Report to TRI</v>
      </c>
      <c r="AJ101" s="33" t="str">
        <f t="shared" si="21"/>
        <v>N/A - Facility Does Not Report to TRI</v>
      </c>
      <c r="AK101" s="110" t="str" cm="1">
        <f t="array" ref="AK101">IF(B101="TRI Form A",AD101,IF(AI101=0,"Facility has no transfers to POTWs between 2019-2023.",IF(COUNTIF('Processed Non-zero TRI Data'!$I:$I,$H101)&gt;0,INDEX('Processed Non-zero TRI Data'!$A:$A,MATCH(1,($H101='Processed Non-zero TRI Data'!$I:$I)*(AI101='Processed Non-zero TRI Data'!$U:$U),0)),"N/A - Facility Does Not Report to TRI")))</f>
        <v>N/A - Facility Does Not Report to TRI</v>
      </c>
      <c r="AL101" s="109" cm="1">
        <f t="array" ref="AL101">IFERROR(_xlfn.XLOOKUP(1,  (MAX(IF(H101 = 'Processed Non-zero TRI Data'!$I$2:$I$23,'Processed Non-zero TRI Data'!$A$2:$A$23)) = 'Processed Non-zero TRI Data'!$A$2:$A$23)*('Processed Non-zero TRI Data'!$I$2:$I$23 = H101), 'Processed Non-zero TRI Data'!$W$2:$W$23), "N/A- Facility Does Not Report to TRI")</f>
        <v>0</v>
      </c>
      <c r="AM101" s="33">
        <f t="shared" si="22"/>
        <v>0</v>
      </c>
      <c r="AN101" s="33" t="str" cm="1">
        <f t="array" ref="AN101">IF(COUNTIF('Processed Non-zero TRI Data'!$I:$I,$H101)&gt;0,MEDIAN(IF('Processed Non-zero TRI Data'!$I:$I=H101,'Processed Non-zero TRI Data'!$W:$W)), "N/A - Facility Does Not Report to TRI")</f>
        <v>N/A - Facility Does Not Report to TRI</v>
      </c>
      <c r="AO101" s="33" t="str">
        <f t="shared" si="23"/>
        <v>N/A - Facility Does Not Report to TRI</v>
      </c>
      <c r="AP101" s="33" t="str">
        <f>IF(COUNTIF('Processed Non-zero TRI Data'!$I:$I,$H101)&gt;0,_xlfn.MAXIFS('Processed Non-zero TRI Data'!$W:$W,'Processed Non-zero TRI Data'!$I:$I,$H101), "N/A - Facility Does Not Report to TRI")</f>
        <v>N/A - Facility Does Not Report to TRI</v>
      </c>
      <c r="AQ101" s="33" t="str">
        <f t="shared" si="24"/>
        <v>N/A - Facility Does Not Report to TRI</v>
      </c>
      <c r="AR101" s="110" t="str" cm="1">
        <f t="array" ref="AR101">IF(B101="TRI Form A",AD101,IF(AP101=0,"Facility has no transfers to non-POTWs between 2019-2023.",IF(COUNTIF('Processed Non-zero TRI Data'!$I:$I,$H101)&gt;0,INDEX('Processed Non-zero TRI Data'!$A:$A,MATCH(1,($H101='Processed Non-zero TRI Data'!$I:$I)*(AP101='Processed Non-zero TRI Data'!$W:$W),0)),"N/A - Facility Does Not Report to TRI")))</f>
        <v>N/A - Facility Does Not Report to TRI</v>
      </c>
    </row>
    <row r="102" spans="1:44" ht="29" x14ac:dyDescent="0.35">
      <c r="A102" s="34">
        <v>99</v>
      </c>
      <c r="B102" s="33" t="str">
        <f>IFERROR("TRI Form "&amp;VLOOKUP(H102,'Processed Non-zero TRI Data'!$I$2:$K$23,3,FALSE),"DMR")</f>
        <v>DMR</v>
      </c>
      <c r="C102" s="33" t="str">
        <f>VLOOKUP($D102, 'COU.OES Summary'!C:D, 2, FALSE)</f>
        <v> </v>
      </c>
      <c r="D102" s="33" t="str">
        <f>IFERROR(VLOOKUP($H102, 'Processed Non-zero TRI Data'!$I:$O, 7, FALSE), VLOOKUP($I102, 'Processed Non-zero DMR Data'!$K:$R, 8, FALSE))</f>
        <v>Waste handling, treatment, and disposal - POTW</v>
      </c>
      <c r="E102" s="34" t="s">
        <v>295</v>
      </c>
      <c r="F102" s="34" t="s">
        <v>296</v>
      </c>
      <c r="G102" s="34" t="s">
        <v>288</v>
      </c>
      <c r="H102" s="34"/>
      <c r="I102" s="105">
        <v>110024409433</v>
      </c>
      <c r="J102" s="33" t="str">
        <f>IFERROR(VLOOKUP($I102, 'Processed Non-zero DMR Data'!$K:$U, 11, FALSE),"")</f>
        <v>NN0021555</v>
      </c>
      <c r="K102" s="33" t="str">
        <f>IFERROR(VLOOKUP($I102, 'Processed Non-zero DMR Data'!$K:$V, 12, FALSE),"Not Reported")</f>
        <v>Black Creek Valley-Black Creek</v>
      </c>
      <c r="L102" s="106">
        <f>IFERROR(VLOOKUP($I102, 'Processed Non-zero DMR Data'!$K:$W, 13, FALSE),"No Reach Code Reported")</f>
        <v>150200060604</v>
      </c>
      <c r="M102" s="107" t="str">
        <f>IFERROR(IFERROR(VLOOKUP(H102, 'Off-site Locations'!$K$3:$O$5, 5, FALSE), VLOOKUP(H102, 'Off-site Locations'!$B$3:$E$4, 4, FALSE)), "No Offsite Transfers")</f>
        <v>No Offsite Transfers</v>
      </c>
      <c r="N102" s="33">
        <f>VLOOKUP($D102, 'COU.OES Summary'!C:E, 3, FALSE)</f>
        <v>365</v>
      </c>
      <c r="O102" s="108">
        <f t="shared" si="14"/>
        <v>0</v>
      </c>
      <c r="P102" s="108">
        <f t="shared" si="15"/>
        <v>1.1604810000000001</v>
      </c>
      <c r="Q102" s="109" cm="1">
        <f t="array" ref="Q102">IFERROR(_xlfn.XLOOKUP(1,  (MAX(IF(I102 = 'Processed Non-zero DMR Data'!$K:$K,'Processed Non-zero DMR Data'!$A:$A)) = 'Processed Non-zero DMR Data'!$A:$A)*('Processed Non-zero DMR Data'!$K:$K = I102),'Processed Non-zero DMR Data'!$T:$T), "N/A- Facility Does Not Report DMRs")</f>
        <v>0.45590324999999998</v>
      </c>
      <c r="R102" s="33">
        <f t="shared" si="25"/>
        <v>1.24905E-3</v>
      </c>
      <c r="S102" s="33" cm="1">
        <f t="array" ref="S102">IF(COUNTIF('Processed Non-zero DMR Data'!$K:$K,$I102)&gt;0,MEDIAN(IF('Processed Non-zero DMR Data'!$K:$K=I102,'Processed Non-zero DMR Data'!$T:$T)),"N/A - Facility Does Not Report DMRs")</f>
        <v>0.899316</v>
      </c>
      <c r="T102" s="33">
        <f t="shared" si="26"/>
        <v>2.4638794520547946E-3</v>
      </c>
      <c r="U102" s="33">
        <f>IF(COUNTIF('Processed Non-zero DMR Data'!$K:$K,$I102)&gt;0,_xlfn.MAXIFS('Processed Non-zero DMR Data'!$T:$T,'Processed Non-zero DMR Data'!$K:$K,$I102), "N/A - Facility Does Not Report DMRs")</f>
        <v>1.1604810000000001</v>
      </c>
      <c r="V102" s="33">
        <f t="shared" si="27"/>
        <v>3.1794000000000002E-3</v>
      </c>
      <c r="W102" s="110" cm="1">
        <f t="array" ref="W102">IF(COUNTIF('Processed Non-zero DMR Data'!$K:$K,$I102)&gt;0,INDEX('Processed Non-zero DMR Data'!$A:$A,MATCH(1,($I102='Processed Non-zero DMR Data'!$K:$K)*($U102='Processed Non-zero DMR Data'!$T:$T),0)), "N/A - Facility Does Not Report DMRs")</f>
        <v>2022</v>
      </c>
      <c r="X102" s="109" cm="1">
        <f t="array" ref="X102">IFERROR(_xlfn.XLOOKUP(1,  (MAX(IF(H102 = 'Processed Non-zero TRI Data'!$I:$I,'Processed Non-zero TRI Data'!$A:$A)) = 'Processed Non-zero TRI Data'!$A:$A)*('Processed Non-zero TRI Data'!$I:$I = H102), 'Processed Non-zero TRI Data'!$S:$S), "N/A- Facility Does Not Report to TRI")</f>
        <v>0</v>
      </c>
      <c r="Y102" s="33">
        <f t="shared" si="16"/>
        <v>0</v>
      </c>
      <c r="Z102" s="33" t="str" cm="1">
        <f t="array" ref="Z102">IF(COUNTIF('Processed Non-zero TRI Data'!$I:$I,$H102)&gt;0,MEDIAN(IF('Processed Non-zero TRI Data'!$I:$I=H102,'Processed Non-zero TRI Data'!$S:$S)), "N/A - Facility Does Not Report to TRI")</f>
        <v>N/A - Facility Does Not Report to TRI</v>
      </c>
      <c r="AA102" s="33" t="str">
        <f t="shared" si="17"/>
        <v>N/A - Facility Does Not Report to TRI</v>
      </c>
      <c r="AB102" s="33" t="str">
        <f>IF(COUNTIF('Processed Non-zero TRI Data'!$I:$I,$H102)&gt;0,_xlfn.MAXIFS('Processed Non-zero TRI Data'!$S:$S,'Processed Non-zero TRI Data'!$I:$I,$H102), "N/A - Facility Does Not Report to TRI")</f>
        <v>N/A - Facility Does Not Report to TRI</v>
      </c>
      <c r="AC102" s="33" t="str">
        <f t="shared" si="18"/>
        <v>N/A - Facility Does Not Report to TRI</v>
      </c>
      <c r="AD102" s="110" t="str" cm="1">
        <f t="array" ref="AD102">IFERROR(IF(B102 = "TRI Form R", IF(AB102 = 0, "Facility has no on-site water discharges between 2019-2023.",  IF(COUNTIF('Processed Non-zero TRI Data'!$I:$I,$H102)&gt;0,INDEX('Processed Non-zero TRI Data'!$A:$A,MATCH(1,($H102='Processed Non-zero TRI Data'!$I:$I)*(AB102='Processed Non-zero TRI Data'!$S:$S),0)))), VLOOKUP(H102, 'Form A Recent Reporting'!$L:$M, 2, FALSE)), ("N/A - Facility Does Not Report to TRI"))</f>
        <v>N/A - Facility Does Not Report to TRI</v>
      </c>
      <c r="AE102" s="109" cm="1">
        <f t="array" ref="AE102">IFERROR(_xlfn.XLOOKUP(1,  (MAX(IF(H102 = 'Processed Non-zero TRI Data'!$I:$I,'Processed Non-zero TRI Data'!$A:$A)) = 'Processed Non-zero TRI Data'!$A:$A)*('Processed Non-zero TRI Data'!$I:$I = H102), 'Processed Non-zero TRI Data'!$U:$U), "N/A- Facility Does Not Report to TRI")</f>
        <v>0</v>
      </c>
      <c r="AF102" s="33">
        <f t="shared" si="19"/>
        <v>0</v>
      </c>
      <c r="AG102" s="33" t="str" cm="1">
        <f t="array" ref="AG102">IF(COUNTIF('Processed Non-zero TRI Data'!$I:$I,$H102)&gt;0,MEDIAN(IF('Processed Non-zero TRI Data'!$I:$I=H102,'Processed Non-zero TRI Data'!$U:$U)), "N/A - Facility Does Not Report to TRI")</f>
        <v>N/A - Facility Does Not Report to TRI</v>
      </c>
      <c r="AH102" s="33" t="str">
        <f t="shared" si="20"/>
        <v>N/A - Facility Does Not Report to TRI</v>
      </c>
      <c r="AI102" s="33" t="str">
        <f>IF(COUNTIF('Processed Non-zero TRI Data'!$I:$I,$H102)&gt;0,_xlfn.MAXIFS('Processed Non-zero TRI Data'!$U:$U,'Processed Non-zero TRI Data'!$I:$I,$H102), "N/A - Facility Does Not Report to TRI")</f>
        <v>N/A - Facility Does Not Report to TRI</v>
      </c>
      <c r="AJ102" s="33" t="str">
        <f t="shared" si="21"/>
        <v>N/A - Facility Does Not Report to TRI</v>
      </c>
      <c r="AK102" s="110" t="str" cm="1">
        <f t="array" ref="AK102">IF(B102="TRI Form A",AD102,IF(AI102=0,"Facility has no transfers to POTWs between 2019-2023.",IF(COUNTIF('Processed Non-zero TRI Data'!$I:$I,$H102)&gt;0,INDEX('Processed Non-zero TRI Data'!$A:$A,MATCH(1,($H102='Processed Non-zero TRI Data'!$I:$I)*(AI102='Processed Non-zero TRI Data'!$U:$U),0)),"N/A - Facility Does Not Report to TRI")))</f>
        <v>N/A - Facility Does Not Report to TRI</v>
      </c>
      <c r="AL102" s="109" cm="1">
        <f t="array" ref="AL102">IFERROR(_xlfn.XLOOKUP(1,  (MAX(IF(H102 = 'Processed Non-zero TRI Data'!$I$2:$I$23,'Processed Non-zero TRI Data'!$A$2:$A$23)) = 'Processed Non-zero TRI Data'!$A$2:$A$23)*('Processed Non-zero TRI Data'!$I$2:$I$23 = H102), 'Processed Non-zero TRI Data'!$W$2:$W$23), "N/A- Facility Does Not Report to TRI")</f>
        <v>0</v>
      </c>
      <c r="AM102" s="33">
        <f t="shared" si="22"/>
        <v>0</v>
      </c>
      <c r="AN102" s="33" t="str" cm="1">
        <f t="array" ref="AN102">IF(COUNTIF('Processed Non-zero TRI Data'!$I:$I,$H102)&gt;0,MEDIAN(IF('Processed Non-zero TRI Data'!$I:$I=H102,'Processed Non-zero TRI Data'!$W:$W)), "N/A - Facility Does Not Report to TRI")</f>
        <v>N/A - Facility Does Not Report to TRI</v>
      </c>
      <c r="AO102" s="33" t="str">
        <f t="shared" si="23"/>
        <v>N/A - Facility Does Not Report to TRI</v>
      </c>
      <c r="AP102" s="33" t="str">
        <f>IF(COUNTIF('Processed Non-zero TRI Data'!$I:$I,$H102)&gt;0,_xlfn.MAXIFS('Processed Non-zero TRI Data'!$W:$W,'Processed Non-zero TRI Data'!$I:$I,$H102), "N/A - Facility Does Not Report to TRI")</f>
        <v>N/A - Facility Does Not Report to TRI</v>
      </c>
      <c r="AQ102" s="33" t="str">
        <f t="shared" si="24"/>
        <v>N/A - Facility Does Not Report to TRI</v>
      </c>
      <c r="AR102" s="110" t="str" cm="1">
        <f t="array" ref="AR102">IF(B102="TRI Form A",AD102,IF(AP102=0,"Facility has no transfers to non-POTWs between 2019-2023.",IF(COUNTIF('Processed Non-zero TRI Data'!$I:$I,$H102)&gt;0,INDEX('Processed Non-zero TRI Data'!$A:$A,MATCH(1,($H102='Processed Non-zero TRI Data'!$I:$I)*(AP102='Processed Non-zero TRI Data'!$W:$W),0)),"N/A - Facility Does Not Report to TRI")))</f>
        <v>N/A - Facility Does Not Report to TRI</v>
      </c>
    </row>
    <row r="103" spans="1:44" ht="29" x14ac:dyDescent="0.35">
      <c r="A103" s="34">
        <v>100</v>
      </c>
      <c r="B103" s="33" t="str">
        <f>IFERROR("TRI Form "&amp;VLOOKUP(H103,'Processed Non-zero TRI Data'!$I$2:$K$23,3,FALSE),"DMR")</f>
        <v>DMR</v>
      </c>
      <c r="C103" s="33" t="str">
        <f>VLOOKUP($D103, 'COU.OES Summary'!C:D, 2, FALSE)</f>
        <v> </v>
      </c>
      <c r="D103" s="33" t="str">
        <f>IFERROR(VLOOKUP($H103, 'Processed Non-zero TRI Data'!$I:$O, 7, FALSE), VLOOKUP($I103, 'Processed Non-zero DMR Data'!$K:$R, 8, FALSE))</f>
        <v>Waste handling, treatment, and disposal - POTW</v>
      </c>
      <c r="E103" s="34" t="s">
        <v>297</v>
      </c>
      <c r="F103" s="34" t="s">
        <v>298</v>
      </c>
      <c r="G103" s="34" t="s">
        <v>108</v>
      </c>
      <c r="H103" s="34"/>
      <c r="I103" s="105">
        <v>110009937499</v>
      </c>
      <c r="J103" s="33" t="str">
        <f>IFERROR(VLOOKUP($I103, 'Processed Non-zero DMR Data'!$K:$U, 11, FALSE),"")</f>
        <v>KY0063649</v>
      </c>
      <c r="K103" s="33" t="str">
        <f>IFERROR(VLOOKUP($I103, 'Processed Non-zero DMR Data'!$K:$V, 12, FALSE),"Not Reported")</f>
        <v>Spring Creek</v>
      </c>
      <c r="L103" s="106">
        <f>IFERROR(VLOOKUP($I103, 'Processed Non-zero DMR Data'!$K:$W, 13, FALSE),"No Reach Code Reported")</f>
        <v>51302060603</v>
      </c>
      <c r="M103" s="107" t="str">
        <f>IFERROR(IFERROR(VLOOKUP(H103, 'Off-site Locations'!$K$3:$O$5, 5, FALSE), VLOOKUP(H103, 'Off-site Locations'!$B$3:$E$4, 4, FALSE)), "No Offsite Transfers")</f>
        <v>No Offsite Transfers</v>
      </c>
      <c r="N103" s="33">
        <f>VLOOKUP($D103, 'COU.OES Summary'!C:E, 3, FALSE)</f>
        <v>365</v>
      </c>
      <c r="O103" s="108">
        <f t="shared" si="14"/>
        <v>0</v>
      </c>
      <c r="P103" s="108">
        <f t="shared" si="15"/>
        <v>1.0534128125</v>
      </c>
      <c r="Q103" s="109" cm="1">
        <f t="array" ref="Q103">IFERROR(_xlfn.XLOOKUP(1,  (MAX(IF(I103 = 'Processed Non-zero DMR Data'!$K:$K,'Processed Non-zero DMR Data'!$A:$A)) = 'Processed Non-zero DMR Data'!$A:$A)*('Processed Non-zero DMR Data'!$K:$K = I103),'Processed Non-zero DMR Data'!$T:$T), "N/A- Facility Does Not Report DMRs")</f>
        <v>0.1540400375</v>
      </c>
      <c r="R103" s="33">
        <f t="shared" si="25"/>
        <v>4.2202750000000001E-4</v>
      </c>
      <c r="S103" s="33" cm="1">
        <f t="array" ref="S103">IF(COUNTIF('Processed Non-zero DMR Data'!$K:$K,$I103)&gt;0,MEDIAN(IF('Processed Non-zero DMR Data'!$K:$K=I103,'Processed Non-zero DMR Data'!$T:$T)),"N/A - Facility Does Not Report DMRs")</f>
        <v>0.60372642500000007</v>
      </c>
      <c r="T103" s="33">
        <f t="shared" si="26"/>
        <v>1.6540450000000003E-3</v>
      </c>
      <c r="U103" s="33">
        <f>IF(COUNTIF('Processed Non-zero DMR Data'!$K:$K,$I103)&gt;0,_xlfn.MAXIFS('Processed Non-zero DMR Data'!$T:$T,'Processed Non-zero DMR Data'!$K:$K,$I103), "N/A - Facility Does Not Report DMRs")</f>
        <v>1.0534128125</v>
      </c>
      <c r="V103" s="33">
        <f t="shared" si="27"/>
        <v>2.8860624999999997E-3</v>
      </c>
      <c r="W103" s="110" cm="1">
        <f t="array" ref="W103">IF(COUNTIF('Processed Non-zero DMR Data'!$K:$K,$I103)&gt;0,INDEX('Processed Non-zero DMR Data'!$A:$A,MATCH(1,($I103='Processed Non-zero DMR Data'!$K:$K)*($U103='Processed Non-zero DMR Data'!$T:$T),0)), "N/A - Facility Does Not Report DMRs")</f>
        <v>2019</v>
      </c>
      <c r="X103" s="109" cm="1">
        <f t="array" ref="X103">IFERROR(_xlfn.XLOOKUP(1,  (MAX(IF(H103 = 'Processed Non-zero TRI Data'!$I:$I,'Processed Non-zero TRI Data'!$A:$A)) = 'Processed Non-zero TRI Data'!$A:$A)*('Processed Non-zero TRI Data'!$I:$I = H103), 'Processed Non-zero TRI Data'!$S:$S), "N/A- Facility Does Not Report to TRI")</f>
        <v>0</v>
      </c>
      <c r="Y103" s="33">
        <f t="shared" si="16"/>
        <v>0</v>
      </c>
      <c r="Z103" s="33" t="str" cm="1">
        <f t="array" ref="Z103">IF(COUNTIF('Processed Non-zero TRI Data'!$I:$I,$H103)&gt;0,MEDIAN(IF('Processed Non-zero TRI Data'!$I:$I=H103,'Processed Non-zero TRI Data'!$S:$S)), "N/A - Facility Does Not Report to TRI")</f>
        <v>N/A - Facility Does Not Report to TRI</v>
      </c>
      <c r="AA103" s="33" t="str">
        <f t="shared" si="17"/>
        <v>N/A - Facility Does Not Report to TRI</v>
      </c>
      <c r="AB103" s="33" t="str">
        <f>IF(COUNTIF('Processed Non-zero TRI Data'!$I:$I,$H103)&gt;0,_xlfn.MAXIFS('Processed Non-zero TRI Data'!$S:$S,'Processed Non-zero TRI Data'!$I:$I,$H103), "N/A - Facility Does Not Report to TRI")</f>
        <v>N/A - Facility Does Not Report to TRI</v>
      </c>
      <c r="AC103" s="33" t="str">
        <f t="shared" si="18"/>
        <v>N/A - Facility Does Not Report to TRI</v>
      </c>
      <c r="AD103" s="110" t="str" cm="1">
        <f t="array" ref="AD103">IFERROR(IF(B103 = "TRI Form R", IF(AB103 = 0, "Facility has no on-site water discharges between 2019-2023.",  IF(COUNTIF('Processed Non-zero TRI Data'!$I:$I,$H103)&gt;0,INDEX('Processed Non-zero TRI Data'!$A:$A,MATCH(1,($H103='Processed Non-zero TRI Data'!$I:$I)*(AB103='Processed Non-zero TRI Data'!$S:$S),0)))), VLOOKUP(H103, 'Form A Recent Reporting'!$L:$M, 2, FALSE)), ("N/A - Facility Does Not Report to TRI"))</f>
        <v>N/A - Facility Does Not Report to TRI</v>
      </c>
      <c r="AE103" s="109" cm="1">
        <f t="array" ref="AE103">IFERROR(_xlfn.XLOOKUP(1,  (MAX(IF(H103 = 'Processed Non-zero TRI Data'!$I:$I,'Processed Non-zero TRI Data'!$A:$A)) = 'Processed Non-zero TRI Data'!$A:$A)*('Processed Non-zero TRI Data'!$I:$I = H103), 'Processed Non-zero TRI Data'!$U:$U), "N/A- Facility Does Not Report to TRI")</f>
        <v>0</v>
      </c>
      <c r="AF103" s="33">
        <f t="shared" si="19"/>
        <v>0</v>
      </c>
      <c r="AG103" s="33" t="str" cm="1">
        <f t="array" ref="AG103">IF(COUNTIF('Processed Non-zero TRI Data'!$I:$I,$H103)&gt;0,MEDIAN(IF('Processed Non-zero TRI Data'!$I:$I=H103,'Processed Non-zero TRI Data'!$U:$U)), "N/A - Facility Does Not Report to TRI")</f>
        <v>N/A - Facility Does Not Report to TRI</v>
      </c>
      <c r="AH103" s="33" t="str">
        <f t="shared" si="20"/>
        <v>N/A - Facility Does Not Report to TRI</v>
      </c>
      <c r="AI103" s="33" t="str">
        <f>IF(COUNTIF('Processed Non-zero TRI Data'!$I:$I,$H103)&gt;0,_xlfn.MAXIFS('Processed Non-zero TRI Data'!$U:$U,'Processed Non-zero TRI Data'!$I:$I,$H103), "N/A - Facility Does Not Report to TRI")</f>
        <v>N/A - Facility Does Not Report to TRI</v>
      </c>
      <c r="AJ103" s="33" t="str">
        <f t="shared" si="21"/>
        <v>N/A - Facility Does Not Report to TRI</v>
      </c>
      <c r="AK103" s="110" t="str" cm="1">
        <f t="array" ref="AK103">IF(B103="TRI Form A",AD103,IF(AI103=0,"Facility has no transfers to POTWs between 2019-2023.",IF(COUNTIF('Processed Non-zero TRI Data'!$I:$I,$H103)&gt;0,INDEX('Processed Non-zero TRI Data'!$A:$A,MATCH(1,($H103='Processed Non-zero TRI Data'!$I:$I)*(AI103='Processed Non-zero TRI Data'!$U:$U),0)),"N/A - Facility Does Not Report to TRI")))</f>
        <v>N/A - Facility Does Not Report to TRI</v>
      </c>
      <c r="AL103" s="109" cm="1">
        <f t="array" ref="AL103">IFERROR(_xlfn.XLOOKUP(1,  (MAX(IF(H103 = 'Processed Non-zero TRI Data'!$I$2:$I$23,'Processed Non-zero TRI Data'!$A$2:$A$23)) = 'Processed Non-zero TRI Data'!$A$2:$A$23)*('Processed Non-zero TRI Data'!$I$2:$I$23 = H103), 'Processed Non-zero TRI Data'!$W$2:$W$23), "N/A- Facility Does Not Report to TRI")</f>
        <v>0</v>
      </c>
      <c r="AM103" s="33">
        <f t="shared" si="22"/>
        <v>0</v>
      </c>
      <c r="AN103" s="33" t="str" cm="1">
        <f t="array" ref="AN103">IF(COUNTIF('Processed Non-zero TRI Data'!$I:$I,$H103)&gt;0,MEDIAN(IF('Processed Non-zero TRI Data'!$I:$I=H103,'Processed Non-zero TRI Data'!$W:$W)), "N/A - Facility Does Not Report to TRI")</f>
        <v>N/A - Facility Does Not Report to TRI</v>
      </c>
      <c r="AO103" s="33" t="str">
        <f t="shared" si="23"/>
        <v>N/A - Facility Does Not Report to TRI</v>
      </c>
      <c r="AP103" s="33" t="str">
        <f>IF(COUNTIF('Processed Non-zero TRI Data'!$I:$I,$H103)&gt;0,_xlfn.MAXIFS('Processed Non-zero TRI Data'!$W:$W,'Processed Non-zero TRI Data'!$I:$I,$H103), "N/A - Facility Does Not Report to TRI")</f>
        <v>N/A - Facility Does Not Report to TRI</v>
      </c>
      <c r="AQ103" s="33" t="str">
        <f t="shared" si="24"/>
        <v>N/A - Facility Does Not Report to TRI</v>
      </c>
      <c r="AR103" s="110" t="str" cm="1">
        <f t="array" ref="AR103">IF(B103="TRI Form A",AD103,IF(AP103=0,"Facility has no transfers to non-POTWs between 2019-2023.",IF(COUNTIF('Processed Non-zero TRI Data'!$I:$I,$H103)&gt;0,INDEX('Processed Non-zero TRI Data'!$A:$A,MATCH(1,($H103='Processed Non-zero TRI Data'!$I:$I)*(AP103='Processed Non-zero TRI Data'!$W:$W),0)),"N/A - Facility Does Not Report to TRI")))</f>
        <v>N/A - Facility Does Not Report to TRI</v>
      </c>
    </row>
    <row r="104" spans="1:44" ht="29" x14ac:dyDescent="0.35">
      <c r="A104" s="34">
        <v>101</v>
      </c>
      <c r="B104" s="33" t="str">
        <f>IFERROR("TRI Form "&amp;VLOOKUP(H104,'Processed Non-zero TRI Data'!$I$2:$K$23,3,FALSE),"DMR")</f>
        <v>DMR</v>
      </c>
      <c r="C104" s="33" t="str">
        <f>VLOOKUP($D104, 'COU.OES Summary'!C:D, 2, FALSE)</f>
        <v> </v>
      </c>
      <c r="D104" s="33" t="str">
        <f>IFERROR(VLOOKUP($H104, 'Processed Non-zero TRI Data'!$I:$O, 7, FALSE), VLOOKUP($I104, 'Processed Non-zero DMR Data'!$K:$R, 8, FALSE))</f>
        <v>Waste handling, treatment, and disposal - Remediation or Monitoring</v>
      </c>
      <c r="E104" s="34" t="s">
        <v>299</v>
      </c>
      <c r="F104" s="34" t="s">
        <v>300</v>
      </c>
      <c r="G104" s="34" t="s">
        <v>254</v>
      </c>
      <c r="H104" s="34"/>
      <c r="I104" s="105">
        <v>110000582003</v>
      </c>
      <c r="J104" s="33" t="str">
        <f>IFERROR(VLOOKUP($I104, 'Processed Non-zero DMR Data'!$K:$U, 11, FALSE),"")</f>
        <v>NJ0005045</v>
      </c>
      <c r="K104" s="33" t="str">
        <f>IFERROR(VLOOKUP($I104, 'Processed Non-zero DMR Data'!$K:$V, 12, FALSE),"Not Reported")</f>
        <v>Raccoon Creek</v>
      </c>
      <c r="L104" s="106">
        <f>IFERROR(VLOOKUP($I104, 'Processed Non-zero DMR Data'!$K:$W, 13, FALSE),"No Reach Code Reported")</f>
        <v>20402020606</v>
      </c>
      <c r="M104" s="107" t="str">
        <f>IFERROR(IFERROR(VLOOKUP(H104, 'Off-site Locations'!$K$3:$O$5, 5, FALSE), VLOOKUP(H104, 'Off-site Locations'!$B$3:$E$4, 4, FALSE)), "No Offsite Transfers")</f>
        <v>No Offsite Transfers</v>
      </c>
      <c r="N104" s="33">
        <f>VLOOKUP($D104, 'COU.OES Summary'!C:E, 3, FALSE)</f>
        <v>365</v>
      </c>
      <c r="O104" s="108">
        <f t="shared" si="14"/>
        <v>0</v>
      </c>
      <c r="P104" s="108">
        <f t="shared" si="15"/>
        <v>1.0329999999999999</v>
      </c>
      <c r="Q104" s="109" cm="1">
        <f t="array" ref="Q104">IFERROR(_xlfn.XLOOKUP(1,  (MAX(IF(I104 = 'Processed Non-zero DMR Data'!$K:$K,'Processed Non-zero DMR Data'!$A:$A)) = 'Processed Non-zero DMR Data'!$A:$A)*('Processed Non-zero DMR Data'!$K:$K = I104),'Processed Non-zero DMR Data'!$T:$T), "N/A- Facility Does Not Report DMRs")</f>
        <v>0.21490000000000001</v>
      </c>
      <c r="R104" s="33">
        <f t="shared" si="25"/>
        <v>5.8876712328767122E-4</v>
      </c>
      <c r="S104" s="33" cm="1">
        <f t="array" ref="S104">IF(COUNTIF('Processed Non-zero DMR Data'!$K:$K,$I104)&gt;0,MEDIAN(IF('Processed Non-zero DMR Data'!$K:$K=I104,'Processed Non-zero DMR Data'!$T:$T)),"N/A - Facility Does Not Report DMRs")</f>
        <v>0.22059999999999999</v>
      </c>
      <c r="T104" s="33">
        <f t="shared" si="26"/>
        <v>6.0438356164383561E-4</v>
      </c>
      <c r="U104" s="33">
        <f>IF(COUNTIF('Processed Non-zero DMR Data'!$K:$K,$I104)&gt;0,_xlfn.MAXIFS('Processed Non-zero DMR Data'!$T:$T,'Processed Non-zero DMR Data'!$K:$K,$I104), "N/A - Facility Does Not Report DMRs")</f>
        <v>1.0329999999999999</v>
      </c>
      <c r="V104" s="33">
        <f t="shared" si="27"/>
        <v>2.8301369863013696E-3</v>
      </c>
      <c r="W104" s="110" cm="1">
        <f t="array" ref="W104">IF(COUNTIF('Processed Non-zero DMR Data'!$K:$K,$I104)&gt;0,INDEX('Processed Non-zero DMR Data'!$A:$A,MATCH(1,($I104='Processed Non-zero DMR Data'!$K:$K)*($U104='Processed Non-zero DMR Data'!$T:$T),0)), "N/A - Facility Does Not Report DMRs")</f>
        <v>2021</v>
      </c>
      <c r="X104" s="109" cm="1">
        <f t="array" ref="X104">IFERROR(_xlfn.XLOOKUP(1,  (MAX(IF(H104 = 'Processed Non-zero TRI Data'!$I:$I,'Processed Non-zero TRI Data'!$A:$A)) = 'Processed Non-zero TRI Data'!$A:$A)*('Processed Non-zero TRI Data'!$I:$I = H104), 'Processed Non-zero TRI Data'!$S:$S), "N/A- Facility Does Not Report to TRI")</f>
        <v>0</v>
      </c>
      <c r="Y104" s="33">
        <f t="shared" si="16"/>
        <v>0</v>
      </c>
      <c r="Z104" s="33" t="str" cm="1">
        <f t="array" ref="Z104">IF(COUNTIF('Processed Non-zero TRI Data'!$I:$I,$H104)&gt;0,MEDIAN(IF('Processed Non-zero TRI Data'!$I:$I=H104,'Processed Non-zero TRI Data'!$S:$S)), "N/A - Facility Does Not Report to TRI")</f>
        <v>N/A - Facility Does Not Report to TRI</v>
      </c>
      <c r="AA104" s="33" t="str">
        <f t="shared" si="17"/>
        <v>N/A - Facility Does Not Report to TRI</v>
      </c>
      <c r="AB104" s="33" t="str">
        <f>IF(COUNTIF('Processed Non-zero TRI Data'!$I:$I,$H104)&gt;0,_xlfn.MAXIFS('Processed Non-zero TRI Data'!$S:$S,'Processed Non-zero TRI Data'!$I:$I,$H104), "N/A - Facility Does Not Report to TRI")</f>
        <v>N/A - Facility Does Not Report to TRI</v>
      </c>
      <c r="AC104" s="33" t="str">
        <f t="shared" si="18"/>
        <v>N/A - Facility Does Not Report to TRI</v>
      </c>
      <c r="AD104" s="110" t="str" cm="1">
        <f t="array" ref="AD104">IFERROR(IF(B104 = "TRI Form R", IF(AB104 = 0, "Facility has no on-site water discharges between 2019-2023.",  IF(COUNTIF('Processed Non-zero TRI Data'!$I:$I,$H104)&gt;0,INDEX('Processed Non-zero TRI Data'!$A:$A,MATCH(1,($H104='Processed Non-zero TRI Data'!$I:$I)*(AB104='Processed Non-zero TRI Data'!$S:$S),0)))), VLOOKUP(H104, 'Form A Recent Reporting'!$L:$M, 2, FALSE)), ("N/A - Facility Does Not Report to TRI"))</f>
        <v>N/A - Facility Does Not Report to TRI</v>
      </c>
      <c r="AE104" s="109" cm="1">
        <f t="array" ref="AE104">IFERROR(_xlfn.XLOOKUP(1,  (MAX(IF(H104 = 'Processed Non-zero TRI Data'!$I:$I,'Processed Non-zero TRI Data'!$A:$A)) = 'Processed Non-zero TRI Data'!$A:$A)*('Processed Non-zero TRI Data'!$I:$I = H104), 'Processed Non-zero TRI Data'!$U:$U), "N/A- Facility Does Not Report to TRI")</f>
        <v>0</v>
      </c>
      <c r="AF104" s="33">
        <f t="shared" si="19"/>
        <v>0</v>
      </c>
      <c r="AG104" s="33" t="str" cm="1">
        <f t="array" ref="AG104">IF(COUNTIF('Processed Non-zero TRI Data'!$I:$I,$H104)&gt;0,MEDIAN(IF('Processed Non-zero TRI Data'!$I:$I=H104,'Processed Non-zero TRI Data'!$U:$U)), "N/A - Facility Does Not Report to TRI")</f>
        <v>N/A - Facility Does Not Report to TRI</v>
      </c>
      <c r="AH104" s="33" t="str">
        <f t="shared" si="20"/>
        <v>N/A - Facility Does Not Report to TRI</v>
      </c>
      <c r="AI104" s="33" t="str">
        <f>IF(COUNTIF('Processed Non-zero TRI Data'!$I:$I,$H104)&gt;0,_xlfn.MAXIFS('Processed Non-zero TRI Data'!$U:$U,'Processed Non-zero TRI Data'!$I:$I,$H104), "N/A - Facility Does Not Report to TRI")</f>
        <v>N/A - Facility Does Not Report to TRI</v>
      </c>
      <c r="AJ104" s="33" t="str">
        <f t="shared" si="21"/>
        <v>N/A - Facility Does Not Report to TRI</v>
      </c>
      <c r="AK104" s="110" t="str" cm="1">
        <f t="array" ref="AK104">IF(B104="TRI Form A",AD104,IF(AI104=0,"Facility has no transfers to POTWs between 2019-2023.",IF(COUNTIF('Processed Non-zero TRI Data'!$I:$I,$H104)&gt;0,INDEX('Processed Non-zero TRI Data'!$A:$A,MATCH(1,($H104='Processed Non-zero TRI Data'!$I:$I)*(AI104='Processed Non-zero TRI Data'!$U:$U),0)),"N/A - Facility Does Not Report to TRI")))</f>
        <v>N/A - Facility Does Not Report to TRI</v>
      </c>
      <c r="AL104" s="109" cm="1">
        <f t="array" ref="AL104">IFERROR(_xlfn.XLOOKUP(1,  (MAX(IF(H104 = 'Processed Non-zero TRI Data'!$I$2:$I$23,'Processed Non-zero TRI Data'!$A$2:$A$23)) = 'Processed Non-zero TRI Data'!$A$2:$A$23)*('Processed Non-zero TRI Data'!$I$2:$I$23 = H104), 'Processed Non-zero TRI Data'!$W$2:$W$23), "N/A- Facility Does Not Report to TRI")</f>
        <v>0</v>
      </c>
      <c r="AM104" s="33">
        <f t="shared" si="22"/>
        <v>0</v>
      </c>
      <c r="AN104" s="33" t="str" cm="1">
        <f t="array" ref="AN104">IF(COUNTIF('Processed Non-zero TRI Data'!$I:$I,$H104)&gt;0,MEDIAN(IF('Processed Non-zero TRI Data'!$I:$I=H104,'Processed Non-zero TRI Data'!$W:$W)), "N/A - Facility Does Not Report to TRI")</f>
        <v>N/A - Facility Does Not Report to TRI</v>
      </c>
      <c r="AO104" s="33" t="str">
        <f t="shared" si="23"/>
        <v>N/A - Facility Does Not Report to TRI</v>
      </c>
      <c r="AP104" s="33" t="str">
        <f>IF(COUNTIF('Processed Non-zero TRI Data'!$I:$I,$H104)&gt;0,_xlfn.MAXIFS('Processed Non-zero TRI Data'!$W:$W,'Processed Non-zero TRI Data'!$I:$I,$H104), "N/A - Facility Does Not Report to TRI")</f>
        <v>N/A - Facility Does Not Report to TRI</v>
      </c>
      <c r="AQ104" s="33" t="str">
        <f t="shared" si="24"/>
        <v>N/A - Facility Does Not Report to TRI</v>
      </c>
      <c r="AR104" s="110" t="str" cm="1">
        <f t="array" ref="AR104">IF(B104="TRI Form A",AD104,IF(AP104=0,"Facility has no transfers to non-POTWs between 2019-2023.",IF(COUNTIF('Processed Non-zero TRI Data'!$I:$I,$H104)&gt;0,INDEX('Processed Non-zero TRI Data'!$A:$A,MATCH(1,($H104='Processed Non-zero TRI Data'!$I:$I)*(AP104='Processed Non-zero TRI Data'!$W:$W),0)),"N/A - Facility Does Not Report to TRI")))</f>
        <v>N/A - Facility Does Not Report to TRI</v>
      </c>
    </row>
    <row r="105" spans="1:44" ht="29" x14ac:dyDescent="0.35">
      <c r="A105" s="34">
        <v>102</v>
      </c>
      <c r="B105" s="33" t="str">
        <f>IFERROR("TRI Form "&amp;VLOOKUP(H105,'Processed Non-zero TRI Data'!$I$2:$K$23,3,FALSE),"DMR")</f>
        <v>DMR</v>
      </c>
      <c r="C105" s="33" t="str">
        <f>VLOOKUP($D105, 'COU.OES Summary'!C:D, 2, FALSE)</f>
        <v> </v>
      </c>
      <c r="D105" s="33" t="str">
        <f>IFERROR(VLOOKUP($H105, 'Processed Non-zero TRI Data'!$I:$O, 7, FALSE), VLOOKUP($I105, 'Processed Non-zero DMR Data'!$K:$R, 8, FALSE))</f>
        <v>Waste handling, treatment, and disposal - POTW</v>
      </c>
      <c r="E105" s="34" t="s">
        <v>301</v>
      </c>
      <c r="F105" s="34" t="s">
        <v>302</v>
      </c>
      <c r="G105" s="34" t="s">
        <v>102</v>
      </c>
      <c r="H105" s="34"/>
      <c r="I105" s="105">
        <v>110055988016</v>
      </c>
      <c r="J105" s="33" t="str">
        <f>IFERROR(VLOOKUP($I105, 'Processed Non-zero DMR Data'!$K:$U, 11, FALSE),"")</f>
        <v>CA0037788</v>
      </c>
      <c r="K105" s="33" t="str">
        <f>IFERROR(VLOOKUP($I105, 'Processed Non-zero DMR Data'!$K:$V, 12, FALSE),"Not Reported")</f>
        <v>San Francisco Bay Estuaries</v>
      </c>
      <c r="L105" s="106">
        <f>IFERROR(VLOOKUP($I105, 'Processed Non-zero DMR Data'!$K:$W, 13, FALSE),"No Reach Code Reported")</f>
        <v>180500041001</v>
      </c>
      <c r="M105" s="107" t="str">
        <f>IFERROR(IFERROR(VLOOKUP(H105, 'Off-site Locations'!$K$3:$O$5, 5, FALSE), VLOOKUP(H105, 'Off-site Locations'!$B$3:$E$4, 4, FALSE)), "No Offsite Transfers")</f>
        <v>No Offsite Transfers</v>
      </c>
      <c r="N105" s="33">
        <f>VLOOKUP($D105, 'COU.OES Summary'!C:E, 3, FALSE)</f>
        <v>365</v>
      </c>
      <c r="O105" s="108">
        <f t="shared" si="14"/>
        <v>0</v>
      </c>
      <c r="P105" s="108">
        <f t="shared" si="15"/>
        <v>1.0326899375</v>
      </c>
      <c r="Q105" s="109" cm="1">
        <f t="array" ref="Q105">IFERROR(_xlfn.XLOOKUP(1,  (MAX(IF(I105 = 'Processed Non-zero DMR Data'!$K:$K,'Processed Non-zero DMR Data'!$A:$A)) = 'Processed Non-zero DMR Data'!$A:$A)*('Processed Non-zero DMR Data'!$K:$K = I105),'Processed Non-zero DMR Data'!$T:$T), "N/A- Facility Does Not Report DMRs")</f>
        <v>1.0326899375</v>
      </c>
      <c r="R105" s="33">
        <f t="shared" si="25"/>
        <v>2.8292874999999999E-3</v>
      </c>
      <c r="S105" s="33" cm="1">
        <f t="array" ref="S105">IF(COUNTIF('Processed Non-zero DMR Data'!$K:$K,$I105)&gt;0,MEDIAN(IF('Processed Non-zero DMR Data'!$K:$K=I105,'Processed Non-zero DMR Data'!$T:$T)),"N/A - Facility Does Not Report DMRs")</f>
        <v>1.0326899375</v>
      </c>
      <c r="T105" s="33">
        <f t="shared" si="26"/>
        <v>2.8292874999999999E-3</v>
      </c>
      <c r="U105" s="33">
        <f>IF(COUNTIF('Processed Non-zero DMR Data'!$K:$K,$I105)&gt;0,_xlfn.MAXIFS('Processed Non-zero DMR Data'!$T:$T,'Processed Non-zero DMR Data'!$K:$K,$I105), "N/A - Facility Does Not Report DMRs")</f>
        <v>1.0326899375</v>
      </c>
      <c r="V105" s="33">
        <f t="shared" si="27"/>
        <v>2.8292874999999999E-3</v>
      </c>
      <c r="W105" s="110" cm="1">
        <f t="array" ref="W105">IF(COUNTIF('Processed Non-zero DMR Data'!$K:$K,$I105)&gt;0,INDEX('Processed Non-zero DMR Data'!$A:$A,MATCH(1,($I105='Processed Non-zero DMR Data'!$K:$K)*($U105='Processed Non-zero DMR Data'!$T:$T),0)), "N/A - Facility Does Not Report DMRs")</f>
        <v>2019</v>
      </c>
      <c r="X105" s="109" cm="1">
        <f t="array" ref="X105">IFERROR(_xlfn.XLOOKUP(1,  (MAX(IF(H105 = 'Processed Non-zero TRI Data'!$I:$I,'Processed Non-zero TRI Data'!$A:$A)) = 'Processed Non-zero TRI Data'!$A:$A)*('Processed Non-zero TRI Data'!$I:$I = H105), 'Processed Non-zero TRI Data'!$S:$S), "N/A- Facility Does Not Report to TRI")</f>
        <v>0</v>
      </c>
      <c r="Y105" s="33">
        <f t="shared" si="16"/>
        <v>0</v>
      </c>
      <c r="Z105" s="33" t="str" cm="1">
        <f t="array" ref="Z105">IF(COUNTIF('Processed Non-zero TRI Data'!$I:$I,$H105)&gt;0,MEDIAN(IF('Processed Non-zero TRI Data'!$I:$I=H105,'Processed Non-zero TRI Data'!$S:$S)), "N/A - Facility Does Not Report to TRI")</f>
        <v>N/A - Facility Does Not Report to TRI</v>
      </c>
      <c r="AA105" s="33" t="str">
        <f t="shared" si="17"/>
        <v>N/A - Facility Does Not Report to TRI</v>
      </c>
      <c r="AB105" s="33" t="str">
        <f>IF(COUNTIF('Processed Non-zero TRI Data'!$I:$I,$H105)&gt;0,_xlfn.MAXIFS('Processed Non-zero TRI Data'!$S:$S,'Processed Non-zero TRI Data'!$I:$I,$H105), "N/A - Facility Does Not Report to TRI")</f>
        <v>N/A - Facility Does Not Report to TRI</v>
      </c>
      <c r="AC105" s="33" t="str">
        <f t="shared" si="18"/>
        <v>N/A - Facility Does Not Report to TRI</v>
      </c>
      <c r="AD105" s="110" t="str" cm="1">
        <f t="array" ref="AD105">IFERROR(IF(B105 = "TRI Form R", IF(AB105 = 0, "Facility has no on-site water discharges between 2019-2023.",  IF(COUNTIF('Processed Non-zero TRI Data'!$I:$I,$H105)&gt;0,INDEX('Processed Non-zero TRI Data'!$A:$A,MATCH(1,($H105='Processed Non-zero TRI Data'!$I:$I)*(AB105='Processed Non-zero TRI Data'!$S:$S),0)))), VLOOKUP(H105, 'Form A Recent Reporting'!$L:$M, 2, FALSE)), ("N/A - Facility Does Not Report to TRI"))</f>
        <v>N/A - Facility Does Not Report to TRI</v>
      </c>
      <c r="AE105" s="109" cm="1">
        <f t="array" ref="AE105">IFERROR(_xlfn.XLOOKUP(1,  (MAX(IF(H105 = 'Processed Non-zero TRI Data'!$I:$I,'Processed Non-zero TRI Data'!$A:$A)) = 'Processed Non-zero TRI Data'!$A:$A)*('Processed Non-zero TRI Data'!$I:$I = H105), 'Processed Non-zero TRI Data'!$U:$U), "N/A- Facility Does Not Report to TRI")</f>
        <v>0</v>
      </c>
      <c r="AF105" s="33">
        <f t="shared" si="19"/>
        <v>0</v>
      </c>
      <c r="AG105" s="33" t="str" cm="1">
        <f t="array" ref="AG105">IF(COUNTIF('Processed Non-zero TRI Data'!$I:$I,$H105)&gt;0,MEDIAN(IF('Processed Non-zero TRI Data'!$I:$I=H105,'Processed Non-zero TRI Data'!$U:$U)), "N/A - Facility Does Not Report to TRI")</f>
        <v>N/A - Facility Does Not Report to TRI</v>
      </c>
      <c r="AH105" s="33" t="str">
        <f t="shared" si="20"/>
        <v>N/A - Facility Does Not Report to TRI</v>
      </c>
      <c r="AI105" s="33" t="str">
        <f>IF(COUNTIF('Processed Non-zero TRI Data'!$I:$I,$H105)&gt;0,_xlfn.MAXIFS('Processed Non-zero TRI Data'!$U:$U,'Processed Non-zero TRI Data'!$I:$I,$H105), "N/A - Facility Does Not Report to TRI")</f>
        <v>N/A - Facility Does Not Report to TRI</v>
      </c>
      <c r="AJ105" s="33" t="str">
        <f t="shared" si="21"/>
        <v>N/A - Facility Does Not Report to TRI</v>
      </c>
      <c r="AK105" s="110" t="str" cm="1">
        <f t="array" ref="AK105">IF(B105="TRI Form A",AD105,IF(AI105=0,"Facility has no transfers to POTWs between 2019-2023.",IF(COUNTIF('Processed Non-zero TRI Data'!$I:$I,$H105)&gt;0,INDEX('Processed Non-zero TRI Data'!$A:$A,MATCH(1,($H105='Processed Non-zero TRI Data'!$I:$I)*(AI105='Processed Non-zero TRI Data'!$U:$U),0)),"N/A - Facility Does Not Report to TRI")))</f>
        <v>N/A - Facility Does Not Report to TRI</v>
      </c>
      <c r="AL105" s="109" cm="1">
        <f t="array" ref="AL105">IFERROR(_xlfn.XLOOKUP(1,  (MAX(IF(H105 = 'Processed Non-zero TRI Data'!$I$2:$I$23,'Processed Non-zero TRI Data'!$A$2:$A$23)) = 'Processed Non-zero TRI Data'!$A$2:$A$23)*('Processed Non-zero TRI Data'!$I$2:$I$23 = H105), 'Processed Non-zero TRI Data'!$W$2:$W$23), "N/A- Facility Does Not Report to TRI")</f>
        <v>0</v>
      </c>
      <c r="AM105" s="33">
        <f t="shared" si="22"/>
        <v>0</v>
      </c>
      <c r="AN105" s="33" t="str" cm="1">
        <f t="array" ref="AN105">IF(COUNTIF('Processed Non-zero TRI Data'!$I:$I,$H105)&gt;0,MEDIAN(IF('Processed Non-zero TRI Data'!$I:$I=H105,'Processed Non-zero TRI Data'!$W:$W)), "N/A - Facility Does Not Report to TRI")</f>
        <v>N/A - Facility Does Not Report to TRI</v>
      </c>
      <c r="AO105" s="33" t="str">
        <f t="shared" si="23"/>
        <v>N/A - Facility Does Not Report to TRI</v>
      </c>
      <c r="AP105" s="33" t="str">
        <f>IF(COUNTIF('Processed Non-zero TRI Data'!$I:$I,$H105)&gt;0,_xlfn.MAXIFS('Processed Non-zero TRI Data'!$W:$W,'Processed Non-zero TRI Data'!$I:$I,$H105), "N/A - Facility Does Not Report to TRI")</f>
        <v>N/A - Facility Does Not Report to TRI</v>
      </c>
      <c r="AQ105" s="33" t="str">
        <f t="shared" si="24"/>
        <v>N/A - Facility Does Not Report to TRI</v>
      </c>
      <c r="AR105" s="110" t="str" cm="1">
        <f t="array" ref="AR105">IF(B105="TRI Form A",AD105,IF(AP105=0,"Facility has no transfers to non-POTWs between 2019-2023.",IF(COUNTIF('Processed Non-zero TRI Data'!$I:$I,$H105)&gt;0,INDEX('Processed Non-zero TRI Data'!$A:$A,MATCH(1,($H105='Processed Non-zero TRI Data'!$I:$I)*(AP105='Processed Non-zero TRI Data'!$W:$W),0)),"N/A - Facility Does Not Report to TRI")))</f>
        <v>N/A - Facility Does Not Report to TRI</v>
      </c>
    </row>
    <row r="106" spans="1:44" ht="29" x14ac:dyDescent="0.35">
      <c r="A106" s="34">
        <v>103</v>
      </c>
      <c r="B106" s="33" t="str">
        <f>IFERROR("TRI Form "&amp;VLOOKUP(H106,'Processed Non-zero TRI Data'!$I$2:$K$23,3,FALSE),"DMR")</f>
        <v>DMR</v>
      </c>
      <c r="C106" s="33" t="str">
        <f>VLOOKUP($D106, 'COU.OES Summary'!C:D, 2, FALSE)</f>
        <v> </v>
      </c>
      <c r="D106" s="33" t="str">
        <f>IFERROR(VLOOKUP($H106, 'Processed Non-zero TRI Data'!$I:$O, 7, FALSE), VLOOKUP($I106, 'Processed Non-zero DMR Data'!$K:$R, 8, FALSE))</f>
        <v>Waste handling, treatment, and disposal - non-POTW WWT</v>
      </c>
      <c r="E106" s="34" t="s">
        <v>303</v>
      </c>
      <c r="F106" s="34" t="s">
        <v>304</v>
      </c>
      <c r="G106" s="34" t="s">
        <v>91</v>
      </c>
      <c r="H106" s="34"/>
      <c r="I106" s="105">
        <v>110064644782</v>
      </c>
      <c r="J106" s="33" t="str">
        <f>IFERROR(VLOOKUP($I106, 'Processed Non-zero DMR Data'!$K:$U, 11, FALSE),"")</f>
        <v>LA0066214</v>
      </c>
      <c r="K106" s="33" t="str">
        <f>IFERROR(VLOOKUP($I106, 'Processed Non-zero DMR Data'!$K:$V, 12, FALSE),"Not Reported")</f>
        <v>Cypress Bayou-Bayou Baton Rouge</v>
      </c>
      <c r="L106" s="106">
        <f>IFERROR(VLOOKUP($I106, 'Processed Non-zero DMR Data'!$K:$W, 13, FALSE),"No Reach Code Reported")</f>
        <v>80702010401</v>
      </c>
      <c r="M106" s="107" t="str">
        <f>IFERROR(IFERROR(VLOOKUP(H106, 'Off-site Locations'!$K$3:$O$5, 5, FALSE), VLOOKUP(H106, 'Off-site Locations'!$B$3:$E$4, 4, FALSE)), "No Offsite Transfers")</f>
        <v>No Offsite Transfers</v>
      </c>
      <c r="N106" s="33">
        <f>VLOOKUP($D106, 'COU.OES Summary'!C:E, 3, FALSE)</f>
        <v>365</v>
      </c>
      <c r="O106" s="108">
        <f t="shared" si="14"/>
        <v>0</v>
      </c>
      <c r="P106" s="108">
        <f t="shared" si="15"/>
        <v>1.1620517750000001</v>
      </c>
      <c r="Q106" s="109" cm="1">
        <f t="array" ref="Q106">IFERROR(_xlfn.XLOOKUP(1,  (MAX(IF(I106 = 'Processed Non-zero DMR Data'!$K:$K,'Processed Non-zero DMR Data'!$A:$A)) = 'Processed Non-zero DMR Data'!$A:$A)*('Processed Non-zero DMR Data'!$K:$K = I106),'Processed Non-zero DMR Data'!$T:$T), "N/A- Facility Does Not Report DMRs")</f>
        <v>2.14839230575E-2</v>
      </c>
      <c r="R106" s="33">
        <f t="shared" si="25"/>
        <v>5.8860063171232875E-5</v>
      </c>
      <c r="S106" s="33" cm="1">
        <f t="array" ref="S106">IF(COUNTIF('Processed Non-zero DMR Data'!$K:$K,$I106)&gt;0,MEDIAN(IF('Processed Non-zero DMR Data'!$K:$K=I106,'Processed Non-zero DMR Data'!$T:$T)),"N/A - Facility Does Not Report DMRs")</f>
        <v>2.4583804800000001E-2</v>
      </c>
      <c r="T106" s="33">
        <f t="shared" si="26"/>
        <v>6.7352889863013708E-5</v>
      </c>
      <c r="U106" s="33">
        <f>IF(COUNTIF('Processed Non-zero DMR Data'!$K:$K,$I106)&gt;0,_xlfn.MAXIFS('Processed Non-zero DMR Data'!$T:$T,'Processed Non-zero DMR Data'!$K:$K,$I106), "N/A - Facility Does Not Report DMRs")</f>
        <v>1.1620517750000001</v>
      </c>
      <c r="V106" s="33">
        <f t="shared" si="27"/>
        <v>3.1837034931506852E-3</v>
      </c>
      <c r="W106" s="110" cm="1">
        <f t="array" ref="W106">IF(COUNTIF('Processed Non-zero DMR Data'!$K:$K,$I106)&gt;0,INDEX('Processed Non-zero DMR Data'!$A:$A,MATCH(1,($I106='Processed Non-zero DMR Data'!$K:$K)*($U106='Processed Non-zero DMR Data'!$T:$T),0)), "N/A - Facility Does Not Report DMRs")</f>
        <v>2022</v>
      </c>
      <c r="X106" s="109" cm="1">
        <f t="array" ref="X106">IFERROR(_xlfn.XLOOKUP(1,  (MAX(IF(H106 = 'Processed Non-zero TRI Data'!$I:$I,'Processed Non-zero TRI Data'!$A:$A)) = 'Processed Non-zero TRI Data'!$A:$A)*('Processed Non-zero TRI Data'!$I:$I = H106), 'Processed Non-zero TRI Data'!$S:$S), "N/A- Facility Does Not Report to TRI")</f>
        <v>0</v>
      </c>
      <c r="Y106" s="33">
        <f t="shared" si="16"/>
        <v>0</v>
      </c>
      <c r="Z106" s="33" t="str" cm="1">
        <f t="array" ref="Z106">IF(COUNTIF('Processed Non-zero TRI Data'!$I:$I,$H106)&gt;0,MEDIAN(IF('Processed Non-zero TRI Data'!$I:$I=H106,'Processed Non-zero TRI Data'!$S:$S)), "N/A - Facility Does Not Report to TRI")</f>
        <v>N/A - Facility Does Not Report to TRI</v>
      </c>
      <c r="AA106" s="33" t="str">
        <f t="shared" si="17"/>
        <v>N/A - Facility Does Not Report to TRI</v>
      </c>
      <c r="AB106" s="33" t="str">
        <f>IF(COUNTIF('Processed Non-zero TRI Data'!$I:$I,$H106)&gt;0,_xlfn.MAXIFS('Processed Non-zero TRI Data'!$S:$S,'Processed Non-zero TRI Data'!$I:$I,$H106), "N/A - Facility Does Not Report to TRI")</f>
        <v>N/A - Facility Does Not Report to TRI</v>
      </c>
      <c r="AC106" s="33" t="str">
        <f t="shared" si="18"/>
        <v>N/A - Facility Does Not Report to TRI</v>
      </c>
      <c r="AD106" s="110" t="str" cm="1">
        <f t="array" ref="AD106">IFERROR(IF(B106 = "TRI Form R", IF(AB106 = 0, "Facility has no on-site water discharges between 2019-2023.",  IF(COUNTIF('Processed Non-zero TRI Data'!$I:$I,$H106)&gt;0,INDEX('Processed Non-zero TRI Data'!$A:$A,MATCH(1,($H106='Processed Non-zero TRI Data'!$I:$I)*(AB106='Processed Non-zero TRI Data'!$S:$S),0)))), VLOOKUP(H106, 'Form A Recent Reporting'!$L:$M, 2, FALSE)), ("N/A - Facility Does Not Report to TRI"))</f>
        <v>N/A - Facility Does Not Report to TRI</v>
      </c>
      <c r="AE106" s="109" cm="1">
        <f t="array" ref="AE106">IFERROR(_xlfn.XLOOKUP(1,  (MAX(IF(H106 = 'Processed Non-zero TRI Data'!$I:$I,'Processed Non-zero TRI Data'!$A:$A)) = 'Processed Non-zero TRI Data'!$A:$A)*('Processed Non-zero TRI Data'!$I:$I = H106), 'Processed Non-zero TRI Data'!$U:$U), "N/A- Facility Does Not Report to TRI")</f>
        <v>0</v>
      </c>
      <c r="AF106" s="33">
        <f t="shared" si="19"/>
        <v>0</v>
      </c>
      <c r="AG106" s="33" t="str" cm="1">
        <f t="array" ref="AG106">IF(COUNTIF('Processed Non-zero TRI Data'!$I:$I,$H106)&gt;0,MEDIAN(IF('Processed Non-zero TRI Data'!$I:$I=H106,'Processed Non-zero TRI Data'!$U:$U)), "N/A - Facility Does Not Report to TRI")</f>
        <v>N/A - Facility Does Not Report to TRI</v>
      </c>
      <c r="AH106" s="33" t="str">
        <f t="shared" si="20"/>
        <v>N/A - Facility Does Not Report to TRI</v>
      </c>
      <c r="AI106" s="33" t="str">
        <f>IF(COUNTIF('Processed Non-zero TRI Data'!$I:$I,$H106)&gt;0,_xlfn.MAXIFS('Processed Non-zero TRI Data'!$U:$U,'Processed Non-zero TRI Data'!$I:$I,$H106), "N/A - Facility Does Not Report to TRI")</f>
        <v>N/A - Facility Does Not Report to TRI</v>
      </c>
      <c r="AJ106" s="33" t="str">
        <f t="shared" si="21"/>
        <v>N/A - Facility Does Not Report to TRI</v>
      </c>
      <c r="AK106" s="110" t="str" cm="1">
        <f t="array" ref="AK106">IF(B106="TRI Form A",AD106,IF(AI106=0,"Facility has no transfers to POTWs between 2019-2023.",IF(COUNTIF('Processed Non-zero TRI Data'!$I:$I,$H106)&gt;0,INDEX('Processed Non-zero TRI Data'!$A:$A,MATCH(1,($H106='Processed Non-zero TRI Data'!$I:$I)*(AI106='Processed Non-zero TRI Data'!$U:$U),0)),"N/A - Facility Does Not Report to TRI")))</f>
        <v>N/A - Facility Does Not Report to TRI</v>
      </c>
      <c r="AL106" s="109" cm="1">
        <f t="array" ref="AL106">IFERROR(_xlfn.XLOOKUP(1,  (MAX(IF(H106 = 'Processed Non-zero TRI Data'!$I$2:$I$23,'Processed Non-zero TRI Data'!$A$2:$A$23)) = 'Processed Non-zero TRI Data'!$A$2:$A$23)*('Processed Non-zero TRI Data'!$I$2:$I$23 = H106), 'Processed Non-zero TRI Data'!$W$2:$W$23), "N/A- Facility Does Not Report to TRI")</f>
        <v>0</v>
      </c>
      <c r="AM106" s="33">
        <f t="shared" si="22"/>
        <v>0</v>
      </c>
      <c r="AN106" s="33" t="str" cm="1">
        <f t="array" ref="AN106">IF(COUNTIF('Processed Non-zero TRI Data'!$I:$I,$H106)&gt;0,MEDIAN(IF('Processed Non-zero TRI Data'!$I:$I=H106,'Processed Non-zero TRI Data'!$W:$W)), "N/A - Facility Does Not Report to TRI")</f>
        <v>N/A - Facility Does Not Report to TRI</v>
      </c>
      <c r="AO106" s="33" t="str">
        <f t="shared" si="23"/>
        <v>N/A - Facility Does Not Report to TRI</v>
      </c>
      <c r="AP106" s="33" t="str">
        <f>IF(COUNTIF('Processed Non-zero TRI Data'!$I:$I,$H106)&gt;0,_xlfn.MAXIFS('Processed Non-zero TRI Data'!$W:$W,'Processed Non-zero TRI Data'!$I:$I,$H106), "N/A - Facility Does Not Report to TRI")</f>
        <v>N/A - Facility Does Not Report to TRI</v>
      </c>
      <c r="AQ106" s="33" t="str">
        <f t="shared" si="24"/>
        <v>N/A - Facility Does Not Report to TRI</v>
      </c>
      <c r="AR106" s="110" t="str" cm="1">
        <f t="array" ref="AR106">IF(B106="TRI Form A",AD106,IF(AP106=0,"Facility has no transfers to non-POTWs between 2019-2023.",IF(COUNTIF('Processed Non-zero TRI Data'!$I:$I,$H106)&gt;0,INDEX('Processed Non-zero TRI Data'!$A:$A,MATCH(1,($H106='Processed Non-zero TRI Data'!$I:$I)*(AP106='Processed Non-zero TRI Data'!$W:$W),0)),"N/A - Facility Does Not Report to TRI")))</f>
        <v>N/A - Facility Does Not Report to TRI</v>
      </c>
    </row>
    <row r="107" spans="1:44" ht="29" x14ac:dyDescent="0.35">
      <c r="A107" s="34">
        <v>104</v>
      </c>
      <c r="B107" s="33" t="str">
        <f>IFERROR("TRI Form "&amp;VLOOKUP(H107,'Processed Non-zero TRI Data'!$I$2:$K$23,3,FALSE),"DMR")</f>
        <v>DMR</v>
      </c>
      <c r="C107" s="33" t="str">
        <f>VLOOKUP($D107, 'COU.OES Summary'!C:D, 2, FALSE)</f>
        <v> </v>
      </c>
      <c r="D107" s="33" t="str">
        <f>IFERROR(VLOOKUP($H107, 'Processed Non-zero TRI Data'!$I:$O, 7, FALSE), VLOOKUP($I107, 'Processed Non-zero DMR Data'!$K:$R, 8, FALSE))</f>
        <v>Waste handling, treatment, and disposal - POTW</v>
      </c>
      <c r="E107" s="34" t="s">
        <v>305</v>
      </c>
      <c r="F107" s="34" t="s">
        <v>119</v>
      </c>
      <c r="G107" s="34" t="s">
        <v>108</v>
      </c>
      <c r="H107" s="34"/>
      <c r="I107" s="105">
        <v>110016759444</v>
      </c>
      <c r="J107" s="33" t="str">
        <f>IFERROR(VLOOKUP($I107, 'Processed Non-zero DMR Data'!$K:$U, 11, FALSE),"")</f>
        <v>KY0105376</v>
      </c>
      <c r="K107" s="33" t="str">
        <f>IFERROR(VLOOKUP($I107, 'Processed Non-zero DMR Data'!$K:$V, 12, FALSE),"Not Reported")</f>
        <v>Marble Creek-Kentucky River</v>
      </c>
      <c r="L107" s="106">
        <f>IFERROR(VLOOKUP($I107, 'Processed Non-zero DMR Data'!$K:$W, 13, FALSE),"No Reach Code Reported")</f>
        <v>51002050308</v>
      </c>
      <c r="M107" s="107" t="str">
        <f>IFERROR(IFERROR(VLOOKUP(H107, 'Off-site Locations'!$K$3:$O$5, 5, FALSE), VLOOKUP(H107, 'Off-site Locations'!$B$3:$E$4, 4, FALSE)), "No Offsite Transfers")</f>
        <v>No Offsite Transfers</v>
      </c>
      <c r="N107" s="33">
        <f>VLOOKUP($D107, 'COU.OES Summary'!C:E, 3, FALSE)</f>
        <v>365</v>
      </c>
      <c r="O107" s="108">
        <f t="shared" si="14"/>
        <v>0</v>
      </c>
      <c r="P107" s="108">
        <f t="shared" si="15"/>
        <v>0.97397512500000005</v>
      </c>
      <c r="Q107" s="109" cm="1">
        <f t="array" ref="Q107">IFERROR(_xlfn.XLOOKUP(1,  (MAX(IF(I107 = 'Processed Non-zero DMR Data'!$K:$K,'Processed Non-zero DMR Data'!$A:$A)) = 'Processed Non-zero DMR Data'!$A:$A)*('Processed Non-zero DMR Data'!$K:$K = I107),'Processed Non-zero DMR Data'!$T:$T), "N/A- Facility Does Not Report DMRs")</f>
        <v>0.69352555000000005</v>
      </c>
      <c r="R107" s="33">
        <f t="shared" si="25"/>
        <v>1.9000700000000002E-3</v>
      </c>
      <c r="S107" s="33" cm="1">
        <f t="array" ref="S107">IF(COUNTIF('Processed Non-zero DMR Data'!$K:$K,$I107)&gt;0,MEDIAN(IF('Processed Non-zero DMR Data'!$K:$K=I107,'Processed Non-zero DMR Data'!$T:$T)),"N/A - Facility Does Not Report DMRs")</f>
        <v>0.69352555000000005</v>
      </c>
      <c r="T107" s="33">
        <f t="shared" si="26"/>
        <v>1.9000700000000002E-3</v>
      </c>
      <c r="U107" s="33">
        <f>IF(COUNTIF('Processed Non-zero DMR Data'!$K:$K,$I107)&gt;0,_xlfn.MAXIFS('Processed Non-zero DMR Data'!$T:$T,'Processed Non-zero DMR Data'!$K:$K,$I107), "N/A - Facility Does Not Report DMRs")</f>
        <v>0.97397512500000005</v>
      </c>
      <c r="V107" s="33">
        <f t="shared" si="27"/>
        <v>2.6684250000000003E-3</v>
      </c>
      <c r="W107" s="110" cm="1">
        <f t="array" ref="W107">IF(COUNTIF('Processed Non-zero DMR Data'!$K:$K,$I107)&gt;0,INDEX('Processed Non-zero DMR Data'!$A:$A,MATCH(1,($I107='Processed Non-zero DMR Data'!$K:$K)*($U107='Processed Non-zero DMR Data'!$T:$T),0)), "N/A - Facility Does Not Report DMRs")</f>
        <v>2019</v>
      </c>
      <c r="X107" s="109" cm="1">
        <f t="array" ref="X107">IFERROR(_xlfn.XLOOKUP(1,  (MAX(IF(H107 = 'Processed Non-zero TRI Data'!$I:$I,'Processed Non-zero TRI Data'!$A:$A)) = 'Processed Non-zero TRI Data'!$A:$A)*('Processed Non-zero TRI Data'!$I:$I = H107), 'Processed Non-zero TRI Data'!$S:$S), "N/A- Facility Does Not Report to TRI")</f>
        <v>0</v>
      </c>
      <c r="Y107" s="33">
        <f t="shared" si="16"/>
        <v>0</v>
      </c>
      <c r="Z107" s="33" t="str" cm="1">
        <f t="array" ref="Z107">IF(COUNTIF('Processed Non-zero TRI Data'!$I:$I,$H107)&gt;0,MEDIAN(IF('Processed Non-zero TRI Data'!$I:$I=H107,'Processed Non-zero TRI Data'!$S:$S)), "N/A - Facility Does Not Report to TRI")</f>
        <v>N/A - Facility Does Not Report to TRI</v>
      </c>
      <c r="AA107" s="33" t="str">
        <f t="shared" si="17"/>
        <v>N/A - Facility Does Not Report to TRI</v>
      </c>
      <c r="AB107" s="33" t="str">
        <f>IF(COUNTIF('Processed Non-zero TRI Data'!$I:$I,$H107)&gt;0,_xlfn.MAXIFS('Processed Non-zero TRI Data'!$S:$S,'Processed Non-zero TRI Data'!$I:$I,$H107), "N/A - Facility Does Not Report to TRI")</f>
        <v>N/A - Facility Does Not Report to TRI</v>
      </c>
      <c r="AC107" s="33" t="str">
        <f t="shared" si="18"/>
        <v>N/A - Facility Does Not Report to TRI</v>
      </c>
      <c r="AD107" s="110" t="str" cm="1">
        <f t="array" ref="AD107">IFERROR(IF(B107 = "TRI Form R", IF(AB107 = 0, "Facility has no on-site water discharges between 2019-2023.",  IF(COUNTIF('Processed Non-zero TRI Data'!$I:$I,$H107)&gt;0,INDEX('Processed Non-zero TRI Data'!$A:$A,MATCH(1,($H107='Processed Non-zero TRI Data'!$I:$I)*(AB107='Processed Non-zero TRI Data'!$S:$S),0)))), VLOOKUP(H107, 'Form A Recent Reporting'!$L:$M, 2, FALSE)), ("N/A - Facility Does Not Report to TRI"))</f>
        <v>N/A - Facility Does Not Report to TRI</v>
      </c>
      <c r="AE107" s="109" cm="1">
        <f t="array" ref="AE107">IFERROR(_xlfn.XLOOKUP(1,  (MAX(IF(H107 = 'Processed Non-zero TRI Data'!$I:$I,'Processed Non-zero TRI Data'!$A:$A)) = 'Processed Non-zero TRI Data'!$A:$A)*('Processed Non-zero TRI Data'!$I:$I = H107), 'Processed Non-zero TRI Data'!$U:$U), "N/A- Facility Does Not Report to TRI")</f>
        <v>0</v>
      </c>
      <c r="AF107" s="33">
        <f t="shared" si="19"/>
        <v>0</v>
      </c>
      <c r="AG107" s="33" t="str" cm="1">
        <f t="array" ref="AG107">IF(COUNTIF('Processed Non-zero TRI Data'!$I:$I,$H107)&gt;0,MEDIAN(IF('Processed Non-zero TRI Data'!$I:$I=H107,'Processed Non-zero TRI Data'!$U:$U)), "N/A - Facility Does Not Report to TRI")</f>
        <v>N/A - Facility Does Not Report to TRI</v>
      </c>
      <c r="AH107" s="33" t="str">
        <f t="shared" si="20"/>
        <v>N/A - Facility Does Not Report to TRI</v>
      </c>
      <c r="AI107" s="33" t="str">
        <f>IF(COUNTIF('Processed Non-zero TRI Data'!$I:$I,$H107)&gt;0,_xlfn.MAXIFS('Processed Non-zero TRI Data'!$U:$U,'Processed Non-zero TRI Data'!$I:$I,$H107), "N/A - Facility Does Not Report to TRI")</f>
        <v>N/A - Facility Does Not Report to TRI</v>
      </c>
      <c r="AJ107" s="33" t="str">
        <f t="shared" si="21"/>
        <v>N/A - Facility Does Not Report to TRI</v>
      </c>
      <c r="AK107" s="110" t="str" cm="1">
        <f t="array" ref="AK107">IF(B107="TRI Form A",AD107,IF(AI107=0,"Facility has no transfers to POTWs between 2019-2023.",IF(COUNTIF('Processed Non-zero TRI Data'!$I:$I,$H107)&gt;0,INDEX('Processed Non-zero TRI Data'!$A:$A,MATCH(1,($H107='Processed Non-zero TRI Data'!$I:$I)*(AI107='Processed Non-zero TRI Data'!$U:$U),0)),"N/A - Facility Does Not Report to TRI")))</f>
        <v>N/A - Facility Does Not Report to TRI</v>
      </c>
      <c r="AL107" s="109" cm="1">
        <f t="array" ref="AL107">IFERROR(_xlfn.XLOOKUP(1,  (MAX(IF(H107 = 'Processed Non-zero TRI Data'!$I$2:$I$23,'Processed Non-zero TRI Data'!$A$2:$A$23)) = 'Processed Non-zero TRI Data'!$A$2:$A$23)*('Processed Non-zero TRI Data'!$I$2:$I$23 = H107), 'Processed Non-zero TRI Data'!$W$2:$W$23), "N/A- Facility Does Not Report to TRI")</f>
        <v>0</v>
      </c>
      <c r="AM107" s="33">
        <f t="shared" si="22"/>
        <v>0</v>
      </c>
      <c r="AN107" s="33" t="str" cm="1">
        <f t="array" ref="AN107">IF(COUNTIF('Processed Non-zero TRI Data'!$I:$I,$H107)&gt;0,MEDIAN(IF('Processed Non-zero TRI Data'!$I:$I=H107,'Processed Non-zero TRI Data'!$W:$W)), "N/A - Facility Does Not Report to TRI")</f>
        <v>N/A - Facility Does Not Report to TRI</v>
      </c>
      <c r="AO107" s="33" t="str">
        <f t="shared" si="23"/>
        <v>N/A - Facility Does Not Report to TRI</v>
      </c>
      <c r="AP107" s="33" t="str">
        <f>IF(COUNTIF('Processed Non-zero TRI Data'!$I:$I,$H107)&gt;0,_xlfn.MAXIFS('Processed Non-zero TRI Data'!$W:$W,'Processed Non-zero TRI Data'!$I:$I,$H107), "N/A - Facility Does Not Report to TRI")</f>
        <v>N/A - Facility Does Not Report to TRI</v>
      </c>
      <c r="AQ107" s="33" t="str">
        <f t="shared" si="24"/>
        <v>N/A - Facility Does Not Report to TRI</v>
      </c>
      <c r="AR107" s="110" t="str" cm="1">
        <f t="array" ref="AR107">IF(B107="TRI Form A",AD107,IF(AP107=0,"Facility has no transfers to non-POTWs between 2019-2023.",IF(COUNTIF('Processed Non-zero TRI Data'!$I:$I,$H107)&gt;0,INDEX('Processed Non-zero TRI Data'!$A:$A,MATCH(1,($H107='Processed Non-zero TRI Data'!$I:$I)*(AP107='Processed Non-zero TRI Data'!$W:$W),0)),"N/A - Facility Does Not Report to TRI")))</f>
        <v>N/A - Facility Does Not Report to TRI</v>
      </c>
    </row>
    <row r="108" spans="1:44" ht="29" x14ac:dyDescent="0.35">
      <c r="A108" s="34">
        <v>105</v>
      </c>
      <c r="B108" s="33" t="str">
        <f>IFERROR("TRI Form "&amp;VLOOKUP(H108,'Processed Non-zero TRI Data'!$I$2:$K$23,3,FALSE),"DMR")</f>
        <v>DMR</v>
      </c>
      <c r="C108" s="33" t="str">
        <f>VLOOKUP($D108, 'COU.OES Summary'!C:D, 2, FALSE)</f>
        <v> </v>
      </c>
      <c r="D108" s="33" t="str">
        <f>IFERROR(VLOOKUP($H108, 'Processed Non-zero TRI Data'!$I:$O, 7, FALSE), VLOOKUP($I108, 'Processed Non-zero DMR Data'!$K:$R, 8, FALSE))</f>
        <v>Waste handling, treatment, and disposal - Remediation or Monitoring</v>
      </c>
      <c r="E108" s="34" t="s">
        <v>306</v>
      </c>
      <c r="F108" s="34" t="s">
        <v>107</v>
      </c>
      <c r="G108" s="34" t="s">
        <v>108</v>
      </c>
      <c r="H108" s="34"/>
      <c r="I108" s="105">
        <v>110000378467</v>
      </c>
      <c r="J108" s="33" t="str">
        <f>IFERROR(VLOOKUP($I108, 'Processed Non-zero DMR Data'!$K:$U, 11, FALSE),"")</f>
        <v>KY0001112</v>
      </c>
      <c r="K108" s="33" t="str">
        <f>IFERROR(VLOOKUP($I108, 'Processed Non-zero DMR Data'!$K:$V, 12, FALSE),"Not Reported")</f>
        <v>Mill Creek Cutoff-Ohio River</v>
      </c>
      <c r="L108" s="106">
        <f>IFERROR(VLOOKUP($I108, 'Processed Non-zero DMR Data'!$K:$W, 13, FALSE),"No Reach Code Reported")</f>
        <v>51401010903</v>
      </c>
      <c r="M108" s="107" t="str">
        <f>IFERROR(IFERROR(VLOOKUP(H108, 'Off-site Locations'!$K$3:$O$5, 5, FALSE), VLOOKUP(H108, 'Off-site Locations'!$B$3:$E$4, 4, FALSE)), "No Offsite Transfers")</f>
        <v>No Offsite Transfers</v>
      </c>
      <c r="N108" s="33">
        <f>VLOOKUP($D108, 'COU.OES Summary'!C:E, 3, FALSE)</f>
        <v>365</v>
      </c>
      <c r="O108" s="108">
        <f t="shared" si="14"/>
        <v>0</v>
      </c>
      <c r="P108" s="108">
        <f t="shared" si="15"/>
        <v>1.0703049999999998</v>
      </c>
      <c r="Q108" s="109" cm="1">
        <f t="array" ref="Q108">IFERROR(_xlfn.XLOOKUP(1,  (MAX(IF(I108 = 'Processed Non-zero DMR Data'!$K:$K,'Processed Non-zero DMR Data'!$A:$A)) = 'Processed Non-zero DMR Data'!$A:$A)*('Processed Non-zero DMR Data'!$K:$K = I108),'Processed Non-zero DMR Data'!$T:$T), "N/A- Facility Does Not Report DMRs")</f>
        <v>0.91140500000000002</v>
      </c>
      <c r="R108" s="33">
        <f t="shared" si="25"/>
        <v>2.4970000000000001E-3</v>
      </c>
      <c r="S108" s="33" cm="1">
        <f t="array" ref="S108">IF(COUNTIF('Processed Non-zero DMR Data'!$K:$K,$I108)&gt;0,MEDIAN(IF('Processed Non-zero DMR Data'!$K:$K=I108,'Processed Non-zero DMR Data'!$T:$T)),"N/A - Facility Does Not Report DMRs")</f>
        <v>0.72526500000000005</v>
      </c>
      <c r="T108" s="33">
        <f t="shared" si="26"/>
        <v>1.9870273972602743E-3</v>
      </c>
      <c r="U108" s="33">
        <f>IF(COUNTIF('Processed Non-zero DMR Data'!$K:$K,$I108)&gt;0,_xlfn.MAXIFS('Processed Non-zero DMR Data'!$T:$T,'Processed Non-zero DMR Data'!$K:$K,$I108), "N/A - Facility Does Not Report DMRs")</f>
        <v>1.0703049999999998</v>
      </c>
      <c r="V108" s="33">
        <f t="shared" si="27"/>
        <v>2.9323424657534242E-3</v>
      </c>
      <c r="W108" s="110" cm="1">
        <f t="array" ref="W108">IF(COUNTIF('Processed Non-zero DMR Data'!$K:$K,$I108)&gt;0,INDEX('Processed Non-zero DMR Data'!$A:$A,MATCH(1,($I108='Processed Non-zero DMR Data'!$K:$K)*($U108='Processed Non-zero DMR Data'!$T:$T),0)), "N/A - Facility Does Not Report DMRs")</f>
        <v>2020</v>
      </c>
      <c r="X108" s="109" cm="1">
        <f t="array" ref="X108">IFERROR(_xlfn.XLOOKUP(1,  (MAX(IF(H108 = 'Processed Non-zero TRI Data'!$I:$I,'Processed Non-zero TRI Data'!$A:$A)) = 'Processed Non-zero TRI Data'!$A:$A)*('Processed Non-zero TRI Data'!$I:$I = H108), 'Processed Non-zero TRI Data'!$S:$S), "N/A- Facility Does Not Report to TRI")</f>
        <v>0</v>
      </c>
      <c r="Y108" s="33">
        <f t="shared" si="16"/>
        <v>0</v>
      </c>
      <c r="Z108" s="33" t="str" cm="1">
        <f t="array" ref="Z108">IF(COUNTIF('Processed Non-zero TRI Data'!$I:$I,$H108)&gt;0,MEDIAN(IF('Processed Non-zero TRI Data'!$I:$I=H108,'Processed Non-zero TRI Data'!$S:$S)), "N/A - Facility Does Not Report to TRI")</f>
        <v>N/A - Facility Does Not Report to TRI</v>
      </c>
      <c r="AA108" s="33" t="str">
        <f t="shared" si="17"/>
        <v>N/A - Facility Does Not Report to TRI</v>
      </c>
      <c r="AB108" s="33" t="str">
        <f>IF(COUNTIF('Processed Non-zero TRI Data'!$I:$I,$H108)&gt;0,_xlfn.MAXIFS('Processed Non-zero TRI Data'!$S:$S,'Processed Non-zero TRI Data'!$I:$I,$H108), "N/A - Facility Does Not Report to TRI")</f>
        <v>N/A - Facility Does Not Report to TRI</v>
      </c>
      <c r="AC108" s="33" t="str">
        <f t="shared" si="18"/>
        <v>N/A - Facility Does Not Report to TRI</v>
      </c>
      <c r="AD108" s="110" t="str" cm="1">
        <f t="array" ref="AD108">IFERROR(IF(B108 = "TRI Form R", IF(AB108 = 0, "Facility has no on-site water discharges between 2019-2023.",  IF(COUNTIF('Processed Non-zero TRI Data'!$I:$I,$H108)&gt;0,INDEX('Processed Non-zero TRI Data'!$A:$A,MATCH(1,($H108='Processed Non-zero TRI Data'!$I:$I)*(AB108='Processed Non-zero TRI Data'!$S:$S),0)))), VLOOKUP(H108, 'Form A Recent Reporting'!$L:$M, 2, FALSE)), ("N/A - Facility Does Not Report to TRI"))</f>
        <v>N/A - Facility Does Not Report to TRI</v>
      </c>
      <c r="AE108" s="109" cm="1">
        <f t="array" ref="AE108">IFERROR(_xlfn.XLOOKUP(1,  (MAX(IF(H108 = 'Processed Non-zero TRI Data'!$I:$I,'Processed Non-zero TRI Data'!$A:$A)) = 'Processed Non-zero TRI Data'!$A:$A)*('Processed Non-zero TRI Data'!$I:$I = H108), 'Processed Non-zero TRI Data'!$U:$U), "N/A- Facility Does Not Report to TRI")</f>
        <v>0</v>
      </c>
      <c r="AF108" s="33">
        <f t="shared" si="19"/>
        <v>0</v>
      </c>
      <c r="AG108" s="33" t="str" cm="1">
        <f t="array" ref="AG108">IF(COUNTIF('Processed Non-zero TRI Data'!$I:$I,$H108)&gt;0,MEDIAN(IF('Processed Non-zero TRI Data'!$I:$I=H108,'Processed Non-zero TRI Data'!$U:$U)), "N/A - Facility Does Not Report to TRI")</f>
        <v>N/A - Facility Does Not Report to TRI</v>
      </c>
      <c r="AH108" s="33" t="str">
        <f t="shared" si="20"/>
        <v>N/A - Facility Does Not Report to TRI</v>
      </c>
      <c r="AI108" s="33" t="str">
        <f>IF(COUNTIF('Processed Non-zero TRI Data'!$I:$I,$H108)&gt;0,_xlfn.MAXIFS('Processed Non-zero TRI Data'!$U:$U,'Processed Non-zero TRI Data'!$I:$I,$H108), "N/A - Facility Does Not Report to TRI")</f>
        <v>N/A - Facility Does Not Report to TRI</v>
      </c>
      <c r="AJ108" s="33" t="str">
        <f t="shared" si="21"/>
        <v>N/A - Facility Does Not Report to TRI</v>
      </c>
      <c r="AK108" s="110" t="str" cm="1">
        <f t="array" ref="AK108">IF(B108="TRI Form A",AD108,IF(AI108=0,"Facility has no transfers to POTWs between 2019-2023.",IF(COUNTIF('Processed Non-zero TRI Data'!$I:$I,$H108)&gt;0,INDEX('Processed Non-zero TRI Data'!$A:$A,MATCH(1,($H108='Processed Non-zero TRI Data'!$I:$I)*(AI108='Processed Non-zero TRI Data'!$U:$U),0)),"N/A - Facility Does Not Report to TRI")))</f>
        <v>N/A - Facility Does Not Report to TRI</v>
      </c>
      <c r="AL108" s="109" cm="1">
        <f t="array" ref="AL108">IFERROR(_xlfn.XLOOKUP(1,  (MAX(IF(H108 = 'Processed Non-zero TRI Data'!$I$2:$I$23,'Processed Non-zero TRI Data'!$A$2:$A$23)) = 'Processed Non-zero TRI Data'!$A$2:$A$23)*('Processed Non-zero TRI Data'!$I$2:$I$23 = H108), 'Processed Non-zero TRI Data'!$W$2:$W$23), "N/A- Facility Does Not Report to TRI")</f>
        <v>0</v>
      </c>
      <c r="AM108" s="33">
        <f t="shared" si="22"/>
        <v>0</v>
      </c>
      <c r="AN108" s="33" t="str" cm="1">
        <f t="array" ref="AN108">IF(COUNTIF('Processed Non-zero TRI Data'!$I:$I,$H108)&gt;0,MEDIAN(IF('Processed Non-zero TRI Data'!$I:$I=H108,'Processed Non-zero TRI Data'!$W:$W)), "N/A - Facility Does Not Report to TRI")</f>
        <v>N/A - Facility Does Not Report to TRI</v>
      </c>
      <c r="AO108" s="33" t="str">
        <f t="shared" si="23"/>
        <v>N/A - Facility Does Not Report to TRI</v>
      </c>
      <c r="AP108" s="33" t="str">
        <f>IF(COUNTIF('Processed Non-zero TRI Data'!$I:$I,$H108)&gt;0,_xlfn.MAXIFS('Processed Non-zero TRI Data'!$W:$W,'Processed Non-zero TRI Data'!$I:$I,$H108), "N/A - Facility Does Not Report to TRI")</f>
        <v>N/A - Facility Does Not Report to TRI</v>
      </c>
      <c r="AQ108" s="33" t="str">
        <f t="shared" si="24"/>
        <v>N/A - Facility Does Not Report to TRI</v>
      </c>
      <c r="AR108" s="110" t="str" cm="1">
        <f t="array" ref="AR108">IF(B108="TRI Form A",AD108,IF(AP108=0,"Facility has no transfers to non-POTWs between 2019-2023.",IF(COUNTIF('Processed Non-zero TRI Data'!$I:$I,$H108)&gt;0,INDEX('Processed Non-zero TRI Data'!$A:$A,MATCH(1,($H108='Processed Non-zero TRI Data'!$I:$I)*(AP108='Processed Non-zero TRI Data'!$W:$W),0)),"N/A - Facility Does Not Report to TRI")))</f>
        <v>N/A - Facility Does Not Report to TRI</v>
      </c>
    </row>
    <row r="109" spans="1:44" ht="29" x14ac:dyDescent="0.35">
      <c r="A109" s="34">
        <v>106</v>
      </c>
      <c r="B109" s="33" t="str">
        <f>IFERROR("TRI Form "&amp;VLOOKUP(H109,'Processed Non-zero TRI Data'!$I$2:$K$23,3,FALSE),"DMR")</f>
        <v>DMR</v>
      </c>
      <c r="C109" s="33" t="str">
        <f>VLOOKUP($D109, 'COU.OES Summary'!C:D, 2, FALSE)</f>
        <v> </v>
      </c>
      <c r="D109" s="33" t="str">
        <f>IFERROR(VLOOKUP($H109, 'Processed Non-zero TRI Data'!$I:$O, 7, FALSE), VLOOKUP($I109, 'Processed Non-zero DMR Data'!$K:$R, 8, FALSE))</f>
        <v>Waste handling, treatment, and disposal - Remediation or Monitoring</v>
      </c>
      <c r="E109" s="34" t="s">
        <v>307</v>
      </c>
      <c r="F109" s="34" t="s">
        <v>308</v>
      </c>
      <c r="G109" s="34" t="s">
        <v>181</v>
      </c>
      <c r="H109" s="34"/>
      <c r="I109" s="105">
        <v>110006040989</v>
      </c>
      <c r="J109" s="33" t="str">
        <f>IFERROR(VLOOKUP($I109, 'Processed Non-zero DMR Data'!$K:$U, 11, FALSE),"")</f>
        <v>MI0042994</v>
      </c>
      <c r="K109" s="33" t="str">
        <f>IFERROR(VLOOKUP($I109, 'Processed Non-zero DMR Data'!$K:$V, 12, FALSE),"Not Reported")</f>
        <v>Spring Lakes-Battle Creek</v>
      </c>
      <c r="L109" s="106">
        <f>IFERROR(VLOOKUP($I109, 'Processed Non-zero DMR Data'!$K:$W, 13, FALSE),"No Reach Code Reported")</f>
        <v>40500030312</v>
      </c>
      <c r="M109" s="107" t="str">
        <f>IFERROR(IFERROR(VLOOKUP(H109, 'Off-site Locations'!$K$3:$O$5, 5, FALSE), VLOOKUP(H109, 'Off-site Locations'!$B$3:$E$4, 4, FALSE)), "No Offsite Transfers")</f>
        <v>No Offsite Transfers</v>
      </c>
      <c r="N109" s="33">
        <f>VLOOKUP($D109, 'COU.OES Summary'!C:E, 3, FALSE)</f>
        <v>365</v>
      </c>
      <c r="O109" s="108">
        <f t="shared" si="14"/>
        <v>0</v>
      </c>
      <c r="P109" s="108">
        <f t="shared" si="15"/>
        <v>0.90419864999999999</v>
      </c>
      <c r="Q109" s="109" cm="1">
        <f t="array" ref="Q109">IFERROR(_xlfn.XLOOKUP(1,  (MAX(IF(I109 = 'Processed Non-zero DMR Data'!$K:$K,'Processed Non-zero DMR Data'!$A:$A)) = 'Processed Non-zero DMR Data'!$A:$A)*('Processed Non-zero DMR Data'!$K:$K = I109),'Processed Non-zero DMR Data'!$T:$T), "N/A- Facility Does Not Report DMRs")</f>
        <v>0.90419864999999999</v>
      </c>
      <c r="R109" s="33">
        <f t="shared" si="25"/>
        <v>2.4772565753424657E-3</v>
      </c>
      <c r="S109" s="33" cm="1">
        <f t="array" ref="S109">IF(COUNTIF('Processed Non-zero DMR Data'!$K:$K,$I109)&gt;0,MEDIAN(IF('Processed Non-zero DMR Data'!$K:$K=I109,'Processed Non-zero DMR Data'!$T:$T)),"N/A - Facility Does Not Report DMRs")</f>
        <v>0.87463780000000002</v>
      </c>
      <c r="T109" s="33">
        <f t="shared" si="26"/>
        <v>2.3962679452054795E-3</v>
      </c>
      <c r="U109" s="33">
        <f>IF(COUNTIF('Processed Non-zero DMR Data'!$K:$K,$I109)&gt;0,_xlfn.MAXIFS('Processed Non-zero DMR Data'!$T:$T,'Processed Non-zero DMR Data'!$K:$K,$I109), "N/A - Facility Does Not Report DMRs")</f>
        <v>0.90419864999999999</v>
      </c>
      <c r="V109" s="33">
        <f t="shared" si="27"/>
        <v>2.4772565753424657E-3</v>
      </c>
      <c r="W109" s="110" cm="1">
        <f t="array" ref="W109">IF(COUNTIF('Processed Non-zero DMR Data'!$K:$K,$I109)&gt;0,INDEX('Processed Non-zero DMR Data'!$A:$A,MATCH(1,($I109='Processed Non-zero DMR Data'!$K:$K)*($U109='Processed Non-zero DMR Data'!$T:$T),0)), "N/A - Facility Does Not Report DMRs")</f>
        <v>2023</v>
      </c>
      <c r="X109" s="109" cm="1">
        <f t="array" ref="X109">IFERROR(_xlfn.XLOOKUP(1,  (MAX(IF(H109 = 'Processed Non-zero TRI Data'!$I:$I,'Processed Non-zero TRI Data'!$A:$A)) = 'Processed Non-zero TRI Data'!$A:$A)*('Processed Non-zero TRI Data'!$I:$I = H109), 'Processed Non-zero TRI Data'!$S:$S), "N/A- Facility Does Not Report to TRI")</f>
        <v>0</v>
      </c>
      <c r="Y109" s="33">
        <f t="shared" si="16"/>
        <v>0</v>
      </c>
      <c r="Z109" s="33" t="str" cm="1">
        <f t="array" ref="Z109">IF(COUNTIF('Processed Non-zero TRI Data'!$I:$I,$H109)&gt;0,MEDIAN(IF('Processed Non-zero TRI Data'!$I:$I=H109,'Processed Non-zero TRI Data'!$S:$S)), "N/A - Facility Does Not Report to TRI")</f>
        <v>N/A - Facility Does Not Report to TRI</v>
      </c>
      <c r="AA109" s="33" t="str">
        <f t="shared" si="17"/>
        <v>N/A - Facility Does Not Report to TRI</v>
      </c>
      <c r="AB109" s="33" t="str">
        <f>IF(COUNTIF('Processed Non-zero TRI Data'!$I:$I,$H109)&gt;0,_xlfn.MAXIFS('Processed Non-zero TRI Data'!$S:$S,'Processed Non-zero TRI Data'!$I:$I,$H109), "N/A - Facility Does Not Report to TRI")</f>
        <v>N/A - Facility Does Not Report to TRI</v>
      </c>
      <c r="AC109" s="33" t="str">
        <f t="shared" si="18"/>
        <v>N/A - Facility Does Not Report to TRI</v>
      </c>
      <c r="AD109" s="110" t="str" cm="1">
        <f t="array" ref="AD109">IFERROR(IF(B109 = "TRI Form R", IF(AB109 = 0, "Facility has no on-site water discharges between 2019-2023.",  IF(COUNTIF('Processed Non-zero TRI Data'!$I:$I,$H109)&gt;0,INDEX('Processed Non-zero TRI Data'!$A:$A,MATCH(1,($H109='Processed Non-zero TRI Data'!$I:$I)*(AB109='Processed Non-zero TRI Data'!$S:$S),0)))), VLOOKUP(H109, 'Form A Recent Reporting'!$L:$M, 2, FALSE)), ("N/A - Facility Does Not Report to TRI"))</f>
        <v>N/A - Facility Does Not Report to TRI</v>
      </c>
      <c r="AE109" s="109" cm="1">
        <f t="array" ref="AE109">IFERROR(_xlfn.XLOOKUP(1,  (MAX(IF(H109 = 'Processed Non-zero TRI Data'!$I:$I,'Processed Non-zero TRI Data'!$A:$A)) = 'Processed Non-zero TRI Data'!$A:$A)*('Processed Non-zero TRI Data'!$I:$I = H109), 'Processed Non-zero TRI Data'!$U:$U), "N/A- Facility Does Not Report to TRI")</f>
        <v>0</v>
      </c>
      <c r="AF109" s="33">
        <f t="shared" si="19"/>
        <v>0</v>
      </c>
      <c r="AG109" s="33" t="str" cm="1">
        <f t="array" ref="AG109">IF(COUNTIF('Processed Non-zero TRI Data'!$I:$I,$H109)&gt;0,MEDIAN(IF('Processed Non-zero TRI Data'!$I:$I=H109,'Processed Non-zero TRI Data'!$U:$U)), "N/A - Facility Does Not Report to TRI")</f>
        <v>N/A - Facility Does Not Report to TRI</v>
      </c>
      <c r="AH109" s="33" t="str">
        <f t="shared" si="20"/>
        <v>N/A - Facility Does Not Report to TRI</v>
      </c>
      <c r="AI109" s="33" t="str">
        <f>IF(COUNTIF('Processed Non-zero TRI Data'!$I:$I,$H109)&gt;0,_xlfn.MAXIFS('Processed Non-zero TRI Data'!$U:$U,'Processed Non-zero TRI Data'!$I:$I,$H109), "N/A - Facility Does Not Report to TRI")</f>
        <v>N/A - Facility Does Not Report to TRI</v>
      </c>
      <c r="AJ109" s="33" t="str">
        <f t="shared" si="21"/>
        <v>N/A - Facility Does Not Report to TRI</v>
      </c>
      <c r="AK109" s="110" t="str" cm="1">
        <f t="array" ref="AK109">IF(B109="TRI Form A",AD109,IF(AI109=0,"Facility has no transfers to POTWs between 2019-2023.",IF(COUNTIF('Processed Non-zero TRI Data'!$I:$I,$H109)&gt;0,INDEX('Processed Non-zero TRI Data'!$A:$A,MATCH(1,($H109='Processed Non-zero TRI Data'!$I:$I)*(AI109='Processed Non-zero TRI Data'!$U:$U),0)),"N/A - Facility Does Not Report to TRI")))</f>
        <v>N/A - Facility Does Not Report to TRI</v>
      </c>
      <c r="AL109" s="109" cm="1">
        <f t="array" ref="AL109">IFERROR(_xlfn.XLOOKUP(1,  (MAX(IF(H109 = 'Processed Non-zero TRI Data'!$I$2:$I$23,'Processed Non-zero TRI Data'!$A$2:$A$23)) = 'Processed Non-zero TRI Data'!$A$2:$A$23)*('Processed Non-zero TRI Data'!$I$2:$I$23 = H109), 'Processed Non-zero TRI Data'!$W$2:$W$23), "N/A- Facility Does Not Report to TRI")</f>
        <v>0</v>
      </c>
      <c r="AM109" s="33">
        <f t="shared" si="22"/>
        <v>0</v>
      </c>
      <c r="AN109" s="33" t="str" cm="1">
        <f t="array" ref="AN109">IF(COUNTIF('Processed Non-zero TRI Data'!$I:$I,$H109)&gt;0,MEDIAN(IF('Processed Non-zero TRI Data'!$I:$I=H109,'Processed Non-zero TRI Data'!$W:$W)), "N/A - Facility Does Not Report to TRI")</f>
        <v>N/A - Facility Does Not Report to TRI</v>
      </c>
      <c r="AO109" s="33" t="str">
        <f t="shared" si="23"/>
        <v>N/A - Facility Does Not Report to TRI</v>
      </c>
      <c r="AP109" s="33" t="str">
        <f>IF(COUNTIF('Processed Non-zero TRI Data'!$I:$I,$H109)&gt;0,_xlfn.MAXIFS('Processed Non-zero TRI Data'!$W:$W,'Processed Non-zero TRI Data'!$I:$I,$H109), "N/A - Facility Does Not Report to TRI")</f>
        <v>N/A - Facility Does Not Report to TRI</v>
      </c>
      <c r="AQ109" s="33" t="str">
        <f t="shared" si="24"/>
        <v>N/A - Facility Does Not Report to TRI</v>
      </c>
      <c r="AR109" s="110" t="str" cm="1">
        <f t="array" ref="AR109">IF(B109="TRI Form A",AD109,IF(AP109=0,"Facility has no transfers to non-POTWs between 2019-2023.",IF(COUNTIF('Processed Non-zero TRI Data'!$I:$I,$H109)&gt;0,INDEX('Processed Non-zero TRI Data'!$A:$A,MATCH(1,($H109='Processed Non-zero TRI Data'!$I:$I)*(AP109='Processed Non-zero TRI Data'!$W:$W),0)),"N/A - Facility Does Not Report to TRI")))</f>
        <v>N/A - Facility Does Not Report to TRI</v>
      </c>
    </row>
    <row r="110" spans="1:44" ht="29" x14ac:dyDescent="0.35">
      <c r="A110" s="34">
        <v>107</v>
      </c>
      <c r="B110" s="33" t="str">
        <f>IFERROR("TRI Form "&amp;VLOOKUP(H110,'Processed Non-zero TRI Data'!$I$2:$K$23,3,FALSE),"DMR")</f>
        <v>DMR</v>
      </c>
      <c r="C110" s="33" t="str">
        <f>VLOOKUP($D110, 'COU.OES Summary'!C:D, 2, FALSE)</f>
        <v> </v>
      </c>
      <c r="D110" s="33" t="str">
        <f>IFERROR(VLOOKUP($H110, 'Processed Non-zero TRI Data'!$I:$O, 7, FALSE), VLOOKUP($I110, 'Processed Non-zero DMR Data'!$K:$R, 8, FALSE))</f>
        <v>Waste handling, treatment, and disposal - Remediation or Monitoring</v>
      </c>
      <c r="E110" s="34" t="s">
        <v>309</v>
      </c>
      <c r="F110" s="34" t="s">
        <v>158</v>
      </c>
      <c r="G110" s="34" t="s">
        <v>129</v>
      </c>
      <c r="H110" s="34"/>
      <c r="I110" s="105">
        <v>110017979810</v>
      </c>
      <c r="J110" s="33" t="str">
        <f>IFERROR(VLOOKUP($I110, 'Processed Non-zero DMR Data'!$K:$U, 11, FALSE),"")</f>
        <v>MO0004863</v>
      </c>
      <c r="K110" s="33" t="str">
        <f>IFERROR(VLOOKUP($I110, 'Processed Non-zero DMR Data'!$K:$V, 12, FALSE),"Not Reported")</f>
        <v>Brush Creek-Blue River</v>
      </c>
      <c r="L110" s="106">
        <f>IFERROR(VLOOKUP($I110, 'Processed Non-zero DMR Data'!$K:$W, 13, FALSE),"No Reach Code Reported")</f>
        <v>103001010105</v>
      </c>
      <c r="M110" s="107" t="str">
        <f>IFERROR(IFERROR(VLOOKUP(H110, 'Off-site Locations'!$K$3:$O$5, 5, FALSE), VLOOKUP(H110, 'Off-site Locations'!$B$3:$E$4, 4, FALSE)), "No Offsite Transfers")</f>
        <v>No Offsite Transfers</v>
      </c>
      <c r="N110" s="33">
        <f>VLOOKUP($D110, 'COU.OES Summary'!C:E, 3, FALSE)</f>
        <v>365</v>
      </c>
      <c r="O110" s="108">
        <f t="shared" si="14"/>
        <v>0</v>
      </c>
      <c r="P110" s="108">
        <f t="shared" si="15"/>
        <v>1.2851766894999999</v>
      </c>
      <c r="Q110" s="109" cm="1">
        <f t="array" ref="Q110">IFERROR(_xlfn.XLOOKUP(1,  (MAX(IF(I110 = 'Processed Non-zero DMR Data'!$K:$K,'Processed Non-zero DMR Data'!$A:$A)) = 'Processed Non-zero DMR Data'!$A:$A)*('Processed Non-zero DMR Data'!$K:$K = I110),'Processed Non-zero DMR Data'!$T:$T), "N/A- Facility Does Not Report DMRs")</f>
        <v>0.15649555625</v>
      </c>
      <c r="R110" s="33">
        <f t="shared" si="25"/>
        <v>4.28754948630137E-4</v>
      </c>
      <c r="S110" s="33" cm="1">
        <f t="array" ref="S110">IF(COUNTIF('Processed Non-zero DMR Data'!$K:$K,$I110)&gt;0,MEDIAN(IF('Processed Non-zero DMR Data'!$K:$K=I110,'Processed Non-zero DMR Data'!$T:$T)),"N/A - Facility Does Not Report DMRs")</f>
        <v>0.15649555625</v>
      </c>
      <c r="T110" s="33">
        <f t="shared" si="26"/>
        <v>4.28754948630137E-4</v>
      </c>
      <c r="U110" s="33">
        <f>IF(COUNTIF('Processed Non-zero DMR Data'!$K:$K,$I110)&gt;0,_xlfn.MAXIFS('Processed Non-zero DMR Data'!$T:$T,'Processed Non-zero DMR Data'!$K:$K,$I110), "N/A - Facility Does Not Report DMRs")</f>
        <v>1.2851766894999999</v>
      </c>
      <c r="V110" s="33">
        <f t="shared" si="27"/>
        <v>3.5210320260273967E-3</v>
      </c>
      <c r="W110" s="110" cm="1">
        <f t="array" ref="W110">IF(COUNTIF('Processed Non-zero DMR Data'!$K:$K,$I110)&gt;0,INDEX('Processed Non-zero DMR Data'!$A:$A,MATCH(1,($I110='Processed Non-zero DMR Data'!$K:$K)*($U110='Processed Non-zero DMR Data'!$T:$T),0)), "N/A - Facility Does Not Report DMRs")</f>
        <v>2019</v>
      </c>
      <c r="X110" s="109" cm="1">
        <f t="array" ref="X110">IFERROR(_xlfn.XLOOKUP(1,  (MAX(IF(H110 = 'Processed Non-zero TRI Data'!$I:$I,'Processed Non-zero TRI Data'!$A:$A)) = 'Processed Non-zero TRI Data'!$A:$A)*('Processed Non-zero TRI Data'!$I:$I = H110), 'Processed Non-zero TRI Data'!$S:$S), "N/A- Facility Does Not Report to TRI")</f>
        <v>0</v>
      </c>
      <c r="Y110" s="33">
        <f t="shared" si="16"/>
        <v>0</v>
      </c>
      <c r="Z110" s="33" t="str" cm="1">
        <f t="array" ref="Z110">IF(COUNTIF('Processed Non-zero TRI Data'!$I:$I,$H110)&gt;0,MEDIAN(IF('Processed Non-zero TRI Data'!$I:$I=H110,'Processed Non-zero TRI Data'!$S:$S)), "N/A - Facility Does Not Report to TRI")</f>
        <v>N/A - Facility Does Not Report to TRI</v>
      </c>
      <c r="AA110" s="33" t="str">
        <f t="shared" si="17"/>
        <v>N/A - Facility Does Not Report to TRI</v>
      </c>
      <c r="AB110" s="33" t="str">
        <f>IF(COUNTIF('Processed Non-zero TRI Data'!$I:$I,$H110)&gt;0,_xlfn.MAXIFS('Processed Non-zero TRI Data'!$S:$S,'Processed Non-zero TRI Data'!$I:$I,$H110), "N/A - Facility Does Not Report to TRI")</f>
        <v>N/A - Facility Does Not Report to TRI</v>
      </c>
      <c r="AC110" s="33" t="str">
        <f t="shared" si="18"/>
        <v>N/A - Facility Does Not Report to TRI</v>
      </c>
      <c r="AD110" s="110" t="str" cm="1">
        <f t="array" ref="AD110">IFERROR(IF(B110 = "TRI Form R", IF(AB110 = 0, "Facility has no on-site water discharges between 2019-2023.",  IF(COUNTIF('Processed Non-zero TRI Data'!$I:$I,$H110)&gt;0,INDEX('Processed Non-zero TRI Data'!$A:$A,MATCH(1,($H110='Processed Non-zero TRI Data'!$I:$I)*(AB110='Processed Non-zero TRI Data'!$S:$S),0)))), VLOOKUP(H110, 'Form A Recent Reporting'!$L:$M, 2, FALSE)), ("N/A - Facility Does Not Report to TRI"))</f>
        <v>N/A - Facility Does Not Report to TRI</v>
      </c>
      <c r="AE110" s="109" cm="1">
        <f t="array" ref="AE110">IFERROR(_xlfn.XLOOKUP(1,  (MAX(IF(H110 = 'Processed Non-zero TRI Data'!$I:$I,'Processed Non-zero TRI Data'!$A:$A)) = 'Processed Non-zero TRI Data'!$A:$A)*('Processed Non-zero TRI Data'!$I:$I = H110), 'Processed Non-zero TRI Data'!$U:$U), "N/A- Facility Does Not Report to TRI")</f>
        <v>0</v>
      </c>
      <c r="AF110" s="33">
        <f t="shared" si="19"/>
        <v>0</v>
      </c>
      <c r="AG110" s="33" t="str" cm="1">
        <f t="array" ref="AG110">IF(COUNTIF('Processed Non-zero TRI Data'!$I:$I,$H110)&gt;0,MEDIAN(IF('Processed Non-zero TRI Data'!$I:$I=H110,'Processed Non-zero TRI Data'!$U:$U)), "N/A - Facility Does Not Report to TRI")</f>
        <v>N/A - Facility Does Not Report to TRI</v>
      </c>
      <c r="AH110" s="33" t="str">
        <f t="shared" si="20"/>
        <v>N/A - Facility Does Not Report to TRI</v>
      </c>
      <c r="AI110" s="33" t="str">
        <f>IF(COUNTIF('Processed Non-zero TRI Data'!$I:$I,$H110)&gt;0,_xlfn.MAXIFS('Processed Non-zero TRI Data'!$U:$U,'Processed Non-zero TRI Data'!$I:$I,$H110), "N/A - Facility Does Not Report to TRI")</f>
        <v>N/A - Facility Does Not Report to TRI</v>
      </c>
      <c r="AJ110" s="33" t="str">
        <f t="shared" si="21"/>
        <v>N/A - Facility Does Not Report to TRI</v>
      </c>
      <c r="AK110" s="110" t="str" cm="1">
        <f t="array" ref="AK110">IF(B110="TRI Form A",AD110,IF(AI110=0,"Facility has no transfers to POTWs between 2019-2023.",IF(COUNTIF('Processed Non-zero TRI Data'!$I:$I,$H110)&gt;0,INDEX('Processed Non-zero TRI Data'!$A:$A,MATCH(1,($H110='Processed Non-zero TRI Data'!$I:$I)*(AI110='Processed Non-zero TRI Data'!$U:$U),0)),"N/A - Facility Does Not Report to TRI")))</f>
        <v>N/A - Facility Does Not Report to TRI</v>
      </c>
      <c r="AL110" s="109" cm="1">
        <f t="array" ref="AL110">IFERROR(_xlfn.XLOOKUP(1,  (MAX(IF(H110 = 'Processed Non-zero TRI Data'!$I$2:$I$23,'Processed Non-zero TRI Data'!$A$2:$A$23)) = 'Processed Non-zero TRI Data'!$A$2:$A$23)*('Processed Non-zero TRI Data'!$I$2:$I$23 = H110), 'Processed Non-zero TRI Data'!$W$2:$W$23), "N/A- Facility Does Not Report to TRI")</f>
        <v>0</v>
      </c>
      <c r="AM110" s="33">
        <f t="shared" si="22"/>
        <v>0</v>
      </c>
      <c r="AN110" s="33" t="str" cm="1">
        <f t="array" ref="AN110">IF(COUNTIF('Processed Non-zero TRI Data'!$I:$I,$H110)&gt;0,MEDIAN(IF('Processed Non-zero TRI Data'!$I:$I=H110,'Processed Non-zero TRI Data'!$W:$W)), "N/A - Facility Does Not Report to TRI")</f>
        <v>N/A - Facility Does Not Report to TRI</v>
      </c>
      <c r="AO110" s="33" t="str">
        <f t="shared" si="23"/>
        <v>N/A - Facility Does Not Report to TRI</v>
      </c>
      <c r="AP110" s="33" t="str">
        <f>IF(COUNTIF('Processed Non-zero TRI Data'!$I:$I,$H110)&gt;0,_xlfn.MAXIFS('Processed Non-zero TRI Data'!$W:$W,'Processed Non-zero TRI Data'!$I:$I,$H110), "N/A - Facility Does Not Report to TRI")</f>
        <v>N/A - Facility Does Not Report to TRI</v>
      </c>
      <c r="AQ110" s="33" t="str">
        <f t="shared" si="24"/>
        <v>N/A - Facility Does Not Report to TRI</v>
      </c>
      <c r="AR110" s="110" t="str" cm="1">
        <f t="array" ref="AR110">IF(B110="TRI Form A",AD110,IF(AP110=0,"Facility has no transfers to non-POTWs between 2019-2023.",IF(COUNTIF('Processed Non-zero TRI Data'!$I:$I,$H110)&gt;0,INDEX('Processed Non-zero TRI Data'!$A:$A,MATCH(1,($H110='Processed Non-zero TRI Data'!$I:$I)*(AP110='Processed Non-zero TRI Data'!$W:$W),0)),"N/A - Facility Does Not Report to TRI")))</f>
        <v>N/A - Facility Does Not Report to TRI</v>
      </c>
    </row>
    <row r="111" spans="1:44" ht="29" x14ac:dyDescent="0.35">
      <c r="A111" s="34">
        <v>108</v>
      </c>
      <c r="B111" s="33" t="str">
        <f>IFERROR("TRI Form "&amp;VLOOKUP(H111,'Processed Non-zero TRI Data'!$I$2:$K$23,3,FALSE),"DMR")</f>
        <v>DMR</v>
      </c>
      <c r="C111" s="33" t="str">
        <f>VLOOKUP($D111, 'COU.OES Summary'!C:D, 2, FALSE)</f>
        <v> </v>
      </c>
      <c r="D111" s="33" t="str">
        <f>IFERROR(VLOOKUP($H111, 'Processed Non-zero TRI Data'!$I:$O, 7, FALSE), VLOOKUP($I111, 'Processed Non-zero DMR Data'!$K:$R, 8, FALSE))</f>
        <v>Waste handling, treatment, and disposal - Remediation or Monitoring</v>
      </c>
      <c r="E111" s="34" t="s">
        <v>310</v>
      </c>
      <c r="F111" s="34" t="s">
        <v>311</v>
      </c>
      <c r="G111" s="34" t="s">
        <v>126</v>
      </c>
      <c r="H111" s="34"/>
      <c r="I111" s="105">
        <v>110009827143</v>
      </c>
      <c r="J111" s="33" t="str">
        <f>IFERROR(VLOOKUP($I111, 'Processed Non-zero DMR Data'!$K:$U, 11, FALSE),"")</f>
        <v>NY0108995</v>
      </c>
      <c r="K111" s="33" t="str">
        <f>IFERROR(VLOOKUP($I111, 'Processed Non-zero DMR Data'!$K:$V, 12, FALSE),"Not Reported")</f>
        <v>Upper Tioughnioga River</v>
      </c>
      <c r="L111" s="106">
        <f>IFERROR(VLOOKUP($I111, 'Processed Non-zero DMR Data'!$K:$W, 13, FALSE),"No Reach Code Reported")</f>
        <v>20501020403</v>
      </c>
      <c r="M111" s="107" t="str">
        <f>IFERROR(IFERROR(VLOOKUP(H111, 'Off-site Locations'!$K$3:$O$5, 5, FALSE), VLOOKUP(H111, 'Off-site Locations'!$B$3:$E$4, 4, FALSE)), "No Offsite Transfers")</f>
        <v>No Offsite Transfers</v>
      </c>
      <c r="N111" s="33">
        <f>VLOOKUP($D111, 'COU.OES Summary'!C:E, 3, FALSE)</f>
        <v>365</v>
      </c>
      <c r="O111" s="108">
        <f t="shared" si="14"/>
        <v>0</v>
      </c>
      <c r="P111" s="108">
        <f t="shared" si="15"/>
        <v>0.893926</v>
      </c>
      <c r="Q111" s="109" cm="1">
        <f t="array" ref="Q111">IFERROR(_xlfn.XLOOKUP(1,  (MAX(IF(I111 = 'Processed Non-zero DMR Data'!$K:$K,'Processed Non-zero DMR Data'!$A:$A)) = 'Processed Non-zero DMR Data'!$A:$A)*('Processed Non-zero DMR Data'!$K:$K = I111),'Processed Non-zero DMR Data'!$T:$T), "N/A- Facility Does Not Report DMRs")</f>
        <v>0.71618499999999996</v>
      </c>
      <c r="R111" s="33">
        <f t="shared" si="25"/>
        <v>1.9621506849315067E-3</v>
      </c>
      <c r="S111" s="33" cm="1">
        <f t="array" ref="S111">IF(COUNTIF('Processed Non-zero DMR Data'!$K:$K,$I111)&gt;0,MEDIAN(IF('Processed Non-zero DMR Data'!$K:$K=I111,'Processed Non-zero DMR Data'!$T:$T)),"N/A - Facility Does Not Report DMRs")</f>
        <v>0.71618499999999996</v>
      </c>
      <c r="T111" s="33">
        <f t="shared" si="26"/>
        <v>1.9621506849315067E-3</v>
      </c>
      <c r="U111" s="33">
        <f>IF(COUNTIF('Processed Non-zero DMR Data'!$K:$K,$I111)&gt;0,_xlfn.MAXIFS('Processed Non-zero DMR Data'!$T:$T,'Processed Non-zero DMR Data'!$K:$K,$I111), "N/A - Facility Does Not Report DMRs")</f>
        <v>0.893926</v>
      </c>
      <c r="V111" s="33">
        <f t="shared" si="27"/>
        <v>2.4491123287671232E-3</v>
      </c>
      <c r="W111" s="110" cm="1">
        <f t="array" ref="W111">IF(COUNTIF('Processed Non-zero DMR Data'!$K:$K,$I111)&gt;0,INDEX('Processed Non-zero DMR Data'!$A:$A,MATCH(1,($I111='Processed Non-zero DMR Data'!$K:$K)*($U111='Processed Non-zero DMR Data'!$T:$T),0)), "N/A - Facility Does Not Report DMRs")</f>
        <v>2021</v>
      </c>
      <c r="X111" s="109" cm="1">
        <f t="array" ref="X111">IFERROR(_xlfn.XLOOKUP(1,  (MAX(IF(H111 = 'Processed Non-zero TRI Data'!$I:$I,'Processed Non-zero TRI Data'!$A:$A)) = 'Processed Non-zero TRI Data'!$A:$A)*('Processed Non-zero TRI Data'!$I:$I = H111), 'Processed Non-zero TRI Data'!$S:$S), "N/A- Facility Does Not Report to TRI")</f>
        <v>0</v>
      </c>
      <c r="Y111" s="33">
        <f t="shared" si="16"/>
        <v>0</v>
      </c>
      <c r="Z111" s="33" t="str" cm="1">
        <f t="array" ref="Z111">IF(COUNTIF('Processed Non-zero TRI Data'!$I:$I,$H111)&gt;0,MEDIAN(IF('Processed Non-zero TRI Data'!$I:$I=H111,'Processed Non-zero TRI Data'!$S:$S)), "N/A - Facility Does Not Report to TRI")</f>
        <v>N/A - Facility Does Not Report to TRI</v>
      </c>
      <c r="AA111" s="33" t="str">
        <f t="shared" si="17"/>
        <v>N/A - Facility Does Not Report to TRI</v>
      </c>
      <c r="AB111" s="33" t="str">
        <f>IF(COUNTIF('Processed Non-zero TRI Data'!$I:$I,$H111)&gt;0,_xlfn.MAXIFS('Processed Non-zero TRI Data'!$S:$S,'Processed Non-zero TRI Data'!$I:$I,$H111), "N/A - Facility Does Not Report to TRI")</f>
        <v>N/A - Facility Does Not Report to TRI</v>
      </c>
      <c r="AC111" s="33" t="str">
        <f t="shared" si="18"/>
        <v>N/A - Facility Does Not Report to TRI</v>
      </c>
      <c r="AD111" s="110" t="str" cm="1">
        <f t="array" ref="AD111">IFERROR(IF(B111 = "TRI Form R", IF(AB111 = 0, "Facility has no on-site water discharges between 2019-2023.",  IF(COUNTIF('Processed Non-zero TRI Data'!$I:$I,$H111)&gt;0,INDEX('Processed Non-zero TRI Data'!$A:$A,MATCH(1,($H111='Processed Non-zero TRI Data'!$I:$I)*(AB111='Processed Non-zero TRI Data'!$S:$S),0)))), VLOOKUP(H111, 'Form A Recent Reporting'!$L:$M, 2, FALSE)), ("N/A - Facility Does Not Report to TRI"))</f>
        <v>N/A - Facility Does Not Report to TRI</v>
      </c>
      <c r="AE111" s="109" cm="1">
        <f t="array" ref="AE111">IFERROR(_xlfn.XLOOKUP(1,  (MAX(IF(H111 = 'Processed Non-zero TRI Data'!$I:$I,'Processed Non-zero TRI Data'!$A:$A)) = 'Processed Non-zero TRI Data'!$A:$A)*('Processed Non-zero TRI Data'!$I:$I = H111), 'Processed Non-zero TRI Data'!$U:$U), "N/A- Facility Does Not Report to TRI")</f>
        <v>0</v>
      </c>
      <c r="AF111" s="33">
        <f t="shared" si="19"/>
        <v>0</v>
      </c>
      <c r="AG111" s="33" t="str" cm="1">
        <f t="array" ref="AG111">IF(COUNTIF('Processed Non-zero TRI Data'!$I:$I,$H111)&gt;0,MEDIAN(IF('Processed Non-zero TRI Data'!$I:$I=H111,'Processed Non-zero TRI Data'!$U:$U)), "N/A - Facility Does Not Report to TRI")</f>
        <v>N/A - Facility Does Not Report to TRI</v>
      </c>
      <c r="AH111" s="33" t="str">
        <f t="shared" si="20"/>
        <v>N/A - Facility Does Not Report to TRI</v>
      </c>
      <c r="AI111" s="33" t="str">
        <f>IF(COUNTIF('Processed Non-zero TRI Data'!$I:$I,$H111)&gt;0,_xlfn.MAXIFS('Processed Non-zero TRI Data'!$U:$U,'Processed Non-zero TRI Data'!$I:$I,$H111), "N/A - Facility Does Not Report to TRI")</f>
        <v>N/A - Facility Does Not Report to TRI</v>
      </c>
      <c r="AJ111" s="33" t="str">
        <f t="shared" si="21"/>
        <v>N/A - Facility Does Not Report to TRI</v>
      </c>
      <c r="AK111" s="110" t="str" cm="1">
        <f t="array" ref="AK111">IF(B111="TRI Form A",AD111,IF(AI111=0,"Facility has no transfers to POTWs between 2019-2023.",IF(COUNTIF('Processed Non-zero TRI Data'!$I:$I,$H111)&gt;0,INDEX('Processed Non-zero TRI Data'!$A:$A,MATCH(1,($H111='Processed Non-zero TRI Data'!$I:$I)*(AI111='Processed Non-zero TRI Data'!$U:$U),0)),"N/A - Facility Does Not Report to TRI")))</f>
        <v>N/A - Facility Does Not Report to TRI</v>
      </c>
      <c r="AL111" s="109" cm="1">
        <f t="array" ref="AL111">IFERROR(_xlfn.XLOOKUP(1,  (MAX(IF(H111 = 'Processed Non-zero TRI Data'!$I$2:$I$23,'Processed Non-zero TRI Data'!$A$2:$A$23)) = 'Processed Non-zero TRI Data'!$A$2:$A$23)*('Processed Non-zero TRI Data'!$I$2:$I$23 = H111), 'Processed Non-zero TRI Data'!$W$2:$W$23), "N/A- Facility Does Not Report to TRI")</f>
        <v>0</v>
      </c>
      <c r="AM111" s="33">
        <f t="shared" si="22"/>
        <v>0</v>
      </c>
      <c r="AN111" s="33" t="str" cm="1">
        <f t="array" ref="AN111">IF(COUNTIF('Processed Non-zero TRI Data'!$I:$I,$H111)&gt;0,MEDIAN(IF('Processed Non-zero TRI Data'!$I:$I=H111,'Processed Non-zero TRI Data'!$W:$W)), "N/A - Facility Does Not Report to TRI")</f>
        <v>N/A - Facility Does Not Report to TRI</v>
      </c>
      <c r="AO111" s="33" t="str">
        <f t="shared" si="23"/>
        <v>N/A - Facility Does Not Report to TRI</v>
      </c>
      <c r="AP111" s="33" t="str">
        <f>IF(COUNTIF('Processed Non-zero TRI Data'!$I:$I,$H111)&gt;0,_xlfn.MAXIFS('Processed Non-zero TRI Data'!$W:$W,'Processed Non-zero TRI Data'!$I:$I,$H111), "N/A - Facility Does Not Report to TRI")</f>
        <v>N/A - Facility Does Not Report to TRI</v>
      </c>
      <c r="AQ111" s="33" t="str">
        <f t="shared" si="24"/>
        <v>N/A - Facility Does Not Report to TRI</v>
      </c>
      <c r="AR111" s="110" t="str" cm="1">
        <f t="array" ref="AR111">IF(B111="TRI Form A",AD111,IF(AP111=0,"Facility has no transfers to non-POTWs between 2019-2023.",IF(COUNTIF('Processed Non-zero TRI Data'!$I:$I,$H111)&gt;0,INDEX('Processed Non-zero TRI Data'!$A:$A,MATCH(1,($H111='Processed Non-zero TRI Data'!$I:$I)*(AP111='Processed Non-zero TRI Data'!$W:$W),0)),"N/A - Facility Does Not Report to TRI")))</f>
        <v>N/A - Facility Does Not Report to TRI</v>
      </c>
    </row>
    <row r="112" spans="1:44" ht="29" x14ac:dyDescent="0.35">
      <c r="A112" s="34">
        <v>109</v>
      </c>
      <c r="B112" s="33" t="str">
        <f>IFERROR("TRI Form "&amp;VLOOKUP(H112,'Processed Non-zero TRI Data'!$I$2:$K$23,3,FALSE),"DMR")</f>
        <v>DMR</v>
      </c>
      <c r="C112" s="33" t="str">
        <f>VLOOKUP($D112, 'COU.OES Summary'!C:D, 2, FALSE)</f>
        <v> </v>
      </c>
      <c r="D112" s="33" t="str">
        <f>IFERROR(VLOOKUP($H112, 'Processed Non-zero TRI Data'!$I:$O, 7, FALSE), VLOOKUP($I112, 'Processed Non-zero DMR Data'!$K:$R, 8, FALSE))</f>
        <v>Waste handling, treatment, and disposal - Remediation or Monitoring</v>
      </c>
      <c r="E112" s="34" t="s">
        <v>312</v>
      </c>
      <c r="F112" s="34" t="s">
        <v>115</v>
      </c>
      <c r="G112" s="34" t="s">
        <v>108</v>
      </c>
      <c r="H112" s="34"/>
      <c r="I112" s="105">
        <v>110000747835</v>
      </c>
      <c r="J112" s="33" t="str">
        <f>IFERROR(VLOOKUP($I112, 'Processed Non-zero DMR Data'!$K:$U, 11, FALSE),"")</f>
        <v>KY0001953</v>
      </c>
      <c r="K112" s="33" t="str">
        <f>IFERROR(VLOOKUP($I112, 'Processed Non-zero DMR Data'!$K:$V, 12, FALSE),"Not Reported")</f>
        <v>Jackson Creek-Ohio River</v>
      </c>
      <c r="L112" s="106">
        <f>IFERROR(VLOOKUP($I112, 'Processed Non-zero DMR Data'!$K:$W, 13, FALSE),"No Reach Code Reported")</f>
        <v>51402011202</v>
      </c>
      <c r="M112" s="107" t="str">
        <f>IFERROR(IFERROR(VLOOKUP(H112, 'Off-site Locations'!$K$3:$O$5, 5, FALSE), VLOOKUP(H112, 'Off-site Locations'!$B$3:$E$4, 4, FALSE)), "No Offsite Transfers")</f>
        <v>No Offsite Transfers</v>
      </c>
      <c r="N112" s="33">
        <f>VLOOKUP($D112, 'COU.OES Summary'!C:E, 3, FALSE)</f>
        <v>365</v>
      </c>
      <c r="O112" s="108">
        <f t="shared" si="14"/>
        <v>0</v>
      </c>
      <c r="P112" s="108">
        <f t="shared" si="15"/>
        <v>0.89140380299999999</v>
      </c>
      <c r="Q112" s="109" cm="1">
        <f t="array" ref="Q112">IFERROR(_xlfn.XLOOKUP(1,  (MAX(IF(I112 = 'Processed Non-zero DMR Data'!$K:$K,'Processed Non-zero DMR Data'!$A:$A)) = 'Processed Non-zero DMR Data'!$A:$A)*('Processed Non-zero DMR Data'!$K:$K = I112),'Processed Non-zero DMR Data'!$T:$T), "N/A- Facility Does Not Report DMRs")</f>
        <v>0.89140380299999999</v>
      </c>
      <c r="R112" s="33">
        <f t="shared" si="25"/>
        <v>2.4422022000000002E-3</v>
      </c>
      <c r="S112" s="33" cm="1">
        <f t="array" ref="S112">IF(COUNTIF('Processed Non-zero DMR Data'!$K:$K,$I112)&gt;0,MEDIAN(IF('Processed Non-zero DMR Data'!$K:$K=I112,'Processed Non-zero DMR Data'!$T:$T)),"N/A - Facility Does Not Report DMRs")</f>
        <v>0.43623157499999998</v>
      </c>
      <c r="T112" s="33">
        <f t="shared" si="26"/>
        <v>1.195155E-3</v>
      </c>
      <c r="U112" s="33">
        <f>IF(COUNTIF('Processed Non-zero DMR Data'!$K:$K,$I112)&gt;0,_xlfn.MAXIFS('Processed Non-zero DMR Data'!$T:$T,'Processed Non-zero DMR Data'!$K:$K,$I112), "N/A - Facility Does Not Report DMRs")</f>
        <v>0.89140380299999999</v>
      </c>
      <c r="V112" s="33">
        <f t="shared" si="27"/>
        <v>2.4422022000000002E-3</v>
      </c>
      <c r="W112" s="110" cm="1">
        <f t="array" ref="W112">IF(COUNTIF('Processed Non-zero DMR Data'!$K:$K,$I112)&gt;0,INDEX('Processed Non-zero DMR Data'!$A:$A,MATCH(1,($I112='Processed Non-zero DMR Data'!$K:$K)*($U112='Processed Non-zero DMR Data'!$T:$T),0)), "N/A - Facility Does Not Report DMRs")</f>
        <v>2022</v>
      </c>
      <c r="X112" s="109" cm="1">
        <f t="array" ref="X112">IFERROR(_xlfn.XLOOKUP(1,  (MAX(IF(H112 = 'Processed Non-zero TRI Data'!$I:$I,'Processed Non-zero TRI Data'!$A:$A)) = 'Processed Non-zero TRI Data'!$A:$A)*('Processed Non-zero TRI Data'!$I:$I = H112), 'Processed Non-zero TRI Data'!$S:$S), "N/A- Facility Does Not Report to TRI")</f>
        <v>0</v>
      </c>
      <c r="Y112" s="33">
        <f t="shared" si="16"/>
        <v>0</v>
      </c>
      <c r="Z112" s="33" t="str" cm="1">
        <f t="array" ref="Z112">IF(COUNTIF('Processed Non-zero TRI Data'!$I:$I,$H112)&gt;0,MEDIAN(IF('Processed Non-zero TRI Data'!$I:$I=H112,'Processed Non-zero TRI Data'!$S:$S)), "N/A - Facility Does Not Report to TRI")</f>
        <v>N/A - Facility Does Not Report to TRI</v>
      </c>
      <c r="AA112" s="33" t="str">
        <f t="shared" si="17"/>
        <v>N/A - Facility Does Not Report to TRI</v>
      </c>
      <c r="AB112" s="33" t="str">
        <f>IF(COUNTIF('Processed Non-zero TRI Data'!$I:$I,$H112)&gt;0,_xlfn.MAXIFS('Processed Non-zero TRI Data'!$S:$S,'Processed Non-zero TRI Data'!$I:$I,$H112), "N/A - Facility Does Not Report to TRI")</f>
        <v>N/A - Facility Does Not Report to TRI</v>
      </c>
      <c r="AC112" s="33" t="str">
        <f t="shared" si="18"/>
        <v>N/A - Facility Does Not Report to TRI</v>
      </c>
      <c r="AD112" s="110" t="str" cm="1">
        <f t="array" ref="AD112">IFERROR(IF(B112 = "TRI Form R", IF(AB112 = 0, "Facility has no on-site water discharges between 2019-2023.",  IF(COUNTIF('Processed Non-zero TRI Data'!$I:$I,$H112)&gt;0,INDEX('Processed Non-zero TRI Data'!$A:$A,MATCH(1,($H112='Processed Non-zero TRI Data'!$I:$I)*(AB112='Processed Non-zero TRI Data'!$S:$S),0)))), VLOOKUP(H112, 'Form A Recent Reporting'!$L:$M, 2, FALSE)), ("N/A - Facility Does Not Report to TRI"))</f>
        <v>N/A - Facility Does Not Report to TRI</v>
      </c>
      <c r="AE112" s="109" cm="1">
        <f t="array" ref="AE112">IFERROR(_xlfn.XLOOKUP(1,  (MAX(IF(H112 = 'Processed Non-zero TRI Data'!$I:$I,'Processed Non-zero TRI Data'!$A:$A)) = 'Processed Non-zero TRI Data'!$A:$A)*('Processed Non-zero TRI Data'!$I:$I = H112), 'Processed Non-zero TRI Data'!$U:$U), "N/A- Facility Does Not Report to TRI")</f>
        <v>0</v>
      </c>
      <c r="AF112" s="33">
        <f t="shared" si="19"/>
        <v>0</v>
      </c>
      <c r="AG112" s="33" t="str" cm="1">
        <f t="array" ref="AG112">IF(COUNTIF('Processed Non-zero TRI Data'!$I:$I,$H112)&gt;0,MEDIAN(IF('Processed Non-zero TRI Data'!$I:$I=H112,'Processed Non-zero TRI Data'!$U:$U)), "N/A - Facility Does Not Report to TRI")</f>
        <v>N/A - Facility Does Not Report to TRI</v>
      </c>
      <c r="AH112" s="33" t="str">
        <f t="shared" si="20"/>
        <v>N/A - Facility Does Not Report to TRI</v>
      </c>
      <c r="AI112" s="33" t="str">
        <f>IF(COUNTIF('Processed Non-zero TRI Data'!$I:$I,$H112)&gt;0,_xlfn.MAXIFS('Processed Non-zero TRI Data'!$U:$U,'Processed Non-zero TRI Data'!$I:$I,$H112), "N/A - Facility Does Not Report to TRI")</f>
        <v>N/A - Facility Does Not Report to TRI</v>
      </c>
      <c r="AJ112" s="33" t="str">
        <f t="shared" si="21"/>
        <v>N/A - Facility Does Not Report to TRI</v>
      </c>
      <c r="AK112" s="110" t="str" cm="1">
        <f t="array" ref="AK112">IF(B112="TRI Form A",AD112,IF(AI112=0,"Facility has no transfers to POTWs between 2019-2023.",IF(COUNTIF('Processed Non-zero TRI Data'!$I:$I,$H112)&gt;0,INDEX('Processed Non-zero TRI Data'!$A:$A,MATCH(1,($H112='Processed Non-zero TRI Data'!$I:$I)*(AI112='Processed Non-zero TRI Data'!$U:$U),0)),"N/A - Facility Does Not Report to TRI")))</f>
        <v>N/A - Facility Does Not Report to TRI</v>
      </c>
      <c r="AL112" s="109" cm="1">
        <f t="array" ref="AL112">IFERROR(_xlfn.XLOOKUP(1,  (MAX(IF(H112 = 'Processed Non-zero TRI Data'!$I$2:$I$23,'Processed Non-zero TRI Data'!$A$2:$A$23)) = 'Processed Non-zero TRI Data'!$A$2:$A$23)*('Processed Non-zero TRI Data'!$I$2:$I$23 = H112), 'Processed Non-zero TRI Data'!$W$2:$W$23), "N/A- Facility Does Not Report to TRI")</f>
        <v>0</v>
      </c>
      <c r="AM112" s="33">
        <f t="shared" si="22"/>
        <v>0</v>
      </c>
      <c r="AN112" s="33" t="str" cm="1">
        <f t="array" ref="AN112">IF(COUNTIF('Processed Non-zero TRI Data'!$I:$I,$H112)&gt;0,MEDIAN(IF('Processed Non-zero TRI Data'!$I:$I=H112,'Processed Non-zero TRI Data'!$W:$W)), "N/A - Facility Does Not Report to TRI")</f>
        <v>N/A - Facility Does Not Report to TRI</v>
      </c>
      <c r="AO112" s="33" t="str">
        <f t="shared" si="23"/>
        <v>N/A - Facility Does Not Report to TRI</v>
      </c>
      <c r="AP112" s="33" t="str">
        <f>IF(COUNTIF('Processed Non-zero TRI Data'!$I:$I,$H112)&gt;0,_xlfn.MAXIFS('Processed Non-zero TRI Data'!$W:$W,'Processed Non-zero TRI Data'!$I:$I,$H112), "N/A - Facility Does Not Report to TRI")</f>
        <v>N/A - Facility Does Not Report to TRI</v>
      </c>
      <c r="AQ112" s="33" t="str">
        <f t="shared" si="24"/>
        <v>N/A - Facility Does Not Report to TRI</v>
      </c>
      <c r="AR112" s="110" t="str" cm="1">
        <f t="array" ref="AR112">IF(B112="TRI Form A",AD112,IF(AP112=0,"Facility has no transfers to non-POTWs between 2019-2023.",IF(COUNTIF('Processed Non-zero TRI Data'!$I:$I,$H112)&gt;0,INDEX('Processed Non-zero TRI Data'!$A:$A,MATCH(1,($H112='Processed Non-zero TRI Data'!$I:$I)*(AP112='Processed Non-zero TRI Data'!$W:$W),0)),"N/A - Facility Does Not Report to TRI")))</f>
        <v>N/A - Facility Does Not Report to TRI</v>
      </c>
    </row>
    <row r="113" spans="1:44" ht="29" x14ac:dyDescent="0.35">
      <c r="A113" s="34">
        <v>110</v>
      </c>
      <c r="B113" s="33" t="str">
        <f>IFERROR("TRI Form "&amp;VLOOKUP(H113,'Processed Non-zero TRI Data'!$I$2:$K$23,3,FALSE),"DMR")</f>
        <v>DMR</v>
      </c>
      <c r="C113" s="33" t="str">
        <f>VLOOKUP($D113, 'COU.OES Summary'!C:D, 2, FALSE)</f>
        <v> </v>
      </c>
      <c r="D113" s="33" t="str">
        <f>IFERROR(VLOOKUP($H113, 'Processed Non-zero TRI Data'!$I:$O, 7, FALSE), VLOOKUP($I113, 'Processed Non-zero DMR Data'!$K:$R, 8, FALSE))</f>
        <v>Waste handling, treatment, and disposal - Remediation or Monitoring</v>
      </c>
      <c r="E113" s="34" t="s">
        <v>313</v>
      </c>
      <c r="F113" s="34" t="s">
        <v>314</v>
      </c>
      <c r="G113" s="34" t="s">
        <v>95</v>
      </c>
      <c r="H113" s="34"/>
      <c r="I113" s="105">
        <v>110060340162</v>
      </c>
      <c r="J113" s="33" t="str">
        <f>IFERROR(VLOOKUP($I113, 'Processed Non-zero DMR Data'!$K:$U, 11, FALSE),"")</f>
        <v>TX0131768</v>
      </c>
      <c r="K113" s="33" t="str">
        <f>IFERROR(VLOOKUP($I113, 'Processed Non-zero DMR Data'!$K:$V, 12, FALSE),"Not Reported")</f>
        <v>Vince Bayou-Buffalo Bayou</v>
      </c>
      <c r="L113" s="106">
        <f>IFERROR(VLOOKUP($I113, 'Processed Non-zero DMR Data'!$K:$W, 13, FALSE),"No Reach Code Reported")</f>
        <v>120401040703</v>
      </c>
      <c r="M113" s="107" t="str">
        <f>IFERROR(IFERROR(VLOOKUP(H113, 'Off-site Locations'!$K$3:$O$5, 5, FALSE), VLOOKUP(H113, 'Off-site Locations'!$B$3:$E$4, 4, FALSE)), "No Offsite Transfers")</f>
        <v>No Offsite Transfers</v>
      </c>
      <c r="N113" s="33">
        <f>VLOOKUP($D113, 'COU.OES Summary'!C:E, 3, FALSE)</f>
        <v>365</v>
      </c>
      <c r="O113" s="108">
        <f t="shared" si="14"/>
        <v>0</v>
      </c>
      <c r="P113" s="108">
        <f t="shared" si="15"/>
        <v>0.82891499999999996</v>
      </c>
      <c r="Q113" s="109" cm="1">
        <f t="array" ref="Q113">IFERROR(_xlfn.XLOOKUP(1,  (MAX(IF(I113 = 'Processed Non-zero DMR Data'!$K:$K,'Processed Non-zero DMR Data'!$A:$A)) = 'Processed Non-zero DMR Data'!$A:$A)*('Processed Non-zero DMR Data'!$K:$K = I113),'Processed Non-zero DMR Data'!$T:$T), "N/A- Facility Does Not Report DMRs")</f>
        <v>6.4240912499999997E-2</v>
      </c>
      <c r="R113" s="33">
        <f t="shared" si="25"/>
        <v>1.7600249999999998E-4</v>
      </c>
      <c r="S113" s="33" cm="1">
        <f t="array" ref="S113">IF(COUNTIF('Processed Non-zero DMR Data'!$K:$K,$I113)&gt;0,MEDIAN(IF('Processed Non-zero DMR Data'!$K:$K=I113,'Processed Non-zero DMR Data'!$T:$T)),"N/A - Facility Does Not Report DMRs")</f>
        <v>0.71839299999999995</v>
      </c>
      <c r="T113" s="33">
        <f t="shared" si="26"/>
        <v>1.9681999999999998E-3</v>
      </c>
      <c r="U113" s="33">
        <f>IF(COUNTIF('Processed Non-zero DMR Data'!$K:$K,$I113)&gt;0,_xlfn.MAXIFS('Processed Non-zero DMR Data'!$T:$T,'Processed Non-zero DMR Data'!$K:$K,$I113), "N/A - Facility Does Not Report DMRs")</f>
        <v>0.82891499999999996</v>
      </c>
      <c r="V113" s="33">
        <f t="shared" si="27"/>
        <v>2.271E-3</v>
      </c>
      <c r="W113" s="110" cm="1">
        <f t="array" ref="W113">IF(COUNTIF('Processed Non-zero DMR Data'!$K:$K,$I113)&gt;0,INDEX('Processed Non-zero DMR Data'!$A:$A,MATCH(1,($I113='Processed Non-zero DMR Data'!$K:$K)*($U113='Processed Non-zero DMR Data'!$T:$T),0)), "N/A - Facility Does Not Report DMRs")</f>
        <v>2019</v>
      </c>
      <c r="X113" s="109" cm="1">
        <f t="array" ref="X113">IFERROR(_xlfn.XLOOKUP(1,  (MAX(IF(H113 = 'Processed Non-zero TRI Data'!$I:$I,'Processed Non-zero TRI Data'!$A:$A)) = 'Processed Non-zero TRI Data'!$A:$A)*('Processed Non-zero TRI Data'!$I:$I = H113), 'Processed Non-zero TRI Data'!$S:$S), "N/A- Facility Does Not Report to TRI")</f>
        <v>0</v>
      </c>
      <c r="Y113" s="33">
        <f t="shared" si="16"/>
        <v>0</v>
      </c>
      <c r="Z113" s="33" t="str" cm="1">
        <f t="array" ref="Z113">IF(COUNTIF('Processed Non-zero TRI Data'!$I:$I,$H113)&gt;0,MEDIAN(IF('Processed Non-zero TRI Data'!$I:$I=H113,'Processed Non-zero TRI Data'!$S:$S)), "N/A - Facility Does Not Report to TRI")</f>
        <v>N/A - Facility Does Not Report to TRI</v>
      </c>
      <c r="AA113" s="33" t="str">
        <f t="shared" si="17"/>
        <v>N/A - Facility Does Not Report to TRI</v>
      </c>
      <c r="AB113" s="33" t="str">
        <f>IF(COUNTIF('Processed Non-zero TRI Data'!$I:$I,$H113)&gt;0,_xlfn.MAXIFS('Processed Non-zero TRI Data'!$S:$S,'Processed Non-zero TRI Data'!$I:$I,$H113), "N/A - Facility Does Not Report to TRI")</f>
        <v>N/A - Facility Does Not Report to TRI</v>
      </c>
      <c r="AC113" s="33" t="str">
        <f t="shared" si="18"/>
        <v>N/A - Facility Does Not Report to TRI</v>
      </c>
      <c r="AD113" s="110" t="str" cm="1">
        <f t="array" ref="AD113">IFERROR(IF(B113 = "TRI Form R", IF(AB113 = 0, "Facility has no on-site water discharges between 2019-2023.",  IF(COUNTIF('Processed Non-zero TRI Data'!$I:$I,$H113)&gt;0,INDEX('Processed Non-zero TRI Data'!$A:$A,MATCH(1,($H113='Processed Non-zero TRI Data'!$I:$I)*(AB113='Processed Non-zero TRI Data'!$S:$S),0)))), VLOOKUP(H113, 'Form A Recent Reporting'!$L:$M, 2, FALSE)), ("N/A - Facility Does Not Report to TRI"))</f>
        <v>N/A - Facility Does Not Report to TRI</v>
      </c>
      <c r="AE113" s="109" cm="1">
        <f t="array" ref="AE113">IFERROR(_xlfn.XLOOKUP(1,  (MAX(IF(H113 = 'Processed Non-zero TRI Data'!$I:$I,'Processed Non-zero TRI Data'!$A:$A)) = 'Processed Non-zero TRI Data'!$A:$A)*('Processed Non-zero TRI Data'!$I:$I = H113), 'Processed Non-zero TRI Data'!$U:$U), "N/A- Facility Does Not Report to TRI")</f>
        <v>0</v>
      </c>
      <c r="AF113" s="33">
        <f t="shared" si="19"/>
        <v>0</v>
      </c>
      <c r="AG113" s="33" t="str" cm="1">
        <f t="array" ref="AG113">IF(COUNTIF('Processed Non-zero TRI Data'!$I:$I,$H113)&gt;0,MEDIAN(IF('Processed Non-zero TRI Data'!$I:$I=H113,'Processed Non-zero TRI Data'!$U:$U)), "N/A - Facility Does Not Report to TRI")</f>
        <v>N/A - Facility Does Not Report to TRI</v>
      </c>
      <c r="AH113" s="33" t="str">
        <f t="shared" si="20"/>
        <v>N/A - Facility Does Not Report to TRI</v>
      </c>
      <c r="AI113" s="33" t="str">
        <f>IF(COUNTIF('Processed Non-zero TRI Data'!$I:$I,$H113)&gt;0,_xlfn.MAXIFS('Processed Non-zero TRI Data'!$U:$U,'Processed Non-zero TRI Data'!$I:$I,$H113), "N/A - Facility Does Not Report to TRI")</f>
        <v>N/A - Facility Does Not Report to TRI</v>
      </c>
      <c r="AJ113" s="33" t="str">
        <f t="shared" si="21"/>
        <v>N/A - Facility Does Not Report to TRI</v>
      </c>
      <c r="AK113" s="110" t="str" cm="1">
        <f t="array" ref="AK113">IF(B113="TRI Form A",AD113,IF(AI113=0,"Facility has no transfers to POTWs between 2019-2023.",IF(COUNTIF('Processed Non-zero TRI Data'!$I:$I,$H113)&gt;0,INDEX('Processed Non-zero TRI Data'!$A:$A,MATCH(1,($H113='Processed Non-zero TRI Data'!$I:$I)*(AI113='Processed Non-zero TRI Data'!$U:$U),0)),"N/A - Facility Does Not Report to TRI")))</f>
        <v>N/A - Facility Does Not Report to TRI</v>
      </c>
      <c r="AL113" s="109" cm="1">
        <f t="array" ref="AL113">IFERROR(_xlfn.XLOOKUP(1,  (MAX(IF(H113 = 'Processed Non-zero TRI Data'!$I$2:$I$23,'Processed Non-zero TRI Data'!$A$2:$A$23)) = 'Processed Non-zero TRI Data'!$A$2:$A$23)*('Processed Non-zero TRI Data'!$I$2:$I$23 = H113), 'Processed Non-zero TRI Data'!$W$2:$W$23), "N/A- Facility Does Not Report to TRI")</f>
        <v>0</v>
      </c>
      <c r="AM113" s="33">
        <f t="shared" si="22"/>
        <v>0</v>
      </c>
      <c r="AN113" s="33" t="str" cm="1">
        <f t="array" ref="AN113">IF(COUNTIF('Processed Non-zero TRI Data'!$I:$I,$H113)&gt;0,MEDIAN(IF('Processed Non-zero TRI Data'!$I:$I=H113,'Processed Non-zero TRI Data'!$W:$W)), "N/A - Facility Does Not Report to TRI")</f>
        <v>N/A - Facility Does Not Report to TRI</v>
      </c>
      <c r="AO113" s="33" t="str">
        <f t="shared" si="23"/>
        <v>N/A - Facility Does Not Report to TRI</v>
      </c>
      <c r="AP113" s="33" t="str">
        <f>IF(COUNTIF('Processed Non-zero TRI Data'!$I:$I,$H113)&gt;0,_xlfn.MAXIFS('Processed Non-zero TRI Data'!$W:$W,'Processed Non-zero TRI Data'!$I:$I,$H113), "N/A - Facility Does Not Report to TRI")</f>
        <v>N/A - Facility Does Not Report to TRI</v>
      </c>
      <c r="AQ113" s="33" t="str">
        <f t="shared" si="24"/>
        <v>N/A - Facility Does Not Report to TRI</v>
      </c>
      <c r="AR113" s="110" t="str" cm="1">
        <f t="array" ref="AR113">IF(B113="TRI Form A",AD113,IF(AP113=0,"Facility has no transfers to non-POTWs between 2019-2023.",IF(COUNTIF('Processed Non-zero TRI Data'!$I:$I,$H113)&gt;0,INDEX('Processed Non-zero TRI Data'!$A:$A,MATCH(1,($H113='Processed Non-zero TRI Data'!$I:$I)*(AP113='Processed Non-zero TRI Data'!$W:$W),0)),"N/A - Facility Does Not Report to TRI")))</f>
        <v>N/A - Facility Does Not Report to TRI</v>
      </c>
    </row>
    <row r="114" spans="1:44" ht="29" x14ac:dyDescent="0.35">
      <c r="A114" s="34">
        <v>111</v>
      </c>
      <c r="B114" s="33" t="str">
        <f>IFERROR("TRI Form "&amp;VLOOKUP(H114,'Processed Non-zero TRI Data'!$I$2:$K$23,3,FALSE),"DMR")</f>
        <v>DMR</v>
      </c>
      <c r="C114" s="33" t="str">
        <f>VLOOKUP($D114, 'COU.OES Summary'!C:D, 2, FALSE)</f>
        <v> </v>
      </c>
      <c r="D114" s="33" t="str">
        <f>IFERROR(VLOOKUP($H114, 'Processed Non-zero TRI Data'!$I:$O, 7, FALSE), VLOOKUP($I114, 'Processed Non-zero DMR Data'!$K:$R, 8, FALSE))</f>
        <v>Waste handling, treatment, and disposal - Remediation or Monitoring</v>
      </c>
      <c r="E114" s="34" t="s">
        <v>315</v>
      </c>
      <c r="F114" s="34" t="s">
        <v>316</v>
      </c>
      <c r="G114" s="34" t="s">
        <v>126</v>
      </c>
      <c r="H114" s="34"/>
      <c r="I114" s="105">
        <v>110000324391</v>
      </c>
      <c r="J114" s="33" t="str">
        <f>IFERROR(VLOOKUP($I114, 'Processed Non-zero DMR Data'!$K:$U, 11, FALSE),"")</f>
        <v>NY0007072</v>
      </c>
      <c r="K114" s="33" t="str">
        <f>IFERROR(VLOOKUP($I114, 'Processed Non-zero DMR Data'!$K:$V, 12, FALSE),"Not Reported")</f>
        <v>Onesquethaw Creek</v>
      </c>
      <c r="L114" s="106">
        <f>IFERROR(VLOOKUP($I114, 'Processed Non-zero DMR Data'!$K:$W, 13, FALSE),"No Reach Code Reported")</f>
        <v>20200060402</v>
      </c>
      <c r="M114" s="107" t="str">
        <f>IFERROR(IFERROR(VLOOKUP(H114, 'Off-site Locations'!$K$3:$O$5, 5, FALSE), VLOOKUP(H114, 'Off-site Locations'!$B$3:$E$4, 4, FALSE)), "No Offsite Transfers")</f>
        <v>No Offsite Transfers</v>
      </c>
      <c r="N114" s="33">
        <f>VLOOKUP($D114, 'COU.OES Summary'!C:E, 3, FALSE)</f>
        <v>365</v>
      </c>
      <c r="O114" s="108">
        <f t="shared" si="14"/>
        <v>0</v>
      </c>
      <c r="P114" s="108">
        <f t="shared" si="15"/>
        <v>1.287317</v>
      </c>
      <c r="Q114" s="109" cm="1">
        <f t="array" ref="Q114">IFERROR(_xlfn.XLOOKUP(1,  (MAX(IF(I114 = 'Processed Non-zero DMR Data'!$K:$K,'Processed Non-zero DMR Data'!$A:$A)) = 'Processed Non-zero DMR Data'!$A:$A)*('Processed Non-zero DMR Data'!$K:$K = I114),'Processed Non-zero DMR Data'!$T:$T), "N/A- Facility Does Not Report DMRs")</f>
        <v>0.95249200000000001</v>
      </c>
      <c r="R114" s="33">
        <f t="shared" si="25"/>
        <v>2.6095671232876714E-3</v>
      </c>
      <c r="S114" s="33" cm="1">
        <f t="array" ref="S114">IF(COUNTIF('Processed Non-zero DMR Data'!$K:$K,$I114)&gt;0,MEDIAN(IF('Processed Non-zero DMR Data'!$K:$K=I114,'Processed Non-zero DMR Data'!$T:$T)),"N/A - Facility Does Not Report DMRs")</f>
        <v>0.95249200000000001</v>
      </c>
      <c r="T114" s="33">
        <f t="shared" si="26"/>
        <v>2.6095671232876714E-3</v>
      </c>
      <c r="U114" s="33">
        <f>IF(COUNTIF('Processed Non-zero DMR Data'!$K:$K,$I114)&gt;0,_xlfn.MAXIFS('Processed Non-zero DMR Data'!$T:$T,'Processed Non-zero DMR Data'!$K:$K,$I114), "N/A - Facility Does Not Report DMRs")</f>
        <v>1.287317</v>
      </c>
      <c r="V114" s="33">
        <f t="shared" si="27"/>
        <v>3.5268958904109589E-3</v>
      </c>
      <c r="W114" s="110" cm="1">
        <f t="array" ref="W114">IF(COUNTIF('Processed Non-zero DMR Data'!$K:$K,$I114)&gt;0,INDEX('Processed Non-zero DMR Data'!$A:$A,MATCH(1,($I114='Processed Non-zero DMR Data'!$K:$K)*($U114='Processed Non-zero DMR Data'!$T:$T),0)), "N/A - Facility Does Not Report DMRs")</f>
        <v>2022</v>
      </c>
      <c r="X114" s="109" cm="1">
        <f t="array" ref="X114">IFERROR(_xlfn.XLOOKUP(1,  (MAX(IF(H114 = 'Processed Non-zero TRI Data'!$I:$I,'Processed Non-zero TRI Data'!$A:$A)) = 'Processed Non-zero TRI Data'!$A:$A)*('Processed Non-zero TRI Data'!$I:$I = H114), 'Processed Non-zero TRI Data'!$S:$S), "N/A- Facility Does Not Report to TRI")</f>
        <v>0</v>
      </c>
      <c r="Y114" s="33">
        <f t="shared" si="16"/>
        <v>0</v>
      </c>
      <c r="Z114" s="33" t="str" cm="1">
        <f t="array" ref="Z114">IF(COUNTIF('Processed Non-zero TRI Data'!$I:$I,$H114)&gt;0,MEDIAN(IF('Processed Non-zero TRI Data'!$I:$I=H114,'Processed Non-zero TRI Data'!$S:$S)), "N/A - Facility Does Not Report to TRI")</f>
        <v>N/A - Facility Does Not Report to TRI</v>
      </c>
      <c r="AA114" s="33" t="str">
        <f t="shared" si="17"/>
        <v>N/A - Facility Does Not Report to TRI</v>
      </c>
      <c r="AB114" s="33" t="str">
        <f>IF(COUNTIF('Processed Non-zero TRI Data'!$I:$I,$H114)&gt;0,_xlfn.MAXIFS('Processed Non-zero TRI Data'!$S:$S,'Processed Non-zero TRI Data'!$I:$I,$H114), "N/A - Facility Does Not Report to TRI")</f>
        <v>N/A - Facility Does Not Report to TRI</v>
      </c>
      <c r="AC114" s="33" t="str">
        <f t="shared" si="18"/>
        <v>N/A - Facility Does Not Report to TRI</v>
      </c>
      <c r="AD114" s="110" t="str" cm="1">
        <f t="array" ref="AD114">IFERROR(IF(B114 = "TRI Form R", IF(AB114 = 0, "Facility has no on-site water discharges between 2019-2023.",  IF(COUNTIF('Processed Non-zero TRI Data'!$I:$I,$H114)&gt;0,INDEX('Processed Non-zero TRI Data'!$A:$A,MATCH(1,($H114='Processed Non-zero TRI Data'!$I:$I)*(AB114='Processed Non-zero TRI Data'!$S:$S),0)))), VLOOKUP(H114, 'Form A Recent Reporting'!$L:$M, 2, FALSE)), ("N/A - Facility Does Not Report to TRI"))</f>
        <v>N/A - Facility Does Not Report to TRI</v>
      </c>
      <c r="AE114" s="109" cm="1">
        <f t="array" ref="AE114">IFERROR(_xlfn.XLOOKUP(1,  (MAX(IF(H114 = 'Processed Non-zero TRI Data'!$I:$I,'Processed Non-zero TRI Data'!$A:$A)) = 'Processed Non-zero TRI Data'!$A:$A)*('Processed Non-zero TRI Data'!$I:$I = H114), 'Processed Non-zero TRI Data'!$U:$U), "N/A- Facility Does Not Report to TRI")</f>
        <v>0</v>
      </c>
      <c r="AF114" s="33">
        <f t="shared" si="19"/>
        <v>0</v>
      </c>
      <c r="AG114" s="33" t="str" cm="1">
        <f t="array" ref="AG114">IF(COUNTIF('Processed Non-zero TRI Data'!$I:$I,$H114)&gt;0,MEDIAN(IF('Processed Non-zero TRI Data'!$I:$I=H114,'Processed Non-zero TRI Data'!$U:$U)), "N/A - Facility Does Not Report to TRI")</f>
        <v>N/A - Facility Does Not Report to TRI</v>
      </c>
      <c r="AH114" s="33" t="str">
        <f t="shared" si="20"/>
        <v>N/A - Facility Does Not Report to TRI</v>
      </c>
      <c r="AI114" s="33" t="str">
        <f>IF(COUNTIF('Processed Non-zero TRI Data'!$I:$I,$H114)&gt;0,_xlfn.MAXIFS('Processed Non-zero TRI Data'!$U:$U,'Processed Non-zero TRI Data'!$I:$I,$H114), "N/A - Facility Does Not Report to TRI")</f>
        <v>N/A - Facility Does Not Report to TRI</v>
      </c>
      <c r="AJ114" s="33" t="str">
        <f t="shared" si="21"/>
        <v>N/A - Facility Does Not Report to TRI</v>
      </c>
      <c r="AK114" s="110" t="str" cm="1">
        <f t="array" ref="AK114">IF(B114="TRI Form A",AD114,IF(AI114=0,"Facility has no transfers to POTWs between 2019-2023.",IF(COUNTIF('Processed Non-zero TRI Data'!$I:$I,$H114)&gt;0,INDEX('Processed Non-zero TRI Data'!$A:$A,MATCH(1,($H114='Processed Non-zero TRI Data'!$I:$I)*(AI114='Processed Non-zero TRI Data'!$U:$U),0)),"N/A - Facility Does Not Report to TRI")))</f>
        <v>N/A - Facility Does Not Report to TRI</v>
      </c>
      <c r="AL114" s="109" cm="1">
        <f t="array" ref="AL114">IFERROR(_xlfn.XLOOKUP(1,  (MAX(IF(H114 = 'Processed Non-zero TRI Data'!$I$2:$I$23,'Processed Non-zero TRI Data'!$A$2:$A$23)) = 'Processed Non-zero TRI Data'!$A$2:$A$23)*('Processed Non-zero TRI Data'!$I$2:$I$23 = H114), 'Processed Non-zero TRI Data'!$W$2:$W$23), "N/A- Facility Does Not Report to TRI")</f>
        <v>0</v>
      </c>
      <c r="AM114" s="33">
        <f t="shared" si="22"/>
        <v>0</v>
      </c>
      <c r="AN114" s="33" t="str" cm="1">
        <f t="array" ref="AN114">IF(COUNTIF('Processed Non-zero TRI Data'!$I:$I,$H114)&gt;0,MEDIAN(IF('Processed Non-zero TRI Data'!$I:$I=H114,'Processed Non-zero TRI Data'!$W:$W)), "N/A - Facility Does Not Report to TRI")</f>
        <v>N/A - Facility Does Not Report to TRI</v>
      </c>
      <c r="AO114" s="33" t="str">
        <f t="shared" si="23"/>
        <v>N/A - Facility Does Not Report to TRI</v>
      </c>
      <c r="AP114" s="33" t="str">
        <f>IF(COUNTIF('Processed Non-zero TRI Data'!$I:$I,$H114)&gt;0,_xlfn.MAXIFS('Processed Non-zero TRI Data'!$W:$W,'Processed Non-zero TRI Data'!$I:$I,$H114), "N/A - Facility Does Not Report to TRI")</f>
        <v>N/A - Facility Does Not Report to TRI</v>
      </c>
      <c r="AQ114" s="33" t="str">
        <f t="shared" si="24"/>
        <v>N/A - Facility Does Not Report to TRI</v>
      </c>
      <c r="AR114" s="110" t="str" cm="1">
        <f t="array" ref="AR114">IF(B114="TRI Form A",AD114,IF(AP114=0,"Facility has no transfers to non-POTWs between 2019-2023.",IF(COUNTIF('Processed Non-zero TRI Data'!$I:$I,$H114)&gt;0,INDEX('Processed Non-zero TRI Data'!$A:$A,MATCH(1,($H114='Processed Non-zero TRI Data'!$I:$I)*(AP114='Processed Non-zero TRI Data'!$W:$W),0)),"N/A - Facility Does Not Report to TRI")))</f>
        <v>N/A - Facility Does Not Report to TRI</v>
      </c>
    </row>
    <row r="115" spans="1:44" ht="29" x14ac:dyDescent="0.35">
      <c r="A115" s="34">
        <v>112</v>
      </c>
      <c r="B115" s="33" t="str">
        <f>IFERROR("TRI Form "&amp;VLOOKUP(H115,'Processed Non-zero TRI Data'!$I$2:$K$23,3,FALSE),"DMR")</f>
        <v>DMR</v>
      </c>
      <c r="C115" s="33" t="str">
        <f>VLOOKUP($D115, 'COU.OES Summary'!C:D, 2, FALSE)</f>
        <v> </v>
      </c>
      <c r="D115" s="33" t="str">
        <f>IFERROR(VLOOKUP($H115, 'Processed Non-zero TRI Data'!$I:$O, 7, FALSE), VLOOKUP($I115, 'Processed Non-zero DMR Data'!$K:$R, 8, FALSE))</f>
        <v>Waste handling, treatment, and disposal - Remediation or Monitoring</v>
      </c>
      <c r="E115" s="34" t="s">
        <v>317</v>
      </c>
      <c r="F115" s="34" t="s">
        <v>90</v>
      </c>
      <c r="G115" s="34" t="s">
        <v>91</v>
      </c>
      <c r="H115" s="34"/>
      <c r="I115" s="105">
        <v>110000597266</v>
      </c>
      <c r="J115" s="33" t="str">
        <f>IFERROR(VLOOKUP($I115, 'Processed Non-zero DMR Data'!$K:$U, 11, FALSE),"")</f>
        <v>LA0003689</v>
      </c>
      <c r="K115" s="33" t="str">
        <f>IFERROR(VLOOKUP($I115, 'Processed Non-zero DMR Data'!$K:$V, 12, FALSE),"Not Reported")</f>
        <v>Maple Fork-Bayou D'Inde</v>
      </c>
      <c r="L115" s="106">
        <f>IFERROR(VLOOKUP($I115, 'Processed Non-zero DMR Data'!$K:$W, 13, FALSE),"No Reach Code Reported")</f>
        <v>80802060301</v>
      </c>
      <c r="M115" s="107" t="str">
        <f>IFERROR(IFERROR(VLOOKUP(H115, 'Off-site Locations'!$K$3:$O$5, 5, FALSE), VLOOKUP(H115, 'Off-site Locations'!$B$3:$E$4, 4, FALSE)), "No Offsite Transfers")</f>
        <v>No Offsite Transfers</v>
      </c>
      <c r="N115" s="33">
        <f>VLOOKUP($D115, 'COU.OES Summary'!C:E, 3, FALSE)</f>
        <v>365</v>
      </c>
      <c r="O115" s="108">
        <f t="shared" si="14"/>
        <v>0</v>
      </c>
      <c r="P115" s="108">
        <f t="shared" si="15"/>
        <v>0.82855000000000001</v>
      </c>
      <c r="Q115" s="109" cm="1">
        <f t="array" ref="Q115">IFERROR(_xlfn.XLOOKUP(1,  (MAX(IF(I115 = 'Processed Non-zero DMR Data'!$K:$K,'Processed Non-zero DMR Data'!$A:$A)) = 'Processed Non-zero DMR Data'!$A:$A)*('Processed Non-zero DMR Data'!$K:$K = I115),'Processed Non-zero DMR Data'!$T:$T), "N/A- Facility Does Not Report DMRs")</f>
        <v>0.82855000000000001</v>
      </c>
      <c r="R115" s="33">
        <f t="shared" si="25"/>
        <v>2.2699999999999999E-3</v>
      </c>
      <c r="S115" s="33" cm="1">
        <f t="array" ref="S115">IF(COUNTIF('Processed Non-zero DMR Data'!$K:$K,$I115)&gt;0,MEDIAN(IF('Processed Non-zero DMR Data'!$K:$K=I115,'Processed Non-zero DMR Data'!$T:$T)),"N/A - Facility Does Not Report DMRs")</f>
        <v>0.414275</v>
      </c>
      <c r="T115" s="33">
        <f t="shared" si="26"/>
        <v>1.1349999999999999E-3</v>
      </c>
      <c r="U115" s="33">
        <f>IF(COUNTIF('Processed Non-zero DMR Data'!$K:$K,$I115)&gt;0,_xlfn.MAXIFS('Processed Non-zero DMR Data'!$T:$T,'Processed Non-zero DMR Data'!$K:$K,$I115), "N/A - Facility Does Not Report DMRs")</f>
        <v>0.82855000000000001</v>
      </c>
      <c r="V115" s="33">
        <f t="shared" si="27"/>
        <v>2.2699999999999999E-3</v>
      </c>
      <c r="W115" s="110" cm="1">
        <f t="array" ref="W115">IF(COUNTIF('Processed Non-zero DMR Data'!$K:$K,$I115)&gt;0,INDEX('Processed Non-zero DMR Data'!$A:$A,MATCH(1,($I115='Processed Non-zero DMR Data'!$K:$K)*($U115='Processed Non-zero DMR Data'!$T:$T),0)), "N/A - Facility Does Not Report DMRs")</f>
        <v>2021</v>
      </c>
      <c r="X115" s="109" cm="1">
        <f t="array" ref="X115">IFERROR(_xlfn.XLOOKUP(1,  (MAX(IF(H115 = 'Processed Non-zero TRI Data'!$I:$I,'Processed Non-zero TRI Data'!$A:$A)) = 'Processed Non-zero TRI Data'!$A:$A)*('Processed Non-zero TRI Data'!$I:$I = H115), 'Processed Non-zero TRI Data'!$S:$S), "N/A- Facility Does Not Report to TRI")</f>
        <v>0</v>
      </c>
      <c r="Y115" s="33">
        <f t="shared" si="16"/>
        <v>0</v>
      </c>
      <c r="Z115" s="33" t="str" cm="1">
        <f t="array" ref="Z115">IF(COUNTIF('Processed Non-zero TRI Data'!$I:$I,$H115)&gt;0,MEDIAN(IF('Processed Non-zero TRI Data'!$I:$I=H115,'Processed Non-zero TRI Data'!$S:$S)), "N/A - Facility Does Not Report to TRI")</f>
        <v>N/A - Facility Does Not Report to TRI</v>
      </c>
      <c r="AA115" s="33" t="str">
        <f t="shared" si="17"/>
        <v>N/A - Facility Does Not Report to TRI</v>
      </c>
      <c r="AB115" s="33" t="str">
        <f>IF(COUNTIF('Processed Non-zero TRI Data'!$I:$I,$H115)&gt;0,_xlfn.MAXIFS('Processed Non-zero TRI Data'!$S:$S,'Processed Non-zero TRI Data'!$I:$I,$H115), "N/A - Facility Does Not Report to TRI")</f>
        <v>N/A - Facility Does Not Report to TRI</v>
      </c>
      <c r="AC115" s="33" t="str">
        <f t="shared" si="18"/>
        <v>N/A - Facility Does Not Report to TRI</v>
      </c>
      <c r="AD115" s="110" t="str" cm="1">
        <f t="array" ref="AD115">IFERROR(IF(B115 = "TRI Form R", IF(AB115 = 0, "Facility has no on-site water discharges between 2019-2023.",  IF(COUNTIF('Processed Non-zero TRI Data'!$I:$I,$H115)&gt;0,INDEX('Processed Non-zero TRI Data'!$A:$A,MATCH(1,($H115='Processed Non-zero TRI Data'!$I:$I)*(AB115='Processed Non-zero TRI Data'!$S:$S),0)))), VLOOKUP(H115, 'Form A Recent Reporting'!$L:$M, 2, FALSE)), ("N/A - Facility Does Not Report to TRI"))</f>
        <v>N/A - Facility Does Not Report to TRI</v>
      </c>
      <c r="AE115" s="109" cm="1">
        <f t="array" ref="AE115">IFERROR(_xlfn.XLOOKUP(1,  (MAX(IF(H115 = 'Processed Non-zero TRI Data'!$I:$I,'Processed Non-zero TRI Data'!$A:$A)) = 'Processed Non-zero TRI Data'!$A:$A)*('Processed Non-zero TRI Data'!$I:$I = H115), 'Processed Non-zero TRI Data'!$U:$U), "N/A- Facility Does Not Report to TRI")</f>
        <v>0</v>
      </c>
      <c r="AF115" s="33">
        <f t="shared" si="19"/>
        <v>0</v>
      </c>
      <c r="AG115" s="33" t="str" cm="1">
        <f t="array" ref="AG115">IF(COUNTIF('Processed Non-zero TRI Data'!$I:$I,$H115)&gt;0,MEDIAN(IF('Processed Non-zero TRI Data'!$I:$I=H115,'Processed Non-zero TRI Data'!$U:$U)), "N/A - Facility Does Not Report to TRI")</f>
        <v>N/A - Facility Does Not Report to TRI</v>
      </c>
      <c r="AH115" s="33" t="str">
        <f t="shared" si="20"/>
        <v>N/A - Facility Does Not Report to TRI</v>
      </c>
      <c r="AI115" s="33" t="str">
        <f>IF(COUNTIF('Processed Non-zero TRI Data'!$I:$I,$H115)&gt;0,_xlfn.MAXIFS('Processed Non-zero TRI Data'!$U:$U,'Processed Non-zero TRI Data'!$I:$I,$H115), "N/A - Facility Does Not Report to TRI")</f>
        <v>N/A - Facility Does Not Report to TRI</v>
      </c>
      <c r="AJ115" s="33" t="str">
        <f t="shared" si="21"/>
        <v>N/A - Facility Does Not Report to TRI</v>
      </c>
      <c r="AK115" s="110" t="str" cm="1">
        <f t="array" ref="AK115">IF(B115="TRI Form A",AD115,IF(AI115=0,"Facility has no transfers to POTWs between 2019-2023.",IF(COUNTIF('Processed Non-zero TRI Data'!$I:$I,$H115)&gt;0,INDEX('Processed Non-zero TRI Data'!$A:$A,MATCH(1,($H115='Processed Non-zero TRI Data'!$I:$I)*(AI115='Processed Non-zero TRI Data'!$U:$U),0)),"N/A - Facility Does Not Report to TRI")))</f>
        <v>N/A - Facility Does Not Report to TRI</v>
      </c>
      <c r="AL115" s="109" cm="1">
        <f t="array" ref="AL115">IFERROR(_xlfn.XLOOKUP(1,  (MAX(IF(H115 = 'Processed Non-zero TRI Data'!$I$2:$I$23,'Processed Non-zero TRI Data'!$A$2:$A$23)) = 'Processed Non-zero TRI Data'!$A$2:$A$23)*('Processed Non-zero TRI Data'!$I$2:$I$23 = H115), 'Processed Non-zero TRI Data'!$W$2:$W$23), "N/A- Facility Does Not Report to TRI")</f>
        <v>0</v>
      </c>
      <c r="AM115" s="33">
        <f t="shared" si="22"/>
        <v>0</v>
      </c>
      <c r="AN115" s="33" t="str" cm="1">
        <f t="array" ref="AN115">IF(COUNTIF('Processed Non-zero TRI Data'!$I:$I,$H115)&gt;0,MEDIAN(IF('Processed Non-zero TRI Data'!$I:$I=H115,'Processed Non-zero TRI Data'!$W:$W)), "N/A - Facility Does Not Report to TRI")</f>
        <v>N/A - Facility Does Not Report to TRI</v>
      </c>
      <c r="AO115" s="33" t="str">
        <f t="shared" si="23"/>
        <v>N/A - Facility Does Not Report to TRI</v>
      </c>
      <c r="AP115" s="33" t="str">
        <f>IF(COUNTIF('Processed Non-zero TRI Data'!$I:$I,$H115)&gt;0,_xlfn.MAXIFS('Processed Non-zero TRI Data'!$W:$W,'Processed Non-zero TRI Data'!$I:$I,$H115), "N/A - Facility Does Not Report to TRI")</f>
        <v>N/A - Facility Does Not Report to TRI</v>
      </c>
      <c r="AQ115" s="33" t="str">
        <f t="shared" si="24"/>
        <v>N/A - Facility Does Not Report to TRI</v>
      </c>
      <c r="AR115" s="110" t="str" cm="1">
        <f t="array" ref="AR115">IF(B115="TRI Form A",AD115,IF(AP115=0,"Facility has no transfers to non-POTWs between 2019-2023.",IF(COUNTIF('Processed Non-zero TRI Data'!$I:$I,$H115)&gt;0,INDEX('Processed Non-zero TRI Data'!$A:$A,MATCH(1,($H115='Processed Non-zero TRI Data'!$I:$I)*(AP115='Processed Non-zero TRI Data'!$W:$W),0)),"N/A - Facility Does Not Report to TRI")))</f>
        <v>N/A - Facility Does Not Report to TRI</v>
      </c>
    </row>
    <row r="116" spans="1:44" ht="29" x14ac:dyDescent="0.35">
      <c r="A116" s="34">
        <v>113</v>
      </c>
      <c r="B116" s="33" t="str">
        <f>IFERROR("TRI Form "&amp;VLOOKUP(H116,'Processed Non-zero TRI Data'!$I$2:$K$23,3,FALSE),"DMR")</f>
        <v>DMR</v>
      </c>
      <c r="C116" s="33" t="str">
        <f>VLOOKUP($D116, 'COU.OES Summary'!C:D, 2, FALSE)</f>
        <v> </v>
      </c>
      <c r="D116" s="33" t="str">
        <f>IFERROR(VLOOKUP($H116, 'Processed Non-zero TRI Data'!$I:$O, 7, FALSE), VLOOKUP($I116, 'Processed Non-zero DMR Data'!$K:$R, 8, FALSE))</f>
        <v>Waste handling, treatment, and disposal - Remediation or Monitoring</v>
      </c>
      <c r="E116" s="34" t="s">
        <v>318</v>
      </c>
      <c r="F116" s="34" t="s">
        <v>319</v>
      </c>
      <c r="G116" s="34" t="s">
        <v>91</v>
      </c>
      <c r="H116" s="34"/>
      <c r="I116" s="105">
        <v>110000597426</v>
      </c>
      <c r="J116" s="33" t="str">
        <f>IFERROR(VLOOKUP($I116, 'Processed Non-zero DMR Data'!$K:$U, 11, FALSE),"")</f>
        <v>LA0005487</v>
      </c>
      <c r="K116" s="33" t="str">
        <f>IFERROR(VLOOKUP($I116, 'Processed Non-zero DMR Data'!$K:$V, 12, FALSE),"Not Reported")</f>
        <v>Bayou Braud</v>
      </c>
      <c r="L116" s="106">
        <f>IFERROR(VLOOKUP($I116, 'Processed Non-zero DMR Data'!$K:$W, 13, FALSE),"No Reach Code Reported")</f>
        <v>80702020801</v>
      </c>
      <c r="M116" s="107" t="str">
        <f>IFERROR(IFERROR(VLOOKUP(H116, 'Off-site Locations'!$K$3:$O$5, 5, FALSE), VLOOKUP(H116, 'Off-site Locations'!$B$3:$E$4, 4, FALSE)), "No Offsite Transfers")</f>
        <v>No Offsite Transfers</v>
      </c>
      <c r="N116" s="33">
        <f>VLOOKUP($D116, 'COU.OES Summary'!C:E, 3, FALSE)</f>
        <v>365</v>
      </c>
      <c r="O116" s="108">
        <f t="shared" si="14"/>
        <v>0</v>
      </c>
      <c r="P116" s="108">
        <f t="shared" si="15"/>
        <v>0.82855000000000001</v>
      </c>
      <c r="Q116" s="109" cm="1">
        <f t="array" ref="Q116">IFERROR(_xlfn.XLOOKUP(1,  (MAX(IF(I116 = 'Processed Non-zero DMR Data'!$K:$K,'Processed Non-zero DMR Data'!$A:$A)) = 'Processed Non-zero DMR Data'!$A:$A)*('Processed Non-zero DMR Data'!$K:$K = I116),'Processed Non-zero DMR Data'!$T:$T), "N/A- Facility Does Not Report DMRs")</f>
        <v>0.82855000000000001</v>
      </c>
      <c r="R116" s="33">
        <f t="shared" si="25"/>
        <v>2.2699999999999999E-3</v>
      </c>
      <c r="S116" s="33" cm="1">
        <f t="array" ref="S116">IF(COUNTIF('Processed Non-zero DMR Data'!$K:$K,$I116)&gt;0,MEDIAN(IF('Processed Non-zero DMR Data'!$K:$K=I116,'Processed Non-zero DMR Data'!$T:$T)),"N/A - Facility Does Not Report DMRs")</f>
        <v>0.82855000000000001</v>
      </c>
      <c r="T116" s="33">
        <f t="shared" si="26"/>
        <v>2.2699999999999999E-3</v>
      </c>
      <c r="U116" s="33">
        <f>IF(COUNTIF('Processed Non-zero DMR Data'!$K:$K,$I116)&gt;0,_xlfn.MAXIFS('Processed Non-zero DMR Data'!$T:$T,'Processed Non-zero DMR Data'!$K:$K,$I116), "N/A - Facility Does Not Report DMRs")</f>
        <v>0.82855000000000001</v>
      </c>
      <c r="V116" s="33">
        <f t="shared" si="27"/>
        <v>2.2699999999999999E-3</v>
      </c>
      <c r="W116" s="110" cm="1">
        <f t="array" ref="W116">IF(COUNTIF('Processed Non-zero DMR Data'!$K:$K,$I116)&gt;0,INDEX('Processed Non-zero DMR Data'!$A:$A,MATCH(1,($I116='Processed Non-zero DMR Data'!$K:$K)*($U116='Processed Non-zero DMR Data'!$T:$T),0)), "N/A - Facility Does Not Report DMRs")</f>
        <v>2019</v>
      </c>
      <c r="X116" s="109" cm="1">
        <f t="array" ref="X116">IFERROR(_xlfn.XLOOKUP(1,  (MAX(IF(H116 = 'Processed Non-zero TRI Data'!$I:$I,'Processed Non-zero TRI Data'!$A:$A)) = 'Processed Non-zero TRI Data'!$A:$A)*('Processed Non-zero TRI Data'!$I:$I = H116), 'Processed Non-zero TRI Data'!$S:$S), "N/A- Facility Does Not Report to TRI")</f>
        <v>0</v>
      </c>
      <c r="Y116" s="33">
        <f t="shared" si="16"/>
        <v>0</v>
      </c>
      <c r="Z116" s="33" t="str" cm="1">
        <f t="array" ref="Z116">IF(COUNTIF('Processed Non-zero TRI Data'!$I:$I,$H116)&gt;0,MEDIAN(IF('Processed Non-zero TRI Data'!$I:$I=H116,'Processed Non-zero TRI Data'!$S:$S)), "N/A - Facility Does Not Report to TRI")</f>
        <v>N/A - Facility Does Not Report to TRI</v>
      </c>
      <c r="AA116" s="33" t="str">
        <f t="shared" si="17"/>
        <v>N/A - Facility Does Not Report to TRI</v>
      </c>
      <c r="AB116" s="33" t="str">
        <f>IF(COUNTIF('Processed Non-zero TRI Data'!$I:$I,$H116)&gt;0,_xlfn.MAXIFS('Processed Non-zero TRI Data'!$S:$S,'Processed Non-zero TRI Data'!$I:$I,$H116), "N/A - Facility Does Not Report to TRI")</f>
        <v>N/A - Facility Does Not Report to TRI</v>
      </c>
      <c r="AC116" s="33" t="str">
        <f t="shared" si="18"/>
        <v>N/A - Facility Does Not Report to TRI</v>
      </c>
      <c r="AD116" s="110" t="str" cm="1">
        <f t="array" ref="AD116">IFERROR(IF(B116 = "TRI Form R", IF(AB116 = 0, "Facility has no on-site water discharges between 2019-2023.",  IF(COUNTIF('Processed Non-zero TRI Data'!$I:$I,$H116)&gt;0,INDEX('Processed Non-zero TRI Data'!$A:$A,MATCH(1,($H116='Processed Non-zero TRI Data'!$I:$I)*(AB116='Processed Non-zero TRI Data'!$S:$S),0)))), VLOOKUP(H116, 'Form A Recent Reporting'!$L:$M, 2, FALSE)), ("N/A - Facility Does Not Report to TRI"))</f>
        <v>N/A - Facility Does Not Report to TRI</v>
      </c>
      <c r="AE116" s="109" cm="1">
        <f t="array" ref="AE116">IFERROR(_xlfn.XLOOKUP(1,  (MAX(IF(H116 = 'Processed Non-zero TRI Data'!$I:$I,'Processed Non-zero TRI Data'!$A:$A)) = 'Processed Non-zero TRI Data'!$A:$A)*('Processed Non-zero TRI Data'!$I:$I = H116), 'Processed Non-zero TRI Data'!$U:$U), "N/A- Facility Does Not Report to TRI")</f>
        <v>0</v>
      </c>
      <c r="AF116" s="33">
        <f t="shared" si="19"/>
        <v>0</v>
      </c>
      <c r="AG116" s="33" t="str" cm="1">
        <f t="array" ref="AG116">IF(COUNTIF('Processed Non-zero TRI Data'!$I:$I,$H116)&gt;0,MEDIAN(IF('Processed Non-zero TRI Data'!$I:$I=H116,'Processed Non-zero TRI Data'!$U:$U)), "N/A - Facility Does Not Report to TRI")</f>
        <v>N/A - Facility Does Not Report to TRI</v>
      </c>
      <c r="AH116" s="33" t="str">
        <f t="shared" si="20"/>
        <v>N/A - Facility Does Not Report to TRI</v>
      </c>
      <c r="AI116" s="33" t="str">
        <f>IF(COUNTIF('Processed Non-zero TRI Data'!$I:$I,$H116)&gt;0,_xlfn.MAXIFS('Processed Non-zero TRI Data'!$U:$U,'Processed Non-zero TRI Data'!$I:$I,$H116), "N/A - Facility Does Not Report to TRI")</f>
        <v>N/A - Facility Does Not Report to TRI</v>
      </c>
      <c r="AJ116" s="33" t="str">
        <f t="shared" si="21"/>
        <v>N/A - Facility Does Not Report to TRI</v>
      </c>
      <c r="AK116" s="110" t="str" cm="1">
        <f t="array" ref="AK116">IF(B116="TRI Form A",AD116,IF(AI116=0,"Facility has no transfers to POTWs between 2019-2023.",IF(COUNTIF('Processed Non-zero TRI Data'!$I:$I,$H116)&gt;0,INDEX('Processed Non-zero TRI Data'!$A:$A,MATCH(1,($H116='Processed Non-zero TRI Data'!$I:$I)*(AI116='Processed Non-zero TRI Data'!$U:$U),0)),"N/A - Facility Does Not Report to TRI")))</f>
        <v>N/A - Facility Does Not Report to TRI</v>
      </c>
      <c r="AL116" s="109" cm="1">
        <f t="array" ref="AL116">IFERROR(_xlfn.XLOOKUP(1,  (MAX(IF(H116 = 'Processed Non-zero TRI Data'!$I$2:$I$23,'Processed Non-zero TRI Data'!$A$2:$A$23)) = 'Processed Non-zero TRI Data'!$A$2:$A$23)*('Processed Non-zero TRI Data'!$I$2:$I$23 = H116), 'Processed Non-zero TRI Data'!$W$2:$W$23), "N/A- Facility Does Not Report to TRI")</f>
        <v>0</v>
      </c>
      <c r="AM116" s="33">
        <f t="shared" si="22"/>
        <v>0</v>
      </c>
      <c r="AN116" s="33" t="str" cm="1">
        <f t="array" ref="AN116">IF(COUNTIF('Processed Non-zero TRI Data'!$I:$I,$H116)&gt;0,MEDIAN(IF('Processed Non-zero TRI Data'!$I:$I=H116,'Processed Non-zero TRI Data'!$W:$W)), "N/A - Facility Does Not Report to TRI")</f>
        <v>N/A - Facility Does Not Report to TRI</v>
      </c>
      <c r="AO116" s="33" t="str">
        <f t="shared" si="23"/>
        <v>N/A - Facility Does Not Report to TRI</v>
      </c>
      <c r="AP116" s="33" t="str">
        <f>IF(COUNTIF('Processed Non-zero TRI Data'!$I:$I,$H116)&gt;0,_xlfn.MAXIFS('Processed Non-zero TRI Data'!$W:$W,'Processed Non-zero TRI Data'!$I:$I,$H116), "N/A - Facility Does Not Report to TRI")</f>
        <v>N/A - Facility Does Not Report to TRI</v>
      </c>
      <c r="AQ116" s="33" t="str">
        <f t="shared" si="24"/>
        <v>N/A - Facility Does Not Report to TRI</v>
      </c>
      <c r="AR116" s="110" t="str" cm="1">
        <f t="array" ref="AR116">IF(B116="TRI Form A",AD116,IF(AP116=0,"Facility has no transfers to non-POTWs between 2019-2023.",IF(COUNTIF('Processed Non-zero TRI Data'!$I:$I,$H116)&gt;0,INDEX('Processed Non-zero TRI Data'!$A:$A,MATCH(1,($H116='Processed Non-zero TRI Data'!$I:$I)*(AP116='Processed Non-zero TRI Data'!$W:$W),0)),"N/A - Facility Does Not Report to TRI")))</f>
        <v>N/A - Facility Does Not Report to TRI</v>
      </c>
    </row>
    <row r="117" spans="1:44" ht="29" x14ac:dyDescent="0.35">
      <c r="A117" s="34">
        <v>114</v>
      </c>
      <c r="B117" s="33" t="str">
        <f>IFERROR("TRI Form "&amp;VLOOKUP(H117,'Processed Non-zero TRI Data'!$I$2:$K$23,3,FALSE),"DMR")</f>
        <v>DMR</v>
      </c>
      <c r="C117" s="33" t="str">
        <f>VLOOKUP($D117, 'COU.OES Summary'!C:D, 2, FALSE)</f>
        <v> </v>
      </c>
      <c r="D117" s="33" t="str">
        <f>IFERROR(VLOOKUP($H117, 'Processed Non-zero TRI Data'!$I:$O, 7, FALSE), VLOOKUP($I117, 'Processed Non-zero DMR Data'!$K:$R, 8, FALSE))</f>
        <v>Waste handling, treatment, and disposal - POTW</v>
      </c>
      <c r="E117" s="34" t="s">
        <v>320</v>
      </c>
      <c r="F117" s="34" t="s">
        <v>321</v>
      </c>
      <c r="G117" s="34" t="s">
        <v>108</v>
      </c>
      <c r="H117" s="34"/>
      <c r="I117" s="105">
        <v>110006367136</v>
      </c>
      <c r="J117" s="33" t="str">
        <f>IFERROR(VLOOKUP($I117, 'Processed Non-zero DMR Data'!$K:$U, 11, FALSE),"")</f>
        <v>KY0025810</v>
      </c>
      <c r="K117" s="33" t="str">
        <f>IFERROR(VLOOKUP($I117, 'Processed Non-zero DMR Data'!$K:$V, 12, FALSE),"Not Reported")</f>
        <v>White Oak Creek-Tennessee River</v>
      </c>
      <c r="L117" s="106">
        <f>IFERROR(VLOOKUP($I117, 'Processed Non-zero DMR Data'!$K:$W, 13, FALSE),"No Reach Code Reported")</f>
        <v>60400060505</v>
      </c>
      <c r="M117" s="107" t="str">
        <f>IFERROR(IFERROR(VLOOKUP(H117, 'Off-site Locations'!$K$3:$O$5, 5, FALSE), VLOOKUP(H117, 'Off-site Locations'!$B$3:$E$4, 4, FALSE)), "No Offsite Transfers")</f>
        <v>No Offsite Transfers</v>
      </c>
      <c r="N117" s="33">
        <f>VLOOKUP($D117, 'COU.OES Summary'!C:E, 3, FALSE)</f>
        <v>365</v>
      </c>
      <c r="O117" s="108">
        <f t="shared" si="14"/>
        <v>0</v>
      </c>
      <c r="P117" s="108">
        <f t="shared" si="15"/>
        <v>0.8178628</v>
      </c>
      <c r="Q117" s="109" cm="1">
        <f t="array" ref="Q117">IFERROR(_xlfn.XLOOKUP(1,  (MAX(IF(I117 = 'Processed Non-zero DMR Data'!$K:$K,'Processed Non-zero DMR Data'!$A:$A)) = 'Processed Non-zero DMR Data'!$A:$A)*('Processed Non-zero DMR Data'!$K:$K = I117),'Processed Non-zero DMR Data'!$T:$T), "N/A- Facility Does Not Report DMRs")</f>
        <v>0.8178628</v>
      </c>
      <c r="R117" s="33">
        <f t="shared" si="25"/>
        <v>2.2407199999999999E-3</v>
      </c>
      <c r="S117" s="33" cm="1">
        <f t="array" ref="S117">IF(COUNTIF('Processed Non-zero DMR Data'!$K:$K,$I117)&gt;0,MEDIAN(IF('Processed Non-zero DMR Data'!$K:$K=I117,'Processed Non-zero DMR Data'!$T:$T)),"N/A - Facility Does Not Report DMRs")</f>
        <v>0.73013596250000001</v>
      </c>
      <c r="T117" s="33">
        <f t="shared" si="26"/>
        <v>2.0003725E-3</v>
      </c>
      <c r="U117" s="33">
        <f>IF(COUNTIF('Processed Non-zero DMR Data'!$K:$K,$I117)&gt;0,_xlfn.MAXIFS('Processed Non-zero DMR Data'!$T:$T,'Processed Non-zero DMR Data'!$K:$K,$I117), "N/A - Facility Does Not Report DMRs")</f>
        <v>0.8178628</v>
      </c>
      <c r="V117" s="33">
        <f t="shared" si="27"/>
        <v>2.2407199999999999E-3</v>
      </c>
      <c r="W117" s="110" cm="1">
        <f t="array" ref="W117">IF(COUNTIF('Processed Non-zero DMR Data'!$K:$K,$I117)&gt;0,INDEX('Processed Non-zero DMR Data'!$A:$A,MATCH(1,($I117='Processed Non-zero DMR Data'!$K:$K)*($U117='Processed Non-zero DMR Data'!$T:$T),0)), "N/A - Facility Does Not Report DMRs")</f>
        <v>2023</v>
      </c>
      <c r="X117" s="109" cm="1">
        <f t="array" ref="X117">IFERROR(_xlfn.XLOOKUP(1,  (MAX(IF(H117 = 'Processed Non-zero TRI Data'!$I:$I,'Processed Non-zero TRI Data'!$A:$A)) = 'Processed Non-zero TRI Data'!$A:$A)*('Processed Non-zero TRI Data'!$I:$I = H117), 'Processed Non-zero TRI Data'!$S:$S), "N/A- Facility Does Not Report to TRI")</f>
        <v>0</v>
      </c>
      <c r="Y117" s="33">
        <f t="shared" si="16"/>
        <v>0</v>
      </c>
      <c r="Z117" s="33" t="str" cm="1">
        <f t="array" ref="Z117">IF(COUNTIF('Processed Non-zero TRI Data'!$I:$I,$H117)&gt;0,MEDIAN(IF('Processed Non-zero TRI Data'!$I:$I=H117,'Processed Non-zero TRI Data'!$S:$S)), "N/A - Facility Does Not Report to TRI")</f>
        <v>N/A - Facility Does Not Report to TRI</v>
      </c>
      <c r="AA117" s="33" t="str">
        <f t="shared" si="17"/>
        <v>N/A - Facility Does Not Report to TRI</v>
      </c>
      <c r="AB117" s="33" t="str">
        <f>IF(COUNTIF('Processed Non-zero TRI Data'!$I:$I,$H117)&gt;0,_xlfn.MAXIFS('Processed Non-zero TRI Data'!$S:$S,'Processed Non-zero TRI Data'!$I:$I,$H117), "N/A - Facility Does Not Report to TRI")</f>
        <v>N/A - Facility Does Not Report to TRI</v>
      </c>
      <c r="AC117" s="33" t="str">
        <f t="shared" si="18"/>
        <v>N/A - Facility Does Not Report to TRI</v>
      </c>
      <c r="AD117" s="110" t="str" cm="1">
        <f t="array" ref="AD117">IFERROR(IF(B117 = "TRI Form R", IF(AB117 = 0, "Facility has no on-site water discharges between 2019-2023.",  IF(COUNTIF('Processed Non-zero TRI Data'!$I:$I,$H117)&gt;0,INDEX('Processed Non-zero TRI Data'!$A:$A,MATCH(1,($H117='Processed Non-zero TRI Data'!$I:$I)*(AB117='Processed Non-zero TRI Data'!$S:$S),0)))), VLOOKUP(H117, 'Form A Recent Reporting'!$L:$M, 2, FALSE)), ("N/A - Facility Does Not Report to TRI"))</f>
        <v>N/A - Facility Does Not Report to TRI</v>
      </c>
      <c r="AE117" s="109" cm="1">
        <f t="array" ref="AE117">IFERROR(_xlfn.XLOOKUP(1,  (MAX(IF(H117 = 'Processed Non-zero TRI Data'!$I:$I,'Processed Non-zero TRI Data'!$A:$A)) = 'Processed Non-zero TRI Data'!$A:$A)*('Processed Non-zero TRI Data'!$I:$I = H117), 'Processed Non-zero TRI Data'!$U:$U), "N/A- Facility Does Not Report to TRI")</f>
        <v>0</v>
      </c>
      <c r="AF117" s="33">
        <f t="shared" si="19"/>
        <v>0</v>
      </c>
      <c r="AG117" s="33" t="str" cm="1">
        <f t="array" ref="AG117">IF(COUNTIF('Processed Non-zero TRI Data'!$I:$I,$H117)&gt;0,MEDIAN(IF('Processed Non-zero TRI Data'!$I:$I=H117,'Processed Non-zero TRI Data'!$U:$U)), "N/A - Facility Does Not Report to TRI")</f>
        <v>N/A - Facility Does Not Report to TRI</v>
      </c>
      <c r="AH117" s="33" t="str">
        <f t="shared" si="20"/>
        <v>N/A - Facility Does Not Report to TRI</v>
      </c>
      <c r="AI117" s="33" t="str">
        <f>IF(COUNTIF('Processed Non-zero TRI Data'!$I:$I,$H117)&gt;0,_xlfn.MAXIFS('Processed Non-zero TRI Data'!$U:$U,'Processed Non-zero TRI Data'!$I:$I,$H117), "N/A - Facility Does Not Report to TRI")</f>
        <v>N/A - Facility Does Not Report to TRI</v>
      </c>
      <c r="AJ117" s="33" t="str">
        <f t="shared" si="21"/>
        <v>N/A - Facility Does Not Report to TRI</v>
      </c>
      <c r="AK117" s="110" t="str" cm="1">
        <f t="array" ref="AK117">IF(B117="TRI Form A",AD117,IF(AI117=0,"Facility has no transfers to POTWs between 2019-2023.",IF(COUNTIF('Processed Non-zero TRI Data'!$I:$I,$H117)&gt;0,INDEX('Processed Non-zero TRI Data'!$A:$A,MATCH(1,($H117='Processed Non-zero TRI Data'!$I:$I)*(AI117='Processed Non-zero TRI Data'!$U:$U),0)),"N/A - Facility Does Not Report to TRI")))</f>
        <v>N/A - Facility Does Not Report to TRI</v>
      </c>
      <c r="AL117" s="109" cm="1">
        <f t="array" ref="AL117">IFERROR(_xlfn.XLOOKUP(1,  (MAX(IF(H117 = 'Processed Non-zero TRI Data'!$I$2:$I$23,'Processed Non-zero TRI Data'!$A$2:$A$23)) = 'Processed Non-zero TRI Data'!$A$2:$A$23)*('Processed Non-zero TRI Data'!$I$2:$I$23 = H117), 'Processed Non-zero TRI Data'!$W$2:$W$23), "N/A- Facility Does Not Report to TRI")</f>
        <v>0</v>
      </c>
      <c r="AM117" s="33">
        <f t="shared" si="22"/>
        <v>0</v>
      </c>
      <c r="AN117" s="33" t="str" cm="1">
        <f t="array" ref="AN117">IF(COUNTIF('Processed Non-zero TRI Data'!$I:$I,$H117)&gt;0,MEDIAN(IF('Processed Non-zero TRI Data'!$I:$I=H117,'Processed Non-zero TRI Data'!$W:$W)), "N/A - Facility Does Not Report to TRI")</f>
        <v>N/A - Facility Does Not Report to TRI</v>
      </c>
      <c r="AO117" s="33" t="str">
        <f t="shared" si="23"/>
        <v>N/A - Facility Does Not Report to TRI</v>
      </c>
      <c r="AP117" s="33" t="str">
        <f>IF(COUNTIF('Processed Non-zero TRI Data'!$I:$I,$H117)&gt;0,_xlfn.MAXIFS('Processed Non-zero TRI Data'!$W:$W,'Processed Non-zero TRI Data'!$I:$I,$H117), "N/A - Facility Does Not Report to TRI")</f>
        <v>N/A - Facility Does Not Report to TRI</v>
      </c>
      <c r="AQ117" s="33" t="str">
        <f t="shared" si="24"/>
        <v>N/A - Facility Does Not Report to TRI</v>
      </c>
      <c r="AR117" s="110" t="str" cm="1">
        <f t="array" ref="AR117">IF(B117="TRI Form A",AD117,IF(AP117=0,"Facility has no transfers to non-POTWs between 2019-2023.",IF(COUNTIF('Processed Non-zero TRI Data'!$I:$I,$H117)&gt;0,INDEX('Processed Non-zero TRI Data'!$A:$A,MATCH(1,($H117='Processed Non-zero TRI Data'!$I:$I)*(AP117='Processed Non-zero TRI Data'!$W:$W),0)),"N/A - Facility Does Not Report to TRI")))</f>
        <v>N/A - Facility Does Not Report to TRI</v>
      </c>
    </row>
    <row r="118" spans="1:44" ht="29" x14ac:dyDescent="0.35">
      <c r="A118" s="34">
        <v>115</v>
      </c>
      <c r="B118" s="33" t="str">
        <f>IFERROR("TRI Form "&amp;VLOOKUP(H118,'Processed Non-zero TRI Data'!$I$2:$K$23,3,FALSE),"DMR")</f>
        <v>DMR</v>
      </c>
      <c r="C118" s="33" t="str">
        <f>VLOOKUP($D118, 'COU.OES Summary'!C:D, 2, FALSE)</f>
        <v> </v>
      </c>
      <c r="D118" s="33" t="str">
        <f>IFERROR(VLOOKUP($H118, 'Processed Non-zero TRI Data'!$I:$O, 7, FALSE), VLOOKUP($I118, 'Processed Non-zero DMR Data'!$K:$R, 8, FALSE))</f>
        <v>Waste handling, treatment, and disposal - POTW</v>
      </c>
      <c r="E118" s="34" t="s">
        <v>322</v>
      </c>
      <c r="F118" s="34" t="s">
        <v>323</v>
      </c>
      <c r="G118" s="34" t="s">
        <v>273</v>
      </c>
      <c r="H118" s="34"/>
      <c r="I118" s="105">
        <v>110024409362</v>
      </c>
      <c r="J118" s="33" t="str">
        <f>IFERROR(VLOOKUP($I118, 'Processed Non-zero DMR Data'!$K:$U, 11, FALSE),"")</f>
        <v>NN0020621</v>
      </c>
      <c r="K118" s="33" t="str">
        <f>IFERROR(VLOOKUP($I118, 'Processed Non-zero DMR Data'!$K:$V, 12, FALSE),"Not Reported")</f>
        <v>Rattlesnake Wash-San Juan River</v>
      </c>
      <c r="L118" s="106">
        <f>IFERROR(VLOOKUP($I118, 'Processed Non-zero DMR Data'!$K:$W, 13, FALSE),"No Reach Code Reported")</f>
        <v>140801050704</v>
      </c>
      <c r="M118" s="107" t="str">
        <f>IFERROR(IFERROR(VLOOKUP(H118, 'Off-site Locations'!$K$3:$O$5, 5, FALSE), VLOOKUP(H118, 'Off-site Locations'!$B$3:$E$4, 4, FALSE)), "No Offsite Transfers")</f>
        <v>No Offsite Transfers</v>
      </c>
      <c r="N118" s="33">
        <f>VLOOKUP($D118, 'COU.OES Summary'!C:E, 3, FALSE)</f>
        <v>365</v>
      </c>
      <c r="O118" s="108">
        <f t="shared" si="14"/>
        <v>0</v>
      </c>
      <c r="P118" s="108">
        <f t="shared" si="15"/>
        <v>0.80347979999999997</v>
      </c>
      <c r="Q118" s="109" cm="1">
        <f t="array" ref="Q118">IFERROR(_xlfn.XLOOKUP(1,  (MAX(IF(I118 = 'Processed Non-zero DMR Data'!$K:$K,'Processed Non-zero DMR Data'!$A:$A)) = 'Processed Non-zero DMR Data'!$A:$A)*('Processed Non-zero DMR Data'!$K:$K = I118),'Processed Non-zero DMR Data'!$T:$T), "N/A- Facility Does Not Report DMRs")</f>
        <v>0.80347979999999997</v>
      </c>
      <c r="R118" s="33">
        <f t="shared" si="25"/>
        <v>2.2013145205479452E-3</v>
      </c>
      <c r="S118" s="33" cm="1">
        <f t="array" ref="S118">IF(COUNTIF('Processed Non-zero DMR Data'!$K:$K,$I118)&gt;0,MEDIAN(IF('Processed Non-zero DMR Data'!$K:$K=I118,'Processed Non-zero DMR Data'!$T:$T)),"N/A - Facility Does Not Report DMRs")</f>
        <v>0.80347979999999997</v>
      </c>
      <c r="T118" s="33">
        <f t="shared" si="26"/>
        <v>2.2013145205479452E-3</v>
      </c>
      <c r="U118" s="33">
        <f>IF(COUNTIF('Processed Non-zero DMR Data'!$K:$K,$I118)&gt;0,_xlfn.MAXIFS('Processed Non-zero DMR Data'!$T:$T,'Processed Non-zero DMR Data'!$K:$K,$I118), "N/A - Facility Does Not Report DMRs")</f>
        <v>0.80347979999999997</v>
      </c>
      <c r="V118" s="33">
        <f t="shared" si="27"/>
        <v>2.2013145205479452E-3</v>
      </c>
      <c r="W118" s="110" cm="1">
        <f t="array" ref="W118">IF(COUNTIF('Processed Non-zero DMR Data'!$K:$K,$I118)&gt;0,INDEX('Processed Non-zero DMR Data'!$A:$A,MATCH(1,($I118='Processed Non-zero DMR Data'!$K:$K)*($U118='Processed Non-zero DMR Data'!$T:$T),0)), "N/A - Facility Does Not Report DMRs")</f>
        <v>2023</v>
      </c>
      <c r="X118" s="109" cm="1">
        <f t="array" ref="X118">IFERROR(_xlfn.XLOOKUP(1,  (MAX(IF(H118 = 'Processed Non-zero TRI Data'!$I:$I,'Processed Non-zero TRI Data'!$A:$A)) = 'Processed Non-zero TRI Data'!$A:$A)*('Processed Non-zero TRI Data'!$I:$I = H118), 'Processed Non-zero TRI Data'!$S:$S), "N/A- Facility Does Not Report to TRI")</f>
        <v>0</v>
      </c>
      <c r="Y118" s="33">
        <f t="shared" si="16"/>
        <v>0</v>
      </c>
      <c r="Z118" s="33" t="str" cm="1">
        <f t="array" ref="Z118">IF(COUNTIF('Processed Non-zero TRI Data'!$I:$I,$H118)&gt;0,MEDIAN(IF('Processed Non-zero TRI Data'!$I:$I=H118,'Processed Non-zero TRI Data'!$S:$S)), "N/A - Facility Does Not Report to TRI")</f>
        <v>N/A - Facility Does Not Report to TRI</v>
      </c>
      <c r="AA118" s="33" t="str">
        <f t="shared" si="17"/>
        <v>N/A - Facility Does Not Report to TRI</v>
      </c>
      <c r="AB118" s="33" t="str">
        <f>IF(COUNTIF('Processed Non-zero TRI Data'!$I:$I,$H118)&gt;0,_xlfn.MAXIFS('Processed Non-zero TRI Data'!$S:$S,'Processed Non-zero TRI Data'!$I:$I,$H118), "N/A - Facility Does Not Report to TRI")</f>
        <v>N/A - Facility Does Not Report to TRI</v>
      </c>
      <c r="AC118" s="33" t="str">
        <f t="shared" si="18"/>
        <v>N/A - Facility Does Not Report to TRI</v>
      </c>
      <c r="AD118" s="110" t="str" cm="1">
        <f t="array" ref="AD118">IFERROR(IF(B118 = "TRI Form R", IF(AB118 = 0, "Facility has no on-site water discharges between 2019-2023.",  IF(COUNTIF('Processed Non-zero TRI Data'!$I:$I,$H118)&gt;0,INDEX('Processed Non-zero TRI Data'!$A:$A,MATCH(1,($H118='Processed Non-zero TRI Data'!$I:$I)*(AB118='Processed Non-zero TRI Data'!$S:$S),0)))), VLOOKUP(H118, 'Form A Recent Reporting'!$L:$M, 2, FALSE)), ("N/A - Facility Does Not Report to TRI"))</f>
        <v>N/A - Facility Does Not Report to TRI</v>
      </c>
      <c r="AE118" s="109" cm="1">
        <f t="array" ref="AE118">IFERROR(_xlfn.XLOOKUP(1,  (MAX(IF(H118 = 'Processed Non-zero TRI Data'!$I:$I,'Processed Non-zero TRI Data'!$A:$A)) = 'Processed Non-zero TRI Data'!$A:$A)*('Processed Non-zero TRI Data'!$I:$I = H118), 'Processed Non-zero TRI Data'!$U:$U), "N/A- Facility Does Not Report to TRI")</f>
        <v>0</v>
      </c>
      <c r="AF118" s="33">
        <f t="shared" si="19"/>
        <v>0</v>
      </c>
      <c r="AG118" s="33" t="str" cm="1">
        <f t="array" ref="AG118">IF(COUNTIF('Processed Non-zero TRI Data'!$I:$I,$H118)&gt;0,MEDIAN(IF('Processed Non-zero TRI Data'!$I:$I=H118,'Processed Non-zero TRI Data'!$U:$U)), "N/A - Facility Does Not Report to TRI")</f>
        <v>N/A - Facility Does Not Report to TRI</v>
      </c>
      <c r="AH118" s="33" t="str">
        <f t="shared" si="20"/>
        <v>N/A - Facility Does Not Report to TRI</v>
      </c>
      <c r="AI118" s="33" t="str">
        <f>IF(COUNTIF('Processed Non-zero TRI Data'!$I:$I,$H118)&gt;0,_xlfn.MAXIFS('Processed Non-zero TRI Data'!$U:$U,'Processed Non-zero TRI Data'!$I:$I,$H118), "N/A - Facility Does Not Report to TRI")</f>
        <v>N/A - Facility Does Not Report to TRI</v>
      </c>
      <c r="AJ118" s="33" t="str">
        <f t="shared" si="21"/>
        <v>N/A - Facility Does Not Report to TRI</v>
      </c>
      <c r="AK118" s="110" t="str" cm="1">
        <f t="array" ref="AK118">IF(B118="TRI Form A",AD118,IF(AI118=0,"Facility has no transfers to POTWs between 2019-2023.",IF(COUNTIF('Processed Non-zero TRI Data'!$I:$I,$H118)&gt;0,INDEX('Processed Non-zero TRI Data'!$A:$A,MATCH(1,($H118='Processed Non-zero TRI Data'!$I:$I)*(AI118='Processed Non-zero TRI Data'!$U:$U),0)),"N/A - Facility Does Not Report to TRI")))</f>
        <v>N/A - Facility Does Not Report to TRI</v>
      </c>
      <c r="AL118" s="109" cm="1">
        <f t="array" ref="AL118">IFERROR(_xlfn.XLOOKUP(1,  (MAX(IF(H118 = 'Processed Non-zero TRI Data'!$I$2:$I$23,'Processed Non-zero TRI Data'!$A$2:$A$23)) = 'Processed Non-zero TRI Data'!$A$2:$A$23)*('Processed Non-zero TRI Data'!$I$2:$I$23 = H118), 'Processed Non-zero TRI Data'!$W$2:$W$23), "N/A- Facility Does Not Report to TRI")</f>
        <v>0</v>
      </c>
      <c r="AM118" s="33">
        <f t="shared" si="22"/>
        <v>0</v>
      </c>
      <c r="AN118" s="33" t="str" cm="1">
        <f t="array" ref="AN118">IF(COUNTIF('Processed Non-zero TRI Data'!$I:$I,$H118)&gt;0,MEDIAN(IF('Processed Non-zero TRI Data'!$I:$I=H118,'Processed Non-zero TRI Data'!$W:$W)), "N/A - Facility Does Not Report to TRI")</f>
        <v>N/A - Facility Does Not Report to TRI</v>
      </c>
      <c r="AO118" s="33" t="str">
        <f t="shared" si="23"/>
        <v>N/A - Facility Does Not Report to TRI</v>
      </c>
      <c r="AP118" s="33" t="str">
        <f>IF(COUNTIF('Processed Non-zero TRI Data'!$I:$I,$H118)&gt;0,_xlfn.MAXIFS('Processed Non-zero TRI Data'!$W:$W,'Processed Non-zero TRI Data'!$I:$I,$H118), "N/A - Facility Does Not Report to TRI")</f>
        <v>N/A - Facility Does Not Report to TRI</v>
      </c>
      <c r="AQ118" s="33" t="str">
        <f t="shared" si="24"/>
        <v>N/A - Facility Does Not Report to TRI</v>
      </c>
      <c r="AR118" s="110" t="str" cm="1">
        <f t="array" ref="AR118">IF(B118="TRI Form A",AD118,IF(AP118=0,"Facility has no transfers to non-POTWs between 2019-2023.",IF(COUNTIF('Processed Non-zero TRI Data'!$I:$I,$H118)&gt;0,INDEX('Processed Non-zero TRI Data'!$A:$A,MATCH(1,($H118='Processed Non-zero TRI Data'!$I:$I)*(AP118='Processed Non-zero TRI Data'!$W:$W),0)),"N/A - Facility Does Not Report to TRI")))</f>
        <v>N/A - Facility Does Not Report to TRI</v>
      </c>
    </row>
    <row r="119" spans="1:44" ht="29" x14ac:dyDescent="0.35">
      <c r="A119" s="34">
        <v>116</v>
      </c>
      <c r="B119" s="33" t="str">
        <f>IFERROR("TRI Form "&amp;VLOOKUP(H119,'Processed Non-zero TRI Data'!$I$2:$K$23,3,FALSE),"DMR")</f>
        <v>DMR</v>
      </c>
      <c r="C119" s="33" t="str">
        <f>VLOOKUP($D119, 'COU.OES Summary'!C:D, 2, FALSE)</f>
        <v> </v>
      </c>
      <c r="D119" s="33" t="str">
        <f>IFERROR(VLOOKUP($H119, 'Processed Non-zero TRI Data'!$I:$O, 7, FALSE), VLOOKUP($I119, 'Processed Non-zero DMR Data'!$K:$R, 8, FALSE))</f>
        <v>Waste handling, treatment, and disposal - Remediation or Monitoring</v>
      </c>
      <c r="E119" s="34" t="s">
        <v>324</v>
      </c>
      <c r="F119" s="34" t="s">
        <v>325</v>
      </c>
      <c r="G119" s="34" t="s">
        <v>161</v>
      </c>
      <c r="H119" s="34"/>
      <c r="I119" s="105">
        <v>110000373621</v>
      </c>
      <c r="J119" s="33" t="str">
        <f>IFERROR(VLOOKUP($I119, 'Processed Non-zero DMR Data'!$K:$U, 11, FALSE),"")</f>
        <v>TN0041939</v>
      </c>
      <c r="K119" s="33" t="str">
        <f>IFERROR(VLOOKUP($I119, 'Processed Non-zero DMR Data'!$K:$V, 12, FALSE),"Not Reported")</f>
        <v>Nixon Creek Upper</v>
      </c>
      <c r="L119" s="106">
        <f>IFERROR(VLOOKUP($I119, 'Processed Non-zero DMR Data'!$K:$W, 13, FALSE),"No Reach Code Reported")</f>
        <v>80102050401</v>
      </c>
      <c r="M119" s="107" t="str">
        <f>IFERROR(IFERROR(VLOOKUP(H119, 'Off-site Locations'!$K$3:$O$5, 5, FALSE), VLOOKUP(H119, 'Off-site Locations'!$B$3:$E$4, 4, FALSE)), "No Offsite Transfers")</f>
        <v>No Offsite Transfers</v>
      </c>
      <c r="N119" s="33">
        <f>VLOOKUP($D119, 'COU.OES Summary'!C:E, 3, FALSE)</f>
        <v>365</v>
      </c>
      <c r="O119" s="108">
        <f t="shared" si="14"/>
        <v>0</v>
      </c>
      <c r="P119" s="108">
        <f t="shared" si="15"/>
        <v>1.4885931875</v>
      </c>
      <c r="Q119" s="109" cm="1">
        <f t="array" ref="Q119">IFERROR(_xlfn.XLOOKUP(1,  (MAX(IF(I119 = 'Processed Non-zero DMR Data'!$K:$K,'Processed Non-zero DMR Data'!$A:$A)) = 'Processed Non-zero DMR Data'!$A:$A)*('Processed Non-zero DMR Data'!$K:$K = I119),'Processed Non-zero DMR Data'!$T:$T), "N/A- Facility Does Not Report DMRs")</f>
        <v>0.10016056250000001</v>
      </c>
      <c r="R119" s="33">
        <f t="shared" si="25"/>
        <v>2.7441250000000004E-4</v>
      </c>
      <c r="S119" s="33" cm="1">
        <f t="array" ref="S119">IF(COUNTIF('Processed Non-zero DMR Data'!$K:$K,$I119)&gt;0,MEDIAN(IF('Processed Non-zero DMR Data'!$K:$K=I119,'Processed Non-zero DMR Data'!$T:$T)),"N/A - Facility Does Not Report DMRs")</f>
        <v>0.41100368749999999</v>
      </c>
      <c r="T119" s="33">
        <f t="shared" si="26"/>
        <v>1.1260375E-3</v>
      </c>
      <c r="U119" s="33">
        <f>IF(COUNTIF('Processed Non-zero DMR Data'!$K:$K,$I119)&gt;0,_xlfn.MAXIFS('Processed Non-zero DMR Data'!$T:$T,'Processed Non-zero DMR Data'!$K:$K,$I119), "N/A - Facility Does Not Report DMRs")</f>
        <v>1.4885931875</v>
      </c>
      <c r="V119" s="33">
        <f t="shared" si="27"/>
        <v>4.0783375000000002E-3</v>
      </c>
      <c r="W119" s="110" cm="1">
        <f t="array" ref="W119">IF(COUNTIF('Processed Non-zero DMR Data'!$K:$K,$I119)&gt;0,INDEX('Processed Non-zero DMR Data'!$A:$A,MATCH(1,($I119='Processed Non-zero DMR Data'!$K:$K)*($U119='Processed Non-zero DMR Data'!$T:$T),0)), "N/A - Facility Does Not Report DMRs")</f>
        <v>2021</v>
      </c>
      <c r="X119" s="109" cm="1">
        <f t="array" ref="X119">IFERROR(_xlfn.XLOOKUP(1,  (MAX(IF(H119 = 'Processed Non-zero TRI Data'!$I:$I,'Processed Non-zero TRI Data'!$A:$A)) = 'Processed Non-zero TRI Data'!$A:$A)*('Processed Non-zero TRI Data'!$I:$I = H119), 'Processed Non-zero TRI Data'!$S:$S), "N/A- Facility Does Not Report to TRI")</f>
        <v>0</v>
      </c>
      <c r="Y119" s="33">
        <f t="shared" si="16"/>
        <v>0</v>
      </c>
      <c r="Z119" s="33" t="str" cm="1">
        <f t="array" ref="Z119">IF(COUNTIF('Processed Non-zero TRI Data'!$I:$I,$H119)&gt;0,MEDIAN(IF('Processed Non-zero TRI Data'!$I:$I=H119,'Processed Non-zero TRI Data'!$S:$S)), "N/A - Facility Does Not Report to TRI")</f>
        <v>N/A - Facility Does Not Report to TRI</v>
      </c>
      <c r="AA119" s="33" t="str">
        <f t="shared" si="17"/>
        <v>N/A - Facility Does Not Report to TRI</v>
      </c>
      <c r="AB119" s="33" t="str">
        <f>IF(COUNTIF('Processed Non-zero TRI Data'!$I:$I,$H119)&gt;0,_xlfn.MAXIFS('Processed Non-zero TRI Data'!$S:$S,'Processed Non-zero TRI Data'!$I:$I,$H119), "N/A - Facility Does Not Report to TRI")</f>
        <v>N/A - Facility Does Not Report to TRI</v>
      </c>
      <c r="AC119" s="33" t="str">
        <f t="shared" si="18"/>
        <v>N/A - Facility Does Not Report to TRI</v>
      </c>
      <c r="AD119" s="110" t="str" cm="1">
        <f t="array" ref="AD119">IFERROR(IF(B119 = "TRI Form R", IF(AB119 = 0, "Facility has no on-site water discharges between 2019-2023.",  IF(COUNTIF('Processed Non-zero TRI Data'!$I:$I,$H119)&gt;0,INDEX('Processed Non-zero TRI Data'!$A:$A,MATCH(1,($H119='Processed Non-zero TRI Data'!$I:$I)*(AB119='Processed Non-zero TRI Data'!$S:$S),0)))), VLOOKUP(H119, 'Form A Recent Reporting'!$L:$M, 2, FALSE)), ("N/A - Facility Does Not Report to TRI"))</f>
        <v>N/A - Facility Does Not Report to TRI</v>
      </c>
      <c r="AE119" s="109" cm="1">
        <f t="array" ref="AE119">IFERROR(_xlfn.XLOOKUP(1,  (MAX(IF(H119 = 'Processed Non-zero TRI Data'!$I:$I,'Processed Non-zero TRI Data'!$A:$A)) = 'Processed Non-zero TRI Data'!$A:$A)*('Processed Non-zero TRI Data'!$I:$I = H119), 'Processed Non-zero TRI Data'!$U:$U), "N/A- Facility Does Not Report to TRI")</f>
        <v>0</v>
      </c>
      <c r="AF119" s="33">
        <f t="shared" si="19"/>
        <v>0</v>
      </c>
      <c r="AG119" s="33" t="str" cm="1">
        <f t="array" ref="AG119">IF(COUNTIF('Processed Non-zero TRI Data'!$I:$I,$H119)&gt;0,MEDIAN(IF('Processed Non-zero TRI Data'!$I:$I=H119,'Processed Non-zero TRI Data'!$U:$U)), "N/A - Facility Does Not Report to TRI")</f>
        <v>N/A - Facility Does Not Report to TRI</v>
      </c>
      <c r="AH119" s="33" t="str">
        <f t="shared" si="20"/>
        <v>N/A - Facility Does Not Report to TRI</v>
      </c>
      <c r="AI119" s="33" t="str">
        <f>IF(COUNTIF('Processed Non-zero TRI Data'!$I:$I,$H119)&gt;0,_xlfn.MAXIFS('Processed Non-zero TRI Data'!$U:$U,'Processed Non-zero TRI Data'!$I:$I,$H119), "N/A - Facility Does Not Report to TRI")</f>
        <v>N/A - Facility Does Not Report to TRI</v>
      </c>
      <c r="AJ119" s="33" t="str">
        <f t="shared" si="21"/>
        <v>N/A - Facility Does Not Report to TRI</v>
      </c>
      <c r="AK119" s="110" t="str" cm="1">
        <f t="array" ref="AK119">IF(B119="TRI Form A",AD119,IF(AI119=0,"Facility has no transfers to POTWs between 2019-2023.",IF(COUNTIF('Processed Non-zero TRI Data'!$I:$I,$H119)&gt;0,INDEX('Processed Non-zero TRI Data'!$A:$A,MATCH(1,($H119='Processed Non-zero TRI Data'!$I:$I)*(AI119='Processed Non-zero TRI Data'!$U:$U),0)),"N/A - Facility Does Not Report to TRI")))</f>
        <v>N/A - Facility Does Not Report to TRI</v>
      </c>
      <c r="AL119" s="109" cm="1">
        <f t="array" ref="AL119">IFERROR(_xlfn.XLOOKUP(1,  (MAX(IF(H119 = 'Processed Non-zero TRI Data'!$I$2:$I$23,'Processed Non-zero TRI Data'!$A$2:$A$23)) = 'Processed Non-zero TRI Data'!$A$2:$A$23)*('Processed Non-zero TRI Data'!$I$2:$I$23 = H119), 'Processed Non-zero TRI Data'!$W$2:$W$23), "N/A- Facility Does Not Report to TRI")</f>
        <v>0</v>
      </c>
      <c r="AM119" s="33">
        <f t="shared" si="22"/>
        <v>0</v>
      </c>
      <c r="AN119" s="33" t="str" cm="1">
        <f t="array" ref="AN119">IF(COUNTIF('Processed Non-zero TRI Data'!$I:$I,$H119)&gt;0,MEDIAN(IF('Processed Non-zero TRI Data'!$I:$I=H119,'Processed Non-zero TRI Data'!$W:$W)), "N/A - Facility Does Not Report to TRI")</f>
        <v>N/A - Facility Does Not Report to TRI</v>
      </c>
      <c r="AO119" s="33" t="str">
        <f t="shared" si="23"/>
        <v>N/A - Facility Does Not Report to TRI</v>
      </c>
      <c r="AP119" s="33" t="str">
        <f>IF(COUNTIF('Processed Non-zero TRI Data'!$I:$I,$H119)&gt;0,_xlfn.MAXIFS('Processed Non-zero TRI Data'!$W:$W,'Processed Non-zero TRI Data'!$I:$I,$H119), "N/A - Facility Does Not Report to TRI")</f>
        <v>N/A - Facility Does Not Report to TRI</v>
      </c>
      <c r="AQ119" s="33" t="str">
        <f t="shared" si="24"/>
        <v>N/A - Facility Does Not Report to TRI</v>
      </c>
      <c r="AR119" s="110" t="str" cm="1">
        <f t="array" ref="AR119">IF(B119="TRI Form A",AD119,IF(AP119=0,"Facility has no transfers to non-POTWs between 2019-2023.",IF(COUNTIF('Processed Non-zero TRI Data'!$I:$I,$H119)&gt;0,INDEX('Processed Non-zero TRI Data'!$A:$A,MATCH(1,($H119='Processed Non-zero TRI Data'!$I:$I)*(AP119='Processed Non-zero TRI Data'!$W:$W),0)),"N/A - Facility Does Not Report to TRI")))</f>
        <v>N/A - Facility Does Not Report to TRI</v>
      </c>
    </row>
    <row r="120" spans="1:44" ht="29" x14ac:dyDescent="0.35">
      <c r="A120" s="34">
        <v>117</v>
      </c>
      <c r="B120" s="33" t="str">
        <f>IFERROR("TRI Form "&amp;VLOOKUP(H120,'Processed Non-zero TRI Data'!$I$2:$K$23,3,FALSE),"DMR")</f>
        <v>DMR</v>
      </c>
      <c r="C120" s="33" t="str">
        <f>VLOOKUP($D120, 'COU.OES Summary'!C:D, 2, FALSE)</f>
        <v> </v>
      </c>
      <c r="D120" s="33" t="str">
        <f>IFERROR(VLOOKUP($H120, 'Processed Non-zero TRI Data'!$I:$O, 7, FALSE), VLOOKUP($I120, 'Processed Non-zero DMR Data'!$K:$R, 8, FALSE))</f>
        <v>Waste handling, treatment, and disposal - Remediation or Monitoring</v>
      </c>
      <c r="E120" s="34" t="s">
        <v>326</v>
      </c>
      <c r="F120" s="34" t="s">
        <v>327</v>
      </c>
      <c r="G120" s="34" t="s">
        <v>328</v>
      </c>
      <c r="H120" s="34"/>
      <c r="I120" s="105">
        <v>110067874312</v>
      </c>
      <c r="J120" s="33" t="str">
        <f>IFERROR(VLOOKUP($I120, 'Processed Non-zero DMR Data'!$K:$U, 11, FALSE),"")</f>
        <v>MNG790264</v>
      </c>
      <c r="K120" s="33" t="str">
        <f>IFERROR(VLOOKUP($I120, 'Processed Non-zero DMR Data'!$K:$V, 12, FALSE),"Not Reported")</f>
        <v>Saint Anthony Falls-Mississippi River</v>
      </c>
      <c r="L120" s="106" t="str">
        <f>IFERROR(VLOOKUP($I120, 'Processed Non-zero DMR Data'!$K:$W, 13, FALSE),"No Reach Code Reported")</f>
        <v>070102060703</v>
      </c>
      <c r="M120" s="107" t="str">
        <f>IFERROR(IFERROR(VLOOKUP(H120, 'Off-site Locations'!$K$3:$O$5, 5, FALSE), VLOOKUP(H120, 'Off-site Locations'!$B$3:$E$4, 4, FALSE)), "No Offsite Transfers")</f>
        <v>No Offsite Transfers</v>
      </c>
      <c r="N120" s="33">
        <f>VLOOKUP($D120, 'COU.OES Summary'!C:E, 3, FALSE)</f>
        <v>365</v>
      </c>
      <c r="O120" s="108">
        <f t="shared" si="14"/>
        <v>0</v>
      </c>
      <c r="P120" s="108">
        <f t="shared" si="15"/>
        <v>0.77983187700000001</v>
      </c>
      <c r="Q120" s="109" cm="1">
        <f t="array" ref="Q120">IFERROR(_xlfn.XLOOKUP(1,  (MAX(IF(I120 = 'Processed Non-zero DMR Data'!$K:$K,'Processed Non-zero DMR Data'!$A:$A)) = 'Processed Non-zero DMR Data'!$A:$A)*('Processed Non-zero DMR Data'!$K:$K = I120),'Processed Non-zero DMR Data'!$T:$T), "N/A- Facility Does Not Report DMRs")</f>
        <v>0.22525341204999999</v>
      </c>
      <c r="R120" s="33">
        <f t="shared" si="25"/>
        <v>6.1713263575342468E-4</v>
      </c>
      <c r="S120" s="33" cm="1">
        <f t="array" ref="S120">IF(COUNTIF('Processed Non-zero DMR Data'!$K:$K,$I120)&gt;0,MEDIAN(IF('Processed Non-zero DMR Data'!$K:$K=I120,'Processed Non-zero DMR Data'!$T:$T)),"N/A - Facility Does Not Report DMRs")</f>
        <v>0.50254264452500008</v>
      </c>
      <c r="T120" s="33">
        <f t="shared" si="26"/>
        <v>1.3768291630821921E-3</v>
      </c>
      <c r="U120" s="33">
        <f>IF(COUNTIF('Processed Non-zero DMR Data'!$K:$K,$I120)&gt;0,_xlfn.MAXIFS('Processed Non-zero DMR Data'!$T:$T,'Processed Non-zero DMR Data'!$K:$K,$I120), "N/A - Facility Does Not Report DMRs")</f>
        <v>0.77983187700000001</v>
      </c>
      <c r="V120" s="33">
        <f t="shared" si="27"/>
        <v>2.1365256904109591E-3</v>
      </c>
      <c r="W120" s="110" cm="1">
        <f t="array" ref="W120">IF(COUNTIF('Processed Non-zero DMR Data'!$K:$K,$I120)&gt;0,INDEX('Processed Non-zero DMR Data'!$A:$A,MATCH(1,($I120='Processed Non-zero DMR Data'!$K:$K)*($U120='Processed Non-zero DMR Data'!$T:$T),0)), "N/A - Facility Does Not Report DMRs")</f>
        <v>2022</v>
      </c>
      <c r="X120" s="109" cm="1">
        <f t="array" ref="X120">IFERROR(_xlfn.XLOOKUP(1,  (MAX(IF(H120 = 'Processed Non-zero TRI Data'!$I:$I,'Processed Non-zero TRI Data'!$A:$A)) = 'Processed Non-zero TRI Data'!$A:$A)*('Processed Non-zero TRI Data'!$I:$I = H120), 'Processed Non-zero TRI Data'!$S:$S), "N/A- Facility Does Not Report to TRI")</f>
        <v>0</v>
      </c>
      <c r="Y120" s="33">
        <f t="shared" si="16"/>
        <v>0</v>
      </c>
      <c r="Z120" s="33" t="str" cm="1">
        <f t="array" ref="Z120">IF(COUNTIF('Processed Non-zero TRI Data'!$I:$I,$H120)&gt;0,MEDIAN(IF('Processed Non-zero TRI Data'!$I:$I=H120,'Processed Non-zero TRI Data'!$S:$S)), "N/A - Facility Does Not Report to TRI")</f>
        <v>N/A - Facility Does Not Report to TRI</v>
      </c>
      <c r="AA120" s="33" t="str">
        <f t="shared" si="17"/>
        <v>N/A - Facility Does Not Report to TRI</v>
      </c>
      <c r="AB120" s="33" t="str">
        <f>IF(COUNTIF('Processed Non-zero TRI Data'!$I:$I,$H120)&gt;0,_xlfn.MAXIFS('Processed Non-zero TRI Data'!$S:$S,'Processed Non-zero TRI Data'!$I:$I,$H120), "N/A - Facility Does Not Report to TRI")</f>
        <v>N/A - Facility Does Not Report to TRI</v>
      </c>
      <c r="AC120" s="33" t="str">
        <f t="shared" si="18"/>
        <v>N/A - Facility Does Not Report to TRI</v>
      </c>
      <c r="AD120" s="110" t="str" cm="1">
        <f t="array" ref="AD120">IFERROR(IF(B120 = "TRI Form R", IF(AB120 = 0, "Facility has no on-site water discharges between 2019-2023.",  IF(COUNTIF('Processed Non-zero TRI Data'!$I:$I,$H120)&gt;0,INDEX('Processed Non-zero TRI Data'!$A:$A,MATCH(1,($H120='Processed Non-zero TRI Data'!$I:$I)*(AB120='Processed Non-zero TRI Data'!$S:$S),0)))), VLOOKUP(H120, 'Form A Recent Reporting'!$L:$M, 2, FALSE)), ("N/A - Facility Does Not Report to TRI"))</f>
        <v>N/A - Facility Does Not Report to TRI</v>
      </c>
      <c r="AE120" s="109" cm="1">
        <f t="array" ref="AE120">IFERROR(_xlfn.XLOOKUP(1,  (MAX(IF(H120 = 'Processed Non-zero TRI Data'!$I:$I,'Processed Non-zero TRI Data'!$A:$A)) = 'Processed Non-zero TRI Data'!$A:$A)*('Processed Non-zero TRI Data'!$I:$I = H120), 'Processed Non-zero TRI Data'!$U:$U), "N/A- Facility Does Not Report to TRI")</f>
        <v>0</v>
      </c>
      <c r="AF120" s="33">
        <f t="shared" si="19"/>
        <v>0</v>
      </c>
      <c r="AG120" s="33" t="str" cm="1">
        <f t="array" ref="AG120">IF(COUNTIF('Processed Non-zero TRI Data'!$I:$I,$H120)&gt;0,MEDIAN(IF('Processed Non-zero TRI Data'!$I:$I=H120,'Processed Non-zero TRI Data'!$U:$U)), "N/A - Facility Does Not Report to TRI")</f>
        <v>N/A - Facility Does Not Report to TRI</v>
      </c>
      <c r="AH120" s="33" t="str">
        <f t="shared" si="20"/>
        <v>N/A - Facility Does Not Report to TRI</v>
      </c>
      <c r="AI120" s="33" t="str">
        <f>IF(COUNTIF('Processed Non-zero TRI Data'!$I:$I,$H120)&gt;0,_xlfn.MAXIFS('Processed Non-zero TRI Data'!$U:$U,'Processed Non-zero TRI Data'!$I:$I,$H120), "N/A - Facility Does Not Report to TRI")</f>
        <v>N/A - Facility Does Not Report to TRI</v>
      </c>
      <c r="AJ120" s="33" t="str">
        <f t="shared" si="21"/>
        <v>N/A - Facility Does Not Report to TRI</v>
      </c>
      <c r="AK120" s="110" t="str" cm="1">
        <f t="array" ref="AK120">IF(B120="TRI Form A",AD120,IF(AI120=0,"Facility has no transfers to POTWs between 2019-2023.",IF(COUNTIF('Processed Non-zero TRI Data'!$I:$I,$H120)&gt;0,INDEX('Processed Non-zero TRI Data'!$A:$A,MATCH(1,($H120='Processed Non-zero TRI Data'!$I:$I)*(AI120='Processed Non-zero TRI Data'!$U:$U),0)),"N/A - Facility Does Not Report to TRI")))</f>
        <v>N/A - Facility Does Not Report to TRI</v>
      </c>
      <c r="AL120" s="109" cm="1">
        <f t="array" ref="AL120">IFERROR(_xlfn.XLOOKUP(1,  (MAX(IF(H120 = 'Processed Non-zero TRI Data'!$I$2:$I$23,'Processed Non-zero TRI Data'!$A$2:$A$23)) = 'Processed Non-zero TRI Data'!$A$2:$A$23)*('Processed Non-zero TRI Data'!$I$2:$I$23 = H120), 'Processed Non-zero TRI Data'!$W$2:$W$23), "N/A- Facility Does Not Report to TRI")</f>
        <v>0</v>
      </c>
      <c r="AM120" s="33">
        <f t="shared" si="22"/>
        <v>0</v>
      </c>
      <c r="AN120" s="33" t="str" cm="1">
        <f t="array" ref="AN120">IF(COUNTIF('Processed Non-zero TRI Data'!$I:$I,$H120)&gt;0,MEDIAN(IF('Processed Non-zero TRI Data'!$I:$I=H120,'Processed Non-zero TRI Data'!$W:$W)), "N/A - Facility Does Not Report to TRI")</f>
        <v>N/A - Facility Does Not Report to TRI</v>
      </c>
      <c r="AO120" s="33" t="str">
        <f t="shared" si="23"/>
        <v>N/A - Facility Does Not Report to TRI</v>
      </c>
      <c r="AP120" s="33" t="str">
        <f>IF(COUNTIF('Processed Non-zero TRI Data'!$I:$I,$H120)&gt;0,_xlfn.MAXIFS('Processed Non-zero TRI Data'!$W:$W,'Processed Non-zero TRI Data'!$I:$I,$H120), "N/A - Facility Does Not Report to TRI")</f>
        <v>N/A - Facility Does Not Report to TRI</v>
      </c>
      <c r="AQ120" s="33" t="str">
        <f t="shared" si="24"/>
        <v>N/A - Facility Does Not Report to TRI</v>
      </c>
      <c r="AR120" s="110" t="str" cm="1">
        <f t="array" ref="AR120">IF(B120="TRI Form A",AD120,IF(AP120=0,"Facility has no transfers to non-POTWs between 2019-2023.",IF(COUNTIF('Processed Non-zero TRI Data'!$I:$I,$H120)&gt;0,INDEX('Processed Non-zero TRI Data'!$A:$A,MATCH(1,($H120='Processed Non-zero TRI Data'!$I:$I)*(AP120='Processed Non-zero TRI Data'!$W:$W),0)),"N/A - Facility Does Not Report to TRI")))</f>
        <v>N/A - Facility Does Not Report to TRI</v>
      </c>
    </row>
    <row r="121" spans="1:44" ht="29" x14ac:dyDescent="0.35">
      <c r="A121" s="34">
        <v>118</v>
      </c>
      <c r="B121" s="33" t="str">
        <f>IFERROR("TRI Form "&amp;VLOOKUP(H121,'Processed Non-zero TRI Data'!$I$2:$K$23,3,FALSE),"DMR")</f>
        <v>DMR</v>
      </c>
      <c r="C121" s="33" t="str">
        <f>VLOOKUP($D121, 'COU.OES Summary'!C:D, 2, FALSE)</f>
        <v> </v>
      </c>
      <c r="D121" s="33" t="str">
        <f>IFERROR(VLOOKUP($H121, 'Processed Non-zero TRI Data'!$I:$O, 7, FALSE), VLOOKUP($I121, 'Processed Non-zero DMR Data'!$K:$R, 8, FALSE))</f>
        <v>Waste handling, treatment, and disposal - POTW</v>
      </c>
      <c r="E121" s="34" t="s">
        <v>329</v>
      </c>
      <c r="F121" s="34" t="s">
        <v>330</v>
      </c>
      <c r="G121" s="34" t="s">
        <v>331</v>
      </c>
      <c r="H121" s="34"/>
      <c r="I121" s="105">
        <v>110010910700</v>
      </c>
      <c r="J121" s="33" t="str">
        <f>IFERROR(VLOOKUP($I121, 'Processed Non-zero DMR Data'!$K:$U, 11, FALSE),"")</f>
        <v>VT0101249</v>
      </c>
      <c r="K121" s="33" t="str">
        <f>IFERROR(VLOOKUP($I121, 'Processed Non-zero DMR Data'!$K:$V, 12, FALSE),"Not Reported")</f>
        <v>East Branch Passumpsic River</v>
      </c>
      <c r="L121" s="106">
        <f>IFERROR(VLOOKUP($I121, 'Processed Non-zero DMR Data'!$K:$W, 13, FALSE),"No Reach Code Reported")</f>
        <v>10801020102</v>
      </c>
      <c r="M121" s="107" t="str">
        <f>IFERROR(IFERROR(VLOOKUP(H121, 'Off-site Locations'!$K$3:$O$5, 5, FALSE), VLOOKUP(H121, 'Off-site Locations'!$B$3:$E$4, 4, FALSE)), "No Offsite Transfers")</f>
        <v>No Offsite Transfers</v>
      </c>
      <c r="N121" s="33">
        <f>VLOOKUP($D121, 'COU.OES Summary'!C:E, 3, FALSE)</f>
        <v>365</v>
      </c>
      <c r="O121" s="108">
        <f t="shared" si="14"/>
        <v>0</v>
      </c>
      <c r="P121" s="108">
        <f t="shared" si="15"/>
        <v>0.70401000000000002</v>
      </c>
      <c r="Q121" s="109" cm="1">
        <f t="array" ref="Q121">IFERROR(_xlfn.XLOOKUP(1,  (MAX(IF(I121 = 'Processed Non-zero DMR Data'!$K:$K,'Processed Non-zero DMR Data'!$A:$A)) = 'Processed Non-zero DMR Data'!$A:$A)*('Processed Non-zero DMR Data'!$K:$K = I121),'Processed Non-zero DMR Data'!$T:$T), "N/A- Facility Does Not Report DMRs")</f>
        <v>5.8667500000000004E-4</v>
      </c>
      <c r="R121" s="33">
        <f t="shared" si="25"/>
        <v>1.6073287671232879E-6</v>
      </c>
      <c r="S121" s="33" cm="1">
        <f t="array" ref="S121">IF(COUNTIF('Processed Non-zero DMR Data'!$K:$K,$I121)&gt;0,MEDIAN(IF('Processed Non-zero DMR Data'!$K:$K=I121,'Processed Non-zero DMR Data'!$T:$T)),"N/A - Facility Does Not Report DMRs")</f>
        <v>6.4534250000000009E-4</v>
      </c>
      <c r="T121" s="33">
        <f t="shared" si="26"/>
        <v>1.7680616438356168E-6</v>
      </c>
      <c r="U121" s="33">
        <f>IF(COUNTIF('Processed Non-zero DMR Data'!$K:$K,$I121)&gt;0,_xlfn.MAXIFS('Processed Non-zero DMR Data'!$T:$T,'Processed Non-zero DMR Data'!$K:$K,$I121), "N/A - Facility Does Not Report DMRs")</f>
        <v>0.70401000000000002</v>
      </c>
      <c r="V121" s="33">
        <f t="shared" si="27"/>
        <v>1.9287945205479452E-3</v>
      </c>
      <c r="W121" s="110" cm="1">
        <f t="array" ref="W121">IF(COUNTIF('Processed Non-zero DMR Data'!$K:$K,$I121)&gt;0,INDEX('Processed Non-zero DMR Data'!$A:$A,MATCH(1,($I121='Processed Non-zero DMR Data'!$K:$K)*($U121='Processed Non-zero DMR Data'!$T:$T),0)), "N/A - Facility Does Not Report DMRs")</f>
        <v>2019</v>
      </c>
      <c r="X121" s="109" cm="1">
        <f t="array" ref="X121">IFERROR(_xlfn.XLOOKUP(1,  (MAX(IF(H121 = 'Processed Non-zero TRI Data'!$I:$I,'Processed Non-zero TRI Data'!$A:$A)) = 'Processed Non-zero TRI Data'!$A:$A)*('Processed Non-zero TRI Data'!$I:$I = H121), 'Processed Non-zero TRI Data'!$S:$S), "N/A- Facility Does Not Report to TRI")</f>
        <v>0</v>
      </c>
      <c r="Y121" s="33">
        <f t="shared" si="16"/>
        <v>0</v>
      </c>
      <c r="Z121" s="33" t="str" cm="1">
        <f t="array" ref="Z121">IF(COUNTIF('Processed Non-zero TRI Data'!$I:$I,$H121)&gt;0,MEDIAN(IF('Processed Non-zero TRI Data'!$I:$I=H121,'Processed Non-zero TRI Data'!$S:$S)), "N/A - Facility Does Not Report to TRI")</f>
        <v>N/A - Facility Does Not Report to TRI</v>
      </c>
      <c r="AA121" s="33" t="str">
        <f t="shared" si="17"/>
        <v>N/A - Facility Does Not Report to TRI</v>
      </c>
      <c r="AB121" s="33" t="str">
        <f>IF(COUNTIF('Processed Non-zero TRI Data'!$I:$I,$H121)&gt;0,_xlfn.MAXIFS('Processed Non-zero TRI Data'!$S:$S,'Processed Non-zero TRI Data'!$I:$I,$H121), "N/A - Facility Does Not Report to TRI")</f>
        <v>N/A - Facility Does Not Report to TRI</v>
      </c>
      <c r="AC121" s="33" t="str">
        <f t="shared" si="18"/>
        <v>N/A - Facility Does Not Report to TRI</v>
      </c>
      <c r="AD121" s="110" t="str" cm="1">
        <f t="array" ref="AD121">IFERROR(IF(B121 = "TRI Form R", IF(AB121 = 0, "Facility has no on-site water discharges between 2019-2023.",  IF(COUNTIF('Processed Non-zero TRI Data'!$I:$I,$H121)&gt;0,INDEX('Processed Non-zero TRI Data'!$A:$A,MATCH(1,($H121='Processed Non-zero TRI Data'!$I:$I)*(AB121='Processed Non-zero TRI Data'!$S:$S),0)))), VLOOKUP(H121, 'Form A Recent Reporting'!$L:$M, 2, FALSE)), ("N/A - Facility Does Not Report to TRI"))</f>
        <v>N/A - Facility Does Not Report to TRI</v>
      </c>
      <c r="AE121" s="109" cm="1">
        <f t="array" ref="AE121">IFERROR(_xlfn.XLOOKUP(1,  (MAX(IF(H121 = 'Processed Non-zero TRI Data'!$I:$I,'Processed Non-zero TRI Data'!$A:$A)) = 'Processed Non-zero TRI Data'!$A:$A)*('Processed Non-zero TRI Data'!$I:$I = H121), 'Processed Non-zero TRI Data'!$U:$U), "N/A- Facility Does Not Report to TRI")</f>
        <v>0</v>
      </c>
      <c r="AF121" s="33">
        <f t="shared" si="19"/>
        <v>0</v>
      </c>
      <c r="AG121" s="33" t="str" cm="1">
        <f t="array" ref="AG121">IF(COUNTIF('Processed Non-zero TRI Data'!$I:$I,$H121)&gt;0,MEDIAN(IF('Processed Non-zero TRI Data'!$I:$I=H121,'Processed Non-zero TRI Data'!$U:$U)), "N/A - Facility Does Not Report to TRI")</f>
        <v>N/A - Facility Does Not Report to TRI</v>
      </c>
      <c r="AH121" s="33" t="str">
        <f t="shared" si="20"/>
        <v>N/A - Facility Does Not Report to TRI</v>
      </c>
      <c r="AI121" s="33" t="str">
        <f>IF(COUNTIF('Processed Non-zero TRI Data'!$I:$I,$H121)&gt;0,_xlfn.MAXIFS('Processed Non-zero TRI Data'!$U:$U,'Processed Non-zero TRI Data'!$I:$I,$H121), "N/A - Facility Does Not Report to TRI")</f>
        <v>N/A - Facility Does Not Report to TRI</v>
      </c>
      <c r="AJ121" s="33" t="str">
        <f t="shared" si="21"/>
        <v>N/A - Facility Does Not Report to TRI</v>
      </c>
      <c r="AK121" s="110" t="str" cm="1">
        <f t="array" ref="AK121">IF(B121="TRI Form A",AD121,IF(AI121=0,"Facility has no transfers to POTWs between 2019-2023.",IF(COUNTIF('Processed Non-zero TRI Data'!$I:$I,$H121)&gt;0,INDEX('Processed Non-zero TRI Data'!$A:$A,MATCH(1,($H121='Processed Non-zero TRI Data'!$I:$I)*(AI121='Processed Non-zero TRI Data'!$U:$U),0)),"N/A - Facility Does Not Report to TRI")))</f>
        <v>N/A - Facility Does Not Report to TRI</v>
      </c>
      <c r="AL121" s="109" cm="1">
        <f t="array" ref="AL121">IFERROR(_xlfn.XLOOKUP(1,  (MAX(IF(H121 = 'Processed Non-zero TRI Data'!$I$2:$I$23,'Processed Non-zero TRI Data'!$A$2:$A$23)) = 'Processed Non-zero TRI Data'!$A$2:$A$23)*('Processed Non-zero TRI Data'!$I$2:$I$23 = H121), 'Processed Non-zero TRI Data'!$W$2:$W$23), "N/A- Facility Does Not Report to TRI")</f>
        <v>0</v>
      </c>
      <c r="AM121" s="33">
        <f t="shared" si="22"/>
        <v>0</v>
      </c>
      <c r="AN121" s="33" t="str" cm="1">
        <f t="array" ref="AN121">IF(COUNTIF('Processed Non-zero TRI Data'!$I:$I,$H121)&gt;0,MEDIAN(IF('Processed Non-zero TRI Data'!$I:$I=H121,'Processed Non-zero TRI Data'!$W:$W)), "N/A - Facility Does Not Report to TRI")</f>
        <v>N/A - Facility Does Not Report to TRI</v>
      </c>
      <c r="AO121" s="33" t="str">
        <f t="shared" si="23"/>
        <v>N/A - Facility Does Not Report to TRI</v>
      </c>
      <c r="AP121" s="33" t="str">
        <f>IF(COUNTIF('Processed Non-zero TRI Data'!$I:$I,$H121)&gt;0,_xlfn.MAXIFS('Processed Non-zero TRI Data'!$W:$W,'Processed Non-zero TRI Data'!$I:$I,$H121), "N/A - Facility Does Not Report to TRI")</f>
        <v>N/A - Facility Does Not Report to TRI</v>
      </c>
      <c r="AQ121" s="33" t="str">
        <f t="shared" si="24"/>
        <v>N/A - Facility Does Not Report to TRI</v>
      </c>
      <c r="AR121" s="110" t="str" cm="1">
        <f t="array" ref="AR121">IF(B121="TRI Form A",AD121,IF(AP121=0,"Facility has no transfers to non-POTWs between 2019-2023.",IF(COUNTIF('Processed Non-zero TRI Data'!$I:$I,$H121)&gt;0,INDEX('Processed Non-zero TRI Data'!$A:$A,MATCH(1,($H121='Processed Non-zero TRI Data'!$I:$I)*(AP121='Processed Non-zero TRI Data'!$W:$W),0)),"N/A - Facility Does Not Report to TRI")))</f>
        <v>N/A - Facility Does Not Report to TRI</v>
      </c>
    </row>
    <row r="122" spans="1:44" ht="29" x14ac:dyDescent="0.35">
      <c r="A122" s="34">
        <v>119</v>
      </c>
      <c r="B122" s="33" t="str">
        <f>IFERROR("TRI Form "&amp;VLOOKUP(H122,'Processed Non-zero TRI Data'!$I$2:$K$23,3,FALSE),"DMR")</f>
        <v>DMR</v>
      </c>
      <c r="C122" s="33" t="str">
        <f>VLOOKUP($D122, 'COU.OES Summary'!C:D, 2, FALSE)</f>
        <v> </v>
      </c>
      <c r="D122" s="33" t="str">
        <f>IFERROR(VLOOKUP($H122, 'Processed Non-zero TRI Data'!$I:$O, 7, FALSE), VLOOKUP($I122, 'Processed Non-zero DMR Data'!$K:$R, 8, FALSE))</f>
        <v>Waste handling, treatment, and disposal - POTW</v>
      </c>
      <c r="E122" s="34" t="s">
        <v>332</v>
      </c>
      <c r="F122" s="34" t="s">
        <v>333</v>
      </c>
      <c r="G122" s="34" t="s">
        <v>108</v>
      </c>
      <c r="H122" s="34"/>
      <c r="I122" s="105">
        <v>110000719045</v>
      </c>
      <c r="J122" s="33" t="str">
        <f>IFERROR(VLOOKUP($I122, 'Processed Non-zero DMR Data'!$K:$U, 11, FALSE),"")</f>
        <v>KY0062995</v>
      </c>
      <c r="K122" s="33" t="str">
        <f>IFERROR(VLOOKUP($I122, 'Processed Non-zero DMR Data'!$K:$V, 12, FALSE),"Not Reported")</f>
        <v>Lily Creek-Cumberland River</v>
      </c>
      <c r="L122" s="106">
        <f>IFERROR(VLOOKUP($I122, 'Processed Non-zero DMR Data'!$K:$W, 13, FALSE),"No Reach Code Reported")</f>
        <v>51301030602</v>
      </c>
      <c r="M122" s="107" t="str">
        <f>IFERROR(IFERROR(VLOOKUP(H122, 'Off-site Locations'!$K$3:$O$5, 5, FALSE), VLOOKUP(H122, 'Off-site Locations'!$B$3:$E$4, 4, FALSE)), "No Offsite Transfers")</f>
        <v>No Offsite Transfers</v>
      </c>
      <c r="N122" s="33">
        <f>VLOOKUP($D122, 'COU.OES Summary'!C:E, 3, FALSE)</f>
        <v>365</v>
      </c>
      <c r="O122" s="108">
        <f t="shared" si="14"/>
        <v>0</v>
      </c>
      <c r="P122" s="108">
        <f t="shared" si="15"/>
        <v>0.69628860000000004</v>
      </c>
      <c r="Q122" s="109" cm="1">
        <f t="array" ref="Q122">IFERROR(_xlfn.XLOOKUP(1,  (MAX(IF(I122 = 'Processed Non-zero DMR Data'!$K:$K,'Processed Non-zero DMR Data'!$A:$A)) = 'Processed Non-zero DMR Data'!$A:$A)*('Processed Non-zero DMR Data'!$K:$K = I122),'Processed Non-zero DMR Data'!$T:$T), "N/A- Facility Does Not Report DMRs")</f>
        <v>0.5353409375</v>
      </c>
      <c r="R122" s="33">
        <f t="shared" si="25"/>
        <v>1.4666875000000001E-3</v>
      </c>
      <c r="S122" s="33" cm="1">
        <f t="array" ref="S122">IF(COUNTIF('Processed Non-zero DMR Data'!$K:$K,$I122)&gt;0,MEDIAN(IF('Processed Non-zero DMR Data'!$K:$K=I122,'Processed Non-zero DMR Data'!$T:$T)),"N/A - Facility Does Not Report DMRs")</f>
        <v>0.61581476874999996</v>
      </c>
      <c r="T122" s="33">
        <f t="shared" si="26"/>
        <v>1.6871637499999998E-3</v>
      </c>
      <c r="U122" s="33">
        <f>IF(COUNTIF('Processed Non-zero DMR Data'!$K:$K,$I122)&gt;0,_xlfn.MAXIFS('Processed Non-zero DMR Data'!$T:$T,'Processed Non-zero DMR Data'!$K:$K,$I122), "N/A - Facility Does Not Report DMRs")</f>
        <v>0.69628860000000004</v>
      </c>
      <c r="V122" s="33">
        <f t="shared" si="27"/>
        <v>1.9076400000000002E-3</v>
      </c>
      <c r="W122" s="110" cm="1">
        <f t="array" ref="W122">IF(COUNTIF('Processed Non-zero DMR Data'!$K:$K,$I122)&gt;0,INDEX('Processed Non-zero DMR Data'!$A:$A,MATCH(1,($I122='Processed Non-zero DMR Data'!$K:$K)*($U122='Processed Non-zero DMR Data'!$T:$T),0)), "N/A - Facility Does Not Report DMRs")</f>
        <v>2019</v>
      </c>
      <c r="X122" s="109" cm="1">
        <f t="array" ref="X122">IFERROR(_xlfn.XLOOKUP(1,  (MAX(IF(H122 = 'Processed Non-zero TRI Data'!$I:$I,'Processed Non-zero TRI Data'!$A:$A)) = 'Processed Non-zero TRI Data'!$A:$A)*('Processed Non-zero TRI Data'!$I:$I = H122), 'Processed Non-zero TRI Data'!$S:$S), "N/A- Facility Does Not Report to TRI")</f>
        <v>0</v>
      </c>
      <c r="Y122" s="33">
        <f t="shared" si="16"/>
        <v>0</v>
      </c>
      <c r="Z122" s="33" t="str" cm="1">
        <f t="array" ref="Z122">IF(COUNTIF('Processed Non-zero TRI Data'!$I:$I,$H122)&gt;0,MEDIAN(IF('Processed Non-zero TRI Data'!$I:$I=H122,'Processed Non-zero TRI Data'!$S:$S)), "N/A - Facility Does Not Report to TRI")</f>
        <v>N/A - Facility Does Not Report to TRI</v>
      </c>
      <c r="AA122" s="33" t="str">
        <f t="shared" si="17"/>
        <v>N/A - Facility Does Not Report to TRI</v>
      </c>
      <c r="AB122" s="33" t="str">
        <f>IF(COUNTIF('Processed Non-zero TRI Data'!$I:$I,$H122)&gt;0,_xlfn.MAXIFS('Processed Non-zero TRI Data'!$S:$S,'Processed Non-zero TRI Data'!$I:$I,$H122), "N/A - Facility Does Not Report to TRI")</f>
        <v>N/A - Facility Does Not Report to TRI</v>
      </c>
      <c r="AC122" s="33" t="str">
        <f t="shared" si="18"/>
        <v>N/A - Facility Does Not Report to TRI</v>
      </c>
      <c r="AD122" s="110" t="str" cm="1">
        <f t="array" ref="AD122">IFERROR(IF(B122 = "TRI Form R", IF(AB122 = 0, "Facility has no on-site water discharges between 2019-2023.",  IF(COUNTIF('Processed Non-zero TRI Data'!$I:$I,$H122)&gt;0,INDEX('Processed Non-zero TRI Data'!$A:$A,MATCH(1,($H122='Processed Non-zero TRI Data'!$I:$I)*(AB122='Processed Non-zero TRI Data'!$S:$S),0)))), VLOOKUP(H122, 'Form A Recent Reporting'!$L:$M, 2, FALSE)), ("N/A - Facility Does Not Report to TRI"))</f>
        <v>N/A - Facility Does Not Report to TRI</v>
      </c>
      <c r="AE122" s="109" cm="1">
        <f t="array" ref="AE122">IFERROR(_xlfn.XLOOKUP(1,  (MAX(IF(H122 = 'Processed Non-zero TRI Data'!$I:$I,'Processed Non-zero TRI Data'!$A:$A)) = 'Processed Non-zero TRI Data'!$A:$A)*('Processed Non-zero TRI Data'!$I:$I = H122), 'Processed Non-zero TRI Data'!$U:$U), "N/A- Facility Does Not Report to TRI")</f>
        <v>0</v>
      </c>
      <c r="AF122" s="33">
        <f t="shared" si="19"/>
        <v>0</v>
      </c>
      <c r="AG122" s="33" t="str" cm="1">
        <f t="array" ref="AG122">IF(COUNTIF('Processed Non-zero TRI Data'!$I:$I,$H122)&gt;0,MEDIAN(IF('Processed Non-zero TRI Data'!$I:$I=H122,'Processed Non-zero TRI Data'!$U:$U)), "N/A - Facility Does Not Report to TRI")</f>
        <v>N/A - Facility Does Not Report to TRI</v>
      </c>
      <c r="AH122" s="33" t="str">
        <f t="shared" si="20"/>
        <v>N/A - Facility Does Not Report to TRI</v>
      </c>
      <c r="AI122" s="33" t="str">
        <f>IF(COUNTIF('Processed Non-zero TRI Data'!$I:$I,$H122)&gt;0,_xlfn.MAXIFS('Processed Non-zero TRI Data'!$U:$U,'Processed Non-zero TRI Data'!$I:$I,$H122), "N/A - Facility Does Not Report to TRI")</f>
        <v>N/A - Facility Does Not Report to TRI</v>
      </c>
      <c r="AJ122" s="33" t="str">
        <f t="shared" si="21"/>
        <v>N/A - Facility Does Not Report to TRI</v>
      </c>
      <c r="AK122" s="110" t="str" cm="1">
        <f t="array" ref="AK122">IF(B122="TRI Form A",AD122,IF(AI122=0,"Facility has no transfers to POTWs between 2019-2023.",IF(COUNTIF('Processed Non-zero TRI Data'!$I:$I,$H122)&gt;0,INDEX('Processed Non-zero TRI Data'!$A:$A,MATCH(1,($H122='Processed Non-zero TRI Data'!$I:$I)*(AI122='Processed Non-zero TRI Data'!$U:$U),0)),"N/A - Facility Does Not Report to TRI")))</f>
        <v>N/A - Facility Does Not Report to TRI</v>
      </c>
      <c r="AL122" s="109" cm="1">
        <f t="array" ref="AL122">IFERROR(_xlfn.XLOOKUP(1,  (MAX(IF(H122 = 'Processed Non-zero TRI Data'!$I$2:$I$23,'Processed Non-zero TRI Data'!$A$2:$A$23)) = 'Processed Non-zero TRI Data'!$A$2:$A$23)*('Processed Non-zero TRI Data'!$I$2:$I$23 = H122), 'Processed Non-zero TRI Data'!$W$2:$W$23), "N/A- Facility Does Not Report to TRI")</f>
        <v>0</v>
      </c>
      <c r="AM122" s="33">
        <f t="shared" si="22"/>
        <v>0</v>
      </c>
      <c r="AN122" s="33" t="str" cm="1">
        <f t="array" ref="AN122">IF(COUNTIF('Processed Non-zero TRI Data'!$I:$I,$H122)&gt;0,MEDIAN(IF('Processed Non-zero TRI Data'!$I:$I=H122,'Processed Non-zero TRI Data'!$W:$W)), "N/A - Facility Does Not Report to TRI")</f>
        <v>N/A - Facility Does Not Report to TRI</v>
      </c>
      <c r="AO122" s="33" t="str">
        <f t="shared" si="23"/>
        <v>N/A - Facility Does Not Report to TRI</v>
      </c>
      <c r="AP122" s="33" t="str">
        <f>IF(COUNTIF('Processed Non-zero TRI Data'!$I:$I,$H122)&gt;0,_xlfn.MAXIFS('Processed Non-zero TRI Data'!$W:$W,'Processed Non-zero TRI Data'!$I:$I,$H122), "N/A - Facility Does Not Report to TRI")</f>
        <v>N/A - Facility Does Not Report to TRI</v>
      </c>
      <c r="AQ122" s="33" t="str">
        <f t="shared" si="24"/>
        <v>N/A - Facility Does Not Report to TRI</v>
      </c>
      <c r="AR122" s="110" t="str" cm="1">
        <f t="array" ref="AR122">IF(B122="TRI Form A",AD122,IF(AP122=0,"Facility has no transfers to non-POTWs between 2019-2023.",IF(COUNTIF('Processed Non-zero TRI Data'!$I:$I,$H122)&gt;0,INDEX('Processed Non-zero TRI Data'!$A:$A,MATCH(1,($H122='Processed Non-zero TRI Data'!$I:$I)*(AP122='Processed Non-zero TRI Data'!$W:$W),0)),"N/A - Facility Does Not Report to TRI")))</f>
        <v>N/A - Facility Does Not Report to TRI</v>
      </c>
    </row>
    <row r="123" spans="1:44" ht="29" x14ac:dyDescent="0.35">
      <c r="A123" s="34">
        <v>120</v>
      </c>
      <c r="B123" s="33" t="str">
        <f>IFERROR("TRI Form "&amp;VLOOKUP(H123,'Processed Non-zero TRI Data'!$I$2:$K$23,3,FALSE),"DMR")</f>
        <v>DMR</v>
      </c>
      <c r="C123" s="33" t="str">
        <f>VLOOKUP($D123, 'COU.OES Summary'!C:D, 2, FALSE)</f>
        <v> </v>
      </c>
      <c r="D123" s="33" t="str">
        <f>IFERROR(VLOOKUP($H123, 'Processed Non-zero TRI Data'!$I:$O, 7, FALSE), VLOOKUP($I123, 'Processed Non-zero DMR Data'!$K:$R, 8, FALSE))</f>
        <v>Waste handling, treatment, and disposal - Remediation or Monitoring</v>
      </c>
      <c r="E123" s="34" t="s">
        <v>334</v>
      </c>
      <c r="F123" s="34" t="s">
        <v>335</v>
      </c>
      <c r="G123" s="34" t="s">
        <v>102</v>
      </c>
      <c r="H123" s="34"/>
      <c r="I123" s="105">
        <v>110064624018</v>
      </c>
      <c r="J123" s="33" t="str">
        <f>IFERROR(VLOOKUP($I123, 'Processed Non-zero DMR Data'!$K:$U, 11, FALSE),"")</f>
        <v>CA0057827</v>
      </c>
      <c r="K123" s="33" t="str">
        <f>IFERROR(VLOOKUP($I123, 'Processed Non-zero DMR Data'!$K:$V, 12, FALSE),"Not Reported")</f>
        <v>Ballona Creek</v>
      </c>
      <c r="L123" s="106">
        <f>IFERROR(VLOOKUP($I123, 'Processed Non-zero DMR Data'!$K:$W, 13, FALSE),"No Reach Code Reported")</f>
        <v>180701040300</v>
      </c>
      <c r="M123" s="107" t="str">
        <f>IFERROR(IFERROR(VLOOKUP(H123, 'Off-site Locations'!$K$3:$O$5, 5, FALSE), VLOOKUP(H123, 'Off-site Locations'!$B$3:$E$4, 4, FALSE)), "No Offsite Transfers")</f>
        <v>No Offsite Transfers</v>
      </c>
      <c r="N123" s="33">
        <f>VLOOKUP($D123, 'COU.OES Summary'!C:E, 3, FALSE)</f>
        <v>365</v>
      </c>
      <c r="O123" s="108">
        <f t="shared" si="14"/>
        <v>0</v>
      </c>
      <c r="P123" s="108">
        <f t="shared" si="15"/>
        <v>1.1066015250000001</v>
      </c>
      <c r="Q123" s="109" cm="1">
        <f t="array" ref="Q123">IFERROR(_xlfn.XLOOKUP(1,  (MAX(IF(I123 = 'Processed Non-zero DMR Data'!$K:$K,'Processed Non-zero DMR Data'!$A:$A)) = 'Processed Non-zero DMR Data'!$A:$A)*('Processed Non-zero DMR Data'!$K:$K = I123),'Processed Non-zero DMR Data'!$T:$T), "N/A- Facility Does Not Report DMRs")</f>
        <v>0.39062619375000002</v>
      </c>
      <c r="R123" s="33">
        <f t="shared" si="25"/>
        <v>1.07020875E-3</v>
      </c>
      <c r="S123" s="33" cm="1">
        <f t="array" ref="S123">IF(COUNTIF('Processed Non-zero DMR Data'!$K:$K,$I123)&gt;0,MEDIAN(IF('Processed Non-zero DMR Data'!$K:$K=I123,'Processed Non-zero DMR Data'!$T:$T)),"N/A - Facility Does Not Report DMRs")</f>
        <v>0.39062619375000002</v>
      </c>
      <c r="T123" s="33">
        <f t="shared" si="26"/>
        <v>1.07020875E-3</v>
      </c>
      <c r="U123" s="33">
        <f>IF(COUNTIF('Processed Non-zero DMR Data'!$K:$K,$I123)&gt;0,_xlfn.MAXIFS('Processed Non-zero DMR Data'!$T:$T,'Processed Non-zero DMR Data'!$K:$K,$I123), "N/A - Facility Does Not Report DMRs")</f>
        <v>1.1066015250000001</v>
      </c>
      <c r="V123" s="33">
        <f t="shared" si="27"/>
        <v>3.0317850000000004E-3</v>
      </c>
      <c r="W123" s="110" cm="1">
        <f t="array" ref="W123">IF(COUNTIF('Processed Non-zero DMR Data'!$K:$K,$I123)&gt;0,INDEX('Processed Non-zero DMR Data'!$A:$A,MATCH(1,($I123='Processed Non-zero DMR Data'!$K:$K)*($U123='Processed Non-zero DMR Data'!$T:$T),0)), "N/A - Facility Does Not Report DMRs")</f>
        <v>2022</v>
      </c>
      <c r="X123" s="109" cm="1">
        <f t="array" ref="X123">IFERROR(_xlfn.XLOOKUP(1,  (MAX(IF(H123 = 'Processed Non-zero TRI Data'!$I:$I,'Processed Non-zero TRI Data'!$A:$A)) = 'Processed Non-zero TRI Data'!$A:$A)*('Processed Non-zero TRI Data'!$I:$I = H123), 'Processed Non-zero TRI Data'!$S:$S), "N/A- Facility Does Not Report to TRI")</f>
        <v>0</v>
      </c>
      <c r="Y123" s="33">
        <f t="shared" si="16"/>
        <v>0</v>
      </c>
      <c r="Z123" s="33" t="str" cm="1">
        <f t="array" ref="Z123">IF(COUNTIF('Processed Non-zero TRI Data'!$I:$I,$H123)&gt;0,MEDIAN(IF('Processed Non-zero TRI Data'!$I:$I=H123,'Processed Non-zero TRI Data'!$S:$S)), "N/A - Facility Does Not Report to TRI")</f>
        <v>N/A - Facility Does Not Report to TRI</v>
      </c>
      <c r="AA123" s="33" t="str">
        <f t="shared" si="17"/>
        <v>N/A - Facility Does Not Report to TRI</v>
      </c>
      <c r="AB123" s="33" t="str">
        <f>IF(COUNTIF('Processed Non-zero TRI Data'!$I:$I,$H123)&gt;0,_xlfn.MAXIFS('Processed Non-zero TRI Data'!$S:$S,'Processed Non-zero TRI Data'!$I:$I,$H123), "N/A - Facility Does Not Report to TRI")</f>
        <v>N/A - Facility Does Not Report to TRI</v>
      </c>
      <c r="AC123" s="33" t="str">
        <f t="shared" si="18"/>
        <v>N/A - Facility Does Not Report to TRI</v>
      </c>
      <c r="AD123" s="110" t="str" cm="1">
        <f t="array" ref="AD123">IFERROR(IF(B123 = "TRI Form R", IF(AB123 = 0, "Facility has no on-site water discharges between 2019-2023.",  IF(COUNTIF('Processed Non-zero TRI Data'!$I:$I,$H123)&gt;0,INDEX('Processed Non-zero TRI Data'!$A:$A,MATCH(1,($H123='Processed Non-zero TRI Data'!$I:$I)*(AB123='Processed Non-zero TRI Data'!$S:$S),0)))), VLOOKUP(H123, 'Form A Recent Reporting'!$L:$M, 2, FALSE)), ("N/A - Facility Does Not Report to TRI"))</f>
        <v>N/A - Facility Does Not Report to TRI</v>
      </c>
      <c r="AE123" s="109" cm="1">
        <f t="array" ref="AE123">IFERROR(_xlfn.XLOOKUP(1,  (MAX(IF(H123 = 'Processed Non-zero TRI Data'!$I:$I,'Processed Non-zero TRI Data'!$A:$A)) = 'Processed Non-zero TRI Data'!$A:$A)*('Processed Non-zero TRI Data'!$I:$I = H123), 'Processed Non-zero TRI Data'!$U:$U), "N/A- Facility Does Not Report to TRI")</f>
        <v>0</v>
      </c>
      <c r="AF123" s="33">
        <f t="shared" si="19"/>
        <v>0</v>
      </c>
      <c r="AG123" s="33" t="str" cm="1">
        <f t="array" ref="AG123">IF(COUNTIF('Processed Non-zero TRI Data'!$I:$I,$H123)&gt;0,MEDIAN(IF('Processed Non-zero TRI Data'!$I:$I=H123,'Processed Non-zero TRI Data'!$U:$U)), "N/A - Facility Does Not Report to TRI")</f>
        <v>N/A - Facility Does Not Report to TRI</v>
      </c>
      <c r="AH123" s="33" t="str">
        <f t="shared" si="20"/>
        <v>N/A - Facility Does Not Report to TRI</v>
      </c>
      <c r="AI123" s="33" t="str">
        <f>IF(COUNTIF('Processed Non-zero TRI Data'!$I:$I,$H123)&gt;0,_xlfn.MAXIFS('Processed Non-zero TRI Data'!$U:$U,'Processed Non-zero TRI Data'!$I:$I,$H123), "N/A - Facility Does Not Report to TRI")</f>
        <v>N/A - Facility Does Not Report to TRI</v>
      </c>
      <c r="AJ123" s="33" t="str">
        <f t="shared" si="21"/>
        <v>N/A - Facility Does Not Report to TRI</v>
      </c>
      <c r="AK123" s="110" t="str" cm="1">
        <f t="array" ref="AK123">IF(B123="TRI Form A",AD123,IF(AI123=0,"Facility has no transfers to POTWs between 2019-2023.",IF(COUNTIF('Processed Non-zero TRI Data'!$I:$I,$H123)&gt;0,INDEX('Processed Non-zero TRI Data'!$A:$A,MATCH(1,($H123='Processed Non-zero TRI Data'!$I:$I)*(AI123='Processed Non-zero TRI Data'!$U:$U),0)),"N/A - Facility Does Not Report to TRI")))</f>
        <v>N/A - Facility Does Not Report to TRI</v>
      </c>
      <c r="AL123" s="109" cm="1">
        <f t="array" ref="AL123">IFERROR(_xlfn.XLOOKUP(1,  (MAX(IF(H123 = 'Processed Non-zero TRI Data'!$I$2:$I$23,'Processed Non-zero TRI Data'!$A$2:$A$23)) = 'Processed Non-zero TRI Data'!$A$2:$A$23)*('Processed Non-zero TRI Data'!$I$2:$I$23 = H123), 'Processed Non-zero TRI Data'!$W$2:$W$23), "N/A- Facility Does Not Report to TRI")</f>
        <v>0</v>
      </c>
      <c r="AM123" s="33">
        <f t="shared" si="22"/>
        <v>0</v>
      </c>
      <c r="AN123" s="33" t="str" cm="1">
        <f t="array" ref="AN123">IF(COUNTIF('Processed Non-zero TRI Data'!$I:$I,$H123)&gt;0,MEDIAN(IF('Processed Non-zero TRI Data'!$I:$I=H123,'Processed Non-zero TRI Data'!$W:$W)), "N/A - Facility Does Not Report to TRI")</f>
        <v>N/A - Facility Does Not Report to TRI</v>
      </c>
      <c r="AO123" s="33" t="str">
        <f t="shared" si="23"/>
        <v>N/A - Facility Does Not Report to TRI</v>
      </c>
      <c r="AP123" s="33" t="str">
        <f>IF(COUNTIF('Processed Non-zero TRI Data'!$I:$I,$H123)&gt;0,_xlfn.MAXIFS('Processed Non-zero TRI Data'!$W:$W,'Processed Non-zero TRI Data'!$I:$I,$H123), "N/A - Facility Does Not Report to TRI")</f>
        <v>N/A - Facility Does Not Report to TRI</v>
      </c>
      <c r="AQ123" s="33" t="str">
        <f t="shared" si="24"/>
        <v>N/A - Facility Does Not Report to TRI</v>
      </c>
      <c r="AR123" s="110" t="str" cm="1">
        <f t="array" ref="AR123">IF(B123="TRI Form A",AD123,IF(AP123=0,"Facility has no transfers to non-POTWs between 2019-2023.",IF(COUNTIF('Processed Non-zero TRI Data'!$I:$I,$H123)&gt;0,INDEX('Processed Non-zero TRI Data'!$A:$A,MATCH(1,($H123='Processed Non-zero TRI Data'!$I:$I)*(AP123='Processed Non-zero TRI Data'!$W:$W),0)),"N/A - Facility Does Not Report to TRI")))</f>
        <v>N/A - Facility Does Not Report to TRI</v>
      </c>
    </row>
    <row r="124" spans="1:44" ht="29" x14ac:dyDescent="0.35">
      <c r="A124" s="34">
        <v>121</v>
      </c>
      <c r="B124" s="33" t="str">
        <f>IFERROR("TRI Form "&amp;VLOOKUP(H124,'Processed Non-zero TRI Data'!$I$2:$K$23,3,FALSE),"DMR")</f>
        <v>DMR</v>
      </c>
      <c r="C124" s="33" t="str">
        <f>VLOOKUP($D124, 'COU.OES Summary'!C:D, 2, FALSE)</f>
        <v> </v>
      </c>
      <c r="D124" s="33" t="str">
        <f>IFERROR(VLOOKUP($H124, 'Processed Non-zero TRI Data'!$I:$O, 7, FALSE), VLOOKUP($I124, 'Processed Non-zero DMR Data'!$K:$R, 8, FALSE))</f>
        <v>Waste handling, treatment, and disposal - Remediation or Monitoring</v>
      </c>
      <c r="E124" s="34" t="s">
        <v>336</v>
      </c>
      <c r="F124" s="34" t="s">
        <v>337</v>
      </c>
      <c r="G124" s="34" t="s">
        <v>221</v>
      </c>
      <c r="H124" s="34"/>
      <c r="I124" s="105">
        <v>110004306938</v>
      </c>
      <c r="J124" s="33" t="str">
        <f>IFERROR(VLOOKUP($I124, 'Processed Non-zero DMR Data'!$K:$U, 11, FALSE),"")</f>
        <v>NV0022888</v>
      </c>
      <c r="K124" s="33" t="str">
        <f>IFERROR(VLOOKUP($I124, 'Processed Non-zero DMR Data'!$K:$V, 12, FALSE),"Not Reported")</f>
        <v>City of Las Vegas-Las Vegas Wash</v>
      </c>
      <c r="L124" s="106">
        <f>IFERROR(VLOOKUP($I124, 'Processed Non-zero DMR Data'!$K:$W, 13, FALSE),"No Reach Code Reported")</f>
        <v>150100150604</v>
      </c>
      <c r="M124" s="107" t="str">
        <f>IFERROR(IFERROR(VLOOKUP(H124, 'Off-site Locations'!$K$3:$O$5, 5, FALSE), VLOOKUP(H124, 'Off-site Locations'!$B$3:$E$4, 4, FALSE)), "No Offsite Transfers")</f>
        <v>No Offsite Transfers</v>
      </c>
      <c r="N124" s="33">
        <f>VLOOKUP($D124, 'COU.OES Summary'!C:E, 3, FALSE)</f>
        <v>365</v>
      </c>
      <c r="O124" s="108">
        <f t="shared" si="14"/>
        <v>0</v>
      </c>
      <c r="P124" s="108">
        <f t="shared" si="15"/>
        <v>0.75567345212500003</v>
      </c>
      <c r="Q124" s="109" cm="1">
        <f t="array" ref="Q124">IFERROR(_xlfn.XLOOKUP(1,  (MAX(IF(I124 = 'Processed Non-zero DMR Data'!$K:$K,'Processed Non-zero DMR Data'!$A:$A)) = 'Processed Non-zero DMR Data'!$A:$A)*('Processed Non-zero DMR Data'!$K:$K = I124),'Processed Non-zero DMR Data'!$T:$T), "N/A- Facility Does Not Report DMRs")</f>
        <v>0.75567345212500003</v>
      </c>
      <c r="R124" s="33">
        <f t="shared" si="25"/>
        <v>2.0703382250000001E-3</v>
      </c>
      <c r="S124" s="33" cm="1">
        <f t="array" ref="S124">IF(COUNTIF('Processed Non-zero DMR Data'!$K:$K,$I124)&gt;0,MEDIAN(IF('Processed Non-zero DMR Data'!$K:$K=I124,'Processed Non-zero DMR Data'!$T:$T)),"N/A - Facility Does Not Report DMRs")</f>
        <v>0.26435826256250006</v>
      </c>
      <c r="T124" s="33">
        <f t="shared" si="26"/>
        <v>7.2426921250000017E-4</v>
      </c>
      <c r="U124" s="33">
        <f>IF(COUNTIF('Processed Non-zero DMR Data'!$K:$K,$I124)&gt;0,_xlfn.MAXIFS('Processed Non-zero DMR Data'!$T:$T,'Processed Non-zero DMR Data'!$K:$K,$I124), "N/A - Facility Does Not Report DMRs")</f>
        <v>0.75567345212500003</v>
      </c>
      <c r="V124" s="33">
        <f t="shared" si="27"/>
        <v>2.0703382250000001E-3</v>
      </c>
      <c r="W124" s="110" cm="1">
        <f t="array" ref="W124">IF(COUNTIF('Processed Non-zero DMR Data'!$K:$K,$I124)&gt;0,INDEX('Processed Non-zero DMR Data'!$A:$A,MATCH(1,($I124='Processed Non-zero DMR Data'!$K:$K)*($U124='Processed Non-zero DMR Data'!$T:$T),0)), "N/A - Facility Does Not Report DMRs")</f>
        <v>2023</v>
      </c>
      <c r="X124" s="109" cm="1">
        <f t="array" ref="X124">IFERROR(_xlfn.XLOOKUP(1,  (MAX(IF(H124 = 'Processed Non-zero TRI Data'!$I:$I,'Processed Non-zero TRI Data'!$A:$A)) = 'Processed Non-zero TRI Data'!$A:$A)*('Processed Non-zero TRI Data'!$I:$I = H124), 'Processed Non-zero TRI Data'!$S:$S), "N/A- Facility Does Not Report to TRI")</f>
        <v>0</v>
      </c>
      <c r="Y124" s="33">
        <f t="shared" si="16"/>
        <v>0</v>
      </c>
      <c r="Z124" s="33" t="str" cm="1">
        <f t="array" ref="Z124">IF(COUNTIF('Processed Non-zero TRI Data'!$I:$I,$H124)&gt;0,MEDIAN(IF('Processed Non-zero TRI Data'!$I:$I=H124,'Processed Non-zero TRI Data'!$S:$S)), "N/A - Facility Does Not Report to TRI")</f>
        <v>N/A - Facility Does Not Report to TRI</v>
      </c>
      <c r="AA124" s="33" t="str">
        <f t="shared" si="17"/>
        <v>N/A - Facility Does Not Report to TRI</v>
      </c>
      <c r="AB124" s="33" t="str">
        <f>IF(COUNTIF('Processed Non-zero TRI Data'!$I:$I,$H124)&gt;0,_xlfn.MAXIFS('Processed Non-zero TRI Data'!$S:$S,'Processed Non-zero TRI Data'!$I:$I,$H124), "N/A - Facility Does Not Report to TRI")</f>
        <v>N/A - Facility Does Not Report to TRI</v>
      </c>
      <c r="AC124" s="33" t="str">
        <f t="shared" si="18"/>
        <v>N/A - Facility Does Not Report to TRI</v>
      </c>
      <c r="AD124" s="110" t="str" cm="1">
        <f t="array" ref="AD124">IFERROR(IF(B124 = "TRI Form R", IF(AB124 = 0, "Facility has no on-site water discharges between 2019-2023.",  IF(COUNTIF('Processed Non-zero TRI Data'!$I:$I,$H124)&gt;0,INDEX('Processed Non-zero TRI Data'!$A:$A,MATCH(1,($H124='Processed Non-zero TRI Data'!$I:$I)*(AB124='Processed Non-zero TRI Data'!$S:$S),0)))), VLOOKUP(H124, 'Form A Recent Reporting'!$L:$M, 2, FALSE)), ("N/A - Facility Does Not Report to TRI"))</f>
        <v>N/A - Facility Does Not Report to TRI</v>
      </c>
      <c r="AE124" s="109" cm="1">
        <f t="array" ref="AE124">IFERROR(_xlfn.XLOOKUP(1,  (MAX(IF(H124 = 'Processed Non-zero TRI Data'!$I:$I,'Processed Non-zero TRI Data'!$A:$A)) = 'Processed Non-zero TRI Data'!$A:$A)*('Processed Non-zero TRI Data'!$I:$I = H124), 'Processed Non-zero TRI Data'!$U:$U), "N/A- Facility Does Not Report to TRI")</f>
        <v>0</v>
      </c>
      <c r="AF124" s="33">
        <f t="shared" si="19"/>
        <v>0</v>
      </c>
      <c r="AG124" s="33" t="str" cm="1">
        <f t="array" ref="AG124">IF(COUNTIF('Processed Non-zero TRI Data'!$I:$I,$H124)&gt;0,MEDIAN(IF('Processed Non-zero TRI Data'!$I:$I=H124,'Processed Non-zero TRI Data'!$U:$U)), "N/A - Facility Does Not Report to TRI")</f>
        <v>N/A - Facility Does Not Report to TRI</v>
      </c>
      <c r="AH124" s="33" t="str">
        <f t="shared" si="20"/>
        <v>N/A - Facility Does Not Report to TRI</v>
      </c>
      <c r="AI124" s="33" t="str">
        <f>IF(COUNTIF('Processed Non-zero TRI Data'!$I:$I,$H124)&gt;0,_xlfn.MAXIFS('Processed Non-zero TRI Data'!$U:$U,'Processed Non-zero TRI Data'!$I:$I,$H124), "N/A - Facility Does Not Report to TRI")</f>
        <v>N/A - Facility Does Not Report to TRI</v>
      </c>
      <c r="AJ124" s="33" t="str">
        <f t="shared" si="21"/>
        <v>N/A - Facility Does Not Report to TRI</v>
      </c>
      <c r="AK124" s="110" t="str" cm="1">
        <f t="array" ref="AK124">IF(B124="TRI Form A",AD124,IF(AI124=0,"Facility has no transfers to POTWs between 2019-2023.",IF(COUNTIF('Processed Non-zero TRI Data'!$I:$I,$H124)&gt;0,INDEX('Processed Non-zero TRI Data'!$A:$A,MATCH(1,($H124='Processed Non-zero TRI Data'!$I:$I)*(AI124='Processed Non-zero TRI Data'!$U:$U),0)),"N/A - Facility Does Not Report to TRI")))</f>
        <v>N/A - Facility Does Not Report to TRI</v>
      </c>
      <c r="AL124" s="109" cm="1">
        <f t="array" ref="AL124">IFERROR(_xlfn.XLOOKUP(1,  (MAX(IF(H124 = 'Processed Non-zero TRI Data'!$I$2:$I$23,'Processed Non-zero TRI Data'!$A$2:$A$23)) = 'Processed Non-zero TRI Data'!$A$2:$A$23)*('Processed Non-zero TRI Data'!$I$2:$I$23 = H124), 'Processed Non-zero TRI Data'!$W$2:$W$23), "N/A- Facility Does Not Report to TRI")</f>
        <v>0</v>
      </c>
      <c r="AM124" s="33">
        <f t="shared" si="22"/>
        <v>0</v>
      </c>
      <c r="AN124" s="33" t="str" cm="1">
        <f t="array" ref="AN124">IF(COUNTIF('Processed Non-zero TRI Data'!$I:$I,$H124)&gt;0,MEDIAN(IF('Processed Non-zero TRI Data'!$I:$I=H124,'Processed Non-zero TRI Data'!$W:$W)), "N/A - Facility Does Not Report to TRI")</f>
        <v>N/A - Facility Does Not Report to TRI</v>
      </c>
      <c r="AO124" s="33" t="str">
        <f t="shared" si="23"/>
        <v>N/A - Facility Does Not Report to TRI</v>
      </c>
      <c r="AP124" s="33" t="str">
        <f>IF(COUNTIF('Processed Non-zero TRI Data'!$I:$I,$H124)&gt;0,_xlfn.MAXIFS('Processed Non-zero TRI Data'!$W:$W,'Processed Non-zero TRI Data'!$I:$I,$H124), "N/A - Facility Does Not Report to TRI")</f>
        <v>N/A - Facility Does Not Report to TRI</v>
      </c>
      <c r="AQ124" s="33" t="str">
        <f t="shared" si="24"/>
        <v>N/A - Facility Does Not Report to TRI</v>
      </c>
      <c r="AR124" s="110" t="str" cm="1">
        <f t="array" ref="AR124">IF(B124="TRI Form A",AD124,IF(AP124=0,"Facility has no transfers to non-POTWs between 2019-2023.",IF(COUNTIF('Processed Non-zero TRI Data'!$I:$I,$H124)&gt;0,INDEX('Processed Non-zero TRI Data'!$A:$A,MATCH(1,($H124='Processed Non-zero TRI Data'!$I:$I)*(AP124='Processed Non-zero TRI Data'!$W:$W),0)),"N/A - Facility Does Not Report to TRI")))</f>
        <v>N/A - Facility Does Not Report to TRI</v>
      </c>
    </row>
    <row r="125" spans="1:44" ht="29" x14ac:dyDescent="0.35">
      <c r="A125" s="34">
        <v>122</v>
      </c>
      <c r="B125" s="33" t="str">
        <f>IFERROR("TRI Form "&amp;VLOOKUP(H125,'Processed Non-zero TRI Data'!$I$2:$K$23,3,FALSE),"DMR")</f>
        <v>DMR</v>
      </c>
      <c r="C125" s="33" t="str">
        <f>VLOOKUP($D125, 'COU.OES Summary'!C:D, 2, FALSE)</f>
        <v> </v>
      </c>
      <c r="D125" s="33" t="str">
        <f>IFERROR(VLOOKUP($H125, 'Processed Non-zero TRI Data'!$I:$O, 7, FALSE), VLOOKUP($I125, 'Processed Non-zero DMR Data'!$K:$R, 8, FALSE))</f>
        <v>Waste handling, treatment, and disposal - Remediation or Monitoring</v>
      </c>
      <c r="E125" s="34" t="s">
        <v>338</v>
      </c>
      <c r="F125" s="34" t="s">
        <v>339</v>
      </c>
      <c r="G125" s="34" t="s">
        <v>340</v>
      </c>
      <c r="H125" s="34"/>
      <c r="I125" s="105">
        <v>110059344473</v>
      </c>
      <c r="J125" s="33" t="str">
        <f>IFERROR(VLOOKUP($I125, 'Processed Non-zero DMR Data'!$K:$U, 11, FALSE),"")</f>
        <v>PA0006254</v>
      </c>
      <c r="K125" s="33" t="str">
        <f>IFERROR(VLOOKUP($I125, 'Processed Non-zero DMR Data'!$K:$V, 12, FALSE),"Not Reported")</f>
        <v>Sixmile Run-Ohio River</v>
      </c>
      <c r="L125" s="106">
        <f>IFERROR(VLOOKUP($I125, 'Processed Non-zero DMR Data'!$K:$W, 13, FALSE),"No Reach Code Reported")</f>
        <v>50301010310</v>
      </c>
      <c r="M125" s="107" t="str">
        <f>IFERROR(IFERROR(VLOOKUP(H125, 'Off-site Locations'!$K$3:$O$5, 5, FALSE), VLOOKUP(H125, 'Off-site Locations'!$B$3:$E$4, 4, FALSE)), "No Offsite Transfers")</f>
        <v>No Offsite Transfers</v>
      </c>
      <c r="N125" s="33">
        <f>VLOOKUP($D125, 'COU.OES Summary'!C:E, 3, FALSE)</f>
        <v>365</v>
      </c>
      <c r="O125" s="108">
        <f t="shared" si="14"/>
        <v>0</v>
      </c>
      <c r="P125" s="108">
        <f t="shared" si="15"/>
        <v>0.66283999999999998</v>
      </c>
      <c r="Q125" s="109" cm="1">
        <f t="array" ref="Q125">IFERROR(_xlfn.XLOOKUP(1,  (MAX(IF(I125 = 'Processed Non-zero DMR Data'!$K:$K,'Processed Non-zero DMR Data'!$A:$A)) = 'Processed Non-zero DMR Data'!$A:$A)*('Processed Non-zero DMR Data'!$K:$K = I125),'Processed Non-zero DMR Data'!$T:$T), "N/A- Facility Does Not Report DMRs")</f>
        <v>0.66283999999999998</v>
      </c>
      <c r="R125" s="33">
        <f t="shared" si="25"/>
        <v>1.8159999999999999E-3</v>
      </c>
      <c r="S125" s="33" cm="1">
        <f t="array" ref="S125">IF(COUNTIF('Processed Non-zero DMR Data'!$K:$K,$I125)&gt;0,MEDIAN(IF('Processed Non-zero DMR Data'!$K:$K=I125,'Processed Non-zero DMR Data'!$T:$T)),"N/A - Facility Does Not Report DMRs")</f>
        <v>0.66283999999999998</v>
      </c>
      <c r="T125" s="33">
        <f t="shared" si="26"/>
        <v>1.8159999999999999E-3</v>
      </c>
      <c r="U125" s="33">
        <f>IF(COUNTIF('Processed Non-zero DMR Data'!$K:$K,$I125)&gt;0,_xlfn.MAXIFS('Processed Non-zero DMR Data'!$T:$T,'Processed Non-zero DMR Data'!$K:$K,$I125), "N/A - Facility Does Not Report DMRs")</f>
        <v>0.66283999999999998</v>
      </c>
      <c r="V125" s="33">
        <f t="shared" si="27"/>
        <v>1.8159999999999999E-3</v>
      </c>
      <c r="W125" s="110" cm="1">
        <f t="array" ref="W125">IF(COUNTIF('Processed Non-zero DMR Data'!$K:$K,$I125)&gt;0,INDEX('Processed Non-zero DMR Data'!$A:$A,MATCH(1,($I125='Processed Non-zero DMR Data'!$K:$K)*($U125='Processed Non-zero DMR Data'!$T:$T),0)), "N/A - Facility Does Not Report DMRs")</f>
        <v>2019</v>
      </c>
      <c r="X125" s="109" cm="1">
        <f t="array" ref="X125">IFERROR(_xlfn.XLOOKUP(1,  (MAX(IF(H125 = 'Processed Non-zero TRI Data'!$I:$I,'Processed Non-zero TRI Data'!$A:$A)) = 'Processed Non-zero TRI Data'!$A:$A)*('Processed Non-zero TRI Data'!$I:$I = H125), 'Processed Non-zero TRI Data'!$S:$S), "N/A- Facility Does Not Report to TRI")</f>
        <v>0</v>
      </c>
      <c r="Y125" s="33">
        <f t="shared" si="16"/>
        <v>0</v>
      </c>
      <c r="Z125" s="33" t="str" cm="1">
        <f t="array" ref="Z125">IF(COUNTIF('Processed Non-zero TRI Data'!$I:$I,$H125)&gt;0,MEDIAN(IF('Processed Non-zero TRI Data'!$I:$I=H125,'Processed Non-zero TRI Data'!$S:$S)), "N/A - Facility Does Not Report to TRI")</f>
        <v>N/A - Facility Does Not Report to TRI</v>
      </c>
      <c r="AA125" s="33" t="str">
        <f t="shared" si="17"/>
        <v>N/A - Facility Does Not Report to TRI</v>
      </c>
      <c r="AB125" s="33" t="str">
        <f>IF(COUNTIF('Processed Non-zero TRI Data'!$I:$I,$H125)&gt;0,_xlfn.MAXIFS('Processed Non-zero TRI Data'!$S:$S,'Processed Non-zero TRI Data'!$I:$I,$H125), "N/A - Facility Does Not Report to TRI")</f>
        <v>N/A - Facility Does Not Report to TRI</v>
      </c>
      <c r="AC125" s="33" t="str">
        <f t="shared" si="18"/>
        <v>N/A - Facility Does Not Report to TRI</v>
      </c>
      <c r="AD125" s="110" t="str" cm="1">
        <f t="array" ref="AD125">IFERROR(IF(B125 = "TRI Form R", IF(AB125 = 0, "Facility has no on-site water discharges between 2019-2023.",  IF(COUNTIF('Processed Non-zero TRI Data'!$I:$I,$H125)&gt;0,INDEX('Processed Non-zero TRI Data'!$A:$A,MATCH(1,($H125='Processed Non-zero TRI Data'!$I:$I)*(AB125='Processed Non-zero TRI Data'!$S:$S),0)))), VLOOKUP(H125, 'Form A Recent Reporting'!$L:$M, 2, FALSE)), ("N/A - Facility Does Not Report to TRI"))</f>
        <v>N/A - Facility Does Not Report to TRI</v>
      </c>
      <c r="AE125" s="109" cm="1">
        <f t="array" ref="AE125">IFERROR(_xlfn.XLOOKUP(1,  (MAX(IF(H125 = 'Processed Non-zero TRI Data'!$I:$I,'Processed Non-zero TRI Data'!$A:$A)) = 'Processed Non-zero TRI Data'!$A:$A)*('Processed Non-zero TRI Data'!$I:$I = H125), 'Processed Non-zero TRI Data'!$U:$U), "N/A- Facility Does Not Report to TRI")</f>
        <v>0</v>
      </c>
      <c r="AF125" s="33">
        <f t="shared" si="19"/>
        <v>0</v>
      </c>
      <c r="AG125" s="33" t="str" cm="1">
        <f t="array" ref="AG125">IF(COUNTIF('Processed Non-zero TRI Data'!$I:$I,$H125)&gt;0,MEDIAN(IF('Processed Non-zero TRI Data'!$I:$I=H125,'Processed Non-zero TRI Data'!$U:$U)), "N/A - Facility Does Not Report to TRI")</f>
        <v>N/A - Facility Does Not Report to TRI</v>
      </c>
      <c r="AH125" s="33" t="str">
        <f t="shared" si="20"/>
        <v>N/A - Facility Does Not Report to TRI</v>
      </c>
      <c r="AI125" s="33" t="str">
        <f>IF(COUNTIF('Processed Non-zero TRI Data'!$I:$I,$H125)&gt;0,_xlfn.MAXIFS('Processed Non-zero TRI Data'!$U:$U,'Processed Non-zero TRI Data'!$I:$I,$H125), "N/A - Facility Does Not Report to TRI")</f>
        <v>N/A - Facility Does Not Report to TRI</v>
      </c>
      <c r="AJ125" s="33" t="str">
        <f t="shared" si="21"/>
        <v>N/A - Facility Does Not Report to TRI</v>
      </c>
      <c r="AK125" s="110" t="str" cm="1">
        <f t="array" ref="AK125">IF(B125="TRI Form A",AD125,IF(AI125=0,"Facility has no transfers to POTWs between 2019-2023.",IF(COUNTIF('Processed Non-zero TRI Data'!$I:$I,$H125)&gt;0,INDEX('Processed Non-zero TRI Data'!$A:$A,MATCH(1,($H125='Processed Non-zero TRI Data'!$I:$I)*(AI125='Processed Non-zero TRI Data'!$U:$U),0)),"N/A - Facility Does Not Report to TRI")))</f>
        <v>N/A - Facility Does Not Report to TRI</v>
      </c>
      <c r="AL125" s="109" cm="1">
        <f t="array" ref="AL125">IFERROR(_xlfn.XLOOKUP(1,  (MAX(IF(H125 = 'Processed Non-zero TRI Data'!$I$2:$I$23,'Processed Non-zero TRI Data'!$A$2:$A$23)) = 'Processed Non-zero TRI Data'!$A$2:$A$23)*('Processed Non-zero TRI Data'!$I$2:$I$23 = H125), 'Processed Non-zero TRI Data'!$W$2:$W$23), "N/A- Facility Does Not Report to TRI")</f>
        <v>0</v>
      </c>
      <c r="AM125" s="33">
        <f t="shared" si="22"/>
        <v>0</v>
      </c>
      <c r="AN125" s="33" t="str" cm="1">
        <f t="array" ref="AN125">IF(COUNTIF('Processed Non-zero TRI Data'!$I:$I,$H125)&gt;0,MEDIAN(IF('Processed Non-zero TRI Data'!$I:$I=H125,'Processed Non-zero TRI Data'!$W:$W)), "N/A - Facility Does Not Report to TRI")</f>
        <v>N/A - Facility Does Not Report to TRI</v>
      </c>
      <c r="AO125" s="33" t="str">
        <f t="shared" si="23"/>
        <v>N/A - Facility Does Not Report to TRI</v>
      </c>
      <c r="AP125" s="33" t="str">
        <f>IF(COUNTIF('Processed Non-zero TRI Data'!$I:$I,$H125)&gt;0,_xlfn.MAXIFS('Processed Non-zero TRI Data'!$W:$W,'Processed Non-zero TRI Data'!$I:$I,$H125), "N/A - Facility Does Not Report to TRI")</f>
        <v>N/A - Facility Does Not Report to TRI</v>
      </c>
      <c r="AQ125" s="33" t="str">
        <f t="shared" si="24"/>
        <v>N/A - Facility Does Not Report to TRI</v>
      </c>
      <c r="AR125" s="110" t="str" cm="1">
        <f t="array" ref="AR125">IF(B125="TRI Form A",AD125,IF(AP125=0,"Facility has no transfers to non-POTWs between 2019-2023.",IF(COUNTIF('Processed Non-zero TRI Data'!$I:$I,$H125)&gt;0,INDEX('Processed Non-zero TRI Data'!$A:$A,MATCH(1,($H125='Processed Non-zero TRI Data'!$I:$I)*(AP125='Processed Non-zero TRI Data'!$W:$W),0)),"N/A - Facility Does Not Report to TRI")))</f>
        <v>N/A - Facility Does Not Report to TRI</v>
      </c>
    </row>
    <row r="126" spans="1:44" ht="29" x14ac:dyDescent="0.35">
      <c r="A126" s="34">
        <v>123</v>
      </c>
      <c r="B126" s="33" t="str">
        <f>IFERROR("TRI Form "&amp;VLOOKUP(H126,'Processed Non-zero TRI Data'!$I$2:$K$23,3,FALSE),"DMR")</f>
        <v>DMR</v>
      </c>
      <c r="C126" s="33" t="str">
        <f>VLOOKUP($D126, 'COU.OES Summary'!C:D, 2, FALSE)</f>
        <v> </v>
      </c>
      <c r="D126" s="33" t="str">
        <f>IFERROR(VLOOKUP($H126, 'Processed Non-zero TRI Data'!$I:$O, 7, FALSE), VLOOKUP($I126, 'Processed Non-zero DMR Data'!$K:$R, 8, FALSE))</f>
        <v>Waste handling, treatment, and disposal - POTW</v>
      </c>
      <c r="E126" s="34" t="s">
        <v>341</v>
      </c>
      <c r="F126" s="34" t="s">
        <v>342</v>
      </c>
      <c r="G126" s="34" t="s">
        <v>108</v>
      </c>
      <c r="H126" s="34"/>
      <c r="I126" s="105">
        <v>110009938737</v>
      </c>
      <c r="J126" s="33" t="str">
        <f>IFERROR(VLOOKUP($I126, 'Processed Non-zero DMR Data'!$K:$U, 11, FALSE),"")</f>
        <v>KY0028312</v>
      </c>
      <c r="K126" s="33" t="str">
        <f>IFERROR(VLOOKUP($I126, 'Processed Non-zero DMR Data'!$K:$V, 12, FALSE),"Not Reported")</f>
        <v>Stevens Creek</v>
      </c>
      <c r="L126" s="106">
        <f>IFERROR(VLOOKUP($I126, 'Processed Non-zero DMR Data'!$K:$W, 13, FALSE),"No Reach Code Reported")</f>
        <v>51002051307</v>
      </c>
      <c r="M126" s="107" t="str">
        <f>IFERROR(IFERROR(VLOOKUP(H126, 'Off-site Locations'!$K$3:$O$5, 5, FALSE), VLOOKUP(H126, 'Off-site Locations'!$B$3:$E$4, 4, FALSE)), "No Offsite Transfers")</f>
        <v>No Offsite Transfers</v>
      </c>
      <c r="N126" s="33">
        <f>VLOOKUP($D126, 'COU.OES Summary'!C:E, 3, FALSE)</f>
        <v>365</v>
      </c>
      <c r="O126" s="108">
        <f t="shared" si="14"/>
        <v>0</v>
      </c>
      <c r="P126" s="108">
        <f t="shared" si="15"/>
        <v>0.65795128125000002</v>
      </c>
      <c r="Q126" s="109" cm="1">
        <f t="array" ref="Q126">IFERROR(_xlfn.XLOOKUP(1,  (MAX(IF(I126 = 'Processed Non-zero DMR Data'!$K:$K,'Processed Non-zero DMR Data'!$A:$A)) = 'Processed Non-zero DMR Data'!$A:$A)*('Processed Non-zero DMR Data'!$K:$K = I126),'Processed Non-zero DMR Data'!$T:$T), "N/A- Facility Does Not Report DMRs")</f>
        <v>0.65795128125000002</v>
      </c>
      <c r="R126" s="33">
        <f t="shared" si="25"/>
        <v>1.8026062500000001E-3</v>
      </c>
      <c r="S126" s="33" cm="1">
        <f t="array" ref="S126">IF(COUNTIF('Processed Non-zero DMR Data'!$K:$K,$I126)&gt;0,MEDIAN(IF('Processed Non-zero DMR Data'!$K:$K=I126,'Processed Non-zero DMR Data'!$T:$T)),"N/A - Facility Does Not Report DMRs")</f>
        <v>0.65795128125000002</v>
      </c>
      <c r="T126" s="33">
        <f t="shared" si="26"/>
        <v>1.8026062500000001E-3</v>
      </c>
      <c r="U126" s="33">
        <f>IF(COUNTIF('Processed Non-zero DMR Data'!$K:$K,$I126)&gt;0,_xlfn.MAXIFS('Processed Non-zero DMR Data'!$T:$T,'Processed Non-zero DMR Data'!$K:$K,$I126), "N/A - Facility Does Not Report DMRs")</f>
        <v>0.65795128125000002</v>
      </c>
      <c r="V126" s="33">
        <f t="shared" si="27"/>
        <v>1.8026062500000001E-3</v>
      </c>
      <c r="W126" s="110" cm="1">
        <f t="array" ref="W126">IF(COUNTIF('Processed Non-zero DMR Data'!$K:$K,$I126)&gt;0,INDEX('Processed Non-zero DMR Data'!$A:$A,MATCH(1,($I126='Processed Non-zero DMR Data'!$K:$K)*($U126='Processed Non-zero DMR Data'!$T:$T),0)), "N/A - Facility Does Not Report DMRs")</f>
        <v>2019</v>
      </c>
      <c r="X126" s="109" cm="1">
        <f t="array" ref="X126">IFERROR(_xlfn.XLOOKUP(1,  (MAX(IF(H126 = 'Processed Non-zero TRI Data'!$I:$I,'Processed Non-zero TRI Data'!$A:$A)) = 'Processed Non-zero TRI Data'!$A:$A)*('Processed Non-zero TRI Data'!$I:$I = H126), 'Processed Non-zero TRI Data'!$S:$S), "N/A- Facility Does Not Report to TRI")</f>
        <v>0</v>
      </c>
      <c r="Y126" s="33">
        <f t="shared" si="16"/>
        <v>0</v>
      </c>
      <c r="Z126" s="33" t="str" cm="1">
        <f t="array" ref="Z126">IF(COUNTIF('Processed Non-zero TRI Data'!$I:$I,$H126)&gt;0,MEDIAN(IF('Processed Non-zero TRI Data'!$I:$I=H126,'Processed Non-zero TRI Data'!$S:$S)), "N/A - Facility Does Not Report to TRI")</f>
        <v>N/A - Facility Does Not Report to TRI</v>
      </c>
      <c r="AA126" s="33" t="str">
        <f t="shared" si="17"/>
        <v>N/A - Facility Does Not Report to TRI</v>
      </c>
      <c r="AB126" s="33" t="str">
        <f>IF(COUNTIF('Processed Non-zero TRI Data'!$I:$I,$H126)&gt;0,_xlfn.MAXIFS('Processed Non-zero TRI Data'!$S:$S,'Processed Non-zero TRI Data'!$I:$I,$H126), "N/A - Facility Does Not Report to TRI")</f>
        <v>N/A - Facility Does Not Report to TRI</v>
      </c>
      <c r="AC126" s="33" t="str">
        <f t="shared" si="18"/>
        <v>N/A - Facility Does Not Report to TRI</v>
      </c>
      <c r="AD126" s="110" t="str" cm="1">
        <f t="array" ref="AD126">IFERROR(IF(B126 = "TRI Form R", IF(AB126 = 0, "Facility has no on-site water discharges between 2019-2023.",  IF(COUNTIF('Processed Non-zero TRI Data'!$I:$I,$H126)&gt;0,INDEX('Processed Non-zero TRI Data'!$A:$A,MATCH(1,($H126='Processed Non-zero TRI Data'!$I:$I)*(AB126='Processed Non-zero TRI Data'!$S:$S),0)))), VLOOKUP(H126, 'Form A Recent Reporting'!$L:$M, 2, FALSE)), ("N/A - Facility Does Not Report to TRI"))</f>
        <v>N/A - Facility Does Not Report to TRI</v>
      </c>
      <c r="AE126" s="109" cm="1">
        <f t="array" ref="AE126">IFERROR(_xlfn.XLOOKUP(1,  (MAX(IF(H126 = 'Processed Non-zero TRI Data'!$I:$I,'Processed Non-zero TRI Data'!$A:$A)) = 'Processed Non-zero TRI Data'!$A:$A)*('Processed Non-zero TRI Data'!$I:$I = H126), 'Processed Non-zero TRI Data'!$U:$U), "N/A- Facility Does Not Report to TRI")</f>
        <v>0</v>
      </c>
      <c r="AF126" s="33">
        <f t="shared" si="19"/>
        <v>0</v>
      </c>
      <c r="AG126" s="33" t="str" cm="1">
        <f t="array" ref="AG126">IF(COUNTIF('Processed Non-zero TRI Data'!$I:$I,$H126)&gt;0,MEDIAN(IF('Processed Non-zero TRI Data'!$I:$I=H126,'Processed Non-zero TRI Data'!$U:$U)), "N/A - Facility Does Not Report to TRI")</f>
        <v>N/A - Facility Does Not Report to TRI</v>
      </c>
      <c r="AH126" s="33" t="str">
        <f t="shared" si="20"/>
        <v>N/A - Facility Does Not Report to TRI</v>
      </c>
      <c r="AI126" s="33" t="str">
        <f>IF(COUNTIF('Processed Non-zero TRI Data'!$I:$I,$H126)&gt;0,_xlfn.MAXIFS('Processed Non-zero TRI Data'!$U:$U,'Processed Non-zero TRI Data'!$I:$I,$H126), "N/A - Facility Does Not Report to TRI")</f>
        <v>N/A - Facility Does Not Report to TRI</v>
      </c>
      <c r="AJ126" s="33" t="str">
        <f t="shared" si="21"/>
        <v>N/A - Facility Does Not Report to TRI</v>
      </c>
      <c r="AK126" s="110" t="str" cm="1">
        <f t="array" ref="AK126">IF(B126="TRI Form A",AD126,IF(AI126=0,"Facility has no transfers to POTWs between 2019-2023.",IF(COUNTIF('Processed Non-zero TRI Data'!$I:$I,$H126)&gt;0,INDEX('Processed Non-zero TRI Data'!$A:$A,MATCH(1,($H126='Processed Non-zero TRI Data'!$I:$I)*(AI126='Processed Non-zero TRI Data'!$U:$U),0)),"N/A - Facility Does Not Report to TRI")))</f>
        <v>N/A - Facility Does Not Report to TRI</v>
      </c>
      <c r="AL126" s="109" cm="1">
        <f t="array" ref="AL126">IFERROR(_xlfn.XLOOKUP(1,  (MAX(IF(H126 = 'Processed Non-zero TRI Data'!$I$2:$I$23,'Processed Non-zero TRI Data'!$A$2:$A$23)) = 'Processed Non-zero TRI Data'!$A$2:$A$23)*('Processed Non-zero TRI Data'!$I$2:$I$23 = H126), 'Processed Non-zero TRI Data'!$W$2:$W$23), "N/A- Facility Does Not Report to TRI")</f>
        <v>0</v>
      </c>
      <c r="AM126" s="33">
        <f t="shared" si="22"/>
        <v>0</v>
      </c>
      <c r="AN126" s="33" t="str" cm="1">
        <f t="array" ref="AN126">IF(COUNTIF('Processed Non-zero TRI Data'!$I:$I,$H126)&gt;0,MEDIAN(IF('Processed Non-zero TRI Data'!$I:$I=H126,'Processed Non-zero TRI Data'!$W:$W)), "N/A - Facility Does Not Report to TRI")</f>
        <v>N/A - Facility Does Not Report to TRI</v>
      </c>
      <c r="AO126" s="33" t="str">
        <f t="shared" si="23"/>
        <v>N/A - Facility Does Not Report to TRI</v>
      </c>
      <c r="AP126" s="33" t="str">
        <f>IF(COUNTIF('Processed Non-zero TRI Data'!$I:$I,$H126)&gt;0,_xlfn.MAXIFS('Processed Non-zero TRI Data'!$W:$W,'Processed Non-zero TRI Data'!$I:$I,$H126), "N/A - Facility Does Not Report to TRI")</f>
        <v>N/A - Facility Does Not Report to TRI</v>
      </c>
      <c r="AQ126" s="33" t="str">
        <f t="shared" si="24"/>
        <v>N/A - Facility Does Not Report to TRI</v>
      </c>
      <c r="AR126" s="110" t="str" cm="1">
        <f t="array" ref="AR126">IF(B126="TRI Form A",AD126,IF(AP126=0,"Facility has no transfers to non-POTWs between 2019-2023.",IF(COUNTIF('Processed Non-zero TRI Data'!$I:$I,$H126)&gt;0,INDEX('Processed Non-zero TRI Data'!$A:$A,MATCH(1,($H126='Processed Non-zero TRI Data'!$I:$I)*(AP126='Processed Non-zero TRI Data'!$W:$W),0)),"N/A - Facility Does Not Report to TRI")))</f>
        <v>N/A - Facility Does Not Report to TRI</v>
      </c>
    </row>
    <row r="127" spans="1:44" ht="29" x14ac:dyDescent="0.35">
      <c r="A127" s="34">
        <v>124</v>
      </c>
      <c r="B127" s="33" t="str">
        <f>IFERROR("TRI Form "&amp;VLOOKUP(H127,'Processed Non-zero TRI Data'!$I$2:$K$23,3,FALSE),"DMR")</f>
        <v>DMR</v>
      </c>
      <c r="C127" s="33" t="str">
        <f>VLOOKUP($D127, 'COU.OES Summary'!C:D, 2, FALSE)</f>
        <v> </v>
      </c>
      <c r="D127" s="33" t="str">
        <f>IFERROR(VLOOKUP($H127, 'Processed Non-zero TRI Data'!$I:$O, 7, FALSE), VLOOKUP($I127, 'Processed Non-zero DMR Data'!$K:$R, 8, FALSE))</f>
        <v>Waste handling, treatment, and disposal - POTW</v>
      </c>
      <c r="E127" s="34" t="s">
        <v>343</v>
      </c>
      <c r="F127" s="34" t="s">
        <v>163</v>
      </c>
      <c r="G127" s="34" t="s">
        <v>108</v>
      </c>
      <c r="H127" s="34"/>
      <c r="I127" s="105">
        <v>110000542896</v>
      </c>
      <c r="J127" s="33" t="str">
        <f>IFERROR(VLOOKUP($I127, 'Processed Non-zero DMR Data'!$K:$U, 11, FALSE),"")</f>
        <v>KY0037991</v>
      </c>
      <c r="K127" s="33" t="str">
        <f>IFERROR(VLOOKUP($I127, 'Processed Non-zero DMR Data'!$K:$V, 12, FALSE),"Not Reported")</f>
        <v>Hancock Creek-Strodes Creek</v>
      </c>
      <c r="L127" s="106" t="str">
        <f>IFERROR(VLOOKUP($I127, 'Processed Non-zero DMR Data'!$K:$W, 13, FALSE),"No Reach Code Reported")</f>
        <v>051001020101</v>
      </c>
      <c r="M127" s="107" t="str">
        <f>IFERROR(IFERROR(VLOOKUP(H127, 'Off-site Locations'!$K$3:$O$5, 5, FALSE), VLOOKUP(H127, 'Off-site Locations'!$B$3:$E$4, 4, FALSE)), "No Offsite Transfers")</f>
        <v>No Offsite Transfers</v>
      </c>
      <c r="N127" s="33">
        <f>VLOOKUP($D127, 'COU.OES Summary'!C:E, 3, FALSE)</f>
        <v>365</v>
      </c>
      <c r="O127" s="108">
        <f t="shared" si="14"/>
        <v>0</v>
      </c>
      <c r="P127" s="108">
        <f t="shared" si="15"/>
        <v>0.63809876700000001</v>
      </c>
      <c r="Q127" s="109" cm="1">
        <f t="array" ref="Q127">IFERROR(_xlfn.XLOOKUP(1,  (MAX(IF(I127 = 'Processed Non-zero DMR Data'!$K:$K,'Processed Non-zero DMR Data'!$A:$A)) = 'Processed Non-zero DMR Data'!$A:$A)*('Processed Non-zero DMR Data'!$K:$K = I127),'Processed Non-zero DMR Data'!$T:$T), "N/A- Facility Does Not Report DMRs")</f>
        <v>0.63809876700000001</v>
      </c>
      <c r="R127" s="33">
        <f t="shared" si="25"/>
        <v>1.7482158000000001E-3</v>
      </c>
      <c r="S127" s="33" cm="1">
        <f t="array" ref="S127">IF(COUNTIF('Processed Non-zero DMR Data'!$K:$K,$I127)&gt;0,MEDIAN(IF('Processed Non-zero DMR Data'!$K:$K=I127,'Processed Non-zero DMR Data'!$T:$T)),"N/A - Facility Does Not Report DMRs")</f>
        <v>0.63809876700000001</v>
      </c>
      <c r="T127" s="33">
        <f t="shared" si="26"/>
        <v>1.7482158000000001E-3</v>
      </c>
      <c r="U127" s="33">
        <f>IF(COUNTIF('Processed Non-zero DMR Data'!$K:$K,$I127)&gt;0,_xlfn.MAXIFS('Processed Non-zero DMR Data'!$T:$T,'Processed Non-zero DMR Data'!$K:$K,$I127), "N/A - Facility Does Not Report DMRs")</f>
        <v>0.63809876700000001</v>
      </c>
      <c r="V127" s="33">
        <f t="shared" si="27"/>
        <v>1.7482158000000001E-3</v>
      </c>
      <c r="W127" s="110" cm="1">
        <f t="array" ref="W127">IF(COUNTIF('Processed Non-zero DMR Data'!$K:$K,$I127)&gt;0,INDEX('Processed Non-zero DMR Data'!$A:$A,MATCH(1,($I127='Processed Non-zero DMR Data'!$K:$K)*($U127='Processed Non-zero DMR Data'!$T:$T),0)), "N/A - Facility Does Not Report DMRs")</f>
        <v>2023</v>
      </c>
      <c r="X127" s="109" cm="1">
        <f t="array" ref="X127">IFERROR(_xlfn.XLOOKUP(1,  (MAX(IF(H127 = 'Processed Non-zero TRI Data'!$I:$I,'Processed Non-zero TRI Data'!$A:$A)) = 'Processed Non-zero TRI Data'!$A:$A)*('Processed Non-zero TRI Data'!$I:$I = H127), 'Processed Non-zero TRI Data'!$S:$S), "N/A- Facility Does Not Report to TRI")</f>
        <v>0</v>
      </c>
      <c r="Y127" s="33">
        <f t="shared" si="16"/>
        <v>0</v>
      </c>
      <c r="Z127" s="33" t="str" cm="1">
        <f t="array" ref="Z127">IF(COUNTIF('Processed Non-zero TRI Data'!$I:$I,$H127)&gt;0,MEDIAN(IF('Processed Non-zero TRI Data'!$I:$I=H127,'Processed Non-zero TRI Data'!$S:$S)), "N/A - Facility Does Not Report to TRI")</f>
        <v>N/A - Facility Does Not Report to TRI</v>
      </c>
      <c r="AA127" s="33" t="str">
        <f t="shared" si="17"/>
        <v>N/A - Facility Does Not Report to TRI</v>
      </c>
      <c r="AB127" s="33" t="str">
        <f>IF(COUNTIF('Processed Non-zero TRI Data'!$I:$I,$H127)&gt;0,_xlfn.MAXIFS('Processed Non-zero TRI Data'!$S:$S,'Processed Non-zero TRI Data'!$I:$I,$H127), "N/A - Facility Does Not Report to TRI")</f>
        <v>N/A - Facility Does Not Report to TRI</v>
      </c>
      <c r="AC127" s="33" t="str">
        <f t="shared" si="18"/>
        <v>N/A - Facility Does Not Report to TRI</v>
      </c>
      <c r="AD127" s="110" t="str" cm="1">
        <f t="array" ref="AD127">IFERROR(IF(B127 = "TRI Form R", IF(AB127 = 0, "Facility has no on-site water discharges between 2019-2023.",  IF(COUNTIF('Processed Non-zero TRI Data'!$I:$I,$H127)&gt;0,INDEX('Processed Non-zero TRI Data'!$A:$A,MATCH(1,($H127='Processed Non-zero TRI Data'!$I:$I)*(AB127='Processed Non-zero TRI Data'!$S:$S),0)))), VLOOKUP(H127, 'Form A Recent Reporting'!$L:$M, 2, FALSE)), ("N/A - Facility Does Not Report to TRI"))</f>
        <v>N/A - Facility Does Not Report to TRI</v>
      </c>
      <c r="AE127" s="109" cm="1">
        <f t="array" ref="AE127">IFERROR(_xlfn.XLOOKUP(1,  (MAX(IF(H127 = 'Processed Non-zero TRI Data'!$I:$I,'Processed Non-zero TRI Data'!$A:$A)) = 'Processed Non-zero TRI Data'!$A:$A)*('Processed Non-zero TRI Data'!$I:$I = H127), 'Processed Non-zero TRI Data'!$U:$U), "N/A- Facility Does Not Report to TRI")</f>
        <v>0</v>
      </c>
      <c r="AF127" s="33">
        <f t="shared" si="19"/>
        <v>0</v>
      </c>
      <c r="AG127" s="33" t="str" cm="1">
        <f t="array" ref="AG127">IF(COUNTIF('Processed Non-zero TRI Data'!$I:$I,$H127)&gt;0,MEDIAN(IF('Processed Non-zero TRI Data'!$I:$I=H127,'Processed Non-zero TRI Data'!$U:$U)), "N/A - Facility Does Not Report to TRI")</f>
        <v>N/A - Facility Does Not Report to TRI</v>
      </c>
      <c r="AH127" s="33" t="str">
        <f t="shared" si="20"/>
        <v>N/A - Facility Does Not Report to TRI</v>
      </c>
      <c r="AI127" s="33" t="str">
        <f>IF(COUNTIF('Processed Non-zero TRI Data'!$I:$I,$H127)&gt;0,_xlfn.MAXIFS('Processed Non-zero TRI Data'!$U:$U,'Processed Non-zero TRI Data'!$I:$I,$H127), "N/A - Facility Does Not Report to TRI")</f>
        <v>N/A - Facility Does Not Report to TRI</v>
      </c>
      <c r="AJ127" s="33" t="str">
        <f t="shared" si="21"/>
        <v>N/A - Facility Does Not Report to TRI</v>
      </c>
      <c r="AK127" s="110" t="str" cm="1">
        <f t="array" ref="AK127">IF(B127="TRI Form A",AD127,IF(AI127=0,"Facility has no transfers to POTWs between 2019-2023.",IF(COUNTIF('Processed Non-zero TRI Data'!$I:$I,$H127)&gt;0,INDEX('Processed Non-zero TRI Data'!$A:$A,MATCH(1,($H127='Processed Non-zero TRI Data'!$I:$I)*(AI127='Processed Non-zero TRI Data'!$U:$U),0)),"N/A - Facility Does Not Report to TRI")))</f>
        <v>N/A - Facility Does Not Report to TRI</v>
      </c>
      <c r="AL127" s="109" cm="1">
        <f t="array" ref="AL127">IFERROR(_xlfn.XLOOKUP(1,  (MAX(IF(H127 = 'Processed Non-zero TRI Data'!$I$2:$I$23,'Processed Non-zero TRI Data'!$A$2:$A$23)) = 'Processed Non-zero TRI Data'!$A$2:$A$23)*('Processed Non-zero TRI Data'!$I$2:$I$23 = H127), 'Processed Non-zero TRI Data'!$W$2:$W$23), "N/A- Facility Does Not Report to TRI")</f>
        <v>0</v>
      </c>
      <c r="AM127" s="33">
        <f t="shared" si="22"/>
        <v>0</v>
      </c>
      <c r="AN127" s="33" t="str" cm="1">
        <f t="array" ref="AN127">IF(COUNTIF('Processed Non-zero TRI Data'!$I:$I,$H127)&gt;0,MEDIAN(IF('Processed Non-zero TRI Data'!$I:$I=H127,'Processed Non-zero TRI Data'!$W:$W)), "N/A - Facility Does Not Report to TRI")</f>
        <v>N/A - Facility Does Not Report to TRI</v>
      </c>
      <c r="AO127" s="33" t="str">
        <f t="shared" si="23"/>
        <v>N/A - Facility Does Not Report to TRI</v>
      </c>
      <c r="AP127" s="33" t="str">
        <f>IF(COUNTIF('Processed Non-zero TRI Data'!$I:$I,$H127)&gt;0,_xlfn.MAXIFS('Processed Non-zero TRI Data'!$W:$W,'Processed Non-zero TRI Data'!$I:$I,$H127), "N/A - Facility Does Not Report to TRI")</f>
        <v>N/A - Facility Does Not Report to TRI</v>
      </c>
      <c r="AQ127" s="33" t="str">
        <f t="shared" si="24"/>
        <v>N/A - Facility Does Not Report to TRI</v>
      </c>
      <c r="AR127" s="110" t="str" cm="1">
        <f t="array" ref="AR127">IF(B127="TRI Form A",AD127,IF(AP127=0,"Facility has no transfers to non-POTWs between 2019-2023.",IF(COUNTIF('Processed Non-zero TRI Data'!$I:$I,$H127)&gt;0,INDEX('Processed Non-zero TRI Data'!$A:$A,MATCH(1,($H127='Processed Non-zero TRI Data'!$I:$I)*(AP127='Processed Non-zero TRI Data'!$W:$W),0)),"N/A - Facility Does Not Report to TRI")))</f>
        <v>N/A - Facility Does Not Report to TRI</v>
      </c>
    </row>
    <row r="128" spans="1:44" ht="29" x14ac:dyDescent="0.35">
      <c r="A128" s="34">
        <v>125</v>
      </c>
      <c r="B128" s="33" t="str">
        <f>IFERROR("TRI Form "&amp;VLOOKUP(H128,'Processed Non-zero TRI Data'!$I$2:$K$23,3,FALSE),"DMR")</f>
        <v>DMR</v>
      </c>
      <c r="C128" s="33" t="str">
        <f>VLOOKUP($D128, 'COU.OES Summary'!C:D, 2, FALSE)</f>
        <v> </v>
      </c>
      <c r="D128" s="33" t="str">
        <f>IFERROR(VLOOKUP($H128, 'Processed Non-zero TRI Data'!$I:$O, 7, FALSE), VLOOKUP($I128, 'Processed Non-zero DMR Data'!$K:$R, 8, FALSE))</f>
        <v>Waste handling, treatment, and disposal - POTW</v>
      </c>
      <c r="E128" s="34" t="s">
        <v>344</v>
      </c>
      <c r="F128" s="34" t="s">
        <v>345</v>
      </c>
      <c r="G128" s="34" t="s">
        <v>108</v>
      </c>
      <c r="H128" s="34"/>
      <c r="I128" s="105">
        <v>110006749162</v>
      </c>
      <c r="J128" s="33" t="str">
        <f>IFERROR(VLOOKUP($I128, 'Processed Non-zero DMR Data'!$K:$U, 11, FALSE),"")</f>
        <v>KY0025909</v>
      </c>
      <c r="K128" s="33" t="str">
        <f>IFERROR(VLOOKUP($I128, 'Processed Non-zero DMR Data'!$K:$V, 12, FALSE),"Not Reported")</f>
        <v>Calloway Creek-Kentucky River</v>
      </c>
      <c r="L128" s="106">
        <f>IFERROR(VLOOKUP($I128, 'Processed Non-zero DMR Data'!$K:$W, 13, FALSE),"No Reach Code Reported")</f>
        <v>51002040505</v>
      </c>
      <c r="M128" s="107" t="str">
        <f>IFERROR(IFERROR(VLOOKUP(H128, 'Off-site Locations'!$K$3:$O$5, 5, FALSE), VLOOKUP(H128, 'Off-site Locations'!$B$3:$E$4, 4, FALSE)), "No Offsite Transfers")</f>
        <v>No Offsite Transfers</v>
      </c>
      <c r="N128" s="33">
        <f>VLOOKUP($D128, 'COU.OES Summary'!C:E, 3, FALSE)</f>
        <v>365</v>
      </c>
      <c r="O128" s="108">
        <f t="shared" si="14"/>
        <v>0</v>
      </c>
      <c r="P128" s="108">
        <f t="shared" si="15"/>
        <v>0.63481073750000006</v>
      </c>
      <c r="Q128" s="109" cm="1">
        <f t="array" ref="Q128">IFERROR(_xlfn.XLOOKUP(1,  (MAX(IF(I128 = 'Processed Non-zero DMR Data'!$K:$K,'Processed Non-zero DMR Data'!$A:$A)) = 'Processed Non-zero DMR Data'!$A:$A)*('Processed Non-zero DMR Data'!$K:$K = I128),'Processed Non-zero DMR Data'!$T:$T), "N/A- Facility Does Not Report DMRs")</f>
        <v>0.58231278750000004</v>
      </c>
      <c r="R128" s="33">
        <f t="shared" si="25"/>
        <v>1.5953775000000002E-3</v>
      </c>
      <c r="S128" s="33" cm="1">
        <f t="array" ref="S128">IF(COUNTIF('Processed Non-zero DMR Data'!$K:$K,$I128)&gt;0,MEDIAN(IF('Processed Non-zero DMR Data'!$K:$K=I128,'Processed Non-zero DMR Data'!$T:$T)),"N/A - Facility Does Not Report DMRs")</f>
        <v>0.60856176250000005</v>
      </c>
      <c r="T128" s="33">
        <f t="shared" si="26"/>
        <v>1.6672925000000001E-3</v>
      </c>
      <c r="U128" s="33">
        <f>IF(COUNTIF('Processed Non-zero DMR Data'!$K:$K,$I128)&gt;0,_xlfn.MAXIFS('Processed Non-zero DMR Data'!$T:$T,'Processed Non-zero DMR Data'!$K:$K,$I128), "N/A - Facility Does Not Report DMRs")</f>
        <v>0.63481073750000006</v>
      </c>
      <c r="V128" s="33">
        <f t="shared" si="27"/>
        <v>1.7392075000000002E-3</v>
      </c>
      <c r="W128" s="110" cm="1">
        <f t="array" ref="W128">IF(COUNTIF('Processed Non-zero DMR Data'!$K:$K,$I128)&gt;0,INDEX('Processed Non-zero DMR Data'!$A:$A,MATCH(1,($I128='Processed Non-zero DMR Data'!$K:$K)*($U128='Processed Non-zero DMR Data'!$T:$T),0)), "N/A - Facility Does Not Report DMRs")</f>
        <v>2020</v>
      </c>
      <c r="X128" s="109" cm="1">
        <f t="array" ref="X128">IFERROR(_xlfn.XLOOKUP(1,  (MAX(IF(H128 = 'Processed Non-zero TRI Data'!$I:$I,'Processed Non-zero TRI Data'!$A:$A)) = 'Processed Non-zero TRI Data'!$A:$A)*('Processed Non-zero TRI Data'!$I:$I = H128), 'Processed Non-zero TRI Data'!$S:$S), "N/A- Facility Does Not Report to TRI")</f>
        <v>0</v>
      </c>
      <c r="Y128" s="33">
        <f t="shared" si="16"/>
        <v>0</v>
      </c>
      <c r="Z128" s="33" t="str" cm="1">
        <f t="array" ref="Z128">IF(COUNTIF('Processed Non-zero TRI Data'!$I:$I,$H128)&gt;0,MEDIAN(IF('Processed Non-zero TRI Data'!$I:$I=H128,'Processed Non-zero TRI Data'!$S:$S)), "N/A - Facility Does Not Report to TRI")</f>
        <v>N/A - Facility Does Not Report to TRI</v>
      </c>
      <c r="AA128" s="33" t="str">
        <f t="shared" si="17"/>
        <v>N/A - Facility Does Not Report to TRI</v>
      </c>
      <c r="AB128" s="33" t="str">
        <f>IF(COUNTIF('Processed Non-zero TRI Data'!$I:$I,$H128)&gt;0,_xlfn.MAXIFS('Processed Non-zero TRI Data'!$S:$S,'Processed Non-zero TRI Data'!$I:$I,$H128), "N/A - Facility Does Not Report to TRI")</f>
        <v>N/A - Facility Does Not Report to TRI</v>
      </c>
      <c r="AC128" s="33" t="str">
        <f t="shared" si="18"/>
        <v>N/A - Facility Does Not Report to TRI</v>
      </c>
      <c r="AD128" s="110" t="str" cm="1">
        <f t="array" ref="AD128">IFERROR(IF(B128 = "TRI Form R", IF(AB128 = 0, "Facility has no on-site water discharges between 2019-2023.",  IF(COUNTIF('Processed Non-zero TRI Data'!$I:$I,$H128)&gt;0,INDEX('Processed Non-zero TRI Data'!$A:$A,MATCH(1,($H128='Processed Non-zero TRI Data'!$I:$I)*(AB128='Processed Non-zero TRI Data'!$S:$S),0)))), VLOOKUP(H128, 'Form A Recent Reporting'!$L:$M, 2, FALSE)), ("N/A - Facility Does Not Report to TRI"))</f>
        <v>N/A - Facility Does Not Report to TRI</v>
      </c>
      <c r="AE128" s="109" cm="1">
        <f t="array" ref="AE128">IFERROR(_xlfn.XLOOKUP(1,  (MAX(IF(H128 = 'Processed Non-zero TRI Data'!$I:$I,'Processed Non-zero TRI Data'!$A:$A)) = 'Processed Non-zero TRI Data'!$A:$A)*('Processed Non-zero TRI Data'!$I:$I = H128), 'Processed Non-zero TRI Data'!$U:$U), "N/A- Facility Does Not Report to TRI")</f>
        <v>0</v>
      </c>
      <c r="AF128" s="33">
        <f t="shared" si="19"/>
        <v>0</v>
      </c>
      <c r="AG128" s="33" t="str" cm="1">
        <f t="array" ref="AG128">IF(COUNTIF('Processed Non-zero TRI Data'!$I:$I,$H128)&gt;0,MEDIAN(IF('Processed Non-zero TRI Data'!$I:$I=H128,'Processed Non-zero TRI Data'!$U:$U)), "N/A - Facility Does Not Report to TRI")</f>
        <v>N/A - Facility Does Not Report to TRI</v>
      </c>
      <c r="AH128" s="33" t="str">
        <f t="shared" si="20"/>
        <v>N/A - Facility Does Not Report to TRI</v>
      </c>
      <c r="AI128" s="33" t="str">
        <f>IF(COUNTIF('Processed Non-zero TRI Data'!$I:$I,$H128)&gt;0,_xlfn.MAXIFS('Processed Non-zero TRI Data'!$U:$U,'Processed Non-zero TRI Data'!$I:$I,$H128), "N/A - Facility Does Not Report to TRI")</f>
        <v>N/A - Facility Does Not Report to TRI</v>
      </c>
      <c r="AJ128" s="33" t="str">
        <f t="shared" si="21"/>
        <v>N/A - Facility Does Not Report to TRI</v>
      </c>
      <c r="AK128" s="110" t="str" cm="1">
        <f t="array" ref="AK128">IF(B128="TRI Form A",AD128,IF(AI128=0,"Facility has no transfers to POTWs between 2019-2023.",IF(COUNTIF('Processed Non-zero TRI Data'!$I:$I,$H128)&gt;0,INDEX('Processed Non-zero TRI Data'!$A:$A,MATCH(1,($H128='Processed Non-zero TRI Data'!$I:$I)*(AI128='Processed Non-zero TRI Data'!$U:$U),0)),"N/A - Facility Does Not Report to TRI")))</f>
        <v>N/A - Facility Does Not Report to TRI</v>
      </c>
      <c r="AL128" s="109" cm="1">
        <f t="array" ref="AL128">IFERROR(_xlfn.XLOOKUP(1,  (MAX(IF(H128 = 'Processed Non-zero TRI Data'!$I$2:$I$23,'Processed Non-zero TRI Data'!$A$2:$A$23)) = 'Processed Non-zero TRI Data'!$A$2:$A$23)*('Processed Non-zero TRI Data'!$I$2:$I$23 = H128), 'Processed Non-zero TRI Data'!$W$2:$W$23), "N/A- Facility Does Not Report to TRI")</f>
        <v>0</v>
      </c>
      <c r="AM128" s="33">
        <f t="shared" si="22"/>
        <v>0</v>
      </c>
      <c r="AN128" s="33" t="str" cm="1">
        <f t="array" ref="AN128">IF(COUNTIF('Processed Non-zero TRI Data'!$I:$I,$H128)&gt;0,MEDIAN(IF('Processed Non-zero TRI Data'!$I:$I=H128,'Processed Non-zero TRI Data'!$W:$W)), "N/A - Facility Does Not Report to TRI")</f>
        <v>N/A - Facility Does Not Report to TRI</v>
      </c>
      <c r="AO128" s="33" t="str">
        <f t="shared" si="23"/>
        <v>N/A - Facility Does Not Report to TRI</v>
      </c>
      <c r="AP128" s="33" t="str">
        <f>IF(COUNTIF('Processed Non-zero TRI Data'!$I:$I,$H128)&gt;0,_xlfn.MAXIFS('Processed Non-zero TRI Data'!$W:$W,'Processed Non-zero TRI Data'!$I:$I,$H128), "N/A - Facility Does Not Report to TRI")</f>
        <v>N/A - Facility Does Not Report to TRI</v>
      </c>
      <c r="AQ128" s="33" t="str">
        <f t="shared" si="24"/>
        <v>N/A - Facility Does Not Report to TRI</v>
      </c>
      <c r="AR128" s="110" t="str" cm="1">
        <f t="array" ref="AR128">IF(B128="TRI Form A",AD128,IF(AP128=0,"Facility has no transfers to non-POTWs between 2019-2023.",IF(COUNTIF('Processed Non-zero TRI Data'!$I:$I,$H128)&gt;0,INDEX('Processed Non-zero TRI Data'!$A:$A,MATCH(1,($H128='Processed Non-zero TRI Data'!$I:$I)*(AP128='Processed Non-zero TRI Data'!$W:$W),0)),"N/A - Facility Does Not Report to TRI")))</f>
        <v>N/A - Facility Does Not Report to TRI</v>
      </c>
    </row>
    <row r="129" spans="1:44" ht="29" x14ac:dyDescent="0.35">
      <c r="A129" s="34">
        <v>126</v>
      </c>
      <c r="B129" s="33" t="str">
        <f>IFERROR("TRI Form "&amp;VLOOKUP(H129,'Processed Non-zero TRI Data'!$I$2:$K$23,3,FALSE),"DMR")</f>
        <v>DMR</v>
      </c>
      <c r="C129" s="33" t="str">
        <f>VLOOKUP($D129, 'COU.OES Summary'!C:D, 2, FALSE)</f>
        <v> </v>
      </c>
      <c r="D129" s="33" t="str">
        <f>IFERROR(VLOOKUP($H129, 'Processed Non-zero TRI Data'!$I:$O, 7, FALSE), VLOOKUP($I129, 'Processed Non-zero DMR Data'!$K:$R, 8, FALSE))</f>
        <v>Waste handling, treatment, and disposal - Remediation or Monitoring</v>
      </c>
      <c r="E129" s="34" t="s">
        <v>346</v>
      </c>
      <c r="F129" s="34" t="s">
        <v>347</v>
      </c>
      <c r="G129" s="34" t="s">
        <v>221</v>
      </c>
      <c r="H129" s="34"/>
      <c r="I129" s="105">
        <v>110043808467</v>
      </c>
      <c r="J129" s="33" t="str">
        <f>IFERROR(VLOOKUP($I129, 'Processed Non-zero DMR Data'!$K:$U, 11, FALSE),"")</f>
        <v>NV0023060</v>
      </c>
      <c r="K129" s="33" t="str">
        <f>IFERROR(VLOOKUP($I129, 'Processed Non-zero DMR Data'!$K:$V, 12, FALSE),"Not Reported")</f>
        <v>City of Henderson-Las Vegas Wash</v>
      </c>
      <c r="L129" s="106">
        <f>IFERROR(VLOOKUP($I129, 'Processed Non-zero DMR Data'!$K:$W, 13, FALSE),"No Reach Code Reported")</f>
        <v>150100150708</v>
      </c>
      <c r="M129" s="107" t="str">
        <f>IFERROR(IFERROR(VLOOKUP(H129, 'Off-site Locations'!$K$3:$O$5, 5, FALSE), VLOOKUP(H129, 'Off-site Locations'!$B$3:$E$4, 4, FALSE)), "No Offsite Transfers")</f>
        <v>No Offsite Transfers</v>
      </c>
      <c r="N129" s="33">
        <f>VLOOKUP($D129, 'COU.OES Summary'!C:E, 3, FALSE)</f>
        <v>365</v>
      </c>
      <c r="O129" s="108">
        <f t="shared" si="14"/>
        <v>0</v>
      </c>
      <c r="P129" s="108">
        <f t="shared" si="15"/>
        <v>0.62498222800000003</v>
      </c>
      <c r="Q129" s="109" cm="1">
        <f t="array" ref="Q129">IFERROR(_xlfn.XLOOKUP(1,  (MAX(IF(I129 = 'Processed Non-zero DMR Data'!$K:$K,'Processed Non-zero DMR Data'!$A:$A)) = 'Processed Non-zero DMR Data'!$A:$A)*('Processed Non-zero DMR Data'!$K:$K = I129),'Processed Non-zero DMR Data'!$T:$T), "N/A- Facility Does Not Report DMRs")</f>
        <v>0.59190662699999996</v>
      </c>
      <c r="R129" s="33">
        <f t="shared" si="25"/>
        <v>1.6216619917808219E-3</v>
      </c>
      <c r="S129" s="33" cm="1">
        <f t="array" ref="S129">IF(COUNTIF('Processed Non-zero DMR Data'!$K:$K,$I129)&gt;0,MEDIAN(IF('Processed Non-zero DMR Data'!$K:$K=I129,'Processed Non-zero DMR Data'!$T:$T)),"N/A - Facility Does Not Report DMRs")</f>
        <v>0.58161294100000005</v>
      </c>
      <c r="T129" s="33">
        <f t="shared" si="26"/>
        <v>1.5934601123287673E-3</v>
      </c>
      <c r="U129" s="33">
        <f>IF(COUNTIF('Processed Non-zero DMR Data'!$K:$K,$I129)&gt;0,_xlfn.MAXIFS('Processed Non-zero DMR Data'!$T:$T,'Processed Non-zero DMR Data'!$K:$K,$I129), "N/A - Facility Does Not Report DMRs")</f>
        <v>0.62498222800000003</v>
      </c>
      <c r="V129" s="33">
        <f t="shared" si="27"/>
        <v>1.7122800767123288E-3</v>
      </c>
      <c r="W129" s="110" cm="1">
        <f t="array" ref="W129">IF(COUNTIF('Processed Non-zero DMR Data'!$K:$K,$I129)&gt;0,INDEX('Processed Non-zero DMR Data'!$A:$A,MATCH(1,($I129='Processed Non-zero DMR Data'!$K:$K)*($U129='Processed Non-zero DMR Data'!$T:$T),0)), "N/A - Facility Does Not Report DMRs")</f>
        <v>2021</v>
      </c>
      <c r="X129" s="109" cm="1">
        <f t="array" ref="X129">IFERROR(_xlfn.XLOOKUP(1,  (MAX(IF(H129 = 'Processed Non-zero TRI Data'!$I:$I,'Processed Non-zero TRI Data'!$A:$A)) = 'Processed Non-zero TRI Data'!$A:$A)*('Processed Non-zero TRI Data'!$I:$I = H129), 'Processed Non-zero TRI Data'!$S:$S), "N/A- Facility Does Not Report to TRI")</f>
        <v>0</v>
      </c>
      <c r="Y129" s="33">
        <f t="shared" si="16"/>
        <v>0</v>
      </c>
      <c r="Z129" s="33" t="str" cm="1">
        <f t="array" ref="Z129">IF(COUNTIF('Processed Non-zero TRI Data'!$I:$I,$H129)&gt;0,MEDIAN(IF('Processed Non-zero TRI Data'!$I:$I=H129,'Processed Non-zero TRI Data'!$S:$S)), "N/A - Facility Does Not Report to TRI")</f>
        <v>N/A - Facility Does Not Report to TRI</v>
      </c>
      <c r="AA129" s="33" t="str">
        <f t="shared" si="17"/>
        <v>N/A - Facility Does Not Report to TRI</v>
      </c>
      <c r="AB129" s="33" t="str">
        <f>IF(COUNTIF('Processed Non-zero TRI Data'!$I:$I,$H129)&gt;0,_xlfn.MAXIFS('Processed Non-zero TRI Data'!$S:$S,'Processed Non-zero TRI Data'!$I:$I,$H129), "N/A - Facility Does Not Report to TRI")</f>
        <v>N/A - Facility Does Not Report to TRI</v>
      </c>
      <c r="AC129" s="33" t="str">
        <f t="shared" si="18"/>
        <v>N/A - Facility Does Not Report to TRI</v>
      </c>
      <c r="AD129" s="110" t="str" cm="1">
        <f t="array" ref="AD129">IFERROR(IF(B129 = "TRI Form R", IF(AB129 = 0, "Facility has no on-site water discharges between 2019-2023.",  IF(COUNTIF('Processed Non-zero TRI Data'!$I:$I,$H129)&gt;0,INDEX('Processed Non-zero TRI Data'!$A:$A,MATCH(1,($H129='Processed Non-zero TRI Data'!$I:$I)*(AB129='Processed Non-zero TRI Data'!$S:$S),0)))), VLOOKUP(H129, 'Form A Recent Reporting'!$L:$M, 2, FALSE)), ("N/A - Facility Does Not Report to TRI"))</f>
        <v>N/A - Facility Does Not Report to TRI</v>
      </c>
      <c r="AE129" s="109" cm="1">
        <f t="array" ref="AE129">IFERROR(_xlfn.XLOOKUP(1,  (MAX(IF(H129 = 'Processed Non-zero TRI Data'!$I:$I,'Processed Non-zero TRI Data'!$A:$A)) = 'Processed Non-zero TRI Data'!$A:$A)*('Processed Non-zero TRI Data'!$I:$I = H129), 'Processed Non-zero TRI Data'!$U:$U), "N/A- Facility Does Not Report to TRI")</f>
        <v>0</v>
      </c>
      <c r="AF129" s="33">
        <f t="shared" si="19"/>
        <v>0</v>
      </c>
      <c r="AG129" s="33" t="str" cm="1">
        <f t="array" ref="AG129">IF(COUNTIF('Processed Non-zero TRI Data'!$I:$I,$H129)&gt;0,MEDIAN(IF('Processed Non-zero TRI Data'!$I:$I=H129,'Processed Non-zero TRI Data'!$U:$U)), "N/A - Facility Does Not Report to TRI")</f>
        <v>N/A - Facility Does Not Report to TRI</v>
      </c>
      <c r="AH129" s="33" t="str">
        <f t="shared" si="20"/>
        <v>N/A - Facility Does Not Report to TRI</v>
      </c>
      <c r="AI129" s="33" t="str">
        <f>IF(COUNTIF('Processed Non-zero TRI Data'!$I:$I,$H129)&gt;0,_xlfn.MAXIFS('Processed Non-zero TRI Data'!$U:$U,'Processed Non-zero TRI Data'!$I:$I,$H129), "N/A - Facility Does Not Report to TRI")</f>
        <v>N/A - Facility Does Not Report to TRI</v>
      </c>
      <c r="AJ129" s="33" t="str">
        <f t="shared" si="21"/>
        <v>N/A - Facility Does Not Report to TRI</v>
      </c>
      <c r="AK129" s="110" t="str" cm="1">
        <f t="array" ref="AK129">IF(B129="TRI Form A",AD129,IF(AI129=0,"Facility has no transfers to POTWs between 2019-2023.",IF(COUNTIF('Processed Non-zero TRI Data'!$I:$I,$H129)&gt;0,INDEX('Processed Non-zero TRI Data'!$A:$A,MATCH(1,($H129='Processed Non-zero TRI Data'!$I:$I)*(AI129='Processed Non-zero TRI Data'!$U:$U),0)),"N/A - Facility Does Not Report to TRI")))</f>
        <v>N/A - Facility Does Not Report to TRI</v>
      </c>
      <c r="AL129" s="109" cm="1">
        <f t="array" ref="AL129">IFERROR(_xlfn.XLOOKUP(1,  (MAX(IF(H129 = 'Processed Non-zero TRI Data'!$I$2:$I$23,'Processed Non-zero TRI Data'!$A$2:$A$23)) = 'Processed Non-zero TRI Data'!$A$2:$A$23)*('Processed Non-zero TRI Data'!$I$2:$I$23 = H129), 'Processed Non-zero TRI Data'!$W$2:$W$23), "N/A- Facility Does Not Report to TRI")</f>
        <v>0</v>
      </c>
      <c r="AM129" s="33">
        <f t="shared" si="22"/>
        <v>0</v>
      </c>
      <c r="AN129" s="33" t="str" cm="1">
        <f t="array" ref="AN129">IF(COUNTIF('Processed Non-zero TRI Data'!$I:$I,$H129)&gt;0,MEDIAN(IF('Processed Non-zero TRI Data'!$I:$I=H129,'Processed Non-zero TRI Data'!$W:$W)), "N/A - Facility Does Not Report to TRI")</f>
        <v>N/A - Facility Does Not Report to TRI</v>
      </c>
      <c r="AO129" s="33" t="str">
        <f t="shared" si="23"/>
        <v>N/A - Facility Does Not Report to TRI</v>
      </c>
      <c r="AP129" s="33" t="str">
        <f>IF(COUNTIF('Processed Non-zero TRI Data'!$I:$I,$H129)&gt;0,_xlfn.MAXIFS('Processed Non-zero TRI Data'!$W:$W,'Processed Non-zero TRI Data'!$I:$I,$H129), "N/A - Facility Does Not Report to TRI")</f>
        <v>N/A - Facility Does Not Report to TRI</v>
      </c>
      <c r="AQ129" s="33" t="str">
        <f t="shared" si="24"/>
        <v>N/A - Facility Does Not Report to TRI</v>
      </c>
      <c r="AR129" s="110" t="str" cm="1">
        <f t="array" ref="AR129">IF(B129="TRI Form A",AD129,IF(AP129=0,"Facility has no transfers to non-POTWs between 2019-2023.",IF(COUNTIF('Processed Non-zero TRI Data'!$I:$I,$H129)&gt;0,INDEX('Processed Non-zero TRI Data'!$A:$A,MATCH(1,($H129='Processed Non-zero TRI Data'!$I:$I)*(AP129='Processed Non-zero TRI Data'!$W:$W),0)),"N/A - Facility Does Not Report to TRI")))</f>
        <v>N/A - Facility Does Not Report to TRI</v>
      </c>
    </row>
    <row r="130" spans="1:44" ht="29" x14ac:dyDescent="0.35">
      <c r="A130" s="34">
        <v>127</v>
      </c>
      <c r="B130" s="33" t="str">
        <f>IFERROR("TRI Form "&amp;VLOOKUP(H130,'Processed Non-zero TRI Data'!$I$2:$K$23,3,FALSE),"DMR")</f>
        <v>DMR</v>
      </c>
      <c r="C130" s="33" t="str">
        <f>VLOOKUP($D130, 'COU.OES Summary'!C:D, 2, FALSE)</f>
        <v> </v>
      </c>
      <c r="D130" s="33" t="str">
        <f>IFERROR(VLOOKUP($H130, 'Processed Non-zero TRI Data'!$I:$O, 7, FALSE), VLOOKUP($I130, 'Processed Non-zero DMR Data'!$K:$R, 8, FALSE))</f>
        <v>Waste handling, treatment, and disposal - Remediation or Monitoring</v>
      </c>
      <c r="E130" s="34" t="s">
        <v>348</v>
      </c>
      <c r="F130" s="34" t="s">
        <v>349</v>
      </c>
      <c r="G130" s="34" t="s">
        <v>350</v>
      </c>
      <c r="H130" s="34"/>
      <c r="I130" s="105">
        <v>110000608030</v>
      </c>
      <c r="J130" s="33" t="str">
        <f>IFERROR(VLOOKUP($I130, 'Processed Non-zero DMR Data'!$K:$U, 11, FALSE),"")</f>
        <v>WV0005169</v>
      </c>
      <c r="K130" s="33" t="str">
        <f>IFERROR(VLOOKUP($I130, 'Processed Non-zero DMR Data'!$K:$V, 12, FALSE),"Not Reported")</f>
        <v>Haynes Run-Ohio River</v>
      </c>
      <c r="L130" s="106">
        <f>IFERROR(VLOOKUP($I130, 'Processed Non-zero DMR Data'!$K:$W, 13, FALSE),"No Reach Code Reported")</f>
        <v>50302011004</v>
      </c>
      <c r="M130" s="107" t="str">
        <f>IFERROR(IFERROR(VLOOKUP(H130, 'Off-site Locations'!$K$3:$O$5, 5, FALSE), VLOOKUP(H130, 'Off-site Locations'!$B$3:$E$4, 4, FALSE)), "No Offsite Transfers")</f>
        <v>No Offsite Transfers</v>
      </c>
      <c r="N130" s="33">
        <f>VLOOKUP($D130, 'COU.OES Summary'!C:E, 3, FALSE)</f>
        <v>365</v>
      </c>
      <c r="O130" s="108">
        <f t="shared" si="14"/>
        <v>0</v>
      </c>
      <c r="P130" s="108">
        <f t="shared" si="15"/>
        <v>0.62128992000000005</v>
      </c>
      <c r="Q130" s="109" cm="1">
        <f t="array" ref="Q130">IFERROR(_xlfn.XLOOKUP(1,  (MAX(IF(I130 = 'Processed Non-zero DMR Data'!$K:$K,'Processed Non-zero DMR Data'!$A:$A)) = 'Processed Non-zero DMR Data'!$A:$A)*('Processed Non-zero DMR Data'!$K:$K = I130),'Processed Non-zero DMR Data'!$T:$T), "N/A- Facility Does Not Report DMRs")</f>
        <v>0.33210099999999998</v>
      </c>
      <c r="R130" s="33">
        <f t="shared" si="25"/>
        <v>9.0986575342465745E-4</v>
      </c>
      <c r="S130" s="33" cm="1">
        <f t="array" ref="S130">IF(COUNTIF('Processed Non-zero DMR Data'!$K:$K,$I130)&gt;0,MEDIAN(IF('Processed Non-zero DMR Data'!$K:$K=I130,'Processed Non-zero DMR Data'!$T:$T)),"N/A - Facility Does Not Report DMRs")</f>
        <v>0.47669546000000002</v>
      </c>
      <c r="T130" s="33">
        <f t="shared" si="26"/>
        <v>1.3060149589041096E-3</v>
      </c>
      <c r="U130" s="33">
        <f>IF(COUNTIF('Processed Non-zero DMR Data'!$K:$K,$I130)&gt;0,_xlfn.MAXIFS('Processed Non-zero DMR Data'!$T:$T,'Processed Non-zero DMR Data'!$K:$K,$I130), "N/A - Facility Does Not Report DMRs")</f>
        <v>0.62128992000000005</v>
      </c>
      <c r="V130" s="33">
        <f t="shared" si="27"/>
        <v>1.7021641643835618E-3</v>
      </c>
      <c r="W130" s="110" cm="1">
        <f t="array" ref="W130">IF(COUNTIF('Processed Non-zero DMR Data'!$K:$K,$I130)&gt;0,INDEX('Processed Non-zero DMR Data'!$A:$A,MATCH(1,($I130='Processed Non-zero DMR Data'!$K:$K)*($U130='Processed Non-zero DMR Data'!$T:$T),0)), "N/A - Facility Does Not Report DMRs")</f>
        <v>2019</v>
      </c>
      <c r="X130" s="109" cm="1">
        <f t="array" ref="X130">IFERROR(_xlfn.XLOOKUP(1,  (MAX(IF(H130 = 'Processed Non-zero TRI Data'!$I:$I,'Processed Non-zero TRI Data'!$A:$A)) = 'Processed Non-zero TRI Data'!$A:$A)*('Processed Non-zero TRI Data'!$I:$I = H130), 'Processed Non-zero TRI Data'!$S:$S), "N/A- Facility Does Not Report to TRI")</f>
        <v>0</v>
      </c>
      <c r="Y130" s="33">
        <f t="shared" si="16"/>
        <v>0</v>
      </c>
      <c r="Z130" s="33" t="str" cm="1">
        <f t="array" ref="Z130">IF(COUNTIF('Processed Non-zero TRI Data'!$I:$I,$H130)&gt;0,MEDIAN(IF('Processed Non-zero TRI Data'!$I:$I=H130,'Processed Non-zero TRI Data'!$S:$S)), "N/A - Facility Does Not Report to TRI")</f>
        <v>N/A - Facility Does Not Report to TRI</v>
      </c>
      <c r="AA130" s="33" t="str">
        <f t="shared" si="17"/>
        <v>N/A - Facility Does Not Report to TRI</v>
      </c>
      <c r="AB130" s="33" t="str">
        <f>IF(COUNTIF('Processed Non-zero TRI Data'!$I:$I,$H130)&gt;0,_xlfn.MAXIFS('Processed Non-zero TRI Data'!$S:$S,'Processed Non-zero TRI Data'!$I:$I,$H130), "N/A - Facility Does Not Report to TRI")</f>
        <v>N/A - Facility Does Not Report to TRI</v>
      </c>
      <c r="AC130" s="33" t="str">
        <f t="shared" si="18"/>
        <v>N/A - Facility Does Not Report to TRI</v>
      </c>
      <c r="AD130" s="110" t="str" cm="1">
        <f t="array" ref="AD130">IFERROR(IF(B130 = "TRI Form R", IF(AB130 = 0, "Facility has no on-site water discharges between 2019-2023.",  IF(COUNTIF('Processed Non-zero TRI Data'!$I:$I,$H130)&gt;0,INDEX('Processed Non-zero TRI Data'!$A:$A,MATCH(1,($H130='Processed Non-zero TRI Data'!$I:$I)*(AB130='Processed Non-zero TRI Data'!$S:$S),0)))), VLOOKUP(H130, 'Form A Recent Reporting'!$L:$M, 2, FALSE)), ("N/A - Facility Does Not Report to TRI"))</f>
        <v>N/A - Facility Does Not Report to TRI</v>
      </c>
      <c r="AE130" s="109" cm="1">
        <f t="array" ref="AE130">IFERROR(_xlfn.XLOOKUP(1,  (MAX(IF(H130 = 'Processed Non-zero TRI Data'!$I:$I,'Processed Non-zero TRI Data'!$A:$A)) = 'Processed Non-zero TRI Data'!$A:$A)*('Processed Non-zero TRI Data'!$I:$I = H130), 'Processed Non-zero TRI Data'!$U:$U), "N/A- Facility Does Not Report to TRI")</f>
        <v>0</v>
      </c>
      <c r="AF130" s="33">
        <f t="shared" si="19"/>
        <v>0</v>
      </c>
      <c r="AG130" s="33" t="str" cm="1">
        <f t="array" ref="AG130">IF(COUNTIF('Processed Non-zero TRI Data'!$I:$I,$H130)&gt;0,MEDIAN(IF('Processed Non-zero TRI Data'!$I:$I=H130,'Processed Non-zero TRI Data'!$U:$U)), "N/A - Facility Does Not Report to TRI")</f>
        <v>N/A - Facility Does Not Report to TRI</v>
      </c>
      <c r="AH130" s="33" t="str">
        <f t="shared" si="20"/>
        <v>N/A - Facility Does Not Report to TRI</v>
      </c>
      <c r="AI130" s="33" t="str">
        <f>IF(COUNTIF('Processed Non-zero TRI Data'!$I:$I,$H130)&gt;0,_xlfn.MAXIFS('Processed Non-zero TRI Data'!$U:$U,'Processed Non-zero TRI Data'!$I:$I,$H130), "N/A - Facility Does Not Report to TRI")</f>
        <v>N/A - Facility Does Not Report to TRI</v>
      </c>
      <c r="AJ130" s="33" t="str">
        <f t="shared" si="21"/>
        <v>N/A - Facility Does Not Report to TRI</v>
      </c>
      <c r="AK130" s="110" t="str" cm="1">
        <f t="array" ref="AK130">IF(B130="TRI Form A",AD130,IF(AI130=0,"Facility has no transfers to POTWs between 2019-2023.",IF(COUNTIF('Processed Non-zero TRI Data'!$I:$I,$H130)&gt;0,INDEX('Processed Non-zero TRI Data'!$A:$A,MATCH(1,($H130='Processed Non-zero TRI Data'!$I:$I)*(AI130='Processed Non-zero TRI Data'!$U:$U),0)),"N/A - Facility Does Not Report to TRI")))</f>
        <v>N/A - Facility Does Not Report to TRI</v>
      </c>
      <c r="AL130" s="109" cm="1">
        <f t="array" ref="AL130">IFERROR(_xlfn.XLOOKUP(1,  (MAX(IF(H130 = 'Processed Non-zero TRI Data'!$I$2:$I$23,'Processed Non-zero TRI Data'!$A$2:$A$23)) = 'Processed Non-zero TRI Data'!$A$2:$A$23)*('Processed Non-zero TRI Data'!$I$2:$I$23 = H130), 'Processed Non-zero TRI Data'!$W$2:$W$23), "N/A- Facility Does Not Report to TRI")</f>
        <v>0</v>
      </c>
      <c r="AM130" s="33">
        <f t="shared" si="22"/>
        <v>0</v>
      </c>
      <c r="AN130" s="33" t="str" cm="1">
        <f t="array" ref="AN130">IF(COUNTIF('Processed Non-zero TRI Data'!$I:$I,$H130)&gt;0,MEDIAN(IF('Processed Non-zero TRI Data'!$I:$I=H130,'Processed Non-zero TRI Data'!$W:$W)), "N/A - Facility Does Not Report to TRI")</f>
        <v>N/A - Facility Does Not Report to TRI</v>
      </c>
      <c r="AO130" s="33" t="str">
        <f t="shared" si="23"/>
        <v>N/A - Facility Does Not Report to TRI</v>
      </c>
      <c r="AP130" s="33" t="str">
        <f>IF(COUNTIF('Processed Non-zero TRI Data'!$I:$I,$H130)&gt;0,_xlfn.MAXIFS('Processed Non-zero TRI Data'!$W:$W,'Processed Non-zero TRI Data'!$I:$I,$H130), "N/A - Facility Does Not Report to TRI")</f>
        <v>N/A - Facility Does Not Report to TRI</v>
      </c>
      <c r="AQ130" s="33" t="str">
        <f t="shared" si="24"/>
        <v>N/A - Facility Does Not Report to TRI</v>
      </c>
      <c r="AR130" s="110" t="str" cm="1">
        <f t="array" ref="AR130">IF(B130="TRI Form A",AD130,IF(AP130=0,"Facility has no transfers to non-POTWs between 2019-2023.",IF(COUNTIF('Processed Non-zero TRI Data'!$I:$I,$H130)&gt;0,INDEX('Processed Non-zero TRI Data'!$A:$A,MATCH(1,($H130='Processed Non-zero TRI Data'!$I:$I)*(AP130='Processed Non-zero TRI Data'!$W:$W),0)),"N/A - Facility Does Not Report to TRI")))</f>
        <v>N/A - Facility Does Not Report to TRI</v>
      </c>
    </row>
    <row r="131" spans="1:44" ht="29" x14ac:dyDescent="0.35">
      <c r="A131" s="34">
        <v>128</v>
      </c>
      <c r="B131" s="33" t="str">
        <f>IFERROR("TRI Form "&amp;VLOOKUP(H131,'Processed Non-zero TRI Data'!$I$2:$K$23,3,FALSE),"DMR")</f>
        <v>DMR</v>
      </c>
      <c r="C131" s="33" t="str">
        <f>VLOOKUP($D131, 'COU.OES Summary'!C:D, 2, FALSE)</f>
        <v> </v>
      </c>
      <c r="D131" s="33" t="str">
        <f>IFERROR(VLOOKUP($H131, 'Processed Non-zero TRI Data'!$I:$O, 7, FALSE), VLOOKUP($I131, 'Processed Non-zero DMR Data'!$K:$R, 8, FALSE))</f>
        <v>Waste handling, treatment, and disposal - Remediation or Monitoring</v>
      </c>
      <c r="E131" s="34" t="s">
        <v>351</v>
      </c>
      <c r="F131" s="34" t="s">
        <v>352</v>
      </c>
      <c r="G131" s="34" t="s">
        <v>111</v>
      </c>
      <c r="H131" s="34"/>
      <c r="I131" s="105">
        <v>110000432504</v>
      </c>
      <c r="J131" s="33" t="str">
        <f>IFERROR(VLOOKUP($I131, 'Processed Non-zero DMR Data'!$K:$U, 11, FALSE),"")</f>
        <v>IL0002453</v>
      </c>
      <c r="K131" s="33" t="str">
        <f>IFERROR(VLOOKUP($I131, 'Processed Non-zero DMR Data'!$K:$V, 12, FALSE),"Not Reported")</f>
        <v>Des Plaines River</v>
      </c>
      <c r="L131" s="106">
        <f>IFERROR(VLOOKUP($I131, 'Processed Non-zero DMR Data'!$K:$W, 13, FALSE),"No Reach Code Reported")</f>
        <v>71200040905</v>
      </c>
      <c r="M131" s="107" t="str">
        <f>IFERROR(IFERROR(VLOOKUP(H131, 'Off-site Locations'!$K$3:$O$5, 5, FALSE), VLOOKUP(H131, 'Off-site Locations'!$B$3:$E$4, 4, FALSE)), "No Offsite Transfers")</f>
        <v>No Offsite Transfers</v>
      </c>
      <c r="N131" s="33">
        <f>VLOOKUP($D131, 'COU.OES Summary'!C:E, 3, FALSE)</f>
        <v>365</v>
      </c>
      <c r="O131" s="108">
        <f t="shared" si="14"/>
        <v>0</v>
      </c>
      <c r="P131" s="108">
        <f t="shared" si="15"/>
        <v>0.57930400000000004</v>
      </c>
      <c r="Q131" s="109" cm="1">
        <f t="array" ref="Q131">IFERROR(_xlfn.XLOOKUP(1,  (MAX(IF(I131 = 'Processed Non-zero DMR Data'!$K:$K,'Processed Non-zero DMR Data'!$A:$A)) = 'Processed Non-zero DMR Data'!$A:$A)*('Processed Non-zero DMR Data'!$K:$K = I131),'Processed Non-zero DMR Data'!$T:$T), "N/A- Facility Does Not Report DMRs")</f>
        <v>0.49713000000000002</v>
      </c>
      <c r="R131" s="33">
        <f t="shared" si="25"/>
        <v>1.3620000000000001E-3</v>
      </c>
      <c r="S131" s="33" cm="1">
        <f t="array" ref="S131">IF(COUNTIF('Processed Non-zero DMR Data'!$K:$K,$I131)&gt;0,MEDIAN(IF('Processed Non-zero DMR Data'!$K:$K=I131,'Processed Non-zero DMR Data'!$T:$T)),"N/A - Facility Does Not Report DMRs")</f>
        <v>0.49713000000000002</v>
      </c>
      <c r="T131" s="33">
        <f t="shared" si="26"/>
        <v>1.3620000000000001E-3</v>
      </c>
      <c r="U131" s="33">
        <f>IF(COUNTIF('Processed Non-zero DMR Data'!$K:$K,$I131)&gt;0,_xlfn.MAXIFS('Processed Non-zero DMR Data'!$T:$T,'Processed Non-zero DMR Data'!$K:$K,$I131), "N/A - Facility Does Not Report DMRs")</f>
        <v>0.57930400000000004</v>
      </c>
      <c r="V131" s="33">
        <f t="shared" si="27"/>
        <v>1.5871342465753426E-3</v>
      </c>
      <c r="W131" s="110" cm="1">
        <f t="array" ref="W131">IF(COUNTIF('Processed Non-zero DMR Data'!$K:$K,$I131)&gt;0,INDEX('Processed Non-zero DMR Data'!$A:$A,MATCH(1,($I131='Processed Non-zero DMR Data'!$K:$K)*($U131='Processed Non-zero DMR Data'!$T:$T),0)), "N/A - Facility Does Not Report DMRs")</f>
        <v>2019</v>
      </c>
      <c r="X131" s="109" cm="1">
        <f t="array" ref="X131">IFERROR(_xlfn.XLOOKUP(1,  (MAX(IF(H131 = 'Processed Non-zero TRI Data'!$I:$I,'Processed Non-zero TRI Data'!$A:$A)) = 'Processed Non-zero TRI Data'!$A:$A)*('Processed Non-zero TRI Data'!$I:$I = H131), 'Processed Non-zero TRI Data'!$S:$S), "N/A- Facility Does Not Report to TRI")</f>
        <v>0</v>
      </c>
      <c r="Y131" s="33">
        <f t="shared" si="16"/>
        <v>0</v>
      </c>
      <c r="Z131" s="33" t="str" cm="1">
        <f t="array" ref="Z131">IF(COUNTIF('Processed Non-zero TRI Data'!$I:$I,$H131)&gt;0,MEDIAN(IF('Processed Non-zero TRI Data'!$I:$I=H131,'Processed Non-zero TRI Data'!$S:$S)), "N/A - Facility Does Not Report to TRI")</f>
        <v>N/A - Facility Does Not Report to TRI</v>
      </c>
      <c r="AA131" s="33" t="str">
        <f t="shared" si="17"/>
        <v>N/A - Facility Does Not Report to TRI</v>
      </c>
      <c r="AB131" s="33" t="str">
        <f>IF(COUNTIF('Processed Non-zero TRI Data'!$I:$I,$H131)&gt;0,_xlfn.MAXIFS('Processed Non-zero TRI Data'!$S:$S,'Processed Non-zero TRI Data'!$I:$I,$H131), "N/A - Facility Does Not Report to TRI")</f>
        <v>N/A - Facility Does Not Report to TRI</v>
      </c>
      <c r="AC131" s="33" t="str">
        <f t="shared" si="18"/>
        <v>N/A - Facility Does Not Report to TRI</v>
      </c>
      <c r="AD131" s="110" t="str" cm="1">
        <f t="array" ref="AD131">IFERROR(IF(B131 = "TRI Form R", IF(AB131 = 0, "Facility has no on-site water discharges between 2019-2023.",  IF(COUNTIF('Processed Non-zero TRI Data'!$I:$I,$H131)&gt;0,INDEX('Processed Non-zero TRI Data'!$A:$A,MATCH(1,($H131='Processed Non-zero TRI Data'!$I:$I)*(AB131='Processed Non-zero TRI Data'!$S:$S),0)))), VLOOKUP(H131, 'Form A Recent Reporting'!$L:$M, 2, FALSE)), ("N/A - Facility Does Not Report to TRI"))</f>
        <v>N/A - Facility Does Not Report to TRI</v>
      </c>
      <c r="AE131" s="109" cm="1">
        <f t="array" ref="AE131">IFERROR(_xlfn.XLOOKUP(1,  (MAX(IF(H131 = 'Processed Non-zero TRI Data'!$I:$I,'Processed Non-zero TRI Data'!$A:$A)) = 'Processed Non-zero TRI Data'!$A:$A)*('Processed Non-zero TRI Data'!$I:$I = H131), 'Processed Non-zero TRI Data'!$U:$U), "N/A- Facility Does Not Report to TRI")</f>
        <v>0</v>
      </c>
      <c r="AF131" s="33">
        <f t="shared" si="19"/>
        <v>0</v>
      </c>
      <c r="AG131" s="33" t="str" cm="1">
        <f t="array" ref="AG131">IF(COUNTIF('Processed Non-zero TRI Data'!$I:$I,$H131)&gt;0,MEDIAN(IF('Processed Non-zero TRI Data'!$I:$I=H131,'Processed Non-zero TRI Data'!$U:$U)), "N/A - Facility Does Not Report to TRI")</f>
        <v>N/A - Facility Does Not Report to TRI</v>
      </c>
      <c r="AH131" s="33" t="str">
        <f t="shared" si="20"/>
        <v>N/A - Facility Does Not Report to TRI</v>
      </c>
      <c r="AI131" s="33" t="str">
        <f>IF(COUNTIF('Processed Non-zero TRI Data'!$I:$I,$H131)&gt;0,_xlfn.MAXIFS('Processed Non-zero TRI Data'!$U:$U,'Processed Non-zero TRI Data'!$I:$I,$H131), "N/A - Facility Does Not Report to TRI")</f>
        <v>N/A - Facility Does Not Report to TRI</v>
      </c>
      <c r="AJ131" s="33" t="str">
        <f t="shared" si="21"/>
        <v>N/A - Facility Does Not Report to TRI</v>
      </c>
      <c r="AK131" s="110" t="str" cm="1">
        <f t="array" ref="AK131">IF(B131="TRI Form A",AD131,IF(AI131=0,"Facility has no transfers to POTWs between 2019-2023.",IF(COUNTIF('Processed Non-zero TRI Data'!$I:$I,$H131)&gt;0,INDEX('Processed Non-zero TRI Data'!$A:$A,MATCH(1,($H131='Processed Non-zero TRI Data'!$I:$I)*(AI131='Processed Non-zero TRI Data'!$U:$U),0)),"N/A - Facility Does Not Report to TRI")))</f>
        <v>N/A - Facility Does Not Report to TRI</v>
      </c>
      <c r="AL131" s="109" cm="1">
        <f t="array" ref="AL131">IFERROR(_xlfn.XLOOKUP(1,  (MAX(IF(H131 = 'Processed Non-zero TRI Data'!$I$2:$I$23,'Processed Non-zero TRI Data'!$A$2:$A$23)) = 'Processed Non-zero TRI Data'!$A$2:$A$23)*('Processed Non-zero TRI Data'!$I$2:$I$23 = H131), 'Processed Non-zero TRI Data'!$W$2:$W$23), "N/A- Facility Does Not Report to TRI")</f>
        <v>0</v>
      </c>
      <c r="AM131" s="33">
        <f t="shared" si="22"/>
        <v>0</v>
      </c>
      <c r="AN131" s="33" t="str" cm="1">
        <f t="array" ref="AN131">IF(COUNTIF('Processed Non-zero TRI Data'!$I:$I,$H131)&gt;0,MEDIAN(IF('Processed Non-zero TRI Data'!$I:$I=H131,'Processed Non-zero TRI Data'!$W:$W)), "N/A - Facility Does Not Report to TRI")</f>
        <v>N/A - Facility Does Not Report to TRI</v>
      </c>
      <c r="AO131" s="33" t="str">
        <f t="shared" si="23"/>
        <v>N/A - Facility Does Not Report to TRI</v>
      </c>
      <c r="AP131" s="33" t="str">
        <f>IF(COUNTIF('Processed Non-zero TRI Data'!$I:$I,$H131)&gt;0,_xlfn.MAXIFS('Processed Non-zero TRI Data'!$W:$W,'Processed Non-zero TRI Data'!$I:$I,$H131), "N/A - Facility Does Not Report to TRI")</f>
        <v>N/A - Facility Does Not Report to TRI</v>
      </c>
      <c r="AQ131" s="33" t="str">
        <f t="shared" si="24"/>
        <v>N/A - Facility Does Not Report to TRI</v>
      </c>
      <c r="AR131" s="110" t="str" cm="1">
        <f t="array" ref="AR131">IF(B131="TRI Form A",AD131,IF(AP131=0,"Facility has no transfers to non-POTWs between 2019-2023.",IF(COUNTIF('Processed Non-zero TRI Data'!$I:$I,$H131)&gt;0,INDEX('Processed Non-zero TRI Data'!$A:$A,MATCH(1,($H131='Processed Non-zero TRI Data'!$I:$I)*(AP131='Processed Non-zero TRI Data'!$W:$W),0)),"N/A - Facility Does Not Report to TRI")))</f>
        <v>N/A - Facility Does Not Report to TRI</v>
      </c>
    </row>
    <row r="132" spans="1:44" ht="29" x14ac:dyDescent="0.35">
      <c r="A132" s="34">
        <v>129</v>
      </c>
      <c r="B132" s="33" t="str">
        <f>IFERROR("TRI Form "&amp;VLOOKUP(H132,'Processed Non-zero TRI Data'!$I$2:$K$23,3,FALSE),"DMR")</f>
        <v>DMR</v>
      </c>
      <c r="C132" s="33" t="str">
        <f>VLOOKUP($D132, 'COU.OES Summary'!C:D, 2, FALSE)</f>
        <v> </v>
      </c>
      <c r="D132" s="33" t="str">
        <f>IFERROR(VLOOKUP($H132, 'Processed Non-zero TRI Data'!$I:$O, 7, FALSE), VLOOKUP($I132, 'Processed Non-zero DMR Data'!$K:$R, 8, FALSE))</f>
        <v>Waste handling, treatment, and disposal - Remediation or Monitoring</v>
      </c>
      <c r="E132" s="34" t="s">
        <v>353</v>
      </c>
      <c r="F132" s="34" t="s">
        <v>354</v>
      </c>
      <c r="G132" s="34" t="s">
        <v>111</v>
      </c>
      <c r="H132" s="34"/>
      <c r="I132" s="105">
        <v>110005812371</v>
      </c>
      <c r="J132" s="33" t="str">
        <f>IFERROR(VLOOKUP($I132, 'Processed Non-zero DMR Data'!$K:$U, 11, FALSE),"")</f>
        <v>IL0002976</v>
      </c>
      <c r="K132" s="33" t="str">
        <f>IFERROR(VLOOKUP($I132, 'Processed Non-zero DMR Data'!$K:$V, 12, FALSE),"Not Reported")</f>
        <v>Spring Creek-Rock Creek</v>
      </c>
      <c r="L132" s="106">
        <f>IFERROR(VLOOKUP($I132, 'Processed Non-zero DMR Data'!$K:$W, 13, FALSE),"No Reach Code Reported")</f>
        <v>70900050107</v>
      </c>
      <c r="M132" s="107" t="str">
        <f>IFERROR(IFERROR(VLOOKUP(H132, 'Off-site Locations'!$K$3:$O$5, 5, FALSE), VLOOKUP(H132, 'Off-site Locations'!$B$3:$E$4, 4, FALSE)), "No Offsite Transfers")</f>
        <v>No Offsite Transfers</v>
      </c>
      <c r="N132" s="33">
        <f>VLOOKUP($D132, 'COU.OES Summary'!C:E, 3, FALSE)</f>
        <v>365</v>
      </c>
      <c r="O132" s="108">
        <f t="shared" ref="O132:O195" si="28">MAX(AB132,AI132,AP132)</f>
        <v>0</v>
      </c>
      <c r="P132" s="108">
        <f t="shared" ref="P132:P195" si="29">MAX(U132)</f>
        <v>0.54177089550000002</v>
      </c>
      <c r="Q132" s="109" cm="1">
        <f t="array" ref="Q132">IFERROR(_xlfn.XLOOKUP(1,  (MAX(IF(I132 = 'Processed Non-zero DMR Data'!$K:$K,'Processed Non-zero DMR Data'!$A:$A)) = 'Processed Non-zero DMR Data'!$A:$A)*('Processed Non-zero DMR Data'!$K:$K = I132),'Processed Non-zero DMR Data'!$T:$T), "N/A- Facility Does Not Report DMRs")</f>
        <v>1.4361804000000001E-2</v>
      </c>
      <c r="R132" s="33">
        <f t="shared" si="25"/>
        <v>3.9347408219178087E-5</v>
      </c>
      <c r="S132" s="33" cm="1">
        <f t="array" ref="S132">IF(COUNTIF('Processed Non-zero DMR Data'!$K:$K,$I132)&gt;0,MEDIAN(IF('Processed Non-zero DMR Data'!$K:$K=I132,'Processed Non-zero DMR Data'!$T:$T)),"N/A - Facility Does Not Report DMRs")</f>
        <v>1.50306135E-2</v>
      </c>
      <c r="T132" s="33">
        <f t="shared" si="26"/>
        <v>4.1179763013698631E-5</v>
      </c>
      <c r="U132" s="33">
        <f>IF(COUNTIF('Processed Non-zero DMR Data'!$K:$K,$I132)&gt;0,_xlfn.MAXIFS('Processed Non-zero DMR Data'!$T:$T,'Processed Non-zero DMR Data'!$K:$K,$I132), "N/A - Facility Does Not Report DMRs")</f>
        <v>0.54177089550000002</v>
      </c>
      <c r="V132" s="33">
        <f t="shared" si="27"/>
        <v>1.4843038232876713E-3</v>
      </c>
      <c r="W132" s="110" cm="1">
        <f t="array" ref="W132">IF(COUNTIF('Processed Non-zero DMR Data'!$K:$K,$I132)&gt;0,INDEX('Processed Non-zero DMR Data'!$A:$A,MATCH(1,($I132='Processed Non-zero DMR Data'!$K:$K)*($U132='Processed Non-zero DMR Data'!$T:$T),0)), "N/A - Facility Does Not Report DMRs")</f>
        <v>2019</v>
      </c>
      <c r="X132" s="109" cm="1">
        <f t="array" ref="X132">IFERROR(_xlfn.XLOOKUP(1,  (MAX(IF(H132 = 'Processed Non-zero TRI Data'!$I:$I,'Processed Non-zero TRI Data'!$A:$A)) = 'Processed Non-zero TRI Data'!$A:$A)*('Processed Non-zero TRI Data'!$I:$I = H132), 'Processed Non-zero TRI Data'!$S:$S), "N/A- Facility Does Not Report to TRI")</f>
        <v>0</v>
      </c>
      <c r="Y132" s="33">
        <f t="shared" ref="Y132:Y195" si="30">IFERROR(X132/$N132, "N/A - Facility Does Not Report to TRI")</f>
        <v>0</v>
      </c>
      <c r="Z132" s="33" t="str" cm="1">
        <f t="array" ref="Z132">IF(COUNTIF('Processed Non-zero TRI Data'!$I:$I,$H132)&gt;0,MEDIAN(IF('Processed Non-zero TRI Data'!$I:$I=H132,'Processed Non-zero TRI Data'!$S:$S)), "N/A - Facility Does Not Report to TRI")</f>
        <v>N/A - Facility Does Not Report to TRI</v>
      </c>
      <c r="AA132" s="33" t="str">
        <f t="shared" ref="AA132:AA195" si="31">IFERROR(Z132/$N132, "N/A - Facility Does Not Report to TRI")</f>
        <v>N/A - Facility Does Not Report to TRI</v>
      </c>
      <c r="AB132" s="33" t="str">
        <f>IF(COUNTIF('Processed Non-zero TRI Data'!$I:$I,$H132)&gt;0,_xlfn.MAXIFS('Processed Non-zero TRI Data'!$S:$S,'Processed Non-zero TRI Data'!$I:$I,$H132), "N/A - Facility Does Not Report to TRI")</f>
        <v>N/A - Facility Does Not Report to TRI</v>
      </c>
      <c r="AC132" s="33" t="str">
        <f t="shared" ref="AC132:AC195" si="32">IFERROR(AB132/$N132, "N/A - Facility Does Not Report to TRI")</f>
        <v>N/A - Facility Does Not Report to TRI</v>
      </c>
      <c r="AD132" s="110" t="str" cm="1">
        <f t="array" ref="AD132">IFERROR(IF(B132 = "TRI Form R", IF(AB132 = 0, "Facility has no on-site water discharges between 2019-2023.",  IF(COUNTIF('Processed Non-zero TRI Data'!$I:$I,$H132)&gt;0,INDEX('Processed Non-zero TRI Data'!$A:$A,MATCH(1,($H132='Processed Non-zero TRI Data'!$I:$I)*(AB132='Processed Non-zero TRI Data'!$S:$S),0)))), VLOOKUP(H132, 'Form A Recent Reporting'!$L:$M, 2, FALSE)), ("N/A - Facility Does Not Report to TRI"))</f>
        <v>N/A - Facility Does Not Report to TRI</v>
      </c>
      <c r="AE132" s="109" cm="1">
        <f t="array" ref="AE132">IFERROR(_xlfn.XLOOKUP(1,  (MAX(IF(H132 = 'Processed Non-zero TRI Data'!$I:$I,'Processed Non-zero TRI Data'!$A:$A)) = 'Processed Non-zero TRI Data'!$A:$A)*('Processed Non-zero TRI Data'!$I:$I = H132), 'Processed Non-zero TRI Data'!$U:$U), "N/A- Facility Does Not Report to TRI")</f>
        <v>0</v>
      </c>
      <c r="AF132" s="33">
        <f t="shared" ref="AF132:AF195" si="33">IFERROR(AE132/$N132, "N/A - Facility Does Not Report to TRI")</f>
        <v>0</v>
      </c>
      <c r="AG132" s="33" t="str" cm="1">
        <f t="array" ref="AG132">IF(COUNTIF('Processed Non-zero TRI Data'!$I:$I,$H132)&gt;0,MEDIAN(IF('Processed Non-zero TRI Data'!$I:$I=H132,'Processed Non-zero TRI Data'!$U:$U)), "N/A - Facility Does Not Report to TRI")</f>
        <v>N/A - Facility Does Not Report to TRI</v>
      </c>
      <c r="AH132" s="33" t="str">
        <f t="shared" ref="AH132:AH195" si="34">IFERROR(AG132/$N132, "N/A - Facility Does Not Report to TRI")</f>
        <v>N/A - Facility Does Not Report to TRI</v>
      </c>
      <c r="AI132" s="33" t="str">
        <f>IF(COUNTIF('Processed Non-zero TRI Data'!$I:$I,$H132)&gt;0,_xlfn.MAXIFS('Processed Non-zero TRI Data'!$U:$U,'Processed Non-zero TRI Data'!$I:$I,$H132), "N/A - Facility Does Not Report to TRI")</f>
        <v>N/A - Facility Does Not Report to TRI</v>
      </c>
      <c r="AJ132" s="33" t="str">
        <f t="shared" ref="AJ132:AJ195" si="35">IFERROR(AI132/$N132, "N/A - Facility Does Not Report to TRI")</f>
        <v>N/A - Facility Does Not Report to TRI</v>
      </c>
      <c r="AK132" s="110" t="str" cm="1">
        <f t="array" ref="AK132">IF(B132="TRI Form A",AD132,IF(AI132=0,"Facility has no transfers to POTWs between 2019-2023.",IF(COUNTIF('Processed Non-zero TRI Data'!$I:$I,$H132)&gt;0,INDEX('Processed Non-zero TRI Data'!$A:$A,MATCH(1,($H132='Processed Non-zero TRI Data'!$I:$I)*(AI132='Processed Non-zero TRI Data'!$U:$U),0)),"N/A - Facility Does Not Report to TRI")))</f>
        <v>N/A - Facility Does Not Report to TRI</v>
      </c>
      <c r="AL132" s="109" cm="1">
        <f t="array" ref="AL132">IFERROR(_xlfn.XLOOKUP(1,  (MAX(IF(H132 = 'Processed Non-zero TRI Data'!$I$2:$I$23,'Processed Non-zero TRI Data'!$A$2:$A$23)) = 'Processed Non-zero TRI Data'!$A$2:$A$23)*('Processed Non-zero TRI Data'!$I$2:$I$23 = H132), 'Processed Non-zero TRI Data'!$W$2:$W$23), "N/A- Facility Does Not Report to TRI")</f>
        <v>0</v>
      </c>
      <c r="AM132" s="33">
        <f t="shared" ref="AM132:AM195" si="36">IFERROR(AL132/$N132, "N/A - Facility Does Not Report to TRI")</f>
        <v>0</v>
      </c>
      <c r="AN132" s="33" t="str" cm="1">
        <f t="array" ref="AN132">IF(COUNTIF('Processed Non-zero TRI Data'!$I:$I,$H132)&gt;0,MEDIAN(IF('Processed Non-zero TRI Data'!$I:$I=H132,'Processed Non-zero TRI Data'!$W:$W)), "N/A - Facility Does Not Report to TRI")</f>
        <v>N/A - Facility Does Not Report to TRI</v>
      </c>
      <c r="AO132" s="33" t="str">
        <f t="shared" ref="AO132:AO195" si="37">IFERROR(AN132/$N132, "N/A - Facility Does Not Report to TRI")</f>
        <v>N/A - Facility Does Not Report to TRI</v>
      </c>
      <c r="AP132" s="33" t="str">
        <f>IF(COUNTIF('Processed Non-zero TRI Data'!$I:$I,$H132)&gt;0,_xlfn.MAXIFS('Processed Non-zero TRI Data'!$W:$W,'Processed Non-zero TRI Data'!$I:$I,$H132), "N/A - Facility Does Not Report to TRI")</f>
        <v>N/A - Facility Does Not Report to TRI</v>
      </c>
      <c r="AQ132" s="33" t="str">
        <f t="shared" ref="AQ132:AQ195" si="38">IFERROR(AP132/$N132, "N/A - Facility Does Not Report to TRI")</f>
        <v>N/A - Facility Does Not Report to TRI</v>
      </c>
      <c r="AR132" s="110" t="str" cm="1">
        <f t="array" ref="AR132">IF(B132="TRI Form A",AD132,IF(AP132=0,"Facility has no transfers to non-POTWs between 2019-2023.",IF(COUNTIF('Processed Non-zero TRI Data'!$I:$I,$H132)&gt;0,INDEX('Processed Non-zero TRI Data'!$A:$A,MATCH(1,($H132='Processed Non-zero TRI Data'!$I:$I)*(AP132='Processed Non-zero TRI Data'!$W:$W),0)),"N/A - Facility Does Not Report to TRI")))</f>
        <v>N/A - Facility Does Not Report to TRI</v>
      </c>
    </row>
    <row r="133" spans="1:44" ht="29" x14ac:dyDescent="0.35">
      <c r="A133" s="34">
        <v>130</v>
      </c>
      <c r="B133" s="33" t="str">
        <f>IFERROR("TRI Form "&amp;VLOOKUP(H133,'Processed Non-zero TRI Data'!$I$2:$K$23,3,FALSE),"DMR")</f>
        <v>DMR</v>
      </c>
      <c r="C133" s="33" t="str">
        <f>VLOOKUP($D133, 'COU.OES Summary'!C:D, 2, FALSE)</f>
        <v> </v>
      </c>
      <c r="D133" s="33" t="str">
        <f>IFERROR(VLOOKUP($H133, 'Processed Non-zero TRI Data'!$I:$O, 7, FALSE), VLOOKUP($I133, 'Processed Non-zero DMR Data'!$K:$R, 8, FALSE))</f>
        <v>Waste handling, treatment, and disposal - non-POTW WWT</v>
      </c>
      <c r="E133" s="34" t="s">
        <v>355</v>
      </c>
      <c r="F133" s="34" t="s">
        <v>90</v>
      </c>
      <c r="G133" s="34" t="s">
        <v>91</v>
      </c>
      <c r="H133" s="34"/>
      <c r="I133" s="105">
        <v>110000613685</v>
      </c>
      <c r="J133" s="33" t="str">
        <f>IFERROR(VLOOKUP($I133, 'Processed Non-zero DMR Data'!$K:$U, 11, FALSE),"")</f>
        <v>LA0058882</v>
      </c>
      <c r="K133" s="33" t="str">
        <f>IFERROR(VLOOKUP($I133, 'Processed Non-zero DMR Data'!$K:$V, 12, FALSE),"Not Reported")</f>
        <v>Little River</v>
      </c>
      <c r="L133" s="106">
        <f>IFERROR(VLOOKUP($I133, 'Processed Non-zero DMR Data'!$K:$W, 13, FALSE),"No Reach Code Reported")</f>
        <v>80802050501</v>
      </c>
      <c r="M133" s="107" t="str">
        <f>IFERROR(IFERROR(VLOOKUP(H133, 'Off-site Locations'!$K$3:$O$5, 5, FALSE), VLOOKUP(H133, 'Off-site Locations'!$B$3:$E$4, 4, FALSE)), "No Offsite Transfers")</f>
        <v>No Offsite Transfers</v>
      </c>
      <c r="N133" s="33">
        <f>VLOOKUP($D133, 'COU.OES Summary'!C:E, 3, FALSE)</f>
        <v>365</v>
      </c>
      <c r="O133" s="108">
        <f t="shared" si="28"/>
        <v>0</v>
      </c>
      <c r="P133" s="108">
        <f t="shared" si="29"/>
        <v>1.0430513749999999</v>
      </c>
      <c r="Q133" s="109" cm="1">
        <f t="array" ref="Q133">IFERROR(_xlfn.XLOOKUP(1,  (MAX(IF(I133 = 'Processed Non-zero DMR Data'!$K:$K,'Processed Non-zero DMR Data'!$A:$A)) = 'Processed Non-zero DMR Data'!$A:$A)*('Processed Non-zero DMR Data'!$K:$K = I133),'Processed Non-zero DMR Data'!$T:$T), "N/A- Facility Does Not Report DMRs")</f>
        <v>0.94289081250000006</v>
      </c>
      <c r="R133" s="33">
        <f t="shared" ref="R133:R196" si="39">IFERROR(Q133/$N133, "N/A - Facility Does Not Report DMRs")</f>
        <v>2.5832625E-3</v>
      </c>
      <c r="S133" s="33" cm="1">
        <f t="array" ref="S133">IF(COUNTIF('Processed Non-zero DMR Data'!$K:$K,$I133)&gt;0,MEDIAN(IF('Processed Non-zero DMR Data'!$K:$K=I133,'Processed Non-zero DMR Data'!$T:$T)),"N/A - Facility Does Not Report DMRs")</f>
        <v>0.94289081250000006</v>
      </c>
      <c r="T133" s="33">
        <f t="shared" ref="T133:T196" si="40">IFERROR(S133/$N133, "N/A - Facility Does Not Report DMRs")</f>
        <v>2.5832625E-3</v>
      </c>
      <c r="U133" s="33">
        <f>IF(COUNTIF('Processed Non-zero DMR Data'!$K:$K,$I133)&gt;0,_xlfn.MAXIFS('Processed Non-zero DMR Data'!$T:$T,'Processed Non-zero DMR Data'!$K:$K,$I133), "N/A - Facility Does Not Report DMRs")</f>
        <v>1.0430513749999999</v>
      </c>
      <c r="V133" s="33">
        <f t="shared" ref="V133:V196" si="41">IFERROR(U133/$N133, "N/A - Facility Does Not Report DMRs")</f>
        <v>2.8576749999999996E-3</v>
      </c>
      <c r="W133" s="110" cm="1">
        <f t="array" ref="W133">IF(COUNTIF('Processed Non-zero DMR Data'!$K:$K,$I133)&gt;0,INDEX('Processed Non-zero DMR Data'!$A:$A,MATCH(1,($I133='Processed Non-zero DMR Data'!$K:$K)*($U133='Processed Non-zero DMR Data'!$T:$T),0)), "N/A - Facility Does Not Report DMRs")</f>
        <v>2020</v>
      </c>
      <c r="X133" s="109" cm="1">
        <f t="array" ref="X133">IFERROR(_xlfn.XLOOKUP(1,  (MAX(IF(H133 = 'Processed Non-zero TRI Data'!$I:$I,'Processed Non-zero TRI Data'!$A:$A)) = 'Processed Non-zero TRI Data'!$A:$A)*('Processed Non-zero TRI Data'!$I:$I = H133), 'Processed Non-zero TRI Data'!$S:$S), "N/A- Facility Does Not Report to TRI")</f>
        <v>0</v>
      </c>
      <c r="Y133" s="33">
        <f t="shared" si="30"/>
        <v>0</v>
      </c>
      <c r="Z133" s="33" t="str" cm="1">
        <f t="array" ref="Z133">IF(COUNTIF('Processed Non-zero TRI Data'!$I:$I,$H133)&gt;0,MEDIAN(IF('Processed Non-zero TRI Data'!$I:$I=H133,'Processed Non-zero TRI Data'!$S:$S)), "N/A - Facility Does Not Report to TRI")</f>
        <v>N/A - Facility Does Not Report to TRI</v>
      </c>
      <c r="AA133" s="33" t="str">
        <f t="shared" si="31"/>
        <v>N/A - Facility Does Not Report to TRI</v>
      </c>
      <c r="AB133" s="33" t="str">
        <f>IF(COUNTIF('Processed Non-zero TRI Data'!$I:$I,$H133)&gt;0,_xlfn.MAXIFS('Processed Non-zero TRI Data'!$S:$S,'Processed Non-zero TRI Data'!$I:$I,$H133), "N/A - Facility Does Not Report to TRI")</f>
        <v>N/A - Facility Does Not Report to TRI</v>
      </c>
      <c r="AC133" s="33" t="str">
        <f t="shared" si="32"/>
        <v>N/A - Facility Does Not Report to TRI</v>
      </c>
      <c r="AD133" s="110" t="str" cm="1">
        <f t="array" ref="AD133">IFERROR(IF(B133 = "TRI Form R", IF(AB133 = 0, "Facility has no on-site water discharges between 2019-2023.",  IF(COUNTIF('Processed Non-zero TRI Data'!$I:$I,$H133)&gt;0,INDEX('Processed Non-zero TRI Data'!$A:$A,MATCH(1,($H133='Processed Non-zero TRI Data'!$I:$I)*(AB133='Processed Non-zero TRI Data'!$S:$S),0)))), VLOOKUP(H133, 'Form A Recent Reporting'!$L:$M, 2, FALSE)), ("N/A - Facility Does Not Report to TRI"))</f>
        <v>N/A - Facility Does Not Report to TRI</v>
      </c>
      <c r="AE133" s="109" cm="1">
        <f t="array" ref="AE133">IFERROR(_xlfn.XLOOKUP(1,  (MAX(IF(H133 = 'Processed Non-zero TRI Data'!$I:$I,'Processed Non-zero TRI Data'!$A:$A)) = 'Processed Non-zero TRI Data'!$A:$A)*('Processed Non-zero TRI Data'!$I:$I = H133), 'Processed Non-zero TRI Data'!$U:$U), "N/A- Facility Does Not Report to TRI")</f>
        <v>0</v>
      </c>
      <c r="AF133" s="33">
        <f t="shared" si="33"/>
        <v>0</v>
      </c>
      <c r="AG133" s="33" t="str" cm="1">
        <f t="array" ref="AG133">IF(COUNTIF('Processed Non-zero TRI Data'!$I:$I,$H133)&gt;0,MEDIAN(IF('Processed Non-zero TRI Data'!$I:$I=H133,'Processed Non-zero TRI Data'!$U:$U)), "N/A - Facility Does Not Report to TRI")</f>
        <v>N/A - Facility Does Not Report to TRI</v>
      </c>
      <c r="AH133" s="33" t="str">
        <f t="shared" si="34"/>
        <v>N/A - Facility Does Not Report to TRI</v>
      </c>
      <c r="AI133" s="33" t="str">
        <f>IF(COUNTIF('Processed Non-zero TRI Data'!$I:$I,$H133)&gt;0,_xlfn.MAXIFS('Processed Non-zero TRI Data'!$U:$U,'Processed Non-zero TRI Data'!$I:$I,$H133), "N/A - Facility Does Not Report to TRI")</f>
        <v>N/A - Facility Does Not Report to TRI</v>
      </c>
      <c r="AJ133" s="33" t="str">
        <f t="shared" si="35"/>
        <v>N/A - Facility Does Not Report to TRI</v>
      </c>
      <c r="AK133" s="110" t="str" cm="1">
        <f t="array" ref="AK133">IF(B133="TRI Form A",AD133,IF(AI133=0,"Facility has no transfers to POTWs between 2019-2023.",IF(COUNTIF('Processed Non-zero TRI Data'!$I:$I,$H133)&gt;0,INDEX('Processed Non-zero TRI Data'!$A:$A,MATCH(1,($H133='Processed Non-zero TRI Data'!$I:$I)*(AI133='Processed Non-zero TRI Data'!$U:$U),0)),"N/A - Facility Does Not Report to TRI")))</f>
        <v>N/A - Facility Does Not Report to TRI</v>
      </c>
      <c r="AL133" s="109" cm="1">
        <f t="array" ref="AL133">IFERROR(_xlfn.XLOOKUP(1,  (MAX(IF(H133 = 'Processed Non-zero TRI Data'!$I$2:$I$23,'Processed Non-zero TRI Data'!$A$2:$A$23)) = 'Processed Non-zero TRI Data'!$A$2:$A$23)*('Processed Non-zero TRI Data'!$I$2:$I$23 = H133), 'Processed Non-zero TRI Data'!$W$2:$W$23), "N/A- Facility Does Not Report to TRI")</f>
        <v>0</v>
      </c>
      <c r="AM133" s="33">
        <f t="shared" si="36"/>
        <v>0</v>
      </c>
      <c r="AN133" s="33" t="str" cm="1">
        <f t="array" ref="AN133">IF(COUNTIF('Processed Non-zero TRI Data'!$I:$I,$H133)&gt;0,MEDIAN(IF('Processed Non-zero TRI Data'!$I:$I=H133,'Processed Non-zero TRI Data'!$W:$W)), "N/A - Facility Does Not Report to TRI")</f>
        <v>N/A - Facility Does Not Report to TRI</v>
      </c>
      <c r="AO133" s="33" t="str">
        <f t="shared" si="37"/>
        <v>N/A - Facility Does Not Report to TRI</v>
      </c>
      <c r="AP133" s="33" t="str">
        <f>IF(COUNTIF('Processed Non-zero TRI Data'!$I:$I,$H133)&gt;0,_xlfn.MAXIFS('Processed Non-zero TRI Data'!$W:$W,'Processed Non-zero TRI Data'!$I:$I,$H133), "N/A - Facility Does Not Report to TRI")</f>
        <v>N/A - Facility Does Not Report to TRI</v>
      </c>
      <c r="AQ133" s="33" t="str">
        <f t="shared" si="38"/>
        <v>N/A - Facility Does Not Report to TRI</v>
      </c>
      <c r="AR133" s="110" t="str" cm="1">
        <f t="array" ref="AR133">IF(B133="TRI Form A",AD133,IF(AP133=0,"Facility has no transfers to non-POTWs between 2019-2023.",IF(COUNTIF('Processed Non-zero TRI Data'!$I:$I,$H133)&gt;0,INDEX('Processed Non-zero TRI Data'!$A:$A,MATCH(1,($H133='Processed Non-zero TRI Data'!$I:$I)*(AP133='Processed Non-zero TRI Data'!$W:$W),0)),"N/A - Facility Does Not Report to TRI")))</f>
        <v>N/A - Facility Does Not Report to TRI</v>
      </c>
    </row>
    <row r="134" spans="1:44" ht="29" x14ac:dyDescent="0.35">
      <c r="A134" s="34">
        <v>131</v>
      </c>
      <c r="B134" s="33" t="str">
        <f>IFERROR("TRI Form "&amp;VLOOKUP(H134,'Processed Non-zero TRI Data'!$I$2:$K$23,3,FALSE),"DMR")</f>
        <v>DMR</v>
      </c>
      <c r="C134" s="33" t="str">
        <f>VLOOKUP($D134, 'COU.OES Summary'!C:D, 2, FALSE)</f>
        <v> </v>
      </c>
      <c r="D134" s="33" t="str">
        <f>IFERROR(VLOOKUP($H134, 'Processed Non-zero TRI Data'!$I:$O, 7, FALSE), VLOOKUP($I134, 'Processed Non-zero DMR Data'!$K:$R, 8, FALSE))</f>
        <v>Waste handling, treatment, and disposal - Remediation or Monitoring</v>
      </c>
      <c r="E134" s="34" t="s">
        <v>356</v>
      </c>
      <c r="F134" s="34" t="s">
        <v>357</v>
      </c>
      <c r="G134" s="34" t="s">
        <v>181</v>
      </c>
      <c r="H134" s="34"/>
      <c r="I134" s="105">
        <v>110006739878</v>
      </c>
      <c r="J134" s="33" t="str">
        <f>IFERROR(VLOOKUP($I134, 'Processed Non-zero DMR Data'!$K:$U, 11, FALSE),"")</f>
        <v>MI0054925</v>
      </c>
      <c r="K134" s="33" t="str">
        <f>IFERROR(VLOOKUP($I134, 'Processed Non-zero DMR Data'!$K:$V, 12, FALSE),"Not Reported")</f>
        <v>Lake Cadillac-Clam River</v>
      </c>
      <c r="L134" s="106" t="str">
        <f>IFERROR(VLOOKUP($I134, 'Processed Non-zero DMR Data'!$K:$W, 13, FALSE),"No Reach Code Reported")</f>
        <v>040601020302</v>
      </c>
      <c r="M134" s="107" t="str">
        <f>IFERROR(IFERROR(VLOOKUP(H134, 'Off-site Locations'!$K$3:$O$5, 5, FALSE), VLOOKUP(H134, 'Off-site Locations'!$B$3:$E$4, 4, FALSE)), "No Offsite Transfers")</f>
        <v>No Offsite Transfers</v>
      </c>
      <c r="N134" s="33">
        <f>VLOOKUP($D134, 'COU.OES Summary'!C:E, 3, FALSE)</f>
        <v>365</v>
      </c>
      <c r="O134" s="108">
        <f t="shared" si="28"/>
        <v>0</v>
      </c>
      <c r="P134" s="108">
        <f t="shared" si="29"/>
        <v>0.49486505590000002</v>
      </c>
      <c r="Q134" s="109" cm="1">
        <f t="array" ref="Q134">IFERROR(_xlfn.XLOOKUP(1,  (MAX(IF(I134 = 'Processed Non-zero DMR Data'!$K:$K,'Processed Non-zero DMR Data'!$A:$A)) = 'Processed Non-zero DMR Data'!$A:$A)*('Processed Non-zero DMR Data'!$K:$K = I134),'Processed Non-zero DMR Data'!$T:$T), "N/A- Facility Does Not Report DMRs")</f>
        <v>0.49486505590000002</v>
      </c>
      <c r="R134" s="33">
        <f t="shared" si="39"/>
        <v>1.3557946736986301E-3</v>
      </c>
      <c r="S134" s="33" cm="1">
        <f t="array" ref="S134">IF(COUNTIF('Processed Non-zero DMR Data'!$K:$K,$I134)&gt;0,MEDIAN(IF('Processed Non-zero DMR Data'!$K:$K=I134,'Processed Non-zero DMR Data'!$T:$T)),"N/A - Facility Does Not Report DMRs")</f>
        <v>0.36114815955000001</v>
      </c>
      <c r="T134" s="33">
        <f t="shared" si="40"/>
        <v>9.8944701246575354E-4</v>
      </c>
      <c r="U134" s="33">
        <f>IF(COUNTIF('Processed Non-zero DMR Data'!$K:$K,$I134)&gt;0,_xlfn.MAXIFS('Processed Non-zero DMR Data'!$T:$T,'Processed Non-zero DMR Data'!$K:$K,$I134), "N/A - Facility Does Not Report DMRs")</f>
        <v>0.49486505590000002</v>
      </c>
      <c r="V134" s="33">
        <f t="shared" si="41"/>
        <v>1.3557946736986301E-3</v>
      </c>
      <c r="W134" s="110" cm="1">
        <f t="array" ref="W134">IF(COUNTIF('Processed Non-zero DMR Data'!$K:$K,$I134)&gt;0,INDEX('Processed Non-zero DMR Data'!$A:$A,MATCH(1,($I134='Processed Non-zero DMR Data'!$K:$K)*($U134='Processed Non-zero DMR Data'!$T:$T),0)), "N/A - Facility Does Not Report DMRs")</f>
        <v>2023</v>
      </c>
      <c r="X134" s="109" cm="1">
        <f t="array" ref="X134">IFERROR(_xlfn.XLOOKUP(1,  (MAX(IF(H134 = 'Processed Non-zero TRI Data'!$I:$I,'Processed Non-zero TRI Data'!$A:$A)) = 'Processed Non-zero TRI Data'!$A:$A)*('Processed Non-zero TRI Data'!$I:$I = H134), 'Processed Non-zero TRI Data'!$S:$S), "N/A- Facility Does Not Report to TRI")</f>
        <v>0</v>
      </c>
      <c r="Y134" s="33">
        <f t="shared" si="30"/>
        <v>0</v>
      </c>
      <c r="Z134" s="33" t="str" cm="1">
        <f t="array" ref="Z134">IF(COUNTIF('Processed Non-zero TRI Data'!$I:$I,$H134)&gt;0,MEDIAN(IF('Processed Non-zero TRI Data'!$I:$I=H134,'Processed Non-zero TRI Data'!$S:$S)), "N/A - Facility Does Not Report to TRI")</f>
        <v>N/A - Facility Does Not Report to TRI</v>
      </c>
      <c r="AA134" s="33" t="str">
        <f t="shared" si="31"/>
        <v>N/A - Facility Does Not Report to TRI</v>
      </c>
      <c r="AB134" s="33" t="str">
        <f>IF(COUNTIF('Processed Non-zero TRI Data'!$I:$I,$H134)&gt;0,_xlfn.MAXIFS('Processed Non-zero TRI Data'!$S:$S,'Processed Non-zero TRI Data'!$I:$I,$H134), "N/A - Facility Does Not Report to TRI")</f>
        <v>N/A - Facility Does Not Report to TRI</v>
      </c>
      <c r="AC134" s="33" t="str">
        <f t="shared" si="32"/>
        <v>N/A - Facility Does Not Report to TRI</v>
      </c>
      <c r="AD134" s="110" t="str" cm="1">
        <f t="array" ref="AD134">IFERROR(IF(B134 = "TRI Form R", IF(AB134 = 0, "Facility has no on-site water discharges between 2019-2023.",  IF(COUNTIF('Processed Non-zero TRI Data'!$I:$I,$H134)&gt;0,INDEX('Processed Non-zero TRI Data'!$A:$A,MATCH(1,($H134='Processed Non-zero TRI Data'!$I:$I)*(AB134='Processed Non-zero TRI Data'!$S:$S),0)))), VLOOKUP(H134, 'Form A Recent Reporting'!$L:$M, 2, FALSE)), ("N/A - Facility Does Not Report to TRI"))</f>
        <v>N/A - Facility Does Not Report to TRI</v>
      </c>
      <c r="AE134" s="109" cm="1">
        <f t="array" ref="AE134">IFERROR(_xlfn.XLOOKUP(1,  (MAX(IF(H134 = 'Processed Non-zero TRI Data'!$I:$I,'Processed Non-zero TRI Data'!$A:$A)) = 'Processed Non-zero TRI Data'!$A:$A)*('Processed Non-zero TRI Data'!$I:$I = H134), 'Processed Non-zero TRI Data'!$U:$U), "N/A- Facility Does Not Report to TRI")</f>
        <v>0</v>
      </c>
      <c r="AF134" s="33">
        <f t="shared" si="33"/>
        <v>0</v>
      </c>
      <c r="AG134" s="33" t="str" cm="1">
        <f t="array" ref="AG134">IF(COUNTIF('Processed Non-zero TRI Data'!$I:$I,$H134)&gt;0,MEDIAN(IF('Processed Non-zero TRI Data'!$I:$I=H134,'Processed Non-zero TRI Data'!$U:$U)), "N/A - Facility Does Not Report to TRI")</f>
        <v>N/A - Facility Does Not Report to TRI</v>
      </c>
      <c r="AH134" s="33" t="str">
        <f t="shared" si="34"/>
        <v>N/A - Facility Does Not Report to TRI</v>
      </c>
      <c r="AI134" s="33" t="str">
        <f>IF(COUNTIF('Processed Non-zero TRI Data'!$I:$I,$H134)&gt;0,_xlfn.MAXIFS('Processed Non-zero TRI Data'!$U:$U,'Processed Non-zero TRI Data'!$I:$I,$H134), "N/A - Facility Does Not Report to TRI")</f>
        <v>N/A - Facility Does Not Report to TRI</v>
      </c>
      <c r="AJ134" s="33" t="str">
        <f t="shared" si="35"/>
        <v>N/A - Facility Does Not Report to TRI</v>
      </c>
      <c r="AK134" s="110" t="str" cm="1">
        <f t="array" ref="AK134">IF(B134="TRI Form A",AD134,IF(AI134=0,"Facility has no transfers to POTWs between 2019-2023.",IF(COUNTIF('Processed Non-zero TRI Data'!$I:$I,$H134)&gt;0,INDEX('Processed Non-zero TRI Data'!$A:$A,MATCH(1,($H134='Processed Non-zero TRI Data'!$I:$I)*(AI134='Processed Non-zero TRI Data'!$U:$U),0)),"N/A - Facility Does Not Report to TRI")))</f>
        <v>N/A - Facility Does Not Report to TRI</v>
      </c>
      <c r="AL134" s="109" cm="1">
        <f t="array" ref="AL134">IFERROR(_xlfn.XLOOKUP(1,  (MAX(IF(H134 = 'Processed Non-zero TRI Data'!$I$2:$I$23,'Processed Non-zero TRI Data'!$A$2:$A$23)) = 'Processed Non-zero TRI Data'!$A$2:$A$23)*('Processed Non-zero TRI Data'!$I$2:$I$23 = H134), 'Processed Non-zero TRI Data'!$W$2:$W$23), "N/A- Facility Does Not Report to TRI")</f>
        <v>0</v>
      </c>
      <c r="AM134" s="33">
        <f t="shared" si="36"/>
        <v>0</v>
      </c>
      <c r="AN134" s="33" t="str" cm="1">
        <f t="array" ref="AN134">IF(COUNTIF('Processed Non-zero TRI Data'!$I:$I,$H134)&gt;0,MEDIAN(IF('Processed Non-zero TRI Data'!$I:$I=H134,'Processed Non-zero TRI Data'!$W:$W)), "N/A - Facility Does Not Report to TRI")</f>
        <v>N/A - Facility Does Not Report to TRI</v>
      </c>
      <c r="AO134" s="33" t="str">
        <f t="shared" si="37"/>
        <v>N/A - Facility Does Not Report to TRI</v>
      </c>
      <c r="AP134" s="33" t="str">
        <f>IF(COUNTIF('Processed Non-zero TRI Data'!$I:$I,$H134)&gt;0,_xlfn.MAXIFS('Processed Non-zero TRI Data'!$W:$W,'Processed Non-zero TRI Data'!$I:$I,$H134), "N/A - Facility Does Not Report to TRI")</f>
        <v>N/A - Facility Does Not Report to TRI</v>
      </c>
      <c r="AQ134" s="33" t="str">
        <f t="shared" si="38"/>
        <v>N/A - Facility Does Not Report to TRI</v>
      </c>
      <c r="AR134" s="110" t="str" cm="1">
        <f t="array" ref="AR134">IF(B134="TRI Form A",AD134,IF(AP134=0,"Facility has no transfers to non-POTWs between 2019-2023.",IF(COUNTIF('Processed Non-zero TRI Data'!$I:$I,$H134)&gt;0,INDEX('Processed Non-zero TRI Data'!$A:$A,MATCH(1,($H134='Processed Non-zero TRI Data'!$I:$I)*(AP134='Processed Non-zero TRI Data'!$W:$W),0)),"N/A - Facility Does Not Report to TRI")))</f>
        <v>N/A - Facility Does Not Report to TRI</v>
      </c>
    </row>
    <row r="135" spans="1:44" ht="29" x14ac:dyDescent="0.35">
      <c r="A135" s="34">
        <v>132</v>
      </c>
      <c r="B135" s="33" t="str">
        <f>IFERROR("TRI Form "&amp;VLOOKUP(H135,'Processed Non-zero TRI Data'!$I$2:$K$23,3,FALSE),"DMR")</f>
        <v>DMR</v>
      </c>
      <c r="C135" s="33" t="str">
        <f>VLOOKUP($D135, 'COU.OES Summary'!C:D, 2, FALSE)</f>
        <v> </v>
      </c>
      <c r="D135" s="33" t="str">
        <f>IFERROR(VLOOKUP($H135, 'Processed Non-zero TRI Data'!$I:$O, 7, FALSE), VLOOKUP($I135, 'Processed Non-zero DMR Data'!$K:$R, 8, FALSE))</f>
        <v>Waste handling, treatment, and disposal - POTW</v>
      </c>
      <c r="E135" s="34" t="s">
        <v>358</v>
      </c>
      <c r="F135" s="34" t="s">
        <v>359</v>
      </c>
      <c r="G135" s="34" t="s">
        <v>102</v>
      </c>
      <c r="H135" s="34"/>
      <c r="I135" s="105">
        <v>110000517637</v>
      </c>
      <c r="J135" s="33" t="str">
        <f>IFERROR(VLOOKUP($I135, 'Processed Non-zero DMR Data'!$K:$U, 11, FALSE),"")</f>
        <v>CA0102822</v>
      </c>
      <c r="K135" s="33" t="str">
        <f>IFERROR(VLOOKUP($I135, 'Processed Non-zero DMR Data'!$K:$V, 12, FALSE),"Not Reported")</f>
        <v>Burkhardt Lake-Mojave River</v>
      </c>
      <c r="L135" s="106">
        <f>IFERROR(VLOOKUP($I135, 'Processed Non-zero DMR Data'!$K:$W, 13, FALSE),"No Reach Code Reported")</f>
        <v>180902080706</v>
      </c>
      <c r="M135" s="107" t="str">
        <f>IFERROR(IFERROR(VLOOKUP(H135, 'Off-site Locations'!$K$3:$O$5, 5, FALSE), VLOOKUP(H135, 'Off-site Locations'!$B$3:$E$4, 4, FALSE)), "No Offsite Transfers")</f>
        <v>No Offsite Transfers</v>
      </c>
      <c r="N135" s="33">
        <f>VLOOKUP($D135, 'COU.OES Summary'!C:E, 3, FALSE)</f>
        <v>365</v>
      </c>
      <c r="O135" s="108">
        <f t="shared" si="28"/>
        <v>0</v>
      </c>
      <c r="P135" s="108">
        <f t="shared" si="29"/>
        <v>0.49044137500000001</v>
      </c>
      <c r="Q135" s="109" cm="1">
        <f t="array" ref="Q135">IFERROR(_xlfn.XLOOKUP(1,  (MAX(IF(I135 = 'Processed Non-zero DMR Data'!$K:$K,'Processed Non-zero DMR Data'!$A:$A)) = 'Processed Non-zero DMR Data'!$A:$A)*('Processed Non-zero DMR Data'!$K:$K = I135),'Processed Non-zero DMR Data'!$T:$T), "N/A- Facility Does Not Report DMRs")</f>
        <v>0.49044137500000001</v>
      </c>
      <c r="R135" s="33">
        <f t="shared" si="39"/>
        <v>1.3436750000000001E-3</v>
      </c>
      <c r="S135" s="33" cm="1">
        <f t="array" ref="S135">IF(COUNTIF('Processed Non-zero DMR Data'!$K:$K,$I135)&gt;0,MEDIAN(IF('Processed Non-zero DMR Data'!$K:$K=I135,'Processed Non-zero DMR Data'!$T:$T)),"N/A - Facility Does Not Report DMRs")</f>
        <v>0.49044137500000001</v>
      </c>
      <c r="T135" s="33">
        <f t="shared" si="40"/>
        <v>1.3436750000000001E-3</v>
      </c>
      <c r="U135" s="33">
        <f>IF(COUNTIF('Processed Non-zero DMR Data'!$K:$K,$I135)&gt;0,_xlfn.MAXIFS('Processed Non-zero DMR Data'!$T:$T,'Processed Non-zero DMR Data'!$K:$K,$I135), "N/A - Facility Does Not Report DMRs")</f>
        <v>0.49044137500000001</v>
      </c>
      <c r="V135" s="33">
        <f t="shared" si="41"/>
        <v>1.3436750000000001E-3</v>
      </c>
      <c r="W135" s="110" cm="1">
        <f t="array" ref="W135">IF(COUNTIF('Processed Non-zero DMR Data'!$K:$K,$I135)&gt;0,INDEX('Processed Non-zero DMR Data'!$A:$A,MATCH(1,($I135='Processed Non-zero DMR Data'!$K:$K)*($U135='Processed Non-zero DMR Data'!$T:$T),0)), "N/A - Facility Does Not Report DMRs")</f>
        <v>2019</v>
      </c>
      <c r="X135" s="109" cm="1">
        <f t="array" ref="X135">IFERROR(_xlfn.XLOOKUP(1,  (MAX(IF(H135 = 'Processed Non-zero TRI Data'!$I:$I,'Processed Non-zero TRI Data'!$A:$A)) = 'Processed Non-zero TRI Data'!$A:$A)*('Processed Non-zero TRI Data'!$I:$I = H135), 'Processed Non-zero TRI Data'!$S:$S), "N/A- Facility Does Not Report to TRI")</f>
        <v>0</v>
      </c>
      <c r="Y135" s="33">
        <f t="shared" si="30"/>
        <v>0</v>
      </c>
      <c r="Z135" s="33" t="str" cm="1">
        <f t="array" ref="Z135">IF(COUNTIF('Processed Non-zero TRI Data'!$I:$I,$H135)&gt;0,MEDIAN(IF('Processed Non-zero TRI Data'!$I:$I=H135,'Processed Non-zero TRI Data'!$S:$S)), "N/A - Facility Does Not Report to TRI")</f>
        <v>N/A - Facility Does Not Report to TRI</v>
      </c>
      <c r="AA135" s="33" t="str">
        <f t="shared" si="31"/>
        <v>N/A - Facility Does Not Report to TRI</v>
      </c>
      <c r="AB135" s="33" t="str">
        <f>IF(COUNTIF('Processed Non-zero TRI Data'!$I:$I,$H135)&gt;0,_xlfn.MAXIFS('Processed Non-zero TRI Data'!$S:$S,'Processed Non-zero TRI Data'!$I:$I,$H135), "N/A - Facility Does Not Report to TRI")</f>
        <v>N/A - Facility Does Not Report to TRI</v>
      </c>
      <c r="AC135" s="33" t="str">
        <f t="shared" si="32"/>
        <v>N/A - Facility Does Not Report to TRI</v>
      </c>
      <c r="AD135" s="110" t="str" cm="1">
        <f t="array" ref="AD135">IFERROR(IF(B135 = "TRI Form R", IF(AB135 = 0, "Facility has no on-site water discharges between 2019-2023.",  IF(COUNTIF('Processed Non-zero TRI Data'!$I:$I,$H135)&gt;0,INDEX('Processed Non-zero TRI Data'!$A:$A,MATCH(1,($H135='Processed Non-zero TRI Data'!$I:$I)*(AB135='Processed Non-zero TRI Data'!$S:$S),0)))), VLOOKUP(H135, 'Form A Recent Reporting'!$L:$M, 2, FALSE)), ("N/A - Facility Does Not Report to TRI"))</f>
        <v>N/A - Facility Does Not Report to TRI</v>
      </c>
      <c r="AE135" s="109" cm="1">
        <f t="array" ref="AE135">IFERROR(_xlfn.XLOOKUP(1,  (MAX(IF(H135 = 'Processed Non-zero TRI Data'!$I:$I,'Processed Non-zero TRI Data'!$A:$A)) = 'Processed Non-zero TRI Data'!$A:$A)*('Processed Non-zero TRI Data'!$I:$I = H135), 'Processed Non-zero TRI Data'!$U:$U), "N/A- Facility Does Not Report to TRI")</f>
        <v>0</v>
      </c>
      <c r="AF135" s="33">
        <f t="shared" si="33"/>
        <v>0</v>
      </c>
      <c r="AG135" s="33" t="str" cm="1">
        <f t="array" ref="AG135">IF(COUNTIF('Processed Non-zero TRI Data'!$I:$I,$H135)&gt;0,MEDIAN(IF('Processed Non-zero TRI Data'!$I:$I=H135,'Processed Non-zero TRI Data'!$U:$U)), "N/A - Facility Does Not Report to TRI")</f>
        <v>N/A - Facility Does Not Report to TRI</v>
      </c>
      <c r="AH135" s="33" t="str">
        <f t="shared" si="34"/>
        <v>N/A - Facility Does Not Report to TRI</v>
      </c>
      <c r="AI135" s="33" t="str">
        <f>IF(COUNTIF('Processed Non-zero TRI Data'!$I:$I,$H135)&gt;0,_xlfn.MAXIFS('Processed Non-zero TRI Data'!$U:$U,'Processed Non-zero TRI Data'!$I:$I,$H135), "N/A - Facility Does Not Report to TRI")</f>
        <v>N/A - Facility Does Not Report to TRI</v>
      </c>
      <c r="AJ135" s="33" t="str">
        <f t="shared" si="35"/>
        <v>N/A - Facility Does Not Report to TRI</v>
      </c>
      <c r="AK135" s="110" t="str" cm="1">
        <f t="array" ref="AK135">IF(B135="TRI Form A",AD135,IF(AI135=0,"Facility has no transfers to POTWs between 2019-2023.",IF(COUNTIF('Processed Non-zero TRI Data'!$I:$I,$H135)&gt;0,INDEX('Processed Non-zero TRI Data'!$A:$A,MATCH(1,($H135='Processed Non-zero TRI Data'!$I:$I)*(AI135='Processed Non-zero TRI Data'!$U:$U),0)),"N/A - Facility Does Not Report to TRI")))</f>
        <v>N/A - Facility Does Not Report to TRI</v>
      </c>
      <c r="AL135" s="109" cm="1">
        <f t="array" ref="AL135">IFERROR(_xlfn.XLOOKUP(1,  (MAX(IF(H135 = 'Processed Non-zero TRI Data'!$I$2:$I$23,'Processed Non-zero TRI Data'!$A$2:$A$23)) = 'Processed Non-zero TRI Data'!$A$2:$A$23)*('Processed Non-zero TRI Data'!$I$2:$I$23 = H135), 'Processed Non-zero TRI Data'!$W$2:$W$23), "N/A- Facility Does Not Report to TRI")</f>
        <v>0</v>
      </c>
      <c r="AM135" s="33">
        <f t="shared" si="36"/>
        <v>0</v>
      </c>
      <c r="AN135" s="33" t="str" cm="1">
        <f t="array" ref="AN135">IF(COUNTIF('Processed Non-zero TRI Data'!$I:$I,$H135)&gt;0,MEDIAN(IF('Processed Non-zero TRI Data'!$I:$I=H135,'Processed Non-zero TRI Data'!$W:$W)), "N/A - Facility Does Not Report to TRI")</f>
        <v>N/A - Facility Does Not Report to TRI</v>
      </c>
      <c r="AO135" s="33" t="str">
        <f t="shared" si="37"/>
        <v>N/A - Facility Does Not Report to TRI</v>
      </c>
      <c r="AP135" s="33" t="str">
        <f>IF(COUNTIF('Processed Non-zero TRI Data'!$I:$I,$H135)&gt;0,_xlfn.MAXIFS('Processed Non-zero TRI Data'!$W:$W,'Processed Non-zero TRI Data'!$I:$I,$H135), "N/A - Facility Does Not Report to TRI")</f>
        <v>N/A - Facility Does Not Report to TRI</v>
      </c>
      <c r="AQ135" s="33" t="str">
        <f t="shared" si="38"/>
        <v>N/A - Facility Does Not Report to TRI</v>
      </c>
      <c r="AR135" s="110" t="str" cm="1">
        <f t="array" ref="AR135">IF(B135="TRI Form A",AD135,IF(AP135=0,"Facility has no transfers to non-POTWs between 2019-2023.",IF(COUNTIF('Processed Non-zero TRI Data'!$I:$I,$H135)&gt;0,INDEX('Processed Non-zero TRI Data'!$A:$A,MATCH(1,($H135='Processed Non-zero TRI Data'!$I:$I)*(AP135='Processed Non-zero TRI Data'!$W:$W),0)),"N/A - Facility Does Not Report to TRI")))</f>
        <v>N/A - Facility Does Not Report to TRI</v>
      </c>
    </row>
    <row r="136" spans="1:44" ht="29" x14ac:dyDescent="0.35">
      <c r="A136" s="34">
        <v>133</v>
      </c>
      <c r="B136" s="33" t="str">
        <f>IFERROR("TRI Form "&amp;VLOOKUP(H136,'Processed Non-zero TRI Data'!$I$2:$K$23,3,FALSE),"DMR")</f>
        <v>DMR</v>
      </c>
      <c r="C136" s="33" t="str">
        <f>VLOOKUP($D136, 'COU.OES Summary'!C:D, 2, FALSE)</f>
        <v> </v>
      </c>
      <c r="D136" s="33" t="str">
        <f>IFERROR(VLOOKUP($H136, 'Processed Non-zero TRI Data'!$I:$O, 7, FALSE), VLOOKUP($I136, 'Processed Non-zero DMR Data'!$K:$R, 8, FALSE))</f>
        <v>Waste handling, treatment, and disposal - POTW</v>
      </c>
      <c r="E136" s="34" t="s">
        <v>360</v>
      </c>
      <c r="F136" s="34" t="s">
        <v>361</v>
      </c>
      <c r="G136" s="34" t="s">
        <v>108</v>
      </c>
      <c r="H136" s="34"/>
      <c r="I136" s="105">
        <v>110003251427</v>
      </c>
      <c r="J136" s="33" t="str">
        <f>IFERROR(VLOOKUP($I136, 'Processed Non-zero DMR Data'!$K:$U, 11, FALSE),"")</f>
        <v>KY0021229</v>
      </c>
      <c r="K136" s="33" t="str">
        <f>IFERROR(VLOOKUP($I136, 'Processed Non-zero DMR Data'!$K:$V, 12, FALSE),"Not Reported")</f>
        <v>Allison Creek-Fleming Creek</v>
      </c>
      <c r="L136" s="106">
        <f>IFERROR(VLOOKUP($I136, 'Processed Non-zero DMR Data'!$K:$W, 13, FALSE),"No Reach Code Reported")</f>
        <v>51001010903</v>
      </c>
      <c r="M136" s="107" t="str">
        <f>IFERROR(IFERROR(VLOOKUP(H136, 'Off-site Locations'!$K$3:$O$5, 5, FALSE), VLOOKUP(H136, 'Off-site Locations'!$B$3:$E$4, 4, FALSE)), "No Offsite Transfers")</f>
        <v>No Offsite Transfers</v>
      </c>
      <c r="N136" s="33">
        <f>VLOOKUP($D136, 'COU.OES Summary'!C:E, 3, FALSE)</f>
        <v>365</v>
      </c>
      <c r="O136" s="108">
        <f t="shared" si="28"/>
        <v>0</v>
      </c>
      <c r="P136" s="108">
        <f t="shared" si="29"/>
        <v>0.47524460000000002</v>
      </c>
      <c r="Q136" s="109" cm="1">
        <f t="array" ref="Q136">IFERROR(_xlfn.XLOOKUP(1,  (MAX(IF(I136 = 'Processed Non-zero DMR Data'!$K:$K,'Processed Non-zero DMR Data'!$A:$A)) = 'Processed Non-zero DMR Data'!$A:$A)*('Processed Non-zero DMR Data'!$K:$K = I136),'Processed Non-zero DMR Data'!$T:$T), "N/A- Facility Does Not Report DMRs")</f>
        <v>0.29150177500000002</v>
      </c>
      <c r="R136" s="33">
        <f t="shared" si="39"/>
        <v>7.9863500000000001E-4</v>
      </c>
      <c r="S136" s="33" cm="1">
        <f t="array" ref="S136">IF(COUNTIF('Processed Non-zero DMR Data'!$K:$K,$I136)&gt;0,MEDIAN(IF('Processed Non-zero DMR Data'!$K:$K=I136,'Processed Non-zero DMR Data'!$T:$T)),"N/A - Facility Does Not Report DMRs")</f>
        <v>0.29150177500000002</v>
      </c>
      <c r="T136" s="33">
        <f t="shared" si="40"/>
        <v>7.9863500000000001E-4</v>
      </c>
      <c r="U136" s="33">
        <f>IF(COUNTIF('Processed Non-zero DMR Data'!$K:$K,$I136)&gt;0,_xlfn.MAXIFS('Processed Non-zero DMR Data'!$T:$T,'Processed Non-zero DMR Data'!$K:$K,$I136), "N/A - Facility Does Not Report DMRs")</f>
        <v>0.47524460000000002</v>
      </c>
      <c r="V136" s="33">
        <f t="shared" si="41"/>
        <v>1.30204E-3</v>
      </c>
      <c r="W136" s="110" cm="1">
        <f t="array" ref="W136">IF(COUNTIF('Processed Non-zero DMR Data'!$K:$K,$I136)&gt;0,INDEX('Processed Non-zero DMR Data'!$A:$A,MATCH(1,($I136='Processed Non-zero DMR Data'!$K:$K)*($U136='Processed Non-zero DMR Data'!$T:$T),0)), "N/A - Facility Does Not Report DMRs")</f>
        <v>2019</v>
      </c>
      <c r="X136" s="109" cm="1">
        <f t="array" ref="X136">IFERROR(_xlfn.XLOOKUP(1,  (MAX(IF(H136 = 'Processed Non-zero TRI Data'!$I:$I,'Processed Non-zero TRI Data'!$A:$A)) = 'Processed Non-zero TRI Data'!$A:$A)*('Processed Non-zero TRI Data'!$I:$I = H136), 'Processed Non-zero TRI Data'!$S:$S), "N/A- Facility Does Not Report to TRI")</f>
        <v>0</v>
      </c>
      <c r="Y136" s="33">
        <f t="shared" si="30"/>
        <v>0</v>
      </c>
      <c r="Z136" s="33" t="str" cm="1">
        <f t="array" ref="Z136">IF(COUNTIF('Processed Non-zero TRI Data'!$I:$I,$H136)&gt;0,MEDIAN(IF('Processed Non-zero TRI Data'!$I:$I=H136,'Processed Non-zero TRI Data'!$S:$S)), "N/A - Facility Does Not Report to TRI")</f>
        <v>N/A - Facility Does Not Report to TRI</v>
      </c>
      <c r="AA136" s="33" t="str">
        <f t="shared" si="31"/>
        <v>N/A - Facility Does Not Report to TRI</v>
      </c>
      <c r="AB136" s="33" t="str">
        <f>IF(COUNTIF('Processed Non-zero TRI Data'!$I:$I,$H136)&gt;0,_xlfn.MAXIFS('Processed Non-zero TRI Data'!$S:$S,'Processed Non-zero TRI Data'!$I:$I,$H136), "N/A - Facility Does Not Report to TRI")</f>
        <v>N/A - Facility Does Not Report to TRI</v>
      </c>
      <c r="AC136" s="33" t="str">
        <f t="shared" si="32"/>
        <v>N/A - Facility Does Not Report to TRI</v>
      </c>
      <c r="AD136" s="110" t="str" cm="1">
        <f t="array" ref="AD136">IFERROR(IF(B136 = "TRI Form R", IF(AB136 = 0, "Facility has no on-site water discharges between 2019-2023.",  IF(COUNTIF('Processed Non-zero TRI Data'!$I:$I,$H136)&gt;0,INDEX('Processed Non-zero TRI Data'!$A:$A,MATCH(1,($H136='Processed Non-zero TRI Data'!$I:$I)*(AB136='Processed Non-zero TRI Data'!$S:$S),0)))), VLOOKUP(H136, 'Form A Recent Reporting'!$L:$M, 2, FALSE)), ("N/A - Facility Does Not Report to TRI"))</f>
        <v>N/A - Facility Does Not Report to TRI</v>
      </c>
      <c r="AE136" s="109" cm="1">
        <f t="array" ref="AE136">IFERROR(_xlfn.XLOOKUP(1,  (MAX(IF(H136 = 'Processed Non-zero TRI Data'!$I:$I,'Processed Non-zero TRI Data'!$A:$A)) = 'Processed Non-zero TRI Data'!$A:$A)*('Processed Non-zero TRI Data'!$I:$I = H136), 'Processed Non-zero TRI Data'!$U:$U), "N/A- Facility Does Not Report to TRI")</f>
        <v>0</v>
      </c>
      <c r="AF136" s="33">
        <f t="shared" si="33"/>
        <v>0</v>
      </c>
      <c r="AG136" s="33" t="str" cm="1">
        <f t="array" ref="AG136">IF(COUNTIF('Processed Non-zero TRI Data'!$I:$I,$H136)&gt;0,MEDIAN(IF('Processed Non-zero TRI Data'!$I:$I=H136,'Processed Non-zero TRI Data'!$U:$U)), "N/A - Facility Does Not Report to TRI")</f>
        <v>N/A - Facility Does Not Report to TRI</v>
      </c>
      <c r="AH136" s="33" t="str">
        <f t="shared" si="34"/>
        <v>N/A - Facility Does Not Report to TRI</v>
      </c>
      <c r="AI136" s="33" t="str">
        <f>IF(COUNTIF('Processed Non-zero TRI Data'!$I:$I,$H136)&gt;0,_xlfn.MAXIFS('Processed Non-zero TRI Data'!$U:$U,'Processed Non-zero TRI Data'!$I:$I,$H136), "N/A - Facility Does Not Report to TRI")</f>
        <v>N/A - Facility Does Not Report to TRI</v>
      </c>
      <c r="AJ136" s="33" t="str">
        <f t="shared" si="35"/>
        <v>N/A - Facility Does Not Report to TRI</v>
      </c>
      <c r="AK136" s="110" t="str" cm="1">
        <f t="array" ref="AK136">IF(B136="TRI Form A",AD136,IF(AI136=0,"Facility has no transfers to POTWs between 2019-2023.",IF(COUNTIF('Processed Non-zero TRI Data'!$I:$I,$H136)&gt;0,INDEX('Processed Non-zero TRI Data'!$A:$A,MATCH(1,($H136='Processed Non-zero TRI Data'!$I:$I)*(AI136='Processed Non-zero TRI Data'!$U:$U),0)),"N/A - Facility Does Not Report to TRI")))</f>
        <v>N/A - Facility Does Not Report to TRI</v>
      </c>
      <c r="AL136" s="109" cm="1">
        <f t="array" ref="AL136">IFERROR(_xlfn.XLOOKUP(1,  (MAX(IF(H136 = 'Processed Non-zero TRI Data'!$I$2:$I$23,'Processed Non-zero TRI Data'!$A$2:$A$23)) = 'Processed Non-zero TRI Data'!$A$2:$A$23)*('Processed Non-zero TRI Data'!$I$2:$I$23 = H136), 'Processed Non-zero TRI Data'!$W$2:$W$23), "N/A- Facility Does Not Report to TRI")</f>
        <v>0</v>
      </c>
      <c r="AM136" s="33">
        <f t="shared" si="36"/>
        <v>0</v>
      </c>
      <c r="AN136" s="33" t="str" cm="1">
        <f t="array" ref="AN136">IF(COUNTIF('Processed Non-zero TRI Data'!$I:$I,$H136)&gt;0,MEDIAN(IF('Processed Non-zero TRI Data'!$I:$I=H136,'Processed Non-zero TRI Data'!$W:$W)), "N/A - Facility Does Not Report to TRI")</f>
        <v>N/A - Facility Does Not Report to TRI</v>
      </c>
      <c r="AO136" s="33" t="str">
        <f t="shared" si="37"/>
        <v>N/A - Facility Does Not Report to TRI</v>
      </c>
      <c r="AP136" s="33" t="str">
        <f>IF(COUNTIF('Processed Non-zero TRI Data'!$I:$I,$H136)&gt;0,_xlfn.MAXIFS('Processed Non-zero TRI Data'!$W:$W,'Processed Non-zero TRI Data'!$I:$I,$H136), "N/A - Facility Does Not Report to TRI")</f>
        <v>N/A - Facility Does Not Report to TRI</v>
      </c>
      <c r="AQ136" s="33" t="str">
        <f t="shared" si="38"/>
        <v>N/A - Facility Does Not Report to TRI</v>
      </c>
      <c r="AR136" s="110" t="str" cm="1">
        <f t="array" ref="AR136">IF(B136="TRI Form A",AD136,IF(AP136=0,"Facility has no transfers to non-POTWs between 2019-2023.",IF(COUNTIF('Processed Non-zero TRI Data'!$I:$I,$H136)&gt;0,INDEX('Processed Non-zero TRI Data'!$A:$A,MATCH(1,($H136='Processed Non-zero TRI Data'!$I:$I)*(AP136='Processed Non-zero TRI Data'!$W:$W),0)),"N/A - Facility Does Not Report to TRI")))</f>
        <v>N/A - Facility Does Not Report to TRI</v>
      </c>
    </row>
    <row r="137" spans="1:44" ht="29" x14ac:dyDescent="0.35">
      <c r="A137" s="34">
        <v>134</v>
      </c>
      <c r="B137" s="33" t="str">
        <f>IFERROR("TRI Form "&amp;VLOOKUP(H137,'Processed Non-zero TRI Data'!$I$2:$K$23,3,FALSE),"DMR")</f>
        <v>DMR</v>
      </c>
      <c r="C137" s="33" t="str">
        <f>VLOOKUP($D137, 'COU.OES Summary'!C:D, 2, FALSE)</f>
        <v> </v>
      </c>
      <c r="D137" s="33" t="str">
        <f>IFERROR(VLOOKUP($H137, 'Processed Non-zero TRI Data'!$I:$O, 7, FALSE), VLOOKUP($I137, 'Processed Non-zero DMR Data'!$K:$R, 8, FALSE))</f>
        <v>Waste handling, treatment, and disposal - POTW</v>
      </c>
      <c r="E137" s="34" t="s">
        <v>362</v>
      </c>
      <c r="F137" s="34" t="s">
        <v>363</v>
      </c>
      <c r="G137" s="34" t="s">
        <v>108</v>
      </c>
      <c r="H137" s="34"/>
      <c r="I137" s="105">
        <v>110000761104</v>
      </c>
      <c r="J137" s="33" t="str">
        <f>IFERROR(VLOOKUP($I137, 'Processed Non-zero DMR Data'!$K:$U, 11, FALSE),"")</f>
        <v>KY0020257</v>
      </c>
      <c r="K137" s="33" t="str">
        <f>IFERROR(VLOOKUP($I137, 'Processed Non-zero DMR Data'!$K:$V, 12, FALSE),"Not Reported")</f>
        <v>Lawrence Creek-Ohio River</v>
      </c>
      <c r="L137" s="106">
        <f>IFERROR(VLOOKUP($I137, 'Processed Non-zero DMR Data'!$K:$W, 13, FALSE),"No Reach Code Reported")</f>
        <v>50902010605</v>
      </c>
      <c r="M137" s="107" t="str">
        <f>IFERROR(IFERROR(VLOOKUP(H137, 'Off-site Locations'!$K$3:$O$5, 5, FALSE), VLOOKUP(H137, 'Off-site Locations'!$B$3:$E$4, 4, FALSE)), "No Offsite Transfers")</f>
        <v>No Offsite Transfers</v>
      </c>
      <c r="N137" s="33">
        <f>VLOOKUP($D137, 'COU.OES Summary'!C:E, 3, FALSE)</f>
        <v>365</v>
      </c>
      <c r="O137" s="108">
        <f t="shared" si="28"/>
        <v>0</v>
      </c>
      <c r="P137" s="108">
        <f t="shared" si="29"/>
        <v>0.46971849999999998</v>
      </c>
      <c r="Q137" s="109" cm="1">
        <f t="array" ref="Q137">IFERROR(_xlfn.XLOOKUP(1,  (MAX(IF(I137 = 'Processed Non-zero DMR Data'!$K:$K,'Processed Non-zero DMR Data'!$A:$A)) = 'Processed Non-zero DMR Data'!$A:$A)*('Processed Non-zero DMR Data'!$K:$K = I137),'Processed Non-zero DMR Data'!$T:$T), "N/A- Facility Does Not Report DMRs")</f>
        <v>0.46971849999999998</v>
      </c>
      <c r="R137" s="33">
        <f t="shared" si="39"/>
        <v>1.2868999999999999E-3</v>
      </c>
      <c r="S137" s="33" cm="1">
        <f t="array" ref="S137">IF(COUNTIF('Processed Non-zero DMR Data'!$K:$K,$I137)&gt;0,MEDIAN(IF('Processed Non-zero DMR Data'!$K:$K=I137,'Processed Non-zero DMR Data'!$T:$T)),"N/A - Facility Does Not Report DMRs")</f>
        <v>0.46971849999999998</v>
      </c>
      <c r="T137" s="33">
        <f t="shared" si="40"/>
        <v>1.2868999999999999E-3</v>
      </c>
      <c r="U137" s="33">
        <f>IF(COUNTIF('Processed Non-zero DMR Data'!$K:$K,$I137)&gt;0,_xlfn.MAXIFS('Processed Non-zero DMR Data'!$T:$T,'Processed Non-zero DMR Data'!$K:$K,$I137), "N/A - Facility Does Not Report DMRs")</f>
        <v>0.46971849999999998</v>
      </c>
      <c r="V137" s="33">
        <f t="shared" si="41"/>
        <v>1.2868999999999999E-3</v>
      </c>
      <c r="W137" s="110" cm="1">
        <f t="array" ref="W137">IF(COUNTIF('Processed Non-zero DMR Data'!$K:$K,$I137)&gt;0,INDEX('Processed Non-zero DMR Data'!$A:$A,MATCH(1,($I137='Processed Non-zero DMR Data'!$K:$K)*($U137='Processed Non-zero DMR Data'!$T:$T),0)), "N/A - Facility Does Not Report DMRs")</f>
        <v>2019</v>
      </c>
      <c r="X137" s="109" cm="1">
        <f t="array" ref="X137">IFERROR(_xlfn.XLOOKUP(1,  (MAX(IF(H137 = 'Processed Non-zero TRI Data'!$I:$I,'Processed Non-zero TRI Data'!$A:$A)) = 'Processed Non-zero TRI Data'!$A:$A)*('Processed Non-zero TRI Data'!$I:$I = H137), 'Processed Non-zero TRI Data'!$S:$S), "N/A- Facility Does Not Report to TRI")</f>
        <v>0</v>
      </c>
      <c r="Y137" s="33">
        <f t="shared" si="30"/>
        <v>0</v>
      </c>
      <c r="Z137" s="33" t="str" cm="1">
        <f t="array" ref="Z137">IF(COUNTIF('Processed Non-zero TRI Data'!$I:$I,$H137)&gt;0,MEDIAN(IF('Processed Non-zero TRI Data'!$I:$I=H137,'Processed Non-zero TRI Data'!$S:$S)), "N/A - Facility Does Not Report to TRI")</f>
        <v>N/A - Facility Does Not Report to TRI</v>
      </c>
      <c r="AA137" s="33" t="str">
        <f t="shared" si="31"/>
        <v>N/A - Facility Does Not Report to TRI</v>
      </c>
      <c r="AB137" s="33" t="str">
        <f>IF(COUNTIF('Processed Non-zero TRI Data'!$I:$I,$H137)&gt;0,_xlfn.MAXIFS('Processed Non-zero TRI Data'!$S:$S,'Processed Non-zero TRI Data'!$I:$I,$H137), "N/A - Facility Does Not Report to TRI")</f>
        <v>N/A - Facility Does Not Report to TRI</v>
      </c>
      <c r="AC137" s="33" t="str">
        <f t="shared" si="32"/>
        <v>N/A - Facility Does Not Report to TRI</v>
      </c>
      <c r="AD137" s="110" t="str" cm="1">
        <f t="array" ref="AD137">IFERROR(IF(B137 = "TRI Form R", IF(AB137 = 0, "Facility has no on-site water discharges between 2019-2023.",  IF(COUNTIF('Processed Non-zero TRI Data'!$I:$I,$H137)&gt;0,INDEX('Processed Non-zero TRI Data'!$A:$A,MATCH(1,($H137='Processed Non-zero TRI Data'!$I:$I)*(AB137='Processed Non-zero TRI Data'!$S:$S),0)))), VLOOKUP(H137, 'Form A Recent Reporting'!$L:$M, 2, FALSE)), ("N/A - Facility Does Not Report to TRI"))</f>
        <v>N/A - Facility Does Not Report to TRI</v>
      </c>
      <c r="AE137" s="109" cm="1">
        <f t="array" ref="AE137">IFERROR(_xlfn.XLOOKUP(1,  (MAX(IF(H137 = 'Processed Non-zero TRI Data'!$I:$I,'Processed Non-zero TRI Data'!$A:$A)) = 'Processed Non-zero TRI Data'!$A:$A)*('Processed Non-zero TRI Data'!$I:$I = H137), 'Processed Non-zero TRI Data'!$U:$U), "N/A- Facility Does Not Report to TRI")</f>
        <v>0</v>
      </c>
      <c r="AF137" s="33">
        <f t="shared" si="33"/>
        <v>0</v>
      </c>
      <c r="AG137" s="33" t="str" cm="1">
        <f t="array" ref="AG137">IF(COUNTIF('Processed Non-zero TRI Data'!$I:$I,$H137)&gt;0,MEDIAN(IF('Processed Non-zero TRI Data'!$I:$I=H137,'Processed Non-zero TRI Data'!$U:$U)), "N/A - Facility Does Not Report to TRI")</f>
        <v>N/A - Facility Does Not Report to TRI</v>
      </c>
      <c r="AH137" s="33" t="str">
        <f t="shared" si="34"/>
        <v>N/A - Facility Does Not Report to TRI</v>
      </c>
      <c r="AI137" s="33" t="str">
        <f>IF(COUNTIF('Processed Non-zero TRI Data'!$I:$I,$H137)&gt;0,_xlfn.MAXIFS('Processed Non-zero TRI Data'!$U:$U,'Processed Non-zero TRI Data'!$I:$I,$H137), "N/A - Facility Does Not Report to TRI")</f>
        <v>N/A - Facility Does Not Report to TRI</v>
      </c>
      <c r="AJ137" s="33" t="str">
        <f t="shared" si="35"/>
        <v>N/A - Facility Does Not Report to TRI</v>
      </c>
      <c r="AK137" s="110" t="str" cm="1">
        <f t="array" ref="AK137">IF(B137="TRI Form A",AD137,IF(AI137=0,"Facility has no transfers to POTWs between 2019-2023.",IF(COUNTIF('Processed Non-zero TRI Data'!$I:$I,$H137)&gt;0,INDEX('Processed Non-zero TRI Data'!$A:$A,MATCH(1,($H137='Processed Non-zero TRI Data'!$I:$I)*(AI137='Processed Non-zero TRI Data'!$U:$U),0)),"N/A - Facility Does Not Report to TRI")))</f>
        <v>N/A - Facility Does Not Report to TRI</v>
      </c>
      <c r="AL137" s="109" cm="1">
        <f t="array" ref="AL137">IFERROR(_xlfn.XLOOKUP(1,  (MAX(IF(H137 = 'Processed Non-zero TRI Data'!$I$2:$I$23,'Processed Non-zero TRI Data'!$A$2:$A$23)) = 'Processed Non-zero TRI Data'!$A$2:$A$23)*('Processed Non-zero TRI Data'!$I$2:$I$23 = H137), 'Processed Non-zero TRI Data'!$W$2:$W$23), "N/A- Facility Does Not Report to TRI")</f>
        <v>0</v>
      </c>
      <c r="AM137" s="33">
        <f t="shared" si="36"/>
        <v>0</v>
      </c>
      <c r="AN137" s="33" t="str" cm="1">
        <f t="array" ref="AN137">IF(COUNTIF('Processed Non-zero TRI Data'!$I:$I,$H137)&gt;0,MEDIAN(IF('Processed Non-zero TRI Data'!$I:$I=H137,'Processed Non-zero TRI Data'!$W:$W)), "N/A - Facility Does Not Report to TRI")</f>
        <v>N/A - Facility Does Not Report to TRI</v>
      </c>
      <c r="AO137" s="33" t="str">
        <f t="shared" si="37"/>
        <v>N/A - Facility Does Not Report to TRI</v>
      </c>
      <c r="AP137" s="33" t="str">
        <f>IF(COUNTIF('Processed Non-zero TRI Data'!$I:$I,$H137)&gt;0,_xlfn.MAXIFS('Processed Non-zero TRI Data'!$W:$W,'Processed Non-zero TRI Data'!$I:$I,$H137), "N/A - Facility Does Not Report to TRI")</f>
        <v>N/A - Facility Does Not Report to TRI</v>
      </c>
      <c r="AQ137" s="33" t="str">
        <f t="shared" si="38"/>
        <v>N/A - Facility Does Not Report to TRI</v>
      </c>
      <c r="AR137" s="110" t="str" cm="1">
        <f t="array" ref="AR137">IF(B137="TRI Form A",AD137,IF(AP137=0,"Facility has no transfers to non-POTWs between 2019-2023.",IF(COUNTIF('Processed Non-zero TRI Data'!$I:$I,$H137)&gt;0,INDEX('Processed Non-zero TRI Data'!$A:$A,MATCH(1,($H137='Processed Non-zero TRI Data'!$I:$I)*(AP137='Processed Non-zero TRI Data'!$W:$W),0)),"N/A - Facility Does Not Report to TRI")))</f>
        <v>N/A - Facility Does Not Report to TRI</v>
      </c>
    </row>
    <row r="138" spans="1:44" ht="29" x14ac:dyDescent="0.35">
      <c r="A138" s="34">
        <v>135</v>
      </c>
      <c r="B138" s="33" t="str">
        <f>IFERROR("TRI Form "&amp;VLOOKUP(H138,'Processed Non-zero TRI Data'!$I$2:$K$23,3,FALSE),"DMR")</f>
        <v>DMR</v>
      </c>
      <c r="C138" s="33" t="str">
        <f>VLOOKUP($D138, 'COU.OES Summary'!C:D, 2, FALSE)</f>
        <v> </v>
      </c>
      <c r="D138" s="33" t="str">
        <f>IFERROR(VLOOKUP($H138, 'Processed Non-zero TRI Data'!$I:$O, 7, FALSE), VLOOKUP($I138, 'Processed Non-zero DMR Data'!$K:$R, 8, FALSE))</f>
        <v>Waste handling, treatment, and disposal - Remediation or Monitoring</v>
      </c>
      <c r="E138" s="34" t="s">
        <v>364</v>
      </c>
      <c r="F138" s="34" t="s">
        <v>319</v>
      </c>
      <c r="G138" s="34" t="s">
        <v>91</v>
      </c>
      <c r="H138" s="34"/>
      <c r="I138" s="105">
        <v>110056972432</v>
      </c>
      <c r="J138" s="33" t="str">
        <f>IFERROR(VLOOKUP($I138, 'Processed Non-zero DMR Data'!$K:$U, 11, FALSE),"")</f>
        <v>LA0046361</v>
      </c>
      <c r="K138" s="33" t="str">
        <f>IFERROR(VLOOKUP($I138, 'Processed Non-zero DMR Data'!$K:$V, 12, FALSE),"Not Reported")</f>
        <v>Bayou Braud</v>
      </c>
      <c r="L138" s="106">
        <f>IFERROR(VLOOKUP($I138, 'Processed Non-zero DMR Data'!$K:$W, 13, FALSE),"No Reach Code Reported")</f>
        <v>80702020801</v>
      </c>
      <c r="M138" s="107" t="str">
        <f>IFERROR(IFERROR(VLOOKUP(H138, 'Off-site Locations'!$K$3:$O$5, 5, FALSE), VLOOKUP(H138, 'Off-site Locations'!$B$3:$E$4, 4, FALSE)), "No Offsite Transfers")</f>
        <v>No Offsite Transfers</v>
      </c>
      <c r="N138" s="33">
        <f>VLOOKUP($D138, 'COU.OES Summary'!C:E, 3, FALSE)</f>
        <v>365</v>
      </c>
      <c r="O138" s="108">
        <f t="shared" si="28"/>
        <v>0</v>
      </c>
      <c r="P138" s="108">
        <f t="shared" si="29"/>
        <v>0.414275</v>
      </c>
      <c r="Q138" s="109" cm="1">
        <f t="array" ref="Q138">IFERROR(_xlfn.XLOOKUP(1,  (MAX(IF(I138 = 'Processed Non-zero DMR Data'!$K:$K,'Processed Non-zero DMR Data'!$A:$A)) = 'Processed Non-zero DMR Data'!$A:$A)*('Processed Non-zero DMR Data'!$K:$K = I138),'Processed Non-zero DMR Data'!$T:$T), "N/A- Facility Does Not Report DMRs")</f>
        <v>0.414275</v>
      </c>
      <c r="R138" s="33">
        <f t="shared" si="39"/>
        <v>1.1349999999999999E-3</v>
      </c>
      <c r="S138" s="33" cm="1">
        <f t="array" ref="S138">IF(COUNTIF('Processed Non-zero DMR Data'!$K:$K,$I138)&gt;0,MEDIAN(IF('Processed Non-zero DMR Data'!$K:$K=I138,'Processed Non-zero DMR Data'!$T:$T)),"N/A - Facility Does Not Report DMRs")</f>
        <v>0.414275</v>
      </c>
      <c r="T138" s="33">
        <f t="shared" si="40"/>
        <v>1.1349999999999999E-3</v>
      </c>
      <c r="U138" s="33">
        <f>IF(COUNTIF('Processed Non-zero DMR Data'!$K:$K,$I138)&gt;0,_xlfn.MAXIFS('Processed Non-zero DMR Data'!$T:$T,'Processed Non-zero DMR Data'!$K:$K,$I138), "N/A - Facility Does Not Report DMRs")</f>
        <v>0.414275</v>
      </c>
      <c r="V138" s="33">
        <f t="shared" si="41"/>
        <v>1.1349999999999999E-3</v>
      </c>
      <c r="W138" s="110" cm="1">
        <f t="array" ref="W138">IF(COUNTIF('Processed Non-zero DMR Data'!$K:$K,$I138)&gt;0,INDEX('Processed Non-zero DMR Data'!$A:$A,MATCH(1,($I138='Processed Non-zero DMR Data'!$K:$K)*($U138='Processed Non-zero DMR Data'!$T:$T),0)), "N/A - Facility Does Not Report DMRs")</f>
        <v>2019</v>
      </c>
      <c r="X138" s="109" cm="1">
        <f t="array" ref="X138">IFERROR(_xlfn.XLOOKUP(1,  (MAX(IF(H138 = 'Processed Non-zero TRI Data'!$I:$I,'Processed Non-zero TRI Data'!$A:$A)) = 'Processed Non-zero TRI Data'!$A:$A)*('Processed Non-zero TRI Data'!$I:$I = H138), 'Processed Non-zero TRI Data'!$S:$S), "N/A- Facility Does Not Report to TRI")</f>
        <v>0</v>
      </c>
      <c r="Y138" s="33">
        <f t="shared" si="30"/>
        <v>0</v>
      </c>
      <c r="Z138" s="33" t="str" cm="1">
        <f t="array" ref="Z138">IF(COUNTIF('Processed Non-zero TRI Data'!$I:$I,$H138)&gt;0,MEDIAN(IF('Processed Non-zero TRI Data'!$I:$I=H138,'Processed Non-zero TRI Data'!$S:$S)), "N/A - Facility Does Not Report to TRI")</f>
        <v>N/A - Facility Does Not Report to TRI</v>
      </c>
      <c r="AA138" s="33" t="str">
        <f t="shared" si="31"/>
        <v>N/A - Facility Does Not Report to TRI</v>
      </c>
      <c r="AB138" s="33" t="str">
        <f>IF(COUNTIF('Processed Non-zero TRI Data'!$I:$I,$H138)&gt;0,_xlfn.MAXIFS('Processed Non-zero TRI Data'!$S:$S,'Processed Non-zero TRI Data'!$I:$I,$H138), "N/A - Facility Does Not Report to TRI")</f>
        <v>N/A - Facility Does Not Report to TRI</v>
      </c>
      <c r="AC138" s="33" t="str">
        <f t="shared" si="32"/>
        <v>N/A - Facility Does Not Report to TRI</v>
      </c>
      <c r="AD138" s="110" t="str" cm="1">
        <f t="array" ref="AD138">IFERROR(IF(B138 = "TRI Form R", IF(AB138 = 0, "Facility has no on-site water discharges between 2019-2023.",  IF(COUNTIF('Processed Non-zero TRI Data'!$I:$I,$H138)&gt;0,INDEX('Processed Non-zero TRI Data'!$A:$A,MATCH(1,($H138='Processed Non-zero TRI Data'!$I:$I)*(AB138='Processed Non-zero TRI Data'!$S:$S),0)))), VLOOKUP(H138, 'Form A Recent Reporting'!$L:$M, 2, FALSE)), ("N/A - Facility Does Not Report to TRI"))</f>
        <v>N/A - Facility Does Not Report to TRI</v>
      </c>
      <c r="AE138" s="109" cm="1">
        <f t="array" ref="AE138">IFERROR(_xlfn.XLOOKUP(1,  (MAX(IF(H138 = 'Processed Non-zero TRI Data'!$I:$I,'Processed Non-zero TRI Data'!$A:$A)) = 'Processed Non-zero TRI Data'!$A:$A)*('Processed Non-zero TRI Data'!$I:$I = H138), 'Processed Non-zero TRI Data'!$U:$U), "N/A- Facility Does Not Report to TRI")</f>
        <v>0</v>
      </c>
      <c r="AF138" s="33">
        <f t="shared" si="33"/>
        <v>0</v>
      </c>
      <c r="AG138" s="33" t="str" cm="1">
        <f t="array" ref="AG138">IF(COUNTIF('Processed Non-zero TRI Data'!$I:$I,$H138)&gt;0,MEDIAN(IF('Processed Non-zero TRI Data'!$I:$I=H138,'Processed Non-zero TRI Data'!$U:$U)), "N/A - Facility Does Not Report to TRI")</f>
        <v>N/A - Facility Does Not Report to TRI</v>
      </c>
      <c r="AH138" s="33" t="str">
        <f t="shared" si="34"/>
        <v>N/A - Facility Does Not Report to TRI</v>
      </c>
      <c r="AI138" s="33" t="str">
        <f>IF(COUNTIF('Processed Non-zero TRI Data'!$I:$I,$H138)&gt;0,_xlfn.MAXIFS('Processed Non-zero TRI Data'!$U:$U,'Processed Non-zero TRI Data'!$I:$I,$H138), "N/A - Facility Does Not Report to TRI")</f>
        <v>N/A - Facility Does Not Report to TRI</v>
      </c>
      <c r="AJ138" s="33" t="str">
        <f t="shared" si="35"/>
        <v>N/A - Facility Does Not Report to TRI</v>
      </c>
      <c r="AK138" s="110" t="str" cm="1">
        <f t="array" ref="AK138">IF(B138="TRI Form A",AD138,IF(AI138=0,"Facility has no transfers to POTWs between 2019-2023.",IF(COUNTIF('Processed Non-zero TRI Data'!$I:$I,$H138)&gt;0,INDEX('Processed Non-zero TRI Data'!$A:$A,MATCH(1,($H138='Processed Non-zero TRI Data'!$I:$I)*(AI138='Processed Non-zero TRI Data'!$U:$U),0)),"N/A - Facility Does Not Report to TRI")))</f>
        <v>N/A - Facility Does Not Report to TRI</v>
      </c>
      <c r="AL138" s="109" cm="1">
        <f t="array" ref="AL138">IFERROR(_xlfn.XLOOKUP(1,  (MAX(IF(H138 = 'Processed Non-zero TRI Data'!$I$2:$I$23,'Processed Non-zero TRI Data'!$A$2:$A$23)) = 'Processed Non-zero TRI Data'!$A$2:$A$23)*('Processed Non-zero TRI Data'!$I$2:$I$23 = H138), 'Processed Non-zero TRI Data'!$W$2:$W$23), "N/A- Facility Does Not Report to TRI")</f>
        <v>0</v>
      </c>
      <c r="AM138" s="33">
        <f t="shared" si="36"/>
        <v>0</v>
      </c>
      <c r="AN138" s="33" t="str" cm="1">
        <f t="array" ref="AN138">IF(COUNTIF('Processed Non-zero TRI Data'!$I:$I,$H138)&gt;0,MEDIAN(IF('Processed Non-zero TRI Data'!$I:$I=H138,'Processed Non-zero TRI Data'!$W:$W)), "N/A - Facility Does Not Report to TRI")</f>
        <v>N/A - Facility Does Not Report to TRI</v>
      </c>
      <c r="AO138" s="33" t="str">
        <f t="shared" si="37"/>
        <v>N/A - Facility Does Not Report to TRI</v>
      </c>
      <c r="AP138" s="33" t="str">
        <f>IF(COUNTIF('Processed Non-zero TRI Data'!$I:$I,$H138)&gt;0,_xlfn.MAXIFS('Processed Non-zero TRI Data'!$W:$W,'Processed Non-zero TRI Data'!$I:$I,$H138), "N/A - Facility Does Not Report to TRI")</f>
        <v>N/A - Facility Does Not Report to TRI</v>
      </c>
      <c r="AQ138" s="33" t="str">
        <f t="shared" si="38"/>
        <v>N/A - Facility Does Not Report to TRI</v>
      </c>
      <c r="AR138" s="110" t="str" cm="1">
        <f t="array" ref="AR138">IF(B138="TRI Form A",AD138,IF(AP138=0,"Facility has no transfers to non-POTWs between 2019-2023.",IF(COUNTIF('Processed Non-zero TRI Data'!$I:$I,$H138)&gt;0,INDEX('Processed Non-zero TRI Data'!$A:$A,MATCH(1,($H138='Processed Non-zero TRI Data'!$I:$I)*(AP138='Processed Non-zero TRI Data'!$W:$W),0)),"N/A - Facility Does Not Report to TRI")))</f>
        <v>N/A - Facility Does Not Report to TRI</v>
      </c>
    </row>
    <row r="139" spans="1:44" ht="29" x14ac:dyDescent="0.35">
      <c r="A139" s="34">
        <v>136</v>
      </c>
      <c r="B139" s="33" t="str">
        <f>IFERROR("TRI Form "&amp;VLOOKUP(H139,'Processed Non-zero TRI Data'!$I$2:$K$23,3,FALSE),"DMR")</f>
        <v>DMR</v>
      </c>
      <c r="C139" s="33" t="str">
        <f>VLOOKUP($D139, 'COU.OES Summary'!C:D, 2, FALSE)</f>
        <v> </v>
      </c>
      <c r="D139" s="33" t="str">
        <f>IFERROR(VLOOKUP($H139, 'Processed Non-zero TRI Data'!$I:$O, 7, FALSE), VLOOKUP($I139, 'Processed Non-zero DMR Data'!$K:$R, 8, FALSE))</f>
        <v>Waste handling, treatment, and disposal - POTW</v>
      </c>
      <c r="E139" s="34" t="s">
        <v>365</v>
      </c>
      <c r="F139" s="34" t="s">
        <v>366</v>
      </c>
      <c r="G139" s="34" t="s">
        <v>156</v>
      </c>
      <c r="H139" s="34"/>
      <c r="I139" s="105">
        <v>110010731262</v>
      </c>
      <c r="J139" s="33" t="str">
        <f>IFERROR(VLOOKUP($I139, 'Processed Non-zero DMR Data'!$K:$U, 11, FALSE),"")</f>
        <v>HI0020257</v>
      </c>
      <c r="K139" s="33" t="str">
        <f>IFERROR(VLOOKUP($I139, 'Processed Non-zero DMR Data'!$K:$V, 12, FALSE),"Not Reported")</f>
        <v>Kapaa Stream</v>
      </c>
      <c r="L139" s="106">
        <f>IFERROR(VLOOKUP($I139, 'Processed Non-zero DMR Data'!$K:$W, 13, FALSE),"No Reach Code Reported")</f>
        <v>200700000202</v>
      </c>
      <c r="M139" s="107" t="str">
        <f>IFERROR(IFERROR(VLOOKUP(H139, 'Off-site Locations'!$K$3:$O$5, 5, FALSE), VLOOKUP(H139, 'Off-site Locations'!$B$3:$E$4, 4, FALSE)), "No Offsite Transfers")</f>
        <v>No Offsite Transfers</v>
      </c>
      <c r="N139" s="33">
        <f>VLOOKUP($D139, 'COU.OES Summary'!C:E, 3, FALSE)</f>
        <v>365</v>
      </c>
      <c r="O139" s="108">
        <f t="shared" si="28"/>
        <v>0</v>
      </c>
      <c r="P139" s="108">
        <f t="shared" si="29"/>
        <v>0.40810248500000001</v>
      </c>
      <c r="Q139" s="109" cm="1">
        <f t="array" ref="Q139">IFERROR(_xlfn.XLOOKUP(1,  (MAX(IF(I139 = 'Processed Non-zero DMR Data'!$K:$K,'Processed Non-zero DMR Data'!$A:$A)) = 'Processed Non-zero DMR Data'!$A:$A)*('Processed Non-zero DMR Data'!$K:$K = I139),'Processed Non-zero DMR Data'!$T:$T), "N/A- Facility Does Not Report DMRs")</f>
        <v>5.9018748000000003E-2</v>
      </c>
      <c r="R139" s="33">
        <f t="shared" si="39"/>
        <v>1.6169520000000002E-4</v>
      </c>
      <c r="S139" s="33" cm="1">
        <f t="array" ref="S139">IF(COUNTIF('Processed Non-zero DMR Data'!$K:$K,$I139)&gt;0,MEDIAN(IF('Processed Non-zero DMR Data'!$K:$K=I139,'Processed Non-zero DMR Data'!$T:$T)),"N/A - Facility Does Not Report DMRs")</f>
        <v>0.16699183437499998</v>
      </c>
      <c r="T139" s="33">
        <f t="shared" si="40"/>
        <v>4.5751187499999994E-4</v>
      </c>
      <c r="U139" s="33">
        <f>IF(COUNTIF('Processed Non-zero DMR Data'!$K:$K,$I139)&gt;0,_xlfn.MAXIFS('Processed Non-zero DMR Data'!$T:$T,'Processed Non-zero DMR Data'!$K:$K,$I139), "N/A - Facility Does Not Report DMRs")</f>
        <v>0.40810248500000001</v>
      </c>
      <c r="V139" s="33">
        <f t="shared" si="41"/>
        <v>1.1180890000000001E-3</v>
      </c>
      <c r="W139" s="110" cm="1">
        <f t="array" ref="W139">IF(COUNTIF('Processed Non-zero DMR Data'!$K:$K,$I139)&gt;0,INDEX('Processed Non-zero DMR Data'!$A:$A,MATCH(1,($I139='Processed Non-zero DMR Data'!$K:$K)*($U139='Processed Non-zero DMR Data'!$T:$T),0)), "N/A - Facility Does Not Report DMRs")</f>
        <v>2022</v>
      </c>
      <c r="X139" s="109" cm="1">
        <f t="array" ref="X139">IFERROR(_xlfn.XLOOKUP(1,  (MAX(IF(H139 = 'Processed Non-zero TRI Data'!$I:$I,'Processed Non-zero TRI Data'!$A:$A)) = 'Processed Non-zero TRI Data'!$A:$A)*('Processed Non-zero TRI Data'!$I:$I = H139), 'Processed Non-zero TRI Data'!$S:$S), "N/A- Facility Does Not Report to TRI")</f>
        <v>0</v>
      </c>
      <c r="Y139" s="33">
        <f t="shared" si="30"/>
        <v>0</v>
      </c>
      <c r="Z139" s="33" t="str" cm="1">
        <f t="array" ref="Z139">IF(COUNTIF('Processed Non-zero TRI Data'!$I:$I,$H139)&gt;0,MEDIAN(IF('Processed Non-zero TRI Data'!$I:$I=H139,'Processed Non-zero TRI Data'!$S:$S)), "N/A - Facility Does Not Report to TRI")</f>
        <v>N/A - Facility Does Not Report to TRI</v>
      </c>
      <c r="AA139" s="33" t="str">
        <f t="shared" si="31"/>
        <v>N/A - Facility Does Not Report to TRI</v>
      </c>
      <c r="AB139" s="33" t="str">
        <f>IF(COUNTIF('Processed Non-zero TRI Data'!$I:$I,$H139)&gt;0,_xlfn.MAXIFS('Processed Non-zero TRI Data'!$S:$S,'Processed Non-zero TRI Data'!$I:$I,$H139), "N/A - Facility Does Not Report to TRI")</f>
        <v>N/A - Facility Does Not Report to TRI</v>
      </c>
      <c r="AC139" s="33" t="str">
        <f t="shared" si="32"/>
        <v>N/A - Facility Does Not Report to TRI</v>
      </c>
      <c r="AD139" s="110" t="str" cm="1">
        <f t="array" ref="AD139">IFERROR(IF(B139 = "TRI Form R", IF(AB139 = 0, "Facility has no on-site water discharges between 2019-2023.",  IF(COUNTIF('Processed Non-zero TRI Data'!$I:$I,$H139)&gt;0,INDEX('Processed Non-zero TRI Data'!$A:$A,MATCH(1,($H139='Processed Non-zero TRI Data'!$I:$I)*(AB139='Processed Non-zero TRI Data'!$S:$S),0)))), VLOOKUP(H139, 'Form A Recent Reporting'!$L:$M, 2, FALSE)), ("N/A - Facility Does Not Report to TRI"))</f>
        <v>N/A - Facility Does Not Report to TRI</v>
      </c>
      <c r="AE139" s="109" cm="1">
        <f t="array" ref="AE139">IFERROR(_xlfn.XLOOKUP(1,  (MAX(IF(H139 = 'Processed Non-zero TRI Data'!$I:$I,'Processed Non-zero TRI Data'!$A:$A)) = 'Processed Non-zero TRI Data'!$A:$A)*('Processed Non-zero TRI Data'!$I:$I = H139), 'Processed Non-zero TRI Data'!$U:$U), "N/A- Facility Does Not Report to TRI")</f>
        <v>0</v>
      </c>
      <c r="AF139" s="33">
        <f t="shared" si="33"/>
        <v>0</v>
      </c>
      <c r="AG139" s="33" t="str" cm="1">
        <f t="array" ref="AG139">IF(COUNTIF('Processed Non-zero TRI Data'!$I:$I,$H139)&gt;0,MEDIAN(IF('Processed Non-zero TRI Data'!$I:$I=H139,'Processed Non-zero TRI Data'!$U:$U)), "N/A - Facility Does Not Report to TRI")</f>
        <v>N/A - Facility Does Not Report to TRI</v>
      </c>
      <c r="AH139" s="33" t="str">
        <f t="shared" si="34"/>
        <v>N/A - Facility Does Not Report to TRI</v>
      </c>
      <c r="AI139" s="33" t="str">
        <f>IF(COUNTIF('Processed Non-zero TRI Data'!$I:$I,$H139)&gt;0,_xlfn.MAXIFS('Processed Non-zero TRI Data'!$U:$U,'Processed Non-zero TRI Data'!$I:$I,$H139), "N/A - Facility Does Not Report to TRI")</f>
        <v>N/A - Facility Does Not Report to TRI</v>
      </c>
      <c r="AJ139" s="33" t="str">
        <f t="shared" si="35"/>
        <v>N/A - Facility Does Not Report to TRI</v>
      </c>
      <c r="AK139" s="110" t="str" cm="1">
        <f t="array" ref="AK139">IF(B139="TRI Form A",AD139,IF(AI139=0,"Facility has no transfers to POTWs between 2019-2023.",IF(COUNTIF('Processed Non-zero TRI Data'!$I:$I,$H139)&gt;0,INDEX('Processed Non-zero TRI Data'!$A:$A,MATCH(1,($H139='Processed Non-zero TRI Data'!$I:$I)*(AI139='Processed Non-zero TRI Data'!$U:$U),0)),"N/A - Facility Does Not Report to TRI")))</f>
        <v>N/A - Facility Does Not Report to TRI</v>
      </c>
      <c r="AL139" s="109" cm="1">
        <f t="array" ref="AL139">IFERROR(_xlfn.XLOOKUP(1,  (MAX(IF(H139 = 'Processed Non-zero TRI Data'!$I$2:$I$23,'Processed Non-zero TRI Data'!$A$2:$A$23)) = 'Processed Non-zero TRI Data'!$A$2:$A$23)*('Processed Non-zero TRI Data'!$I$2:$I$23 = H139), 'Processed Non-zero TRI Data'!$W$2:$W$23), "N/A- Facility Does Not Report to TRI")</f>
        <v>0</v>
      </c>
      <c r="AM139" s="33">
        <f t="shared" si="36"/>
        <v>0</v>
      </c>
      <c r="AN139" s="33" t="str" cm="1">
        <f t="array" ref="AN139">IF(COUNTIF('Processed Non-zero TRI Data'!$I:$I,$H139)&gt;0,MEDIAN(IF('Processed Non-zero TRI Data'!$I:$I=H139,'Processed Non-zero TRI Data'!$W:$W)), "N/A - Facility Does Not Report to TRI")</f>
        <v>N/A - Facility Does Not Report to TRI</v>
      </c>
      <c r="AO139" s="33" t="str">
        <f t="shared" si="37"/>
        <v>N/A - Facility Does Not Report to TRI</v>
      </c>
      <c r="AP139" s="33" t="str">
        <f>IF(COUNTIF('Processed Non-zero TRI Data'!$I:$I,$H139)&gt;0,_xlfn.MAXIFS('Processed Non-zero TRI Data'!$W:$W,'Processed Non-zero TRI Data'!$I:$I,$H139), "N/A - Facility Does Not Report to TRI")</f>
        <v>N/A - Facility Does Not Report to TRI</v>
      </c>
      <c r="AQ139" s="33" t="str">
        <f t="shared" si="38"/>
        <v>N/A - Facility Does Not Report to TRI</v>
      </c>
      <c r="AR139" s="110" t="str" cm="1">
        <f t="array" ref="AR139">IF(B139="TRI Form A",AD139,IF(AP139=0,"Facility has no transfers to non-POTWs between 2019-2023.",IF(COUNTIF('Processed Non-zero TRI Data'!$I:$I,$H139)&gt;0,INDEX('Processed Non-zero TRI Data'!$A:$A,MATCH(1,($H139='Processed Non-zero TRI Data'!$I:$I)*(AP139='Processed Non-zero TRI Data'!$W:$W),0)),"N/A - Facility Does Not Report to TRI")))</f>
        <v>N/A - Facility Does Not Report to TRI</v>
      </c>
    </row>
    <row r="140" spans="1:44" ht="29" x14ac:dyDescent="0.35">
      <c r="A140" s="34">
        <v>137</v>
      </c>
      <c r="B140" s="33" t="str">
        <f>IFERROR("TRI Form "&amp;VLOOKUP(H140,'Processed Non-zero TRI Data'!$I$2:$K$23,3,FALSE),"DMR")</f>
        <v>DMR</v>
      </c>
      <c r="C140" s="33" t="str">
        <f>VLOOKUP($D140, 'COU.OES Summary'!C:D, 2, FALSE)</f>
        <v> </v>
      </c>
      <c r="D140" s="33" t="str">
        <f>IFERROR(VLOOKUP($H140, 'Processed Non-zero TRI Data'!$I:$O, 7, FALSE), VLOOKUP($I140, 'Processed Non-zero DMR Data'!$K:$R, 8, FALSE))</f>
        <v>Waste handling, treatment, and disposal - Remediation or Monitoring</v>
      </c>
      <c r="E140" s="34" t="s">
        <v>367</v>
      </c>
      <c r="F140" s="34" t="s">
        <v>94</v>
      </c>
      <c r="G140" s="34" t="s">
        <v>95</v>
      </c>
      <c r="H140" s="34"/>
      <c r="I140" s="105">
        <v>110000460983</v>
      </c>
      <c r="J140" s="33" t="str">
        <f>IFERROR(VLOOKUP($I140, 'Processed Non-zero DMR Data'!$K:$U, 11, FALSE),"")</f>
        <v>TX0085979</v>
      </c>
      <c r="K140" s="33" t="str">
        <f>IFERROR(VLOOKUP($I140, 'Processed Non-zero DMR Data'!$K:$V, 12, FALSE),"Not Reported")</f>
        <v>Carpenters Bayou</v>
      </c>
      <c r="L140" s="106">
        <f>IFERROR(VLOOKUP($I140, 'Processed Non-zero DMR Data'!$K:$W, 13, FALSE),"No Reach Code Reported")</f>
        <v>120401040702</v>
      </c>
      <c r="M140" s="107" t="str">
        <f>IFERROR(IFERROR(VLOOKUP(H140, 'Off-site Locations'!$K$3:$O$5, 5, FALSE), VLOOKUP(H140, 'Off-site Locations'!$B$3:$E$4, 4, FALSE)), "No Offsite Transfers")</f>
        <v>No Offsite Transfers</v>
      </c>
      <c r="N140" s="33">
        <f>VLOOKUP($D140, 'COU.OES Summary'!C:E, 3, FALSE)</f>
        <v>365</v>
      </c>
      <c r="O140" s="108">
        <f t="shared" si="28"/>
        <v>0</v>
      </c>
      <c r="P140" s="108">
        <f t="shared" si="29"/>
        <v>0.37450460000000002</v>
      </c>
      <c r="Q140" s="109" cm="1">
        <f t="array" ref="Q140">IFERROR(_xlfn.XLOOKUP(1,  (MAX(IF(I140 = 'Processed Non-zero DMR Data'!$K:$K,'Processed Non-zero DMR Data'!$A:$A)) = 'Processed Non-zero DMR Data'!$A:$A)*('Processed Non-zero DMR Data'!$K:$K = I140),'Processed Non-zero DMR Data'!$T:$T), "N/A- Facility Does Not Report DMRs")</f>
        <v>0.198852</v>
      </c>
      <c r="R140" s="33">
        <f t="shared" si="39"/>
        <v>5.4480000000000002E-4</v>
      </c>
      <c r="S140" s="33" cm="1">
        <f t="array" ref="S140">IF(COUNTIF('Processed Non-zero DMR Data'!$K:$K,$I140)&gt;0,MEDIAN(IF('Processed Non-zero DMR Data'!$K:$K=I140,'Processed Non-zero DMR Data'!$T:$T)),"N/A - Facility Does Not Report DMRs")</f>
        <v>0.182281</v>
      </c>
      <c r="T140" s="33">
        <f t="shared" si="40"/>
        <v>4.994E-4</v>
      </c>
      <c r="U140" s="33">
        <f>IF(COUNTIF('Processed Non-zero DMR Data'!$K:$K,$I140)&gt;0,_xlfn.MAXIFS('Processed Non-zero DMR Data'!$T:$T,'Processed Non-zero DMR Data'!$K:$K,$I140), "N/A - Facility Does Not Report DMRs")</f>
        <v>0.37450460000000002</v>
      </c>
      <c r="V140" s="33">
        <f t="shared" si="41"/>
        <v>1.02604E-3</v>
      </c>
      <c r="W140" s="110" cm="1">
        <f t="array" ref="W140">IF(COUNTIF('Processed Non-zero DMR Data'!$K:$K,$I140)&gt;0,INDEX('Processed Non-zero DMR Data'!$A:$A,MATCH(1,($I140='Processed Non-zero DMR Data'!$K:$K)*($U140='Processed Non-zero DMR Data'!$T:$T),0)), "N/A - Facility Does Not Report DMRs")</f>
        <v>2021</v>
      </c>
      <c r="X140" s="109" cm="1">
        <f t="array" ref="X140">IFERROR(_xlfn.XLOOKUP(1,  (MAX(IF(H140 = 'Processed Non-zero TRI Data'!$I:$I,'Processed Non-zero TRI Data'!$A:$A)) = 'Processed Non-zero TRI Data'!$A:$A)*('Processed Non-zero TRI Data'!$I:$I = H140), 'Processed Non-zero TRI Data'!$S:$S), "N/A- Facility Does Not Report to TRI")</f>
        <v>0</v>
      </c>
      <c r="Y140" s="33">
        <f t="shared" si="30"/>
        <v>0</v>
      </c>
      <c r="Z140" s="33" t="str" cm="1">
        <f t="array" ref="Z140">IF(COUNTIF('Processed Non-zero TRI Data'!$I:$I,$H140)&gt;0,MEDIAN(IF('Processed Non-zero TRI Data'!$I:$I=H140,'Processed Non-zero TRI Data'!$S:$S)), "N/A - Facility Does Not Report to TRI")</f>
        <v>N/A - Facility Does Not Report to TRI</v>
      </c>
      <c r="AA140" s="33" t="str">
        <f t="shared" si="31"/>
        <v>N/A - Facility Does Not Report to TRI</v>
      </c>
      <c r="AB140" s="33" t="str">
        <f>IF(COUNTIF('Processed Non-zero TRI Data'!$I:$I,$H140)&gt;0,_xlfn.MAXIFS('Processed Non-zero TRI Data'!$S:$S,'Processed Non-zero TRI Data'!$I:$I,$H140), "N/A - Facility Does Not Report to TRI")</f>
        <v>N/A - Facility Does Not Report to TRI</v>
      </c>
      <c r="AC140" s="33" t="str">
        <f t="shared" si="32"/>
        <v>N/A - Facility Does Not Report to TRI</v>
      </c>
      <c r="AD140" s="110" t="str" cm="1">
        <f t="array" ref="AD140">IFERROR(IF(B140 = "TRI Form R", IF(AB140 = 0, "Facility has no on-site water discharges between 2019-2023.",  IF(COUNTIF('Processed Non-zero TRI Data'!$I:$I,$H140)&gt;0,INDEX('Processed Non-zero TRI Data'!$A:$A,MATCH(1,($H140='Processed Non-zero TRI Data'!$I:$I)*(AB140='Processed Non-zero TRI Data'!$S:$S),0)))), VLOOKUP(H140, 'Form A Recent Reporting'!$L:$M, 2, FALSE)), ("N/A - Facility Does Not Report to TRI"))</f>
        <v>N/A - Facility Does Not Report to TRI</v>
      </c>
      <c r="AE140" s="109" cm="1">
        <f t="array" ref="AE140">IFERROR(_xlfn.XLOOKUP(1,  (MAX(IF(H140 = 'Processed Non-zero TRI Data'!$I:$I,'Processed Non-zero TRI Data'!$A:$A)) = 'Processed Non-zero TRI Data'!$A:$A)*('Processed Non-zero TRI Data'!$I:$I = H140), 'Processed Non-zero TRI Data'!$U:$U), "N/A- Facility Does Not Report to TRI")</f>
        <v>0</v>
      </c>
      <c r="AF140" s="33">
        <f t="shared" si="33"/>
        <v>0</v>
      </c>
      <c r="AG140" s="33" t="str" cm="1">
        <f t="array" ref="AG140">IF(COUNTIF('Processed Non-zero TRI Data'!$I:$I,$H140)&gt;0,MEDIAN(IF('Processed Non-zero TRI Data'!$I:$I=H140,'Processed Non-zero TRI Data'!$U:$U)), "N/A - Facility Does Not Report to TRI")</f>
        <v>N/A - Facility Does Not Report to TRI</v>
      </c>
      <c r="AH140" s="33" t="str">
        <f t="shared" si="34"/>
        <v>N/A - Facility Does Not Report to TRI</v>
      </c>
      <c r="AI140" s="33" t="str">
        <f>IF(COUNTIF('Processed Non-zero TRI Data'!$I:$I,$H140)&gt;0,_xlfn.MAXIFS('Processed Non-zero TRI Data'!$U:$U,'Processed Non-zero TRI Data'!$I:$I,$H140), "N/A - Facility Does Not Report to TRI")</f>
        <v>N/A - Facility Does Not Report to TRI</v>
      </c>
      <c r="AJ140" s="33" t="str">
        <f t="shared" si="35"/>
        <v>N/A - Facility Does Not Report to TRI</v>
      </c>
      <c r="AK140" s="110" t="str" cm="1">
        <f t="array" ref="AK140">IF(B140="TRI Form A",AD140,IF(AI140=0,"Facility has no transfers to POTWs between 2019-2023.",IF(COUNTIF('Processed Non-zero TRI Data'!$I:$I,$H140)&gt;0,INDEX('Processed Non-zero TRI Data'!$A:$A,MATCH(1,($H140='Processed Non-zero TRI Data'!$I:$I)*(AI140='Processed Non-zero TRI Data'!$U:$U),0)),"N/A - Facility Does Not Report to TRI")))</f>
        <v>N/A - Facility Does Not Report to TRI</v>
      </c>
      <c r="AL140" s="109" cm="1">
        <f t="array" ref="AL140">IFERROR(_xlfn.XLOOKUP(1,  (MAX(IF(H140 = 'Processed Non-zero TRI Data'!$I$2:$I$23,'Processed Non-zero TRI Data'!$A$2:$A$23)) = 'Processed Non-zero TRI Data'!$A$2:$A$23)*('Processed Non-zero TRI Data'!$I$2:$I$23 = H140), 'Processed Non-zero TRI Data'!$W$2:$W$23), "N/A- Facility Does Not Report to TRI")</f>
        <v>0</v>
      </c>
      <c r="AM140" s="33">
        <f t="shared" si="36"/>
        <v>0</v>
      </c>
      <c r="AN140" s="33" t="str" cm="1">
        <f t="array" ref="AN140">IF(COUNTIF('Processed Non-zero TRI Data'!$I:$I,$H140)&gt;0,MEDIAN(IF('Processed Non-zero TRI Data'!$I:$I=H140,'Processed Non-zero TRI Data'!$W:$W)), "N/A - Facility Does Not Report to TRI")</f>
        <v>N/A - Facility Does Not Report to TRI</v>
      </c>
      <c r="AO140" s="33" t="str">
        <f t="shared" si="37"/>
        <v>N/A - Facility Does Not Report to TRI</v>
      </c>
      <c r="AP140" s="33" t="str">
        <f>IF(COUNTIF('Processed Non-zero TRI Data'!$I:$I,$H140)&gt;0,_xlfn.MAXIFS('Processed Non-zero TRI Data'!$W:$W,'Processed Non-zero TRI Data'!$I:$I,$H140), "N/A - Facility Does Not Report to TRI")</f>
        <v>N/A - Facility Does Not Report to TRI</v>
      </c>
      <c r="AQ140" s="33" t="str">
        <f t="shared" si="38"/>
        <v>N/A - Facility Does Not Report to TRI</v>
      </c>
      <c r="AR140" s="110" t="str" cm="1">
        <f t="array" ref="AR140">IF(B140="TRI Form A",AD140,IF(AP140=0,"Facility has no transfers to non-POTWs between 2019-2023.",IF(COUNTIF('Processed Non-zero TRI Data'!$I:$I,$H140)&gt;0,INDEX('Processed Non-zero TRI Data'!$A:$A,MATCH(1,($H140='Processed Non-zero TRI Data'!$I:$I)*(AP140='Processed Non-zero TRI Data'!$W:$W),0)),"N/A - Facility Does Not Report to TRI")))</f>
        <v>N/A - Facility Does Not Report to TRI</v>
      </c>
    </row>
    <row r="141" spans="1:44" ht="29" x14ac:dyDescent="0.35">
      <c r="A141" s="34">
        <v>138</v>
      </c>
      <c r="B141" s="33" t="str">
        <f>IFERROR("TRI Form "&amp;VLOOKUP(H141,'Processed Non-zero TRI Data'!$I$2:$K$23,3,FALSE),"DMR")</f>
        <v>DMR</v>
      </c>
      <c r="C141" s="33" t="str">
        <f>VLOOKUP($D141, 'COU.OES Summary'!C:D, 2, FALSE)</f>
        <v> </v>
      </c>
      <c r="D141" s="33" t="str">
        <f>IFERROR(VLOOKUP($H141, 'Processed Non-zero TRI Data'!$I:$O, 7, FALSE), VLOOKUP($I141, 'Processed Non-zero DMR Data'!$K:$R, 8, FALSE))</f>
        <v>Waste handling, treatment, and disposal - Remediation or Monitoring</v>
      </c>
      <c r="E141" s="34" t="s">
        <v>368</v>
      </c>
      <c r="F141" s="34" t="s">
        <v>369</v>
      </c>
      <c r="G141" s="34" t="s">
        <v>91</v>
      </c>
      <c r="H141" s="34"/>
      <c r="I141" s="105">
        <v>110000834688</v>
      </c>
      <c r="J141" s="33" t="str">
        <f>IFERROR(VLOOKUP($I141, 'Processed Non-zero DMR Data'!$K:$U, 11, FALSE),"")</f>
        <v>LA0124583</v>
      </c>
      <c r="K141" s="33" t="str">
        <f>IFERROR(VLOOKUP($I141, 'Processed Non-zero DMR Data'!$K:$V, 12, FALSE),"Not Reported")</f>
        <v>Westwego-Main Canal</v>
      </c>
      <c r="L141" s="106">
        <f>IFERROR(VLOOKUP($I141, 'Processed Non-zero DMR Data'!$K:$W, 13, FALSE),"No Reach Code Reported")</f>
        <v>80903010307</v>
      </c>
      <c r="M141" s="107" t="str">
        <f>IFERROR(IFERROR(VLOOKUP(H141, 'Off-site Locations'!$K$3:$O$5, 5, FALSE), VLOOKUP(H141, 'Off-site Locations'!$B$3:$E$4, 4, FALSE)), "No Offsite Transfers")</f>
        <v>No Offsite Transfers</v>
      </c>
      <c r="N141" s="33">
        <f>VLOOKUP($D141, 'COU.OES Summary'!C:E, 3, FALSE)</f>
        <v>365</v>
      </c>
      <c r="O141" s="108">
        <f t="shared" si="28"/>
        <v>0</v>
      </c>
      <c r="P141" s="108">
        <f t="shared" si="29"/>
        <v>0.37187151875000002</v>
      </c>
      <c r="Q141" s="109" cm="1">
        <f t="array" ref="Q141">IFERROR(_xlfn.XLOOKUP(1,  (MAX(IF(I141 = 'Processed Non-zero DMR Data'!$K:$K,'Processed Non-zero DMR Data'!$A:$A)) = 'Processed Non-zero DMR Data'!$A:$A)*('Processed Non-zero DMR Data'!$K:$K = I141),'Processed Non-zero DMR Data'!$T:$T), "N/A- Facility Does Not Report DMRs")</f>
        <v>1.7405201379999999E-2</v>
      </c>
      <c r="R141" s="33">
        <f t="shared" si="39"/>
        <v>4.7685483232876709E-5</v>
      </c>
      <c r="S141" s="33" cm="1">
        <f t="array" ref="S141">IF(COUNTIF('Processed Non-zero DMR Data'!$K:$K,$I141)&gt;0,MEDIAN(IF('Processed Non-zero DMR Data'!$K:$K=I141,'Processed Non-zero DMR Data'!$T:$T)),"N/A - Facility Does Not Report DMRs")</f>
        <v>0.25074205625000001</v>
      </c>
      <c r="T141" s="33">
        <f t="shared" si="40"/>
        <v>6.8696453767123293E-4</v>
      </c>
      <c r="U141" s="33">
        <f>IF(COUNTIF('Processed Non-zero DMR Data'!$K:$K,$I141)&gt;0,_xlfn.MAXIFS('Processed Non-zero DMR Data'!$T:$T,'Processed Non-zero DMR Data'!$K:$K,$I141), "N/A - Facility Does Not Report DMRs")</f>
        <v>0.37187151875000002</v>
      </c>
      <c r="V141" s="33">
        <f t="shared" si="41"/>
        <v>1.0188260787671233E-3</v>
      </c>
      <c r="W141" s="110" cm="1">
        <f t="array" ref="W141">IF(COUNTIF('Processed Non-zero DMR Data'!$K:$K,$I141)&gt;0,INDEX('Processed Non-zero DMR Data'!$A:$A,MATCH(1,($I141='Processed Non-zero DMR Data'!$K:$K)*($U141='Processed Non-zero DMR Data'!$T:$T),0)), "N/A - Facility Does Not Report DMRs")</f>
        <v>2021</v>
      </c>
      <c r="X141" s="109" cm="1">
        <f t="array" ref="X141">IFERROR(_xlfn.XLOOKUP(1,  (MAX(IF(H141 = 'Processed Non-zero TRI Data'!$I:$I,'Processed Non-zero TRI Data'!$A:$A)) = 'Processed Non-zero TRI Data'!$A:$A)*('Processed Non-zero TRI Data'!$I:$I = H141), 'Processed Non-zero TRI Data'!$S:$S), "N/A- Facility Does Not Report to TRI")</f>
        <v>0</v>
      </c>
      <c r="Y141" s="33">
        <f t="shared" si="30"/>
        <v>0</v>
      </c>
      <c r="Z141" s="33" t="str" cm="1">
        <f t="array" ref="Z141">IF(COUNTIF('Processed Non-zero TRI Data'!$I:$I,$H141)&gt;0,MEDIAN(IF('Processed Non-zero TRI Data'!$I:$I=H141,'Processed Non-zero TRI Data'!$S:$S)), "N/A - Facility Does Not Report to TRI")</f>
        <v>N/A - Facility Does Not Report to TRI</v>
      </c>
      <c r="AA141" s="33" t="str">
        <f t="shared" si="31"/>
        <v>N/A - Facility Does Not Report to TRI</v>
      </c>
      <c r="AB141" s="33" t="str">
        <f>IF(COUNTIF('Processed Non-zero TRI Data'!$I:$I,$H141)&gt;0,_xlfn.MAXIFS('Processed Non-zero TRI Data'!$S:$S,'Processed Non-zero TRI Data'!$I:$I,$H141), "N/A - Facility Does Not Report to TRI")</f>
        <v>N/A - Facility Does Not Report to TRI</v>
      </c>
      <c r="AC141" s="33" t="str">
        <f t="shared" si="32"/>
        <v>N/A - Facility Does Not Report to TRI</v>
      </c>
      <c r="AD141" s="110" t="str" cm="1">
        <f t="array" ref="AD141">IFERROR(IF(B141 = "TRI Form R", IF(AB141 = 0, "Facility has no on-site water discharges between 2019-2023.",  IF(COUNTIF('Processed Non-zero TRI Data'!$I:$I,$H141)&gt;0,INDEX('Processed Non-zero TRI Data'!$A:$A,MATCH(1,($H141='Processed Non-zero TRI Data'!$I:$I)*(AB141='Processed Non-zero TRI Data'!$S:$S),0)))), VLOOKUP(H141, 'Form A Recent Reporting'!$L:$M, 2, FALSE)), ("N/A - Facility Does Not Report to TRI"))</f>
        <v>N/A - Facility Does Not Report to TRI</v>
      </c>
      <c r="AE141" s="109" cm="1">
        <f t="array" ref="AE141">IFERROR(_xlfn.XLOOKUP(1,  (MAX(IF(H141 = 'Processed Non-zero TRI Data'!$I:$I,'Processed Non-zero TRI Data'!$A:$A)) = 'Processed Non-zero TRI Data'!$A:$A)*('Processed Non-zero TRI Data'!$I:$I = H141), 'Processed Non-zero TRI Data'!$U:$U), "N/A- Facility Does Not Report to TRI")</f>
        <v>0</v>
      </c>
      <c r="AF141" s="33">
        <f t="shared" si="33"/>
        <v>0</v>
      </c>
      <c r="AG141" s="33" t="str" cm="1">
        <f t="array" ref="AG141">IF(COUNTIF('Processed Non-zero TRI Data'!$I:$I,$H141)&gt;0,MEDIAN(IF('Processed Non-zero TRI Data'!$I:$I=H141,'Processed Non-zero TRI Data'!$U:$U)), "N/A - Facility Does Not Report to TRI")</f>
        <v>N/A - Facility Does Not Report to TRI</v>
      </c>
      <c r="AH141" s="33" t="str">
        <f t="shared" si="34"/>
        <v>N/A - Facility Does Not Report to TRI</v>
      </c>
      <c r="AI141" s="33" t="str">
        <f>IF(COUNTIF('Processed Non-zero TRI Data'!$I:$I,$H141)&gt;0,_xlfn.MAXIFS('Processed Non-zero TRI Data'!$U:$U,'Processed Non-zero TRI Data'!$I:$I,$H141), "N/A - Facility Does Not Report to TRI")</f>
        <v>N/A - Facility Does Not Report to TRI</v>
      </c>
      <c r="AJ141" s="33" t="str">
        <f t="shared" si="35"/>
        <v>N/A - Facility Does Not Report to TRI</v>
      </c>
      <c r="AK141" s="110" t="str" cm="1">
        <f t="array" ref="AK141">IF(B141="TRI Form A",AD141,IF(AI141=0,"Facility has no transfers to POTWs between 2019-2023.",IF(COUNTIF('Processed Non-zero TRI Data'!$I:$I,$H141)&gt;0,INDEX('Processed Non-zero TRI Data'!$A:$A,MATCH(1,($H141='Processed Non-zero TRI Data'!$I:$I)*(AI141='Processed Non-zero TRI Data'!$U:$U),0)),"N/A - Facility Does Not Report to TRI")))</f>
        <v>N/A - Facility Does Not Report to TRI</v>
      </c>
      <c r="AL141" s="109" cm="1">
        <f t="array" ref="AL141">IFERROR(_xlfn.XLOOKUP(1,  (MAX(IF(H141 = 'Processed Non-zero TRI Data'!$I$2:$I$23,'Processed Non-zero TRI Data'!$A$2:$A$23)) = 'Processed Non-zero TRI Data'!$A$2:$A$23)*('Processed Non-zero TRI Data'!$I$2:$I$23 = H141), 'Processed Non-zero TRI Data'!$W$2:$W$23), "N/A- Facility Does Not Report to TRI")</f>
        <v>0</v>
      </c>
      <c r="AM141" s="33">
        <f t="shared" si="36"/>
        <v>0</v>
      </c>
      <c r="AN141" s="33" t="str" cm="1">
        <f t="array" ref="AN141">IF(COUNTIF('Processed Non-zero TRI Data'!$I:$I,$H141)&gt;0,MEDIAN(IF('Processed Non-zero TRI Data'!$I:$I=H141,'Processed Non-zero TRI Data'!$W:$W)), "N/A - Facility Does Not Report to TRI")</f>
        <v>N/A - Facility Does Not Report to TRI</v>
      </c>
      <c r="AO141" s="33" t="str">
        <f t="shared" si="37"/>
        <v>N/A - Facility Does Not Report to TRI</v>
      </c>
      <c r="AP141" s="33" t="str">
        <f>IF(COUNTIF('Processed Non-zero TRI Data'!$I:$I,$H141)&gt;0,_xlfn.MAXIFS('Processed Non-zero TRI Data'!$W:$W,'Processed Non-zero TRI Data'!$I:$I,$H141), "N/A - Facility Does Not Report to TRI")</f>
        <v>N/A - Facility Does Not Report to TRI</v>
      </c>
      <c r="AQ141" s="33" t="str">
        <f t="shared" si="38"/>
        <v>N/A - Facility Does Not Report to TRI</v>
      </c>
      <c r="AR141" s="110" t="str" cm="1">
        <f t="array" ref="AR141">IF(B141="TRI Form A",AD141,IF(AP141=0,"Facility has no transfers to non-POTWs between 2019-2023.",IF(COUNTIF('Processed Non-zero TRI Data'!$I:$I,$H141)&gt;0,INDEX('Processed Non-zero TRI Data'!$A:$A,MATCH(1,($H141='Processed Non-zero TRI Data'!$I:$I)*(AP141='Processed Non-zero TRI Data'!$W:$W),0)),"N/A - Facility Does Not Report to TRI")))</f>
        <v>N/A - Facility Does Not Report to TRI</v>
      </c>
    </row>
    <row r="142" spans="1:44" ht="29" x14ac:dyDescent="0.35">
      <c r="A142" s="34">
        <v>139</v>
      </c>
      <c r="B142" s="33" t="str">
        <f>IFERROR("TRI Form "&amp;VLOOKUP(H142,'Processed Non-zero TRI Data'!$I$2:$K$23,3,FALSE),"DMR")</f>
        <v>DMR</v>
      </c>
      <c r="C142" s="33" t="str">
        <f>VLOOKUP($D142, 'COU.OES Summary'!C:D, 2, FALSE)</f>
        <v> </v>
      </c>
      <c r="D142" s="33" t="str">
        <f>IFERROR(VLOOKUP($H142, 'Processed Non-zero TRI Data'!$I:$O, 7, FALSE), VLOOKUP($I142, 'Processed Non-zero DMR Data'!$K:$R, 8, FALSE))</f>
        <v>Waste handling, treatment, and disposal - POTW</v>
      </c>
      <c r="E142" s="34" t="s">
        <v>370</v>
      </c>
      <c r="F142" s="34" t="s">
        <v>371</v>
      </c>
      <c r="G142" s="34" t="s">
        <v>102</v>
      </c>
      <c r="H142" s="34"/>
      <c r="I142" s="105">
        <v>110039782349</v>
      </c>
      <c r="J142" s="33" t="str">
        <f>IFERROR(VLOOKUP($I142, 'Processed Non-zero DMR Data'!$K:$U, 11, FALSE),"")</f>
        <v>CA0077950</v>
      </c>
      <c r="K142" s="33" t="str">
        <f>IFERROR(VLOOKUP($I142, 'Processed Non-zero DMR Data'!$K:$V, 12, FALSE),"Not Reported")</f>
        <v>Tule Canal-Toe Drain</v>
      </c>
      <c r="L142" s="106">
        <f>IFERROR(VLOOKUP($I142, 'Processed Non-zero DMR Data'!$K:$W, 13, FALSE),"No Reach Code Reported")</f>
        <v>180201630302</v>
      </c>
      <c r="M142" s="107" t="str">
        <f>IFERROR(IFERROR(VLOOKUP(H142, 'Off-site Locations'!$K$3:$O$5, 5, FALSE), VLOOKUP(H142, 'Off-site Locations'!$B$3:$E$4, 4, FALSE)), "No Offsite Transfers")</f>
        <v>No Offsite Transfers</v>
      </c>
      <c r="N142" s="33">
        <f>VLOOKUP($D142, 'COU.OES Summary'!C:E, 3, FALSE)</f>
        <v>365</v>
      </c>
      <c r="O142" s="108">
        <f t="shared" si="28"/>
        <v>0</v>
      </c>
      <c r="P142" s="108">
        <f t="shared" si="29"/>
        <v>0.36660601599999998</v>
      </c>
      <c r="Q142" s="109" cm="1">
        <f t="array" ref="Q142">IFERROR(_xlfn.XLOOKUP(1,  (MAX(IF(I142 = 'Processed Non-zero DMR Data'!$K:$K,'Processed Non-zero DMR Data'!$A:$A)) = 'Processed Non-zero DMR Data'!$A:$A)*('Processed Non-zero DMR Data'!$K:$K = I142),'Processed Non-zero DMR Data'!$T:$T), "N/A- Facility Does Not Report DMRs")</f>
        <v>0.227935728</v>
      </c>
      <c r="R142" s="33">
        <f t="shared" si="39"/>
        <v>6.2448144657534243E-4</v>
      </c>
      <c r="S142" s="33" cm="1">
        <f t="array" ref="S142">IF(COUNTIF('Processed Non-zero DMR Data'!$K:$K,$I142)&gt;0,MEDIAN(IF('Processed Non-zero DMR Data'!$K:$K=I142,'Processed Non-zero DMR Data'!$T:$T)),"N/A - Facility Does Not Report DMRs")</f>
        <v>0.29727087200000002</v>
      </c>
      <c r="T142" s="33">
        <f t="shared" si="40"/>
        <v>8.1444074520547951E-4</v>
      </c>
      <c r="U142" s="33">
        <f>IF(COUNTIF('Processed Non-zero DMR Data'!$K:$K,$I142)&gt;0,_xlfn.MAXIFS('Processed Non-zero DMR Data'!$T:$T,'Processed Non-zero DMR Data'!$K:$K,$I142), "N/A - Facility Does Not Report DMRs")</f>
        <v>0.36660601599999998</v>
      </c>
      <c r="V142" s="33">
        <f t="shared" si="41"/>
        <v>1.0044000438356165E-3</v>
      </c>
      <c r="W142" s="110" cm="1">
        <f t="array" ref="W142">IF(COUNTIF('Processed Non-zero DMR Data'!$K:$K,$I142)&gt;0,INDEX('Processed Non-zero DMR Data'!$A:$A,MATCH(1,($I142='Processed Non-zero DMR Data'!$K:$K)*($U142='Processed Non-zero DMR Data'!$T:$T),0)), "N/A - Facility Does Not Report DMRs")</f>
        <v>2021</v>
      </c>
      <c r="X142" s="109" cm="1">
        <f t="array" ref="X142">IFERROR(_xlfn.XLOOKUP(1,  (MAX(IF(H142 = 'Processed Non-zero TRI Data'!$I:$I,'Processed Non-zero TRI Data'!$A:$A)) = 'Processed Non-zero TRI Data'!$A:$A)*('Processed Non-zero TRI Data'!$I:$I = H142), 'Processed Non-zero TRI Data'!$S:$S), "N/A- Facility Does Not Report to TRI")</f>
        <v>0</v>
      </c>
      <c r="Y142" s="33">
        <f t="shared" si="30"/>
        <v>0</v>
      </c>
      <c r="Z142" s="33" t="str" cm="1">
        <f t="array" ref="Z142">IF(COUNTIF('Processed Non-zero TRI Data'!$I:$I,$H142)&gt;0,MEDIAN(IF('Processed Non-zero TRI Data'!$I:$I=H142,'Processed Non-zero TRI Data'!$S:$S)), "N/A - Facility Does Not Report to TRI")</f>
        <v>N/A - Facility Does Not Report to TRI</v>
      </c>
      <c r="AA142" s="33" t="str">
        <f t="shared" si="31"/>
        <v>N/A - Facility Does Not Report to TRI</v>
      </c>
      <c r="AB142" s="33" t="str">
        <f>IF(COUNTIF('Processed Non-zero TRI Data'!$I:$I,$H142)&gt;0,_xlfn.MAXIFS('Processed Non-zero TRI Data'!$S:$S,'Processed Non-zero TRI Data'!$I:$I,$H142), "N/A - Facility Does Not Report to TRI")</f>
        <v>N/A - Facility Does Not Report to TRI</v>
      </c>
      <c r="AC142" s="33" t="str">
        <f t="shared" si="32"/>
        <v>N/A - Facility Does Not Report to TRI</v>
      </c>
      <c r="AD142" s="110" t="str" cm="1">
        <f t="array" ref="AD142">IFERROR(IF(B142 = "TRI Form R", IF(AB142 = 0, "Facility has no on-site water discharges between 2019-2023.",  IF(COUNTIF('Processed Non-zero TRI Data'!$I:$I,$H142)&gt;0,INDEX('Processed Non-zero TRI Data'!$A:$A,MATCH(1,($H142='Processed Non-zero TRI Data'!$I:$I)*(AB142='Processed Non-zero TRI Data'!$S:$S),0)))), VLOOKUP(H142, 'Form A Recent Reporting'!$L:$M, 2, FALSE)), ("N/A - Facility Does Not Report to TRI"))</f>
        <v>N/A - Facility Does Not Report to TRI</v>
      </c>
      <c r="AE142" s="109" cm="1">
        <f t="array" ref="AE142">IFERROR(_xlfn.XLOOKUP(1,  (MAX(IF(H142 = 'Processed Non-zero TRI Data'!$I:$I,'Processed Non-zero TRI Data'!$A:$A)) = 'Processed Non-zero TRI Data'!$A:$A)*('Processed Non-zero TRI Data'!$I:$I = H142), 'Processed Non-zero TRI Data'!$U:$U), "N/A- Facility Does Not Report to TRI")</f>
        <v>0</v>
      </c>
      <c r="AF142" s="33">
        <f t="shared" si="33"/>
        <v>0</v>
      </c>
      <c r="AG142" s="33" t="str" cm="1">
        <f t="array" ref="AG142">IF(COUNTIF('Processed Non-zero TRI Data'!$I:$I,$H142)&gt;0,MEDIAN(IF('Processed Non-zero TRI Data'!$I:$I=H142,'Processed Non-zero TRI Data'!$U:$U)), "N/A - Facility Does Not Report to TRI")</f>
        <v>N/A - Facility Does Not Report to TRI</v>
      </c>
      <c r="AH142" s="33" t="str">
        <f t="shared" si="34"/>
        <v>N/A - Facility Does Not Report to TRI</v>
      </c>
      <c r="AI142" s="33" t="str">
        <f>IF(COUNTIF('Processed Non-zero TRI Data'!$I:$I,$H142)&gt;0,_xlfn.MAXIFS('Processed Non-zero TRI Data'!$U:$U,'Processed Non-zero TRI Data'!$I:$I,$H142), "N/A - Facility Does Not Report to TRI")</f>
        <v>N/A - Facility Does Not Report to TRI</v>
      </c>
      <c r="AJ142" s="33" t="str">
        <f t="shared" si="35"/>
        <v>N/A - Facility Does Not Report to TRI</v>
      </c>
      <c r="AK142" s="110" t="str" cm="1">
        <f t="array" ref="AK142">IF(B142="TRI Form A",AD142,IF(AI142=0,"Facility has no transfers to POTWs between 2019-2023.",IF(COUNTIF('Processed Non-zero TRI Data'!$I:$I,$H142)&gt;0,INDEX('Processed Non-zero TRI Data'!$A:$A,MATCH(1,($H142='Processed Non-zero TRI Data'!$I:$I)*(AI142='Processed Non-zero TRI Data'!$U:$U),0)),"N/A - Facility Does Not Report to TRI")))</f>
        <v>N/A - Facility Does Not Report to TRI</v>
      </c>
      <c r="AL142" s="109" cm="1">
        <f t="array" ref="AL142">IFERROR(_xlfn.XLOOKUP(1,  (MAX(IF(H142 = 'Processed Non-zero TRI Data'!$I$2:$I$23,'Processed Non-zero TRI Data'!$A$2:$A$23)) = 'Processed Non-zero TRI Data'!$A$2:$A$23)*('Processed Non-zero TRI Data'!$I$2:$I$23 = H142), 'Processed Non-zero TRI Data'!$W$2:$W$23), "N/A- Facility Does Not Report to TRI")</f>
        <v>0</v>
      </c>
      <c r="AM142" s="33">
        <f t="shared" si="36"/>
        <v>0</v>
      </c>
      <c r="AN142" s="33" t="str" cm="1">
        <f t="array" ref="AN142">IF(COUNTIF('Processed Non-zero TRI Data'!$I:$I,$H142)&gt;0,MEDIAN(IF('Processed Non-zero TRI Data'!$I:$I=H142,'Processed Non-zero TRI Data'!$W:$W)), "N/A - Facility Does Not Report to TRI")</f>
        <v>N/A - Facility Does Not Report to TRI</v>
      </c>
      <c r="AO142" s="33" t="str">
        <f t="shared" si="37"/>
        <v>N/A - Facility Does Not Report to TRI</v>
      </c>
      <c r="AP142" s="33" t="str">
        <f>IF(COUNTIF('Processed Non-zero TRI Data'!$I:$I,$H142)&gt;0,_xlfn.MAXIFS('Processed Non-zero TRI Data'!$W:$W,'Processed Non-zero TRI Data'!$I:$I,$H142), "N/A - Facility Does Not Report to TRI")</f>
        <v>N/A - Facility Does Not Report to TRI</v>
      </c>
      <c r="AQ142" s="33" t="str">
        <f t="shared" si="38"/>
        <v>N/A - Facility Does Not Report to TRI</v>
      </c>
      <c r="AR142" s="110" t="str" cm="1">
        <f t="array" ref="AR142">IF(B142="TRI Form A",AD142,IF(AP142=0,"Facility has no transfers to non-POTWs between 2019-2023.",IF(COUNTIF('Processed Non-zero TRI Data'!$I:$I,$H142)&gt;0,INDEX('Processed Non-zero TRI Data'!$A:$A,MATCH(1,($H142='Processed Non-zero TRI Data'!$I:$I)*(AP142='Processed Non-zero TRI Data'!$W:$W),0)),"N/A - Facility Does Not Report to TRI")))</f>
        <v>N/A - Facility Does Not Report to TRI</v>
      </c>
    </row>
    <row r="143" spans="1:44" ht="29" x14ac:dyDescent="0.35">
      <c r="A143" s="34">
        <v>140</v>
      </c>
      <c r="B143" s="33" t="str">
        <f>IFERROR("TRI Form "&amp;VLOOKUP(H143,'Processed Non-zero TRI Data'!$I$2:$K$23,3,FALSE),"DMR")</f>
        <v>DMR</v>
      </c>
      <c r="C143" s="33" t="str">
        <f>VLOOKUP($D143, 'COU.OES Summary'!C:D, 2, FALSE)</f>
        <v> </v>
      </c>
      <c r="D143" s="33" t="str">
        <f>IFERROR(VLOOKUP($H143, 'Processed Non-zero TRI Data'!$I:$O, 7, FALSE), VLOOKUP($I143, 'Processed Non-zero DMR Data'!$K:$R, 8, FALSE))</f>
        <v>Waste handling, treatment, and disposal - POTW</v>
      </c>
      <c r="E143" s="34" t="s">
        <v>372</v>
      </c>
      <c r="F143" s="34" t="s">
        <v>373</v>
      </c>
      <c r="G143" s="34" t="s">
        <v>102</v>
      </c>
      <c r="H143" s="34"/>
      <c r="I143" s="105">
        <v>110027858432</v>
      </c>
      <c r="J143" s="33" t="str">
        <f>IFERROR(VLOOKUP($I143, 'Processed Non-zero DMR Data'!$K:$U, 11, FALSE),"")</f>
        <v>CA0084620</v>
      </c>
      <c r="K143" s="33" t="str">
        <f>IFERROR(VLOOKUP($I143, 'Processed Non-zero DMR Data'!$K:$V, 12, FALSE),"Not Reported")</f>
        <v>Peachys Creek-Littlejohns Creek</v>
      </c>
      <c r="L143" s="106">
        <f>IFERROR(VLOOKUP($I143, 'Processed Non-zero DMR Data'!$K:$W, 13, FALSE),"No Reach Code Reported")</f>
        <v>180400510203</v>
      </c>
      <c r="M143" s="107" t="str">
        <f>IFERROR(IFERROR(VLOOKUP(H143, 'Off-site Locations'!$K$3:$O$5, 5, FALSE), VLOOKUP(H143, 'Off-site Locations'!$B$3:$E$4, 4, FALSE)), "No Offsite Transfers")</f>
        <v>No Offsite Transfers</v>
      </c>
      <c r="N143" s="33">
        <f>VLOOKUP($D143, 'COU.OES Summary'!C:E, 3, FALSE)</f>
        <v>365</v>
      </c>
      <c r="O143" s="108">
        <f t="shared" si="28"/>
        <v>0</v>
      </c>
      <c r="P143" s="108">
        <f t="shared" si="29"/>
        <v>0.33640133750000001</v>
      </c>
      <c r="Q143" s="109" cm="1">
        <f t="array" ref="Q143">IFERROR(_xlfn.XLOOKUP(1,  (MAX(IF(I143 = 'Processed Non-zero DMR Data'!$K:$K,'Processed Non-zero DMR Data'!$A:$A)) = 'Processed Non-zero DMR Data'!$A:$A)*('Processed Non-zero DMR Data'!$K:$K = I143),'Processed Non-zero DMR Data'!$T:$T), "N/A- Facility Does Not Report DMRs")</f>
        <v>0.33640133750000001</v>
      </c>
      <c r="R143" s="33">
        <f t="shared" si="39"/>
        <v>9.216475E-4</v>
      </c>
      <c r="S143" s="33" cm="1">
        <f t="array" ref="S143">IF(COUNTIF('Processed Non-zero DMR Data'!$K:$K,$I143)&gt;0,MEDIAN(IF('Processed Non-zero DMR Data'!$K:$K=I143,'Processed Non-zero DMR Data'!$T:$T)),"N/A - Facility Does Not Report DMRs")</f>
        <v>0.33640133750000001</v>
      </c>
      <c r="T143" s="33">
        <f t="shared" si="40"/>
        <v>9.216475E-4</v>
      </c>
      <c r="U143" s="33">
        <f>IF(COUNTIF('Processed Non-zero DMR Data'!$K:$K,$I143)&gt;0,_xlfn.MAXIFS('Processed Non-zero DMR Data'!$T:$T,'Processed Non-zero DMR Data'!$K:$K,$I143), "N/A - Facility Does Not Report DMRs")</f>
        <v>0.33640133750000001</v>
      </c>
      <c r="V143" s="33">
        <f t="shared" si="41"/>
        <v>9.216475E-4</v>
      </c>
      <c r="W143" s="110" cm="1">
        <f t="array" ref="W143">IF(COUNTIF('Processed Non-zero DMR Data'!$K:$K,$I143)&gt;0,INDEX('Processed Non-zero DMR Data'!$A:$A,MATCH(1,($I143='Processed Non-zero DMR Data'!$K:$K)*($U143='Processed Non-zero DMR Data'!$T:$T),0)), "N/A - Facility Does Not Report DMRs")</f>
        <v>2021</v>
      </c>
      <c r="X143" s="109" cm="1">
        <f t="array" ref="X143">IFERROR(_xlfn.XLOOKUP(1,  (MAX(IF(H143 = 'Processed Non-zero TRI Data'!$I:$I,'Processed Non-zero TRI Data'!$A:$A)) = 'Processed Non-zero TRI Data'!$A:$A)*('Processed Non-zero TRI Data'!$I:$I = H143), 'Processed Non-zero TRI Data'!$S:$S), "N/A- Facility Does Not Report to TRI")</f>
        <v>0</v>
      </c>
      <c r="Y143" s="33">
        <f t="shared" si="30"/>
        <v>0</v>
      </c>
      <c r="Z143" s="33" t="str" cm="1">
        <f t="array" ref="Z143">IF(COUNTIF('Processed Non-zero TRI Data'!$I:$I,$H143)&gt;0,MEDIAN(IF('Processed Non-zero TRI Data'!$I:$I=H143,'Processed Non-zero TRI Data'!$S:$S)), "N/A - Facility Does Not Report to TRI")</f>
        <v>N/A - Facility Does Not Report to TRI</v>
      </c>
      <c r="AA143" s="33" t="str">
        <f t="shared" si="31"/>
        <v>N/A - Facility Does Not Report to TRI</v>
      </c>
      <c r="AB143" s="33" t="str">
        <f>IF(COUNTIF('Processed Non-zero TRI Data'!$I:$I,$H143)&gt;0,_xlfn.MAXIFS('Processed Non-zero TRI Data'!$S:$S,'Processed Non-zero TRI Data'!$I:$I,$H143), "N/A - Facility Does Not Report to TRI")</f>
        <v>N/A - Facility Does Not Report to TRI</v>
      </c>
      <c r="AC143" s="33" t="str">
        <f t="shared" si="32"/>
        <v>N/A - Facility Does Not Report to TRI</v>
      </c>
      <c r="AD143" s="110" t="str" cm="1">
        <f t="array" ref="AD143">IFERROR(IF(B143 = "TRI Form R", IF(AB143 = 0, "Facility has no on-site water discharges between 2019-2023.",  IF(COUNTIF('Processed Non-zero TRI Data'!$I:$I,$H143)&gt;0,INDEX('Processed Non-zero TRI Data'!$A:$A,MATCH(1,($H143='Processed Non-zero TRI Data'!$I:$I)*(AB143='Processed Non-zero TRI Data'!$S:$S),0)))), VLOOKUP(H143, 'Form A Recent Reporting'!$L:$M, 2, FALSE)), ("N/A - Facility Does Not Report to TRI"))</f>
        <v>N/A - Facility Does Not Report to TRI</v>
      </c>
      <c r="AE143" s="109" cm="1">
        <f t="array" ref="AE143">IFERROR(_xlfn.XLOOKUP(1,  (MAX(IF(H143 = 'Processed Non-zero TRI Data'!$I:$I,'Processed Non-zero TRI Data'!$A:$A)) = 'Processed Non-zero TRI Data'!$A:$A)*('Processed Non-zero TRI Data'!$I:$I = H143), 'Processed Non-zero TRI Data'!$U:$U), "N/A- Facility Does Not Report to TRI")</f>
        <v>0</v>
      </c>
      <c r="AF143" s="33">
        <f t="shared" si="33"/>
        <v>0</v>
      </c>
      <c r="AG143" s="33" t="str" cm="1">
        <f t="array" ref="AG143">IF(COUNTIF('Processed Non-zero TRI Data'!$I:$I,$H143)&gt;0,MEDIAN(IF('Processed Non-zero TRI Data'!$I:$I=H143,'Processed Non-zero TRI Data'!$U:$U)), "N/A - Facility Does Not Report to TRI")</f>
        <v>N/A - Facility Does Not Report to TRI</v>
      </c>
      <c r="AH143" s="33" t="str">
        <f t="shared" si="34"/>
        <v>N/A - Facility Does Not Report to TRI</v>
      </c>
      <c r="AI143" s="33" t="str">
        <f>IF(COUNTIF('Processed Non-zero TRI Data'!$I:$I,$H143)&gt;0,_xlfn.MAXIFS('Processed Non-zero TRI Data'!$U:$U,'Processed Non-zero TRI Data'!$I:$I,$H143), "N/A - Facility Does Not Report to TRI")</f>
        <v>N/A - Facility Does Not Report to TRI</v>
      </c>
      <c r="AJ143" s="33" t="str">
        <f t="shared" si="35"/>
        <v>N/A - Facility Does Not Report to TRI</v>
      </c>
      <c r="AK143" s="110" t="str" cm="1">
        <f t="array" ref="AK143">IF(B143="TRI Form A",AD143,IF(AI143=0,"Facility has no transfers to POTWs between 2019-2023.",IF(COUNTIF('Processed Non-zero TRI Data'!$I:$I,$H143)&gt;0,INDEX('Processed Non-zero TRI Data'!$A:$A,MATCH(1,($H143='Processed Non-zero TRI Data'!$I:$I)*(AI143='Processed Non-zero TRI Data'!$U:$U),0)),"N/A - Facility Does Not Report to TRI")))</f>
        <v>N/A - Facility Does Not Report to TRI</v>
      </c>
      <c r="AL143" s="109" cm="1">
        <f t="array" ref="AL143">IFERROR(_xlfn.XLOOKUP(1,  (MAX(IF(H143 = 'Processed Non-zero TRI Data'!$I$2:$I$23,'Processed Non-zero TRI Data'!$A$2:$A$23)) = 'Processed Non-zero TRI Data'!$A$2:$A$23)*('Processed Non-zero TRI Data'!$I$2:$I$23 = H143), 'Processed Non-zero TRI Data'!$W$2:$W$23), "N/A- Facility Does Not Report to TRI")</f>
        <v>0</v>
      </c>
      <c r="AM143" s="33">
        <f t="shared" si="36"/>
        <v>0</v>
      </c>
      <c r="AN143" s="33" t="str" cm="1">
        <f t="array" ref="AN143">IF(COUNTIF('Processed Non-zero TRI Data'!$I:$I,$H143)&gt;0,MEDIAN(IF('Processed Non-zero TRI Data'!$I:$I=H143,'Processed Non-zero TRI Data'!$W:$W)), "N/A - Facility Does Not Report to TRI")</f>
        <v>N/A - Facility Does Not Report to TRI</v>
      </c>
      <c r="AO143" s="33" t="str">
        <f t="shared" si="37"/>
        <v>N/A - Facility Does Not Report to TRI</v>
      </c>
      <c r="AP143" s="33" t="str">
        <f>IF(COUNTIF('Processed Non-zero TRI Data'!$I:$I,$H143)&gt;0,_xlfn.MAXIFS('Processed Non-zero TRI Data'!$W:$W,'Processed Non-zero TRI Data'!$I:$I,$H143), "N/A - Facility Does Not Report to TRI")</f>
        <v>N/A - Facility Does Not Report to TRI</v>
      </c>
      <c r="AQ143" s="33" t="str">
        <f t="shared" si="38"/>
        <v>N/A - Facility Does Not Report to TRI</v>
      </c>
      <c r="AR143" s="110" t="str" cm="1">
        <f t="array" ref="AR143">IF(B143="TRI Form A",AD143,IF(AP143=0,"Facility has no transfers to non-POTWs between 2019-2023.",IF(COUNTIF('Processed Non-zero TRI Data'!$I:$I,$H143)&gt;0,INDEX('Processed Non-zero TRI Data'!$A:$A,MATCH(1,($H143='Processed Non-zero TRI Data'!$I:$I)*(AP143='Processed Non-zero TRI Data'!$W:$W),0)),"N/A - Facility Does Not Report to TRI")))</f>
        <v>N/A - Facility Does Not Report to TRI</v>
      </c>
    </row>
    <row r="144" spans="1:44" ht="29" x14ac:dyDescent="0.35">
      <c r="A144" s="34">
        <v>141</v>
      </c>
      <c r="B144" s="33" t="str">
        <f>IFERROR("TRI Form "&amp;VLOOKUP(H144,'Processed Non-zero TRI Data'!$I$2:$K$23,3,FALSE),"DMR")</f>
        <v>DMR</v>
      </c>
      <c r="C144" s="33" t="str">
        <f>VLOOKUP($D144, 'COU.OES Summary'!C:D, 2, FALSE)</f>
        <v> </v>
      </c>
      <c r="D144" s="33" t="str">
        <f>IFERROR(VLOOKUP($H144, 'Processed Non-zero TRI Data'!$I:$O, 7, FALSE), VLOOKUP($I144, 'Processed Non-zero DMR Data'!$K:$R, 8, FALSE))</f>
        <v>Waste handling, treatment, and disposal - Remediation or Monitoring</v>
      </c>
      <c r="E144" s="34" t="s">
        <v>374</v>
      </c>
      <c r="F144" s="34" t="s">
        <v>197</v>
      </c>
      <c r="G144" s="34" t="s">
        <v>194</v>
      </c>
      <c r="H144" s="34"/>
      <c r="I144" s="105">
        <v>110000854246</v>
      </c>
      <c r="J144" s="33" t="str">
        <f>IFERROR(VLOOKUP($I144, 'Processed Non-zero DMR Data'!$K:$U, 11, FALSE),"")</f>
        <v>SC0003557</v>
      </c>
      <c r="K144" s="33" t="str">
        <f>IFERROR(VLOOKUP($I144, 'Processed Non-zero DMR Data'!$K:$V, 12, FALSE),"Not Reported")</f>
        <v>Outlet Saluda River</v>
      </c>
      <c r="L144" s="106">
        <f>IFERROR(VLOOKUP($I144, 'Processed Non-zero DMR Data'!$K:$W, 13, FALSE),"No Reach Code Reported")</f>
        <v>30501091403</v>
      </c>
      <c r="M144" s="107" t="str">
        <f>IFERROR(IFERROR(VLOOKUP(H144, 'Off-site Locations'!$K$3:$O$5, 5, FALSE), VLOOKUP(H144, 'Off-site Locations'!$B$3:$E$4, 4, FALSE)), "No Offsite Transfers")</f>
        <v>No Offsite Transfers</v>
      </c>
      <c r="N144" s="33">
        <f>VLOOKUP($D144, 'COU.OES Summary'!C:E, 3, FALSE)</f>
        <v>365</v>
      </c>
      <c r="O144" s="108">
        <f t="shared" si="28"/>
        <v>0</v>
      </c>
      <c r="P144" s="108">
        <f t="shared" si="29"/>
        <v>0.33141999999999999</v>
      </c>
      <c r="Q144" s="109" cm="1">
        <f t="array" ref="Q144">IFERROR(_xlfn.XLOOKUP(1,  (MAX(IF(I144 = 'Processed Non-zero DMR Data'!$K:$K,'Processed Non-zero DMR Data'!$A:$A)) = 'Processed Non-zero DMR Data'!$A:$A)*('Processed Non-zero DMR Data'!$K:$K = I144),'Processed Non-zero DMR Data'!$T:$T), "N/A- Facility Does Not Report DMRs")</f>
        <v>0.33141999999999999</v>
      </c>
      <c r="R144" s="33">
        <f t="shared" si="39"/>
        <v>9.0799999999999995E-4</v>
      </c>
      <c r="S144" s="33" cm="1">
        <f t="array" ref="S144">IF(COUNTIF('Processed Non-zero DMR Data'!$K:$K,$I144)&gt;0,MEDIAN(IF('Processed Non-zero DMR Data'!$K:$K=I144,'Processed Non-zero DMR Data'!$T:$T)),"N/A - Facility Does Not Report DMRs")</f>
        <v>0.33141999999999999</v>
      </c>
      <c r="T144" s="33">
        <f t="shared" si="40"/>
        <v>9.0799999999999995E-4</v>
      </c>
      <c r="U144" s="33">
        <f>IF(COUNTIF('Processed Non-zero DMR Data'!$K:$K,$I144)&gt;0,_xlfn.MAXIFS('Processed Non-zero DMR Data'!$T:$T,'Processed Non-zero DMR Data'!$K:$K,$I144), "N/A - Facility Does Not Report DMRs")</f>
        <v>0.33141999999999999</v>
      </c>
      <c r="V144" s="33">
        <f t="shared" si="41"/>
        <v>9.0799999999999995E-4</v>
      </c>
      <c r="W144" s="110" cm="1">
        <f t="array" ref="W144">IF(COUNTIF('Processed Non-zero DMR Data'!$K:$K,$I144)&gt;0,INDEX('Processed Non-zero DMR Data'!$A:$A,MATCH(1,($I144='Processed Non-zero DMR Data'!$K:$K)*($U144='Processed Non-zero DMR Data'!$T:$T),0)), "N/A - Facility Does Not Report DMRs")</f>
        <v>2021</v>
      </c>
      <c r="X144" s="109" cm="1">
        <f t="array" ref="X144">IFERROR(_xlfn.XLOOKUP(1,  (MAX(IF(H144 = 'Processed Non-zero TRI Data'!$I:$I,'Processed Non-zero TRI Data'!$A:$A)) = 'Processed Non-zero TRI Data'!$A:$A)*('Processed Non-zero TRI Data'!$I:$I = H144), 'Processed Non-zero TRI Data'!$S:$S), "N/A- Facility Does Not Report to TRI")</f>
        <v>0</v>
      </c>
      <c r="Y144" s="33">
        <f t="shared" si="30"/>
        <v>0</v>
      </c>
      <c r="Z144" s="33" t="str" cm="1">
        <f t="array" ref="Z144">IF(COUNTIF('Processed Non-zero TRI Data'!$I:$I,$H144)&gt;0,MEDIAN(IF('Processed Non-zero TRI Data'!$I:$I=H144,'Processed Non-zero TRI Data'!$S:$S)), "N/A - Facility Does Not Report to TRI")</f>
        <v>N/A - Facility Does Not Report to TRI</v>
      </c>
      <c r="AA144" s="33" t="str">
        <f t="shared" si="31"/>
        <v>N/A - Facility Does Not Report to TRI</v>
      </c>
      <c r="AB144" s="33" t="str">
        <f>IF(COUNTIF('Processed Non-zero TRI Data'!$I:$I,$H144)&gt;0,_xlfn.MAXIFS('Processed Non-zero TRI Data'!$S:$S,'Processed Non-zero TRI Data'!$I:$I,$H144), "N/A - Facility Does Not Report to TRI")</f>
        <v>N/A - Facility Does Not Report to TRI</v>
      </c>
      <c r="AC144" s="33" t="str">
        <f t="shared" si="32"/>
        <v>N/A - Facility Does Not Report to TRI</v>
      </c>
      <c r="AD144" s="110" t="str" cm="1">
        <f t="array" ref="AD144">IFERROR(IF(B144 = "TRI Form R", IF(AB144 = 0, "Facility has no on-site water discharges between 2019-2023.",  IF(COUNTIF('Processed Non-zero TRI Data'!$I:$I,$H144)&gt;0,INDEX('Processed Non-zero TRI Data'!$A:$A,MATCH(1,($H144='Processed Non-zero TRI Data'!$I:$I)*(AB144='Processed Non-zero TRI Data'!$S:$S),0)))), VLOOKUP(H144, 'Form A Recent Reporting'!$L:$M, 2, FALSE)), ("N/A - Facility Does Not Report to TRI"))</f>
        <v>N/A - Facility Does Not Report to TRI</v>
      </c>
      <c r="AE144" s="109" cm="1">
        <f t="array" ref="AE144">IFERROR(_xlfn.XLOOKUP(1,  (MAX(IF(H144 = 'Processed Non-zero TRI Data'!$I:$I,'Processed Non-zero TRI Data'!$A:$A)) = 'Processed Non-zero TRI Data'!$A:$A)*('Processed Non-zero TRI Data'!$I:$I = H144), 'Processed Non-zero TRI Data'!$U:$U), "N/A- Facility Does Not Report to TRI")</f>
        <v>0</v>
      </c>
      <c r="AF144" s="33">
        <f t="shared" si="33"/>
        <v>0</v>
      </c>
      <c r="AG144" s="33" t="str" cm="1">
        <f t="array" ref="AG144">IF(COUNTIF('Processed Non-zero TRI Data'!$I:$I,$H144)&gt;0,MEDIAN(IF('Processed Non-zero TRI Data'!$I:$I=H144,'Processed Non-zero TRI Data'!$U:$U)), "N/A - Facility Does Not Report to TRI")</f>
        <v>N/A - Facility Does Not Report to TRI</v>
      </c>
      <c r="AH144" s="33" t="str">
        <f t="shared" si="34"/>
        <v>N/A - Facility Does Not Report to TRI</v>
      </c>
      <c r="AI144" s="33" t="str">
        <f>IF(COUNTIF('Processed Non-zero TRI Data'!$I:$I,$H144)&gt;0,_xlfn.MAXIFS('Processed Non-zero TRI Data'!$U:$U,'Processed Non-zero TRI Data'!$I:$I,$H144), "N/A - Facility Does Not Report to TRI")</f>
        <v>N/A - Facility Does Not Report to TRI</v>
      </c>
      <c r="AJ144" s="33" t="str">
        <f t="shared" si="35"/>
        <v>N/A - Facility Does Not Report to TRI</v>
      </c>
      <c r="AK144" s="110" t="str" cm="1">
        <f t="array" ref="AK144">IF(B144="TRI Form A",AD144,IF(AI144=0,"Facility has no transfers to POTWs between 2019-2023.",IF(COUNTIF('Processed Non-zero TRI Data'!$I:$I,$H144)&gt;0,INDEX('Processed Non-zero TRI Data'!$A:$A,MATCH(1,($H144='Processed Non-zero TRI Data'!$I:$I)*(AI144='Processed Non-zero TRI Data'!$U:$U),0)),"N/A - Facility Does Not Report to TRI")))</f>
        <v>N/A - Facility Does Not Report to TRI</v>
      </c>
      <c r="AL144" s="109" cm="1">
        <f t="array" ref="AL144">IFERROR(_xlfn.XLOOKUP(1,  (MAX(IF(H144 = 'Processed Non-zero TRI Data'!$I$2:$I$23,'Processed Non-zero TRI Data'!$A$2:$A$23)) = 'Processed Non-zero TRI Data'!$A$2:$A$23)*('Processed Non-zero TRI Data'!$I$2:$I$23 = H144), 'Processed Non-zero TRI Data'!$W$2:$W$23), "N/A- Facility Does Not Report to TRI")</f>
        <v>0</v>
      </c>
      <c r="AM144" s="33">
        <f t="shared" si="36"/>
        <v>0</v>
      </c>
      <c r="AN144" s="33" t="str" cm="1">
        <f t="array" ref="AN144">IF(COUNTIF('Processed Non-zero TRI Data'!$I:$I,$H144)&gt;0,MEDIAN(IF('Processed Non-zero TRI Data'!$I:$I=H144,'Processed Non-zero TRI Data'!$W:$W)), "N/A - Facility Does Not Report to TRI")</f>
        <v>N/A - Facility Does Not Report to TRI</v>
      </c>
      <c r="AO144" s="33" t="str">
        <f t="shared" si="37"/>
        <v>N/A - Facility Does Not Report to TRI</v>
      </c>
      <c r="AP144" s="33" t="str">
        <f>IF(COUNTIF('Processed Non-zero TRI Data'!$I:$I,$H144)&gt;0,_xlfn.MAXIFS('Processed Non-zero TRI Data'!$W:$W,'Processed Non-zero TRI Data'!$I:$I,$H144), "N/A - Facility Does Not Report to TRI")</f>
        <v>N/A - Facility Does Not Report to TRI</v>
      </c>
      <c r="AQ144" s="33" t="str">
        <f t="shared" si="38"/>
        <v>N/A - Facility Does Not Report to TRI</v>
      </c>
      <c r="AR144" s="110" t="str" cm="1">
        <f t="array" ref="AR144">IF(B144="TRI Form A",AD144,IF(AP144=0,"Facility has no transfers to non-POTWs between 2019-2023.",IF(COUNTIF('Processed Non-zero TRI Data'!$I:$I,$H144)&gt;0,INDEX('Processed Non-zero TRI Data'!$A:$A,MATCH(1,($H144='Processed Non-zero TRI Data'!$I:$I)*(AP144='Processed Non-zero TRI Data'!$W:$W),0)),"N/A - Facility Does Not Report to TRI")))</f>
        <v>N/A - Facility Does Not Report to TRI</v>
      </c>
    </row>
    <row r="145" spans="1:44" ht="29" x14ac:dyDescent="0.35">
      <c r="A145" s="34">
        <v>142</v>
      </c>
      <c r="B145" s="33" t="str">
        <f>IFERROR("TRI Form "&amp;VLOOKUP(H145,'Processed Non-zero TRI Data'!$I$2:$K$23,3,FALSE),"DMR")</f>
        <v>DMR</v>
      </c>
      <c r="C145" s="33" t="str">
        <f>VLOOKUP($D145, 'COU.OES Summary'!C:D, 2, FALSE)</f>
        <v> </v>
      </c>
      <c r="D145" s="33" t="str">
        <f>IFERROR(VLOOKUP($H145, 'Processed Non-zero TRI Data'!$I:$O, 7, FALSE), VLOOKUP($I145, 'Processed Non-zero DMR Data'!$K:$R, 8, FALSE))</f>
        <v>Waste handling, treatment, and disposal - Remediation or Monitoring</v>
      </c>
      <c r="E145" s="34" t="s">
        <v>375</v>
      </c>
      <c r="F145" s="34" t="s">
        <v>376</v>
      </c>
      <c r="G145" s="34" t="s">
        <v>126</v>
      </c>
      <c r="H145" s="34"/>
      <c r="I145" s="105">
        <v>110000324569</v>
      </c>
      <c r="J145" s="33" t="str">
        <f>IFERROR(VLOOKUP($I145, 'Processed Non-zero DMR Data'!$K:$U, 11, FALSE),"")</f>
        <v>NY0007048</v>
      </c>
      <c r="K145" s="33" t="str">
        <f>IFERROR(VLOOKUP($I145, 'Processed Non-zero DMR Data'!$K:$V, 12, FALSE),"Not Reported")</f>
        <v>Glens Falls Feeder Canal-Hudson River</v>
      </c>
      <c r="L145" s="106">
        <f>IFERROR(VLOOKUP($I145, 'Processed Non-zero DMR Data'!$K:$W, 13, FALSE),"No Reach Code Reported")</f>
        <v>20200030506</v>
      </c>
      <c r="M145" s="107" t="str">
        <f>IFERROR(IFERROR(VLOOKUP(H145, 'Off-site Locations'!$K$3:$O$5, 5, FALSE), VLOOKUP(H145, 'Off-site Locations'!$B$3:$E$4, 4, FALSE)), "No Offsite Transfers")</f>
        <v>No Offsite Transfers</v>
      </c>
      <c r="N145" s="33">
        <f>VLOOKUP($D145, 'COU.OES Summary'!C:E, 3, FALSE)</f>
        <v>365</v>
      </c>
      <c r="O145" s="108">
        <f t="shared" si="28"/>
        <v>0</v>
      </c>
      <c r="P145" s="108">
        <f t="shared" si="29"/>
        <v>0.32688</v>
      </c>
      <c r="Q145" s="109" cm="1">
        <f t="array" ref="Q145">IFERROR(_xlfn.XLOOKUP(1,  (MAX(IF(I145 = 'Processed Non-zero DMR Data'!$K:$K,'Processed Non-zero DMR Data'!$A:$A)) = 'Processed Non-zero DMR Data'!$A:$A)*('Processed Non-zero DMR Data'!$K:$K = I145),'Processed Non-zero DMR Data'!$T:$T), "N/A- Facility Does Not Report DMRs")</f>
        <v>0.32688</v>
      </c>
      <c r="R145" s="33">
        <f t="shared" si="39"/>
        <v>8.9556164383561645E-4</v>
      </c>
      <c r="S145" s="33" cm="1">
        <f t="array" ref="S145">IF(COUNTIF('Processed Non-zero DMR Data'!$K:$K,$I145)&gt;0,MEDIAN(IF('Processed Non-zero DMR Data'!$K:$K=I145,'Processed Non-zero DMR Data'!$T:$T)),"N/A - Facility Does Not Report DMRs")</f>
        <v>0.2866783</v>
      </c>
      <c r="T145" s="33">
        <f t="shared" si="40"/>
        <v>7.8542E-4</v>
      </c>
      <c r="U145" s="33">
        <f>IF(COUNTIF('Processed Non-zero DMR Data'!$K:$K,$I145)&gt;0,_xlfn.MAXIFS('Processed Non-zero DMR Data'!$T:$T,'Processed Non-zero DMR Data'!$K:$K,$I145), "N/A - Facility Does Not Report DMRs")</f>
        <v>0.32688</v>
      </c>
      <c r="V145" s="33">
        <f t="shared" si="41"/>
        <v>8.9556164383561645E-4</v>
      </c>
      <c r="W145" s="110" cm="1">
        <f t="array" ref="W145">IF(COUNTIF('Processed Non-zero DMR Data'!$K:$K,$I145)&gt;0,INDEX('Processed Non-zero DMR Data'!$A:$A,MATCH(1,($I145='Processed Non-zero DMR Data'!$K:$K)*($U145='Processed Non-zero DMR Data'!$T:$T),0)), "N/A - Facility Does Not Report DMRs")</f>
        <v>2020</v>
      </c>
      <c r="X145" s="109" cm="1">
        <f t="array" ref="X145">IFERROR(_xlfn.XLOOKUP(1,  (MAX(IF(H145 = 'Processed Non-zero TRI Data'!$I:$I,'Processed Non-zero TRI Data'!$A:$A)) = 'Processed Non-zero TRI Data'!$A:$A)*('Processed Non-zero TRI Data'!$I:$I = H145), 'Processed Non-zero TRI Data'!$S:$S), "N/A- Facility Does Not Report to TRI")</f>
        <v>0</v>
      </c>
      <c r="Y145" s="33">
        <f t="shared" si="30"/>
        <v>0</v>
      </c>
      <c r="Z145" s="33" t="str" cm="1">
        <f t="array" ref="Z145">IF(COUNTIF('Processed Non-zero TRI Data'!$I:$I,$H145)&gt;0,MEDIAN(IF('Processed Non-zero TRI Data'!$I:$I=H145,'Processed Non-zero TRI Data'!$S:$S)), "N/A - Facility Does Not Report to TRI")</f>
        <v>N/A - Facility Does Not Report to TRI</v>
      </c>
      <c r="AA145" s="33" t="str">
        <f t="shared" si="31"/>
        <v>N/A - Facility Does Not Report to TRI</v>
      </c>
      <c r="AB145" s="33" t="str">
        <f>IF(COUNTIF('Processed Non-zero TRI Data'!$I:$I,$H145)&gt;0,_xlfn.MAXIFS('Processed Non-zero TRI Data'!$S:$S,'Processed Non-zero TRI Data'!$I:$I,$H145), "N/A - Facility Does Not Report to TRI")</f>
        <v>N/A - Facility Does Not Report to TRI</v>
      </c>
      <c r="AC145" s="33" t="str">
        <f t="shared" si="32"/>
        <v>N/A - Facility Does Not Report to TRI</v>
      </c>
      <c r="AD145" s="110" t="str" cm="1">
        <f t="array" ref="AD145">IFERROR(IF(B145 = "TRI Form R", IF(AB145 = 0, "Facility has no on-site water discharges between 2019-2023.",  IF(COUNTIF('Processed Non-zero TRI Data'!$I:$I,$H145)&gt;0,INDEX('Processed Non-zero TRI Data'!$A:$A,MATCH(1,($H145='Processed Non-zero TRI Data'!$I:$I)*(AB145='Processed Non-zero TRI Data'!$S:$S),0)))), VLOOKUP(H145, 'Form A Recent Reporting'!$L:$M, 2, FALSE)), ("N/A - Facility Does Not Report to TRI"))</f>
        <v>N/A - Facility Does Not Report to TRI</v>
      </c>
      <c r="AE145" s="109" cm="1">
        <f t="array" ref="AE145">IFERROR(_xlfn.XLOOKUP(1,  (MAX(IF(H145 = 'Processed Non-zero TRI Data'!$I:$I,'Processed Non-zero TRI Data'!$A:$A)) = 'Processed Non-zero TRI Data'!$A:$A)*('Processed Non-zero TRI Data'!$I:$I = H145), 'Processed Non-zero TRI Data'!$U:$U), "N/A- Facility Does Not Report to TRI")</f>
        <v>0</v>
      </c>
      <c r="AF145" s="33">
        <f t="shared" si="33"/>
        <v>0</v>
      </c>
      <c r="AG145" s="33" t="str" cm="1">
        <f t="array" ref="AG145">IF(COUNTIF('Processed Non-zero TRI Data'!$I:$I,$H145)&gt;0,MEDIAN(IF('Processed Non-zero TRI Data'!$I:$I=H145,'Processed Non-zero TRI Data'!$U:$U)), "N/A - Facility Does Not Report to TRI")</f>
        <v>N/A - Facility Does Not Report to TRI</v>
      </c>
      <c r="AH145" s="33" t="str">
        <f t="shared" si="34"/>
        <v>N/A - Facility Does Not Report to TRI</v>
      </c>
      <c r="AI145" s="33" t="str">
        <f>IF(COUNTIF('Processed Non-zero TRI Data'!$I:$I,$H145)&gt;0,_xlfn.MAXIFS('Processed Non-zero TRI Data'!$U:$U,'Processed Non-zero TRI Data'!$I:$I,$H145), "N/A - Facility Does Not Report to TRI")</f>
        <v>N/A - Facility Does Not Report to TRI</v>
      </c>
      <c r="AJ145" s="33" t="str">
        <f t="shared" si="35"/>
        <v>N/A - Facility Does Not Report to TRI</v>
      </c>
      <c r="AK145" s="110" t="str" cm="1">
        <f t="array" ref="AK145">IF(B145="TRI Form A",AD145,IF(AI145=0,"Facility has no transfers to POTWs between 2019-2023.",IF(COUNTIF('Processed Non-zero TRI Data'!$I:$I,$H145)&gt;0,INDEX('Processed Non-zero TRI Data'!$A:$A,MATCH(1,($H145='Processed Non-zero TRI Data'!$I:$I)*(AI145='Processed Non-zero TRI Data'!$U:$U),0)),"N/A - Facility Does Not Report to TRI")))</f>
        <v>N/A - Facility Does Not Report to TRI</v>
      </c>
      <c r="AL145" s="109" cm="1">
        <f t="array" ref="AL145">IFERROR(_xlfn.XLOOKUP(1,  (MAX(IF(H145 = 'Processed Non-zero TRI Data'!$I$2:$I$23,'Processed Non-zero TRI Data'!$A$2:$A$23)) = 'Processed Non-zero TRI Data'!$A$2:$A$23)*('Processed Non-zero TRI Data'!$I$2:$I$23 = H145), 'Processed Non-zero TRI Data'!$W$2:$W$23), "N/A- Facility Does Not Report to TRI")</f>
        <v>0</v>
      </c>
      <c r="AM145" s="33">
        <f t="shared" si="36"/>
        <v>0</v>
      </c>
      <c r="AN145" s="33" t="str" cm="1">
        <f t="array" ref="AN145">IF(COUNTIF('Processed Non-zero TRI Data'!$I:$I,$H145)&gt;0,MEDIAN(IF('Processed Non-zero TRI Data'!$I:$I=H145,'Processed Non-zero TRI Data'!$W:$W)), "N/A - Facility Does Not Report to TRI")</f>
        <v>N/A - Facility Does Not Report to TRI</v>
      </c>
      <c r="AO145" s="33" t="str">
        <f t="shared" si="37"/>
        <v>N/A - Facility Does Not Report to TRI</v>
      </c>
      <c r="AP145" s="33" t="str">
        <f>IF(COUNTIF('Processed Non-zero TRI Data'!$I:$I,$H145)&gt;0,_xlfn.MAXIFS('Processed Non-zero TRI Data'!$W:$W,'Processed Non-zero TRI Data'!$I:$I,$H145), "N/A - Facility Does Not Report to TRI")</f>
        <v>N/A - Facility Does Not Report to TRI</v>
      </c>
      <c r="AQ145" s="33" t="str">
        <f t="shared" si="38"/>
        <v>N/A - Facility Does Not Report to TRI</v>
      </c>
      <c r="AR145" s="110" t="str" cm="1">
        <f t="array" ref="AR145">IF(B145="TRI Form A",AD145,IF(AP145=0,"Facility has no transfers to non-POTWs between 2019-2023.",IF(COUNTIF('Processed Non-zero TRI Data'!$I:$I,$H145)&gt;0,INDEX('Processed Non-zero TRI Data'!$A:$A,MATCH(1,($H145='Processed Non-zero TRI Data'!$I:$I)*(AP145='Processed Non-zero TRI Data'!$W:$W),0)),"N/A - Facility Does Not Report to TRI")))</f>
        <v>N/A - Facility Does Not Report to TRI</v>
      </c>
    </row>
    <row r="146" spans="1:44" ht="29" x14ac:dyDescent="0.35">
      <c r="A146" s="34">
        <v>143</v>
      </c>
      <c r="B146" s="33" t="str">
        <f>IFERROR("TRI Form "&amp;VLOOKUP(H146,'Processed Non-zero TRI Data'!$I$2:$K$23,3,FALSE),"DMR")</f>
        <v>DMR</v>
      </c>
      <c r="C146" s="33" t="str">
        <f>VLOOKUP($D146, 'COU.OES Summary'!C:D, 2, FALSE)</f>
        <v> </v>
      </c>
      <c r="D146" s="33" t="str">
        <f>IFERROR(VLOOKUP($H146, 'Processed Non-zero TRI Data'!$I:$O, 7, FALSE), VLOOKUP($I146, 'Processed Non-zero DMR Data'!$K:$R, 8, FALSE))</f>
        <v>Waste handling, treatment, and disposal - Remediation or Monitoring</v>
      </c>
      <c r="E146" s="34" t="s">
        <v>377</v>
      </c>
      <c r="F146" s="34" t="s">
        <v>378</v>
      </c>
      <c r="G146" s="34" t="s">
        <v>181</v>
      </c>
      <c r="H146" s="34"/>
      <c r="I146" s="105">
        <v>110009162903</v>
      </c>
      <c r="J146" s="33" t="str">
        <f>IFERROR(VLOOKUP($I146, 'Processed Non-zero DMR Data'!$K:$U, 11, FALSE),"")</f>
        <v>MI0055077</v>
      </c>
      <c r="K146" s="33" t="str">
        <f>IFERROR(VLOOKUP($I146, 'Processed Non-zero DMR Data'!$K:$V, 12, FALSE),"Not Reported")</f>
        <v>Carrier Creek-Grand River</v>
      </c>
      <c r="L146" s="106" t="str">
        <f>IFERROR(VLOOKUP($I146, 'Processed Non-zero DMR Data'!$K:$W, 13, FALSE),"No Reach Code Reported")</f>
        <v>040500040704</v>
      </c>
      <c r="M146" s="107" t="str">
        <f>IFERROR(IFERROR(VLOOKUP(H146, 'Off-site Locations'!$K$3:$O$5, 5, FALSE), VLOOKUP(H146, 'Off-site Locations'!$B$3:$E$4, 4, FALSE)), "No Offsite Transfers")</f>
        <v>No Offsite Transfers</v>
      </c>
      <c r="N146" s="33">
        <f>VLOOKUP($D146, 'COU.OES Summary'!C:E, 3, FALSE)</f>
        <v>365</v>
      </c>
      <c r="O146" s="108">
        <f t="shared" si="28"/>
        <v>0</v>
      </c>
      <c r="P146" s="108">
        <f t="shared" si="29"/>
        <v>0.57974617900000003</v>
      </c>
      <c r="Q146" s="109" cm="1">
        <f t="array" ref="Q146">IFERROR(_xlfn.XLOOKUP(1,  (MAX(IF(I146 = 'Processed Non-zero DMR Data'!$K:$K,'Processed Non-zero DMR Data'!$A:$A)) = 'Processed Non-zero DMR Data'!$A:$A)*('Processed Non-zero DMR Data'!$K:$K = I146),'Processed Non-zero DMR Data'!$T:$T), "N/A- Facility Does Not Report DMRs")</f>
        <v>0.57974617900000003</v>
      </c>
      <c r="R146" s="33">
        <f t="shared" si="39"/>
        <v>1.588345695890411E-3</v>
      </c>
      <c r="S146" s="33" cm="1">
        <f t="array" ref="S146">IF(COUNTIF('Processed Non-zero DMR Data'!$K:$K,$I146)&gt;0,MEDIAN(IF('Processed Non-zero DMR Data'!$K:$K=I146,'Processed Non-zero DMR Data'!$T:$T)),"N/A - Facility Does Not Report DMRs")</f>
        <v>0.57974617900000003</v>
      </c>
      <c r="T146" s="33">
        <f t="shared" si="40"/>
        <v>1.588345695890411E-3</v>
      </c>
      <c r="U146" s="33">
        <f>IF(COUNTIF('Processed Non-zero DMR Data'!$K:$K,$I146)&gt;0,_xlfn.MAXIFS('Processed Non-zero DMR Data'!$T:$T,'Processed Non-zero DMR Data'!$K:$K,$I146), "N/A - Facility Does Not Report DMRs")</f>
        <v>0.57974617900000003</v>
      </c>
      <c r="V146" s="33">
        <f t="shared" si="41"/>
        <v>1.588345695890411E-3</v>
      </c>
      <c r="W146" s="110" cm="1">
        <f t="array" ref="W146">IF(COUNTIF('Processed Non-zero DMR Data'!$K:$K,$I146)&gt;0,INDEX('Processed Non-zero DMR Data'!$A:$A,MATCH(1,($I146='Processed Non-zero DMR Data'!$K:$K)*($U146='Processed Non-zero DMR Data'!$T:$T),0)), "N/A - Facility Does Not Report DMRs")</f>
        <v>2023</v>
      </c>
      <c r="X146" s="109" cm="1">
        <f t="array" ref="X146">IFERROR(_xlfn.XLOOKUP(1,  (MAX(IF(H146 = 'Processed Non-zero TRI Data'!$I:$I,'Processed Non-zero TRI Data'!$A:$A)) = 'Processed Non-zero TRI Data'!$A:$A)*('Processed Non-zero TRI Data'!$I:$I = H146), 'Processed Non-zero TRI Data'!$S:$S), "N/A- Facility Does Not Report to TRI")</f>
        <v>0</v>
      </c>
      <c r="Y146" s="33">
        <f t="shared" si="30"/>
        <v>0</v>
      </c>
      <c r="Z146" s="33" t="str" cm="1">
        <f t="array" ref="Z146">IF(COUNTIF('Processed Non-zero TRI Data'!$I:$I,$H146)&gt;0,MEDIAN(IF('Processed Non-zero TRI Data'!$I:$I=H146,'Processed Non-zero TRI Data'!$S:$S)), "N/A - Facility Does Not Report to TRI")</f>
        <v>N/A - Facility Does Not Report to TRI</v>
      </c>
      <c r="AA146" s="33" t="str">
        <f t="shared" si="31"/>
        <v>N/A - Facility Does Not Report to TRI</v>
      </c>
      <c r="AB146" s="33" t="str">
        <f>IF(COUNTIF('Processed Non-zero TRI Data'!$I:$I,$H146)&gt;0,_xlfn.MAXIFS('Processed Non-zero TRI Data'!$S:$S,'Processed Non-zero TRI Data'!$I:$I,$H146), "N/A - Facility Does Not Report to TRI")</f>
        <v>N/A - Facility Does Not Report to TRI</v>
      </c>
      <c r="AC146" s="33" t="str">
        <f t="shared" si="32"/>
        <v>N/A - Facility Does Not Report to TRI</v>
      </c>
      <c r="AD146" s="110" t="str" cm="1">
        <f t="array" ref="AD146">IFERROR(IF(B146 = "TRI Form R", IF(AB146 = 0, "Facility has no on-site water discharges between 2019-2023.",  IF(COUNTIF('Processed Non-zero TRI Data'!$I:$I,$H146)&gt;0,INDEX('Processed Non-zero TRI Data'!$A:$A,MATCH(1,($H146='Processed Non-zero TRI Data'!$I:$I)*(AB146='Processed Non-zero TRI Data'!$S:$S),0)))), VLOOKUP(H146, 'Form A Recent Reporting'!$L:$M, 2, FALSE)), ("N/A - Facility Does Not Report to TRI"))</f>
        <v>N/A - Facility Does Not Report to TRI</v>
      </c>
      <c r="AE146" s="109" cm="1">
        <f t="array" ref="AE146">IFERROR(_xlfn.XLOOKUP(1,  (MAX(IF(H146 = 'Processed Non-zero TRI Data'!$I:$I,'Processed Non-zero TRI Data'!$A:$A)) = 'Processed Non-zero TRI Data'!$A:$A)*('Processed Non-zero TRI Data'!$I:$I = H146), 'Processed Non-zero TRI Data'!$U:$U), "N/A- Facility Does Not Report to TRI")</f>
        <v>0</v>
      </c>
      <c r="AF146" s="33">
        <f t="shared" si="33"/>
        <v>0</v>
      </c>
      <c r="AG146" s="33" t="str" cm="1">
        <f t="array" ref="AG146">IF(COUNTIF('Processed Non-zero TRI Data'!$I:$I,$H146)&gt;0,MEDIAN(IF('Processed Non-zero TRI Data'!$I:$I=H146,'Processed Non-zero TRI Data'!$U:$U)), "N/A - Facility Does Not Report to TRI")</f>
        <v>N/A - Facility Does Not Report to TRI</v>
      </c>
      <c r="AH146" s="33" t="str">
        <f t="shared" si="34"/>
        <v>N/A - Facility Does Not Report to TRI</v>
      </c>
      <c r="AI146" s="33" t="str">
        <f>IF(COUNTIF('Processed Non-zero TRI Data'!$I:$I,$H146)&gt;0,_xlfn.MAXIFS('Processed Non-zero TRI Data'!$U:$U,'Processed Non-zero TRI Data'!$I:$I,$H146), "N/A - Facility Does Not Report to TRI")</f>
        <v>N/A - Facility Does Not Report to TRI</v>
      </c>
      <c r="AJ146" s="33" t="str">
        <f t="shared" si="35"/>
        <v>N/A - Facility Does Not Report to TRI</v>
      </c>
      <c r="AK146" s="110" t="str" cm="1">
        <f t="array" ref="AK146">IF(B146="TRI Form A",AD146,IF(AI146=0,"Facility has no transfers to POTWs between 2019-2023.",IF(COUNTIF('Processed Non-zero TRI Data'!$I:$I,$H146)&gt;0,INDEX('Processed Non-zero TRI Data'!$A:$A,MATCH(1,($H146='Processed Non-zero TRI Data'!$I:$I)*(AI146='Processed Non-zero TRI Data'!$U:$U),0)),"N/A - Facility Does Not Report to TRI")))</f>
        <v>N/A - Facility Does Not Report to TRI</v>
      </c>
      <c r="AL146" s="109" cm="1">
        <f t="array" ref="AL146">IFERROR(_xlfn.XLOOKUP(1,  (MAX(IF(H146 = 'Processed Non-zero TRI Data'!$I$2:$I$23,'Processed Non-zero TRI Data'!$A$2:$A$23)) = 'Processed Non-zero TRI Data'!$A$2:$A$23)*('Processed Non-zero TRI Data'!$I$2:$I$23 = H146), 'Processed Non-zero TRI Data'!$W$2:$W$23), "N/A- Facility Does Not Report to TRI")</f>
        <v>0</v>
      </c>
      <c r="AM146" s="33">
        <f t="shared" si="36"/>
        <v>0</v>
      </c>
      <c r="AN146" s="33" t="str" cm="1">
        <f t="array" ref="AN146">IF(COUNTIF('Processed Non-zero TRI Data'!$I:$I,$H146)&gt;0,MEDIAN(IF('Processed Non-zero TRI Data'!$I:$I=H146,'Processed Non-zero TRI Data'!$W:$W)), "N/A - Facility Does Not Report to TRI")</f>
        <v>N/A - Facility Does Not Report to TRI</v>
      </c>
      <c r="AO146" s="33" t="str">
        <f t="shared" si="37"/>
        <v>N/A - Facility Does Not Report to TRI</v>
      </c>
      <c r="AP146" s="33" t="str">
        <f>IF(COUNTIF('Processed Non-zero TRI Data'!$I:$I,$H146)&gt;0,_xlfn.MAXIFS('Processed Non-zero TRI Data'!$W:$W,'Processed Non-zero TRI Data'!$I:$I,$H146), "N/A - Facility Does Not Report to TRI")</f>
        <v>N/A - Facility Does Not Report to TRI</v>
      </c>
      <c r="AQ146" s="33" t="str">
        <f t="shared" si="38"/>
        <v>N/A - Facility Does Not Report to TRI</v>
      </c>
      <c r="AR146" s="110" t="str" cm="1">
        <f t="array" ref="AR146">IF(B146="TRI Form A",AD146,IF(AP146=0,"Facility has no transfers to non-POTWs between 2019-2023.",IF(COUNTIF('Processed Non-zero TRI Data'!$I:$I,$H146)&gt;0,INDEX('Processed Non-zero TRI Data'!$A:$A,MATCH(1,($H146='Processed Non-zero TRI Data'!$I:$I)*(AP146='Processed Non-zero TRI Data'!$W:$W),0)),"N/A - Facility Does Not Report to TRI")))</f>
        <v>N/A - Facility Does Not Report to TRI</v>
      </c>
    </row>
    <row r="147" spans="1:44" ht="29" x14ac:dyDescent="0.35">
      <c r="A147" s="34">
        <v>144</v>
      </c>
      <c r="B147" s="33" t="str">
        <f>IFERROR("TRI Form "&amp;VLOOKUP(H147,'Processed Non-zero TRI Data'!$I$2:$K$23,3,FALSE),"DMR")</f>
        <v>DMR</v>
      </c>
      <c r="C147" s="33" t="str">
        <f>VLOOKUP($D147, 'COU.OES Summary'!C:D, 2, FALSE)</f>
        <v> </v>
      </c>
      <c r="D147" s="33" t="str">
        <f>IFERROR(VLOOKUP($H147, 'Processed Non-zero TRI Data'!$I:$O, 7, FALSE), VLOOKUP($I147, 'Processed Non-zero DMR Data'!$K:$R, 8, FALSE))</f>
        <v>Waste handling, treatment, and disposal - POTW</v>
      </c>
      <c r="E147" s="34" t="s">
        <v>379</v>
      </c>
      <c r="F147" s="34" t="s">
        <v>380</v>
      </c>
      <c r="G147" s="34" t="s">
        <v>108</v>
      </c>
      <c r="H147" s="34"/>
      <c r="I147" s="105">
        <v>110009938265</v>
      </c>
      <c r="J147" s="33" t="str">
        <f>IFERROR(VLOOKUP($I147, 'Processed Non-zero DMR Data'!$K:$U, 11, FALSE),"")</f>
        <v>KY0036854</v>
      </c>
      <c r="K147" s="33" t="str">
        <f>IFERROR(VLOOKUP($I147, 'Processed Non-zero DMR Data'!$K:$V, 12, FALSE),"Not Reported")</f>
        <v>Big Renox Creek-Cumberland River</v>
      </c>
      <c r="L147" s="106">
        <f>IFERROR(VLOOKUP($I147, 'Processed Non-zero DMR Data'!$K:$W, 13, FALSE),"No Reach Code Reported")</f>
        <v>51301030701</v>
      </c>
      <c r="M147" s="107" t="str">
        <f>IFERROR(IFERROR(VLOOKUP(H147, 'Off-site Locations'!$K$3:$O$5, 5, FALSE), VLOOKUP(H147, 'Off-site Locations'!$B$3:$E$4, 4, FALSE)), "No Offsite Transfers")</f>
        <v>No Offsite Transfers</v>
      </c>
      <c r="N147" s="33">
        <f>VLOOKUP($D147, 'COU.OES Summary'!C:E, 3, FALSE)</f>
        <v>365</v>
      </c>
      <c r="O147" s="108">
        <f t="shared" si="28"/>
        <v>0</v>
      </c>
      <c r="P147" s="108">
        <f t="shared" si="29"/>
        <v>0.3134680225</v>
      </c>
      <c r="Q147" s="109" cm="1">
        <f t="array" ref="Q147">IFERROR(_xlfn.XLOOKUP(1,  (MAX(IF(I147 = 'Processed Non-zero DMR Data'!$K:$K,'Processed Non-zero DMR Data'!$A:$A)) = 'Processed Non-zero DMR Data'!$A:$A)*('Processed Non-zero DMR Data'!$K:$K = I147),'Processed Non-zero DMR Data'!$T:$T), "N/A- Facility Does Not Report DMRs")</f>
        <v>0.29253791875000001</v>
      </c>
      <c r="R147" s="33">
        <f t="shared" si="39"/>
        <v>8.0147375000000007E-4</v>
      </c>
      <c r="S147" s="33" cm="1">
        <f t="array" ref="S147">IF(COUNTIF('Processed Non-zero DMR Data'!$K:$K,$I147)&gt;0,MEDIAN(IF('Processed Non-zero DMR Data'!$K:$K=I147,'Processed Non-zero DMR Data'!$T:$T)),"N/A - Facility Does Not Report DMRs")</f>
        <v>0.30300297062500003</v>
      </c>
      <c r="T147" s="33">
        <f t="shared" si="40"/>
        <v>8.3014512500000006E-4</v>
      </c>
      <c r="U147" s="33">
        <f>IF(COUNTIF('Processed Non-zero DMR Data'!$K:$K,$I147)&gt;0,_xlfn.MAXIFS('Processed Non-zero DMR Data'!$T:$T,'Processed Non-zero DMR Data'!$K:$K,$I147), "N/A - Facility Does Not Report DMRs")</f>
        <v>0.3134680225</v>
      </c>
      <c r="V147" s="33">
        <f t="shared" si="41"/>
        <v>8.5881650000000005E-4</v>
      </c>
      <c r="W147" s="110" cm="1">
        <f t="array" ref="W147">IF(COUNTIF('Processed Non-zero DMR Data'!$K:$K,$I147)&gt;0,INDEX('Processed Non-zero DMR Data'!$A:$A,MATCH(1,($I147='Processed Non-zero DMR Data'!$K:$K)*($U147='Processed Non-zero DMR Data'!$T:$T),0)), "N/A - Facility Does Not Report DMRs")</f>
        <v>2019</v>
      </c>
      <c r="X147" s="109" cm="1">
        <f t="array" ref="X147">IFERROR(_xlfn.XLOOKUP(1,  (MAX(IF(H147 = 'Processed Non-zero TRI Data'!$I:$I,'Processed Non-zero TRI Data'!$A:$A)) = 'Processed Non-zero TRI Data'!$A:$A)*('Processed Non-zero TRI Data'!$I:$I = H147), 'Processed Non-zero TRI Data'!$S:$S), "N/A- Facility Does Not Report to TRI")</f>
        <v>0</v>
      </c>
      <c r="Y147" s="33">
        <f t="shared" si="30"/>
        <v>0</v>
      </c>
      <c r="Z147" s="33" t="str" cm="1">
        <f t="array" ref="Z147">IF(COUNTIF('Processed Non-zero TRI Data'!$I:$I,$H147)&gt;0,MEDIAN(IF('Processed Non-zero TRI Data'!$I:$I=H147,'Processed Non-zero TRI Data'!$S:$S)), "N/A - Facility Does Not Report to TRI")</f>
        <v>N/A - Facility Does Not Report to TRI</v>
      </c>
      <c r="AA147" s="33" t="str">
        <f t="shared" si="31"/>
        <v>N/A - Facility Does Not Report to TRI</v>
      </c>
      <c r="AB147" s="33" t="str">
        <f>IF(COUNTIF('Processed Non-zero TRI Data'!$I:$I,$H147)&gt;0,_xlfn.MAXIFS('Processed Non-zero TRI Data'!$S:$S,'Processed Non-zero TRI Data'!$I:$I,$H147), "N/A - Facility Does Not Report to TRI")</f>
        <v>N/A - Facility Does Not Report to TRI</v>
      </c>
      <c r="AC147" s="33" t="str">
        <f t="shared" si="32"/>
        <v>N/A - Facility Does Not Report to TRI</v>
      </c>
      <c r="AD147" s="110" t="str" cm="1">
        <f t="array" ref="AD147">IFERROR(IF(B147 = "TRI Form R", IF(AB147 = 0, "Facility has no on-site water discharges between 2019-2023.",  IF(COUNTIF('Processed Non-zero TRI Data'!$I:$I,$H147)&gt;0,INDEX('Processed Non-zero TRI Data'!$A:$A,MATCH(1,($H147='Processed Non-zero TRI Data'!$I:$I)*(AB147='Processed Non-zero TRI Data'!$S:$S),0)))), VLOOKUP(H147, 'Form A Recent Reporting'!$L:$M, 2, FALSE)), ("N/A - Facility Does Not Report to TRI"))</f>
        <v>N/A - Facility Does Not Report to TRI</v>
      </c>
      <c r="AE147" s="109" cm="1">
        <f t="array" ref="AE147">IFERROR(_xlfn.XLOOKUP(1,  (MAX(IF(H147 = 'Processed Non-zero TRI Data'!$I:$I,'Processed Non-zero TRI Data'!$A:$A)) = 'Processed Non-zero TRI Data'!$A:$A)*('Processed Non-zero TRI Data'!$I:$I = H147), 'Processed Non-zero TRI Data'!$U:$U), "N/A- Facility Does Not Report to TRI")</f>
        <v>0</v>
      </c>
      <c r="AF147" s="33">
        <f t="shared" si="33"/>
        <v>0</v>
      </c>
      <c r="AG147" s="33" t="str" cm="1">
        <f t="array" ref="AG147">IF(COUNTIF('Processed Non-zero TRI Data'!$I:$I,$H147)&gt;0,MEDIAN(IF('Processed Non-zero TRI Data'!$I:$I=H147,'Processed Non-zero TRI Data'!$U:$U)), "N/A - Facility Does Not Report to TRI")</f>
        <v>N/A - Facility Does Not Report to TRI</v>
      </c>
      <c r="AH147" s="33" t="str">
        <f t="shared" si="34"/>
        <v>N/A - Facility Does Not Report to TRI</v>
      </c>
      <c r="AI147" s="33" t="str">
        <f>IF(COUNTIF('Processed Non-zero TRI Data'!$I:$I,$H147)&gt;0,_xlfn.MAXIFS('Processed Non-zero TRI Data'!$U:$U,'Processed Non-zero TRI Data'!$I:$I,$H147), "N/A - Facility Does Not Report to TRI")</f>
        <v>N/A - Facility Does Not Report to TRI</v>
      </c>
      <c r="AJ147" s="33" t="str">
        <f t="shared" si="35"/>
        <v>N/A - Facility Does Not Report to TRI</v>
      </c>
      <c r="AK147" s="110" t="str" cm="1">
        <f t="array" ref="AK147">IF(B147="TRI Form A",AD147,IF(AI147=0,"Facility has no transfers to POTWs between 2019-2023.",IF(COUNTIF('Processed Non-zero TRI Data'!$I:$I,$H147)&gt;0,INDEX('Processed Non-zero TRI Data'!$A:$A,MATCH(1,($H147='Processed Non-zero TRI Data'!$I:$I)*(AI147='Processed Non-zero TRI Data'!$U:$U),0)),"N/A - Facility Does Not Report to TRI")))</f>
        <v>N/A - Facility Does Not Report to TRI</v>
      </c>
      <c r="AL147" s="109" cm="1">
        <f t="array" ref="AL147">IFERROR(_xlfn.XLOOKUP(1,  (MAX(IF(H147 = 'Processed Non-zero TRI Data'!$I$2:$I$23,'Processed Non-zero TRI Data'!$A$2:$A$23)) = 'Processed Non-zero TRI Data'!$A$2:$A$23)*('Processed Non-zero TRI Data'!$I$2:$I$23 = H147), 'Processed Non-zero TRI Data'!$W$2:$W$23), "N/A- Facility Does Not Report to TRI")</f>
        <v>0</v>
      </c>
      <c r="AM147" s="33">
        <f t="shared" si="36"/>
        <v>0</v>
      </c>
      <c r="AN147" s="33" t="str" cm="1">
        <f t="array" ref="AN147">IF(COUNTIF('Processed Non-zero TRI Data'!$I:$I,$H147)&gt;0,MEDIAN(IF('Processed Non-zero TRI Data'!$I:$I=H147,'Processed Non-zero TRI Data'!$W:$W)), "N/A - Facility Does Not Report to TRI")</f>
        <v>N/A - Facility Does Not Report to TRI</v>
      </c>
      <c r="AO147" s="33" t="str">
        <f t="shared" si="37"/>
        <v>N/A - Facility Does Not Report to TRI</v>
      </c>
      <c r="AP147" s="33" t="str">
        <f>IF(COUNTIF('Processed Non-zero TRI Data'!$I:$I,$H147)&gt;0,_xlfn.MAXIFS('Processed Non-zero TRI Data'!$W:$W,'Processed Non-zero TRI Data'!$I:$I,$H147), "N/A - Facility Does Not Report to TRI")</f>
        <v>N/A - Facility Does Not Report to TRI</v>
      </c>
      <c r="AQ147" s="33" t="str">
        <f t="shared" si="38"/>
        <v>N/A - Facility Does Not Report to TRI</v>
      </c>
      <c r="AR147" s="110" t="str" cm="1">
        <f t="array" ref="AR147">IF(B147="TRI Form A",AD147,IF(AP147=0,"Facility has no transfers to non-POTWs between 2019-2023.",IF(COUNTIF('Processed Non-zero TRI Data'!$I:$I,$H147)&gt;0,INDEX('Processed Non-zero TRI Data'!$A:$A,MATCH(1,($H147='Processed Non-zero TRI Data'!$I:$I)*(AP147='Processed Non-zero TRI Data'!$W:$W),0)),"N/A - Facility Does Not Report to TRI")))</f>
        <v>N/A - Facility Does Not Report to TRI</v>
      </c>
    </row>
    <row r="148" spans="1:44" ht="29" x14ac:dyDescent="0.35">
      <c r="A148" s="34">
        <v>145</v>
      </c>
      <c r="B148" s="33" t="str">
        <f>IFERROR("TRI Form "&amp;VLOOKUP(H148,'Processed Non-zero TRI Data'!$I$2:$K$23,3,FALSE),"DMR")</f>
        <v>DMR</v>
      </c>
      <c r="C148" s="33" t="str">
        <f>VLOOKUP($D148, 'COU.OES Summary'!C:D, 2, FALSE)</f>
        <v> </v>
      </c>
      <c r="D148" s="33" t="str">
        <f>IFERROR(VLOOKUP($H148, 'Processed Non-zero TRI Data'!$I:$O, 7, FALSE), VLOOKUP($I148, 'Processed Non-zero DMR Data'!$K:$R, 8, FALSE))</f>
        <v>Waste handling, treatment, and disposal - Remediation or Monitoring</v>
      </c>
      <c r="E148" s="34" t="s">
        <v>381</v>
      </c>
      <c r="F148" s="34" t="s">
        <v>337</v>
      </c>
      <c r="G148" s="34" t="s">
        <v>221</v>
      </c>
      <c r="H148" s="34"/>
      <c r="I148" s="105">
        <v>110015972562</v>
      </c>
      <c r="J148" s="33" t="str">
        <f>IFERROR(VLOOKUP($I148, 'Processed Non-zero DMR Data'!$K:$U, 11, FALSE),"")</f>
        <v>NV0023191</v>
      </c>
      <c r="K148" s="33" t="str">
        <f>IFERROR(VLOOKUP($I148, 'Processed Non-zero DMR Data'!$K:$V, 12, FALSE),"Not Reported")</f>
        <v>City of Las Vegas-Las Vegas Wash</v>
      </c>
      <c r="L148" s="106">
        <f>IFERROR(VLOOKUP($I148, 'Processed Non-zero DMR Data'!$K:$W, 13, FALSE),"No Reach Code Reported")</f>
        <v>150100150604</v>
      </c>
      <c r="M148" s="107" t="str">
        <f>IFERROR(IFERROR(VLOOKUP(H148, 'Off-site Locations'!$K$3:$O$5, 5, FALSE), VLOOKUP(H148, 'Off-site Locations'!$B$3:$E$4, 4, FALSE)), "No Offsite Transfers")</f>
        <v>No Offsite Transfers</v>
      </c>
      <c r="N148" s="33">
        <f>VLOOKUP($D148, 'COU.OES Summary'!C:E, 3, FALSE)</f>
        <v>365</v>
      </c>
      <c r="O148" s="108">
        <f t="shared" si="28"/>
        <v>0</v>
      </c>
      <c r="P148" s="108">
        <f t="shared" si="29"/>
        <v>0.31879006368749996</v>
      </c>
      <c r="Q148" s="109" cm="1">
        <f t="array" ref="Q148">IFERROR(_xlfn.XLOOKUP(1,  (MAX(IF(I148 = 'Processed Non-zero DMR Data'!$K:$K,'Processed Non-zero DMR Data'!$A:$A)) = 'Processed Non-zero DMR Data'!$A:$A)*('Processed Non-zero DMR Data'!$K:$K = I148),'Processed Non-zero DMR Data'!$T:$T), "N/A- Facility Does Not Report DMRs")</f>
        <v>0.1652856793875</v>
      </c>
      <c r="R148" s="33">
        <f t="shared" si="39"/>
        <v>4.5283747777397261E-4</v>
      </c>
      <c r="S148" s="33" cm="1">
        <f t="array" ref="S148">IF(COUNTIF('Processed Non-zero DMR Data'!$K:$K,$I148)&gt;0,MEDIAN(IF('Processed Non-zero DMR Data'!$K:$K=I148,'Processed Non-zero DMR Data'!$T:$T)),"N/A - Facility Does Not Report DMRs")</f>
        <v>0.26438785180000002</v>
      </c>
      <c r="T148" s="33">
        <f t="shared" si="40"/>
        <v>7.2435027890410968E-4</v>
      </c>
      <c r="U148" s="33">
        <f>IF(COUNTIF('Processed Non-zero DMR Data'!$K:$K,$I148)&gt;0,_xlfn.MAXIFS('Processed Non-zero DMR Data'!$T:$T,'Processed Non-zero DMR Data'!$K:$K,$I148), "N/A - Facility Does Not Report DMRs")</f>
        <v>0.31879006368749996</v>
      </c>
      <c r="V148" s="33">
        <f t="shared" si="41"/>
        <v>8.7339743476027383E-4</v>
      </c>
      <c r="W148" s="110" cm="1">
        <f t="array" ref="W148">IF(COUNTIF('Processed Non-zero DMR Data'!$K:$K,$I148)&gt;0,INDEX('Processed Non-zero DMR Data'!$A:$A,MATCH(1,($I148='Processed Non-zero DMR Data'!$K:$K)*($U148='Processed Non-zero DMR Data'!$T:$T),0)), "N/A - Facility Does Not Report DMRs")</f>
        <v>2020</v>
      </c>
      <c r="X148" s="109" cm="1">
        <f t="array" ref="X148">IFERROR(_xlfn.XLOOKUP(1,  (MAX(IF(H148 = 'Processed Non-zero TRI Data'!$I:$I,'Processed Non-zero TRI Data'!$A:$A)) = 'Processed Non-zero TRI Data'!$A:$A)*('Processed Non-zero TRI Data'!$I:$I = H148), 'Processed Non-zero TRI Data'!$S:$S), "N/A- Facility Does Not Report to TRI")</f>
        <v>0</v>
      </c>
      <c r="Y148" s="33">
        <f t="shared" si="30"/>
        <v>0</v>
      </c>
      <c r="Z148" s="33" t="str" cm="1">
        <f t="array" ref="Z148">IF(COUNTIF('Processed Non-zero TRI Data'!$I:$I,$H148)&gt;0,MEDIAN(IF('Processed Non-zero TRI Data'!$I:$I=H148,'Processed Non-zero TRI Data'!$S:$S)), "N/A - Facility Does Not Report to TRI")</f>
        <v>N/A - Facility Does Not Report to TRI</v>
      </c>
      <c r="AA148" s="33" t="str">
        <f t="shared" si="31"/>
        <v>N/A - Facility Does Not Report to TRI</v>
      </c>
      <c r="AB148" s="33" t="str">
        <f>IF(COUNTIF('Processed Non-zero TRI Data'!$I:$I,$H148)&gt;0,_xlfn.MAXIFS('Processed Non-zero TRI Data'!$S:$S,'Processed Non-zero TRI Data'!$I:$I,$H148), "N/A - Facility Does Not Report to TRI")</f>
        <v>N/A - Facility Does Not Report to TRI</v>
      </c>
      <c r="AC148" s="33" t="str">
        <f t="shared" si="32"/>
        <v>N/A - Facility Does Not Report to TRI</v>
      </c>
      <c r="AD148" s="110" t="str" cm="1">
        <f t="array" ref="AD148">IFERROR(IF(B148 = "TRI Form R", IF(AB148 = 0, "Facility has no on-site water discharges between 2019-2023.",  IF(COUNTIF('Processed Non-zero TRI Data'!$I:$I,$H148)&gt;0,INDEX('Processed Non-zero TRI Data'!$A:$A,MATCH(1,($H148='Processed Non-zero TRI Data'!$I:$I)*(AB148='Processed Non-zero TRI Data'!$S:$S),0)))), VLOOKUP(H148, 'Form A Recent Reporting'!$L:$M, 2, FALSE)), ("N/A - Facility Does Not Report to TRI"))</f>
        <v>N/A - Facility Does Not Report to TRI</v>
      </c>
      <c r="AE148" s="109" cm="1">
        <f t="array" ref="AE148">IFERROR(_xlfn.XLOOKUP(1,  (MAX(IF(H148 = 'Processed Non-zero TRI Data'!$I:$I,'Processed Non-zero TRI Data'!$A:$A)) = 'Processed Non-zero TRI Data'!$A:$A)*('Processed Non-zero TRI Data'!$I:$I = H148), 'Processed Non-zero TRI Data'!$U:$U), "N/A- Facility Does Not Report to TRI")</f>
        <v>0</v>
      </c>
      <c r="AF148" s="33">
        <f t="shared" si="33"/>
        <v>0</v>
      </c>
      <c r="AG148" s="33" t="str" cm="1">
        <f t="array" ref="AG148">IF(COUNTIF('Processed Non-zero TRI Data'!$I:$I,$H148)&gt;0,MEDIAN(IF('Processed Non-zero TRI Data'!$I:$I=H148,'Processed Non-zero TRI Data'!$U:$U)), "N/A - Facility Does Not Report to TRI")</f>
        <v>N/A - Facility Does Not Report to TRI</v>
      </c>
      <c r="AH148" s="33" t="str">
        <f t="shared" si="34"/>
        <v>N/A - Facility Does Not Report to TRI</v>
      </c>
      <c r="AI148" s="33" t="str">
        <f>IF(COUNTIF('Processed Non-zero TRI Data'!$I:$I,$H148)&gt;0,_xlfn.MAXIFS('Processed Non-zero TRI Data'!$U:$U,'Processed Non-zero TRI Data'!$I:$I,$H148), "N/A - Facility Does Not Report to TRI")</f>
        <v>N/A - Facility Does Not Report to TRI</v>
      </c>
      <c r="AJ148" s="33" t="str">
        <f t="shared" si="35"/>
        <v>N/A - Facility Does Not Report to TRI</v>
      </c>
      <c r="AK148" s="110" t="str" cm="1">
        <f t="array" ref="AK148">IF(B148="TRI Form A",AD148,IF(AI148=0,"Facility has no transfers to POTWs between 2019-2023.",IF(COUNTIF('Processed Non-zero TRI Data'!$I:$I,$H148)&gt;0,INDEX('Processed Non-zero TRI Data'!$A:$A,MATCH(1,($H148='Processed Non-zero TRI Data'!$I:$I)*(AI148='Processed Non-zero TRI Data'!$U:$U),0)),"N/A - Facility Does Not Report to TRI")))</f>
        <v>N/A - Facility Does Not Report to TRI</v>
      </c>
      <c r="AL148" s="109" cm="1">
        <f t="array" ref="AL148">IFERROR(_xlfn.XLOOKUP(1,  (MAX(IF(H148 = 'Processed Non-zero TRI Data'!$I$2:$I$23,'Processed Non-zero TRI Data'!$A$2:$A$23)) = 'Processed Non-zero TRI Data'!$A$2:$A$23)*('Processed Non-zero TRI Data'!$I$2:$I$23 = H148), 'Processed Non-zero TRI Data'!$W$2:$W$23), "N/A- Facility Does Not Report to TRI")</f>
        <v>0</v>
      </c>
      <c r="AM148" s="33">
        <f t="shared" si="36"/>
        <v>0</v>
      </c>
      <c r="AN148" s="33" t="str" cm="1">
        <f t="array" ref="AN148">IF(COUNTIF('Processed Non-zero TRI Data'!$I:$I,$H148)&gt;0,MEDIAN(IF('Processed Non-zero TRI Data'!$I:$I=H148,'Processed Non-zero TRI Data'!$W:$W)), "N/A - Facility Does Not Report to TRI")</f>
        <v>N/A - Facility Does Not Report to TRI</v>
      </c>
      <c r="AO148" s="33" t="str">
        <f t="shared" si="37"/>
        <v>N/A - Facility Does Not Report to TRI</v>
      </c>
      <c r="AP148" s="33" t="str">
        <f>IF(COUNTIF('Processed Non-zero TRI Data'!$I:$I,$H148)&gt;0,_xlfn.MAXIFS('Processed Non-zero TRI Data'!$W:$W,'Processed Non-zero TRI Data'!$I:$I,$H148), "N/A - Facility Does Not Report to TRI")</f>
        <v>N/A - Facility Does Not Report to TRI</v>
      </c>
      <c r="AQ148" s="33" t="str">
        <f t="shared" si="38"/>
        <v>N/A - Facility Does Not Report to TRI</v>
      </c>
      <c r="AR148" s="110" t="str" cm="1">
        <f t="array" ref="AR148">IF(B148="TRI Form A",AD148,IF(AP148=0,"Facility has no transfers to non-POTWs between 2019-2023.",IF(COUNTIF('Processed Non-zero TRI Data'!$I:$I,$H148)&gt;0,INDEX('Processed Non-zero TRI Data'!$A:$A,MATCH(1,($H148='Processed Non-zero TRI Data'!$I:$I)*(AP148='Processed Non-zero TRI Data'!$W:$W),0)),"N/A - Facility Does Not Report to TRI")))</f>
        <v>N/A - Facility Does Not Report to TRI</v>
      </c>
    </row>
    <row r="149" spans="1:44" ht="29" x14ac:dyDescent="0.35">
      <c r="A149" s="34">
        <v>146</v>
      </c>
      <c r="B149" s="33" t="str">
        <f>IFERROR("TRI Form "&amp;VLOOKUP(H149,'Processed Non-zero TRI Data'!$I$2:$K$23,3,FALSE),"DMR")</f>
        <v>DMR</v>
      </c>
      <c r="C149" s="33" t="str">
        <f>VLOOKUP($D149, 'COU.OES Summary'!C:D, 2, FALSE)</f>
        <v> </v>
      </c>
      <c r="D149" s="33" t="str">
        <f>IFERROR(VLOOKUP($H149, 'Processed Non-zero TRI Data'!$I:$O, 7, FALSE), VLOOKUP($I149, 'Processed Non-zero DMR Data'!$K:$R, 8, FALSE))</f>
        <v>Waste handling, treatment, and disposal - POTW</v>
      </c>
      <c r="E149" s="34" t="s">
        <v>382</v>
      </c>
      <c r="F149" s="34" t="s">
        <v>383</v>
      </c>
      <c r="G149" s="34" t="s">
        <v>340</v>
      </c>
      <c r="H149" s="34"/>
      <c r="I149" s="105">
        <v>110001057533</v>
      </c>
      <c r="J149" s="33" t="str">
        <f>IFERROR(VLOOKUP($I149, 'Processed Non-zero DMR Data'!$K:$U, 11, FALSE),"")</f>
        <v>PA0093866</v>
      </c>
      <c r="K149" s="33" t="str">
        <f>IFERROR(VLOOKUP($I149, 'Processed Non-zero DMR Data'!$K:$V, 12, FALSE),"Not Reported")</f>
        <v>Lower Stonycreek River-Conemaugh River</v>
      </c>
      <c r="L149" s="106">
        <f>IFERROR(VLOOKUP($I149, 'Processed Non-zero DMR Data'!$K:$W, 13, FALSE),"No Reach Code Reported")</f>
        <v>50100070310</v>
      </c>
      <c r="M149" s="107" t="str">
        <f>IFERROR(IFERROR(VLOOKUP(H149, 'Off-site Locations'!$K$3:$O$5, 5, FALSE), VLOOKUP(H149, 'Off-site Locations'!$B$3:$E$4, 4, FALSE)), "No Offsite Transfers")</f>
        <v>No Offsite Transfers</v>
      </c>
      <c r="N149" s="33">
        <f>VLOOKUP($D149, 'COU.OES Summary'!C:E, 3, FALSE)</f>
        <v>365</v>
      </c>
      <c r="O149" s="108">
        <f t="shared" si="28"/>
        <v>0</v>
      </c>
      <c r="P149" s="108">
        <f t="shared" si="29"/>
        <v>0.28684603575000001</v>
      </c>
      <c r="Q149" s="109" cm="1">
        <f t="array" ref="Q149">IFERROR(_xlfn.XLOOKUP(1,  (MAX(IF(I149 = 'Processed Non-zero DMR Data'!$K:$K,'Processed Non-zero DMR Data'!$A:$A)) = 'Processed Non-zero DMR Data'!$A:$A)*('Processed Non-zero DMR Data'!$K:$K = I149),'Processed Non-zero DMR Data'!$T:$T), "N/A- Facility Does Not Report DMRs")</f>
        <v>0.28684603575000001</v>
      </c>
      <c r="R149" s="33">
        <f t="shared" si="39"/>
        <v>7.8587955000000004E-4</v>
      </c>
      <c r="S149" s="33" cm="1">
        <f t="array" ref="S149">IF(COUNTIF('Processed Non-zero DMR Data'!$K:$K,$I149)&gt;0,MEDIAN(IF('Processed Non-zero DMR Data'!$K:$K=I149,'Processed Non-zero DMR Data'!$T:$T)),"N/A - Facility Does Not Report DMRs")</f>
        <v>3.5769754537499997E-2</v>
      </c>
      <c r="T149" s="33">
        <f t="shared" si="40"/>
        <v>9.7999327499999987E-5</v>
      </c>
      <c r="U149" s="33">
        <f>IF(COUNTIF('Processed Non-zero DMR Data'!$K:$K,$I149)&gt;0,_xlfn.MAXIFS('Processed Non-zero DMR Data'!$T:$T,'Processed Non-zero DMR Data'!$K:$K,$I149), "N/A - Facility Does Not Report DMRs")</f>
        <v>0.28684603575000001</v>
      </c>
      <c r="V149" s="33">
        <f t="shared" si="41"/>
        <v>7.8587955000000004E-4</v>
      </c>
      <c r="W149" s="110" cm="1">
        <f t="array" ref="W149">IF(COUNTIF('Processed Non-zero DMR Data'!$K:$K,$I149)&gt;0,INDEX('Processed Non-zero DMR Data'!$A:$A,MATCH(1,($I149='Processed Non-zero DMR Data'!$K:$K)*($U149='Processed Non-zero DMR Data'!$T:$T),0)), "N/A - Facility Does Not Report DMRs")</f>
        <v>2023</v>
      </c>
      <c r="X149" s="109" cm="1">
        <f t="array" ref="X149">IFERROR(_xlfn.XLOOKUP(1,  (MAX(IF(H149 = 'Processed Non-zero TRI Data'!$I:$I,'Processed Non-zero TRI Data'!$A:$A)) = 'Processed Non-zero TRI Data'!$A:$A)*('Processed Non-zero TRI Data'!$I:$I = H149), 'Processed Non-zero TRI Data'!$S:$S), "N/A- Facility Does Not Report to TRI")</f>
        <v>0</v>
      </c>
      <c r="Y149" s="33">
        <f t="shared" si="30"/>
        <v>0</v>
      </c>
      <c r="Z149" s="33" t="str" cm="1">
        <f t="array" ref="Z149">IF(COUNTIF('Processed Non-zero TRI Data'!$I:$I,$H149)&gt;0,MEDIAN(IF('Processed Non-zero TRI Data'!$I:$I=H149,'Processed Non-zero TRI Data'!$S:$S)), "N/A - Facility Does Not Report to TRI")</f>
        <v>N/A - Facility Does Not Report to TRI</v>
      </c>
      <c r="AA149" s="33" t="str">
        <f t="shared" si="31"/>
        <v>N/A - Facility Does Not Report to TRI</v>
      </c>
      <c r="AB149" s="33" t="str">
        <f>IF(COUNTIF('Processed Non-zero TRI Data'!$I:$I,$H149)&gt;0,_xlfn.MAXIFS('Processed Non-zero TRI Data'!$S:$S,'Processed Non-zero TRI Data'!$I:$I,$H149), "N/A - Facility Does Not Report to TRI")</f>
        <v>N/A - Facility Does Not Report to TRI</v>
      </c>
      <c r="AC149" s="33" t="str">
        <f t="shared" si="32"/>
        <v>N/A - Facility Does Not Report to TRI</v>
      </c>
      <c r="AD149" s="110" t="str" cm="1">
        <f t="array" ref="AD149">IFERROR(IF(B149 = "TRI Form R", IF(AB149 = 0, "Facility has no on-site water discharges between 2019-2023.",  IF(COUNTIF('Processed Non-zero TRI Data'!$I:$I,$H149)&gt;0,INDEX('Processed Non-zero TRI Data'!$A:$A,MATCH(1,($H149='Processed Non-zero TRI Data'!$I:$I)*(AB149='Processed Non-zero TRI Data'!$S:$S),0)))), VLOOKUP(H149, 'Form A Recent Reporting'!$L:$M, 2, FALSE)), ("N/A - Facility Does Not Report to TRI"))</f>
        <v>N/A - Facility Does Not Report to TRI</v>
      </c>
      <c r="AE149" s="109" cm="1">
        <f t="array" ref="AE149">IFERROR(_xlfn.XLOOKUP(1,  (MAX(IF(H149 = 'Processed Non-zero TRI Data'!$I:$I,'Processed Non-zero TRI Data'!$A:$A)) = 'Processed Non-zero TRI Data'!$A:$A)*('Processed Non-zero TRI Data'!$I:$I = H149), 'Processed Non-zero TRI Data'!$U:$U), "N/A- Facility Does Not Report to TRI")</f>
        <v>0</v>
      </c>
      <c r="AF149" s="33">
        <f t="shared" si="33"/>
        <v>0</v>
      </c>
      <c r="AG149" s="33" t="str" cm="1">
        <f t="array" ref="AG149">IF(COUNTIF('Processed Non-zero TRI Data'!$I:$I,$H149)&gt;0,MEDIAN(IF('Processed Non-zero TRI Data'!$I:$I=H149,'Processed Non-zero TRI Data'!$U:$U)), "N/A - Facility Does Not Report to TRI")</f>
        <v>N/A - Facility Does Not Report to TRI</v>
      </c>
      <c r="AH149" s="33" t="str">
        <f t="shared" si="34"/>
        <v>N/A - Facility Does Not Report to TRI</v>
      </c>
      <c r="AI149" s="33" t="str">
        <f>IF(COUNTIF('Processed Non-zero TRI Data'!$I:$I,$H149)&gt;0,_xlfn.MAXIFS('Processed Non-zero TRI Data'!$U:$U,'Processed Non-zero TRI Data'!$I:$I,$H149), "N/A - Facility Does Not Report to TRI")</f>
        <v>N/A - Facility Does Not Report to TRI</v>
      </c>
      <c r="AJ149" s="33" t="str">
        <f t="shared" si="35"/>
        <v>N/A - Facility Does Not Report to TRI</v>
      </c>
      <c r="AK149" s="110" t="str" cm="1">
        <f t="array" ref="AK149">IF(B149="TRI Form A",AD149,IF(AI149=0,"Facility has no transfers to POTWs between 2019-2023.",IF(COUNTIF('Processed Non-zero TRI Data'!$I:$I,$H149)&gt;0,INDEX('Processed Non-zero TRI Data'!$A:$A,MATCH(1,($H149='Processed Non-zero TRI Data'!$I:$I)*(AI149='Processed Non-zero TRI Data'!$U:$U),0)),"N/A - Facility Does Not Report to TRI")))</f>
        <v>N/A - Facility Does Not Report to TRI</v>
      </c>
      <c r="AL149" s="109" cm="1">
        <f t="array" ref="AL149">IFERROR(_xlfn.XLOOKUP(1,  (MAX(IF(H149 = 'Processed Non-zero TRI Data'!$I$2:$I$23,'Processed Non-zero TRI Data'!$A$2:$A$23)) = 'Processed Non-zero TRI Data'!$A$2:$A$23)*('Processed Non-zero TRI Data'!$I$2:$I$23 = H149), 'Processed Non-zero TRI Data'!$W$2:$W$23), "N/A- Facility Does Not Report to TRI")</f>
        <v>0</v>
      </c>
      <c r="AM149" s="33">
        <f t="shared" si="36"/>
        <v>0</v>
      </c>
      <c r="AN149" s="33" t="str" cm="1">
        <f t="array" ref="AN149">IF(COUNTIF('Processed Non-zero TRI Data'!$I:$I,$H149)&gt;0,MEDIAN(IF('Processed Non-zero TRI Data'!$I:$I=H149,'Processed Non-zero TRI Data'!$W:$W)), "N/A - Facility Does Not Report to TRI")</f>
        <v>N/A - Facility Does Not Report to TRI</v>
      </c>
      <c r="AO149" s="33" t="str">
        <f t="shared" si="37"/>
        <v>N/A - Facility Does Not Report to TRI</v>
      </c>
      <c r="AP149" s="33" t="str">
        <f>IF(COUNTIF('Processed Non-zero TRI Data'!$I:$I,$H149)&gt;0,_xlfn.MAXIFS('Processed Non-zero TRI Data'!$W:$W,'Processed Non-zero TRI Data'!$I:$I,$H149), "N/A - Facility Does Not Report to TRI")</f>
        <v>N/A - Facility Does Not Report to TRI</v>
      </c>
      <c r="AQ149" s="33" t="str">
        <f t="shared" si="38"/>
        <v>N/A - Facility Does Not Report to TRI</v>
      </c>
      <c r="AR149" s="110" t="str" cm="1">
        <f t="array" ref="AR149">IF(B149="TRI Form A",AD149,IF(AP149=0,"Facility has no transfers to non-POTWs between 2019-2023.",IF(COUNTIF('Processed Non-zero TRI Data'!$I:$I,$H149)&gt;0,INDEX('Processed Non-zero TRI Data'!$A:$A,MATCH(1,($H149='Processed Non-zero TRI Data'!$I:$I)*(AP149='Processed Non-zero TRI Data'!$W:$W),0)),"N/A - Facility Does Not Report to TRI")))</f>
        <v>N/A - Facility Does Not Report to TRI</v>
      </c>
    </row>
    <row r="150" spans="1:44" ht="29" x14ac:dyDescent="0.35">
      <c r="A150" s="34">
        <v>147</v>
      </c>
      <c r="B150" s="33" t="str">
        <f>IFERROR("TRI Form "&amp;VLOOKUP(H150,'Processed Non-zero TRI Data'!$I$2:$K$23,3,FALSE),"DMR")</f>
        <v>DMR</v>
      </c>
      <c r="C150" s="33" t="str">
        <f>VLOOKUP($D150, 'COU.OES Summary'!C:D, 2, FALSE)</f>
        <v> </v>
      </c>
      <c r="D150" s="33" t="str">
        <f>IFERROR(VLOOKUP($H150, 'Processed Non-zero TRI Data'!$I:$O, 7, FALSE), VLOOKUP($I150, 'Processed Non-zero DMR Data'!$K:$R, 8, FALSE))</f>
        <v>Waste handling, treatment, and disposal - POTW</v>
      </c>
      <c r="E150" s="34" t="s">
        <v>384</v>
      </c>
      <c r="F150" s="34" t="s">
        <v>385</v>
      </c>
      <c r="G150" s="34" t="s">
        <v>288</v>
      </c>
      <c r="H150" s="34"/>
      <c r="I150" s="105">
        <v>110012330520</v>
      </c>
      <c r="J150" s="33" t="str">
        <f>IFERROR(VLOOKUP($I150, 'Processed Non-zero DMR Data'!$K:$U, 11, FALSE),"")</f>
        <v>AZ0024911</v>
      </c>
      <c r="K150" s="33" t="str">
        <f>IFERROR(VLOOKUP($I150, 'Processed Non-zero DMR Data'!$K:$V, 12, FALSE),"Not Reported")</f>
        <v>Peterson Wash-Gila River</v>
      </c>
      <c r="L150" s="106">
        <f>IFERROR(VLOOKUP($I150, 'Processed Non-zero DMR Data'!$K:$W, 13, FALSE),"No Reach Code Reported")</f>
        <v>150400050705</v>
      </c>
      <c r="M150" s="107" t="str">
        <f>IFERROR(IFERROR(VLOOKUP(H150, 'Off-site Locations'!$K$3:$O$5, 5, FALSE), VLOOKUP(H150, 'Off-site Locations'!$B$3:$E$4, 4, FALSE)), "No Offsite Transfers")</f>
        <v>No Offsite Transfers</v>
      </c>
      <c r="N150" s="33">
        <f>VLOOKUP($D150, 'COU.OES Summary'!C:E, 3, FALSE)</f>
        <v>365</v>
      </c>
      <c r="O150" s="108">
        <f t="shared" si="28"/>
        <v>0</v>
      </c>
      <c r="P150" s="108">
        <f t="shared" si="29"/>
        <v>0.283212625</v>
      </c>
      <c r="Q150" s="109" cm="1">
        <f t="array" ref="Q150">IFERROR(_xlfn.XLOOKUP(1,  (MAX(IF(I150 = 'Processed Non-zero DMR Data'!$K:$K,'Processed Non-zero DMR Data'!$A:$A)) = 'Processed Non-zero DMR Data'!$A:$A)*('Processed Non-zero DMR Data'!$K:$K = I150),'Processed Non-zero DMR Data'!$T:$T), "N/A- Facility Does Not Report DMRs")</f>
        <v>0.283212625</v>
      </c>
      <c r="R150" s="33">
        <f t="shared" si="39"/>
        <v>7.7592500000000001E-4</v>
      </c>
      <c r="S150" s="33" cm="1">
        <f t="array" ref="S150">IF(COUNTIF('Processed Non-zero DMR Data'!$K:$K,$I150)&gt;0,MEDIAN(IF('Processed Non-zero DMR Data'!$K:$K=I150,'Processed Non-zero DMR Data'!$T:$T)),"N/A - Facility Does Not Report DMRs")</f>
        <v>0.283212625</v>
      </c>
      <c r="T150" s="33">
        <f t="shared" si="40"/>
        <v>7.7592500000000001E-4</v>
      </c>
      <c r="U150" s="33">
        <f>IF(COUNTIF('Processed Non-zero DMR Data'!$K:$K,$I150)&gt;0,_xlfn.MAXIFS('Processed Non-zero DMR Data'!$T:$T,'Processed Non-zero DMR Data'!$K:$K,$I150), "N/A - Facility Does Not Report DMRs")</f>
        <v>0.283212625</v>
      </c>
      <c r="V150" s="33">
        <f t="shared" si="41"/>
        <v>7.7592500000000001E-4</v>
      </c>
      <c r="W150" s="110" cm="1">
        <f t="array" ref="W150">IF(COUNTIF('Processed Non-zero DMR Data'!$K:$K,$I150)&gt;0,INDEX('Processed Non-zero DMR Data'!$A:$A,MATCH(1,($I150='Processed Non-zero DMR Data'!$K:$K)*($U150='Processed Non-zero DMR Data'!$T:$T),0)), "N/A - Facility Does Not Report DMRs")</f>
        <v>2020</v>
      </c>
      <c r="X150" s="109" cm="1">
        <f t="array" ref="X150">IFERROR(_xlfn.XLOOKUP(1,  (MAX(IF(H150 = 'Processed Non-zero TRI Data'!$I:$I,'Processed Non-zero TRI Data'!$A:$A)) = 'Processed Non-zero TRI Data'!$A:$A)*('Processed Non-zero TRI Data'!$I:$I = H150), 'Processed Non-zero TRI Data'!$S:$S), "N/A- Facility Does Not Report to TRI")</f>
        <v>0</v>
      </c>
      <c r="Y150" s="33">
        <f t="shared" si="30"/>
        <v>0</v>
      </c>
      <c r="Z150" s="33" t="str" cm="1">
        <f t="array" ref="Z150">IF(COUNTIF('Processed Non-zero TRI Data'!$I:$I,$H150)&gt;0,MEDIAN(IF('Processed Non-zero TRI Data'!$I:$I=H150,'Processed Non-zero TRI Data'!$S:$S)), "N/A - Facility Does Not Report to TRI")</f>
        <v>N/A - Facility Does Not Report to TRI</v>
      </c>
      <c r="AA150" s="33" t="str">
        <f t="shared" si="31"/>
        <v>N/A - Facility Does Not Report to TRI</v>
      </c>
      <c r="AB150" s="33" t="str">
        <f>IF(COUNTIF('Processed Non-zero TRI Data'!$I:$I,$H150)&gt;0,_xlfn.MAXIFS('Processed Non-zero TRI Data'!$S:$S,'Processed Non-zero TRI Data'!$I:$I,$H150), "N/A - Facility Does Not Report to TRI")</f>
        <v>N/A - Facility Does Not Report to TRI</v>
      </c>
      <c r="AC150" s="33" t="str">
        <f t="shared" si="32"/>
        <v>N/A - Facility Does Not Report to TRI</v>
      </c>
      <c r="AD150" s="110" t="str" cm="1">
        <f t="array" ref="AD150">IFERROR(IF(B150 = "TRI Form R", IF(AB150 = 0, "Facility has no on-site water discharges between 2019-2023.",  IF(COUNTIF('Processed Non-zero TRI Data'!$I:$I,$H150)&gt;0,INDEX('Processed Non-zero TRI Data'!$A:$A,MATCH(1,($H150='Processed Non-zero TRI Data'!$I:$I)*(AB150='Processed Non-zero TRI Data'!$S:$S),0)))), VLOOKUP(H150, 'Form A Recent Reporting'!$L:$M, 2, FALSE)), ("N/A - Facility Does Not Report to TRI"))</f>
        <v>N/A - Facility Does Not Report to TRI</v>
      </c>
      <c r="AE150" s="109" cm="1">
        <f t="array" ref="AE150">IFERROR(_xlfn.XLOOKUP(1,  (MAX(IF(H150 = 'Processed Non-zero TRI Data'!$I:$I,'Processed Non-zero TRI Data'!$A:$A)) = 'Processed Non-zero TRI Data'!$A:$A)*('Processed Non-zero TRI Data'!$I:$I = H150), 'Processed Non-zero TRI Data'!$U:$U), "N/A- Facility Does Not Report to TRI")</f>
        <v>0</v>
      </c>
      <c r="AF150" s="33">
        <f t="shared" si="33"/>
        <v>0</v>
      </c>
      <c r="AG150" s="33" t="str" cm="1">
        <f t="array" ref="AG150">IF(COUNTIF('Processed Non-zero TRI Data'!$I:$I,$H150)&gt;0,MEDIAN(IF('Processed Non-zero TRI Data'!$I:$I=H150,'Processed Non-zero TRI Data'!$U:$U)), "N/A - Facility Does Not Report to TRI")</f>
        <v>N/A - Facility Does Not Report to TRI</v>
      </c>
      <c r="AH150" s="33" t="str">
        <f t="shared" si="34"/>
        <v>N/A - Facility Does Not Report to TRI</v>
      </c>
      <c r="AI150" s="33" t="str">
        <f>IF(COUNTIF('Processed Non-zero TRI Data'!$I:$I,$H150)&gt;0,_xlfn.MAXIFS('Processed Non-zero TRI Data'!$U:$U,'Processed Non-zero TRI Data'!$I:$I,$H150), "N/A - Facility Does Not Report to TRI")</f>
        <v>N/A - Facility Does Not Report to TRI</v>
      </c>
      <c r="AJ150" s="33" t="str">
        <f t="shared" si="35"/>
        <v>N/A - Facility Does Not Report to TRI</v>
      </c>
      <c r="AK150" s="110" t="str" cm="1">
        <f t="array" ref="AK150">IF(B150="TRI Form A",AD150,IF(AI150=0,"Facility has no transfers to POTWs between 2019-2023.",IF(COUNTIF('Processed Non-zero TRI Data'!$I:$I,$H150)&gt;0,INDEX('Processed Non-zero TRI Data'!$A:$A,MATCH(1,($H150='Processed Non-zero TRI Data'!$I:$I)*(AI150='Processed Non-zero TRI Data'!$U:$U),0)),"N/A - Facility Does Not Report to TRI")))</f>
        <v>N/A - Facility Does Not Report to TRI</v>
      </c>
      <c r="AL150" s="109" cm="1">
        <f t="array" ref="AL150">IFERROR(_xlfn.XLOOKUP(1,  (MAX(IF(H150 = 'Processed Non-zero TRI Data'!$I$2:$I$23,'Processed Non-zero TRI Data'!$A$2:$A$23)) = 'Processed Non-zero TRI Data'!$A$2:$A$23)*('Processed Non-zero TRI Data'!$I$2:$I$23 = H150), 'Processed Non-zero TRI Data'!$W$2:$W$23), "N/A- Facility Does Not Report to TRI")</f>
        <v>0</v>
      </c>
      <c r="AM150" s="33">
        <f t="shared" si="36"/>
        <v>0</v>
      </c>
      <c r="AN150" s="33" t="str" cm="1">
        <f t="array" ref="AN150">IF(COUNTIF('Processed Non-zero TRI Data'!$I:$I,$H150)&gt;0,MEDIAN(IF('Processed Non-zero TRI Data'!$I:$I=H150,'Processed Non-zero TRI Data'!$W:$W)), "N/A - Facility Does Not Report to TRI")</f>
        <v>N/A - Facility Does Not Report to TRI</v>
      </c>
      <c r="AO150" s="33" t="str">
        <f t="shared" si="37"/>
        <v>N/A - Facility Does Not Report to TRI</v>
      </c>
      <c r="AP150" s="33" t="str">
        <f>IF(COUNTIF('Processed Non-zero TRI Data'!$I:$I,$H150)&gt;0,_xlfn.MAXIFS('Processed Non-zero TRI Data'!$W:$W,'Processed Non-zero TRI Data'!$I:$I,$H150), "N/A - Facility Does Not Report to TRI")</f>
        <v>N/A - Facility Does Not Report to TRI</v>
      </c>
      <c r="AQ150" s="33" t="str">
        <f t="shared" si="38"/>
        <v>N/A - Facility Does Not Report to TRI</v>
      </c>
      <c r="AR150" s="110" t="str" cm="1">
        <f t="array" ref="AR150">IF(B150="TRI Form A",AD150,IF(AP150=0,"Facility has no transfers to non-POTWs between 2019-2023.",IF(COUNTIF('Processed Non-zero TRI Data'!$I:$I,$H150)&gt;0,INDEX('Processed Non-zero TRI Data'!$A:$A,MATCH(1,($H150='Processed Non-zero TRI Data'!$I:$I)*(AP150='Processed Non-zero TRI Data'!$W:$W),0)),"N/A - Facility Does Not Report to TRI")))</f>
        <v>N/A - Facility Does Not Report to TRI</v>
      </c>
    </row>
    <row r="151" spans="1:44" ht="29" x14ac:dyDescent="0.35">
      <c r="A151" s="34">
        <v>148</v>
      </c>
      <c r="B151" s="33" t="str">
        <f>IFERROR("TRI Form "&amp;VLOOKUP(H151,'Processed Non-zero TRI Data'!$I$2:$K$23,3,FALSE),"DMR")</f>
        <v>DMR</v>
      </c>
      <c r="C151" s="33" t="str">
        <f>VLOOKUP($D151, 'COU.OES Summary'!C:D, 2, FALSE)</f>
        <v> </v>
      </c>
      <c r="D151" s="33" t="str">
        <f>IFERROR(VLOOKUP($H151, 'Processed Non-zero TRI Data'!$I:$O, 7, FALSE), VLOOKUP($I151, 'Processed Non-zero DMR Data'!$K:$R, 8, FALSE))</f>
        <v>Waste handling, treatment, and disposal - Remediation or Monitoring</v>
      </c>
      <c r="E151" s="34" t="s">
        <v>386</v>
      </c>
      <c r="F151" s="34" t="s">
        <v>387</v>
      </c>
      <c r="G151" s="34" t="s">
        <v>181</v>
      </c>
      <c r="H151" s="34"/>
      <c r="I151" s="105">
        <v>110003597395</v>
      </c>
      <c r="J151" s="33" t="str">
        <f>IFERROR(VLOOKUP($I151, 'Processed Non-zero DMR Data'!$K:$U, 11, FALSE),"")</f>
        <v>MI0055883</v>
      </c>
      <c r="K151" s="33" t="str">
        <f>IFERROR(VLOOKUP($I151, 'Processed Non-zero DMR Data'!$K:$V, 12, FALSE),"Not Reported")</f>
        <v>Pettibone Creek</v>
      </c>
      <c r="L151" s="106">
        <f>IFERROR(VLOOKUP($I151, 'Processed Non-zero DMR Data'!$K:$W, 13, FALSE),"No Reach Code Reported")</f>
        <v>40900050104</v>
      </c>
      <c r="M151" s="107" t="str">
        <f>IFERROR(IFERROR(VLOOKUP(H151, 'Off-site Locations'!$K$3:$O$5, 5, FALSE), VLOOKUP(H151, 'Off-site Locations'!$B$3:$E$4, 4, FALSE)), "No Offsite Transfers")</f>
        <v>No Offsite Transfers</v>
      </c>
      <c r="N151" s="33">
        <f>VLOOKUP($D151, 'COU.OES Summary'!C:E, 3, FALSE)</f>
        <v>365</v>
      </c>
      <c r="O151" s="108">
        <f t="shared" si="28"/>
        <v>0</v>
      </c>
      <c r="P151" s="108">
        <f t="shared" si="29"/>
        <v>0.28251646887499998</v>
      </c>
      <c r="Q151" s="109" cm="1">
        <f t="array" ref="Q151">IFERROR(_xlfn.XLOOKUP(1,  (MAX(IF(I151 = 'Processed Non-zero DMR Data'!$K:$K,'Processed Non-zero DMR Data'!$A:$A)) = 'Processed Non-zero DMR Data'!$A:$A)*('Processed Non-zero DMR Data'!$K:$K = I151),'Processed Non-zero DMR Data'!$T:$T), "N/A- Facility Does Not Report DMRs")</f>
        <v>0.22491359475</v>
      </c>
      <c r="R151" s="33">
        <f t="shared" si="39"/>
        <v>6.1620162945205475E-4</v>
      </c>
      <c r="S151" s="33" cm="1">
        <f t="array" ref="S151">IF(COUNTIF('Processed Non-zero DMR Data'!$K:$K,$I151)&gt;0,MEDIAN(IF('Processed Non-zero DMR Data'!$K:$K=I151,'Processed Non-zero DMR Data'!$T:$T)),"N/A - Facility Does Not Report DMRs")</f>
        <v>0.25225832725000003</v>
      </c>
      <c r="T151" s="33">
        <f t="shared" si="40"/>
        <v>6.911187047945206E-4</v>
      </c>
      <c r="U151" s="33">
        <f>IF(COUNTIF('Processed Non-zero DMR Data'!$K:$K,$I151)&gt;0,_xlfn.MAXIFS('Processed Non-zero DMR Data'!$T:$T,'Processed Non-zero DMR Data'!$K:$K,$I151), "N/A - Facility Does Not Report DMRs")</f>
        <v>0.28251646887499998</v>
      </c>
      <c r="V151" s="33">
        <f t="shared" si="41"/>
        <v>7.7401772294520544E-4</v>
      </c>
      <c r="W151" s="110" cm="1">
        <f t="array" ref="W151">IF(COUNTIF('Processed Non-zero DMR Data'!$K:$K,$I151)&gt;0,INDEX('Processed Non-zero DMR Data'!$A:$A,MATCH(1,($I151='Processed Non-zero DMR Data'!$K:$K)*($U151='Processed Non-zero DMR Data'!$T:$T),0)), "N/A - Facility Does Not Report DMRs")</f>
        <v>2019</v>
      </c>
      <c r="X151" s="109" cm="1">
        <f t="array" ref="X151">IFERROR(_xlfn.XLOOKUP(1,  (MAX(IF(H151 = 'Processed Non-zero TRI Data'!$I:$I,'Processed Non-zero TRI Data'!$A:$A)) = 'Processed Non-zero TRI Data'!$A:$A)*('Processed Non-zero TRI Data'!$I:$I = H151), 'Processed Non-zero TRI Data'!$S:$S), "N/A- Facility Does Not Report to TRI")</f>
        <v>0</v>
      </c>
      <c r="Y151" s="33">
        <f t="shared" si="30"/>
        <v>0</v>
      </c>
      <c r="Z151" s="33" t="str" cm="1">
        <f t="array" ref="Z151">IF(COUNTIF('Processed Non-zero TRI Data'!$I:$I,$H151)&gt;0,MEDIAN(IF('Processed Non-zero TRI Data'!$I:$I=H151,'Processed Non-zero TRI Data'!$S:$S)), "N/A - Facility Does Not Report to TRI")</f>
        <v>N/A - Facility Does Not Report to TRI</v>
      </c>
      <c r="AA151" s="33" t="str">
        <f t="shared" si="31"/>
        <v>N/A - Facility Does Not Report to TRI</v>
      </c>
      <c r="AB151" s="33" t="str">
        <f>IF(COUNTIF('Processed Non-zero TRI Data'!$I:$I,$H151)&gt;0,_xlfn.MAXIFS('Processed Non-zero TRI Data'!$S:$S,'Processed Non-zero TRI Data'!$I:$I,$H151), "N/A - Facility Does Not Report to TRI")</f>
        <v>N/A - Facility Does Not Report to TRI</v>
      </c>
      <c r="AC151" s="33" t="str">
        <f t="shared" si="32"/>
        <v>N/A - Facility Does Not Report to TRI</v>
      </c>
      <c r="AD151" s="110" t="str" cm="1">
        <f t="array" ref="AD151">IFERROR(IF(B151 = "TRI Form R", IF(AB151 = 0, "Facility has no on-site water discharges between 2019-2023.",  IF(COUNTIF('Processed Non-zero TRI Data'!$I:$I,$H151)&gt;0,INDEX('Processed Non-zero TRI Data'!$A:$A,MATCH(1,($H151='Processed Non-zero TRI Data'!$I:$I)*(AB151='Processed Non-zero TRI Data'!$S:$S),0)))), VLOOKUP(H151, 'Form A Recent Reporting'!$L:$M, 2, FALSE)), ("N/A - Facility Does Not Report to TRI"))</f>
        <v>N/A - Facility Does Not Report to TRI</v>
      </c>
      <c r="AE151" s="109" cm="1">
        <f t="array" ref="AE151">IFERROR(_xlfn.XLOOKUP(1,  (MAX(IF(H151 = 'Processed Non-zero TRI Data'!$I:$I,'Processed Non-zero TRI Data'!$A:$A)) = 'Processed Non-zero TRI Data'!$A:$A)*('Processed Non-zero TRI Data'!$I:$I = H151), 'Processed Non-zero TRI Data'!$U:$U), "N/A- Facility Does Not Report to TRI")</f>
        <v>0</v>
      </c>
      <c r="AF151" s="33">
        <f t="shared" si="33"/>
        <v>0</v>
      </c>
      <c r="AG151" s="33" t="str" cm="1">
        <f t="array" ref="AG151">IF(COUNTIF('Processed Non-zero TRI Data'!$I:$I,$H151)&gt;0,MEDIAN(IF('Processed Non-zero TRI Data'!$I:$I=H151,'Processed Non-zero TRI Data'!$U:$U)), "N/A - Facility Does Not Report to TRI")</f>
        <v>N/A - Facility Does Not Report to TRI</v>
      </c>
      <c r="AH151" s="33" t="str">
        <f t="shared" si="34"/>
        <v>N/A - Facility Does Not Report to TRI</v>
      </c>
      <c r="AI151" s="33" t="str">
        <f>IF(COUNTIF('Processed Non-zero TRI Data'!$I:$I,$H151)&gt;0,_xlfn.MAXIFS('Processed Non-zero TRI Data'!$U:$U,'Processed Non-zero TRI Data'!$I:$I,$H151), "N/A - Facility Does Not Report to TRI")</f>
        <v>N/A - Facility Does Not Report to TRI</v>
      </c>
      <c r="AJ151" s="33" t="str">
        <f t="shared" si="35"/>
        <v>N/A - Facility Does Not Report to TRI</v>
      </c>
      <c r="AK151" s="110" t="str" cm="1">
        <f t="array" ref="AK151">IF(B151="TRI Form A",AD151,IF(AI151=0,"Facility has no transfers to POTWs between 2019-2023.",IF(COUNTIF('Processed Non-zero TRI Data'!$I:$I,$H151)&gt;0,INDEX('Processed Non-zero TRI Data'!$A:$A,MATCH(1,($H151='Processed Non-zero TRI Data'!$I:$I)*(AI151='Processed Non-zero TRI Data'!$U:$U),0)),"N/A - Facility Does Not Report to TRI")))</f>
        <v>N/A - Facility Does Not Report to TRI</v>
      </c>
      <c r="AL151" s="109" cm="1">
        <f t="array" ref="AL151">IFERROR(_xlfn.XLOOKUP(1,  (MAX(IF(H151 = 'Processed Non-zero TRI Data'!$I$2:$I$23,'Processed Non-zero TRI Data'!$A$2:$A$23)) = 'Processed Non-zero TRI Data'!$A$2:$A$23)*('Processed Non-zero TRI Data'!$I$2:$I$23 = H151), 'Processed Non-zero TRI Data'!$W$2:$W$23), "N/A- Facility Does Not Report to TRI")</f>
        <v>0</v>
      </c>
      <c r="AM151" s="33">
        <f t="shared" si="36"/>
        <v>0</v>
      </c>
      <c r="AN151" s="33" t="str" cm="1">
        <f t="array" ref="AN151">IF(COUNTIF('Processed Non-zero TRI Data'!$I:$I,$H151)&gt;0,MEDIAN(IF('Processed Non-zero TRI Data'!$I:$I=H151,'Processed Non-zero TRI Data'!$W:$W)), "N/A - Facility Does Not Report to TRI")</f>
        <v>N/A - Facility Does Not Report to TRI</v>
      </c>
      <c r="AO151" s="33" t="str">
        <f t="shared" si="37"/>
        <v>N/A - Facility Does Not Report to TRI</v>
      </c>
      <c r="AP151" s="33" t="str">
        <f>IF(COUNTIF('Processed Non-zero TRI Data'!$I:$I,$H151)&gt;0,_xlfn.MAXIFS('Processed Non-zero TRI Data'!$W:$W,'Processed Non-zero TRI Data'!$I:$I,$H151), "N/A - Facility Does Not Report to TRI")</f>
        <v>N/A - Facility Does Not Report to TRI</v>
      </c>
      <c r="AQ151" s="33" t="str">
        <f t="shared" si="38"/>
        <v>N/A - Facility Does Not Report to TRI</v>
      </c>
      <c r="AR151" s="110" t="str" cm="1">
        <f t="array" ref="AR151">IF(B151="TRI Form A",AD151,IF(AP151=0,"Facility has no transfers to non-POTWs between 2019-2023.",IF(COUNTIF('Processed Non-zero TRI Data'!$I:$I,$H151)&gt;0,INDEX('Processed Non-zero TRI Data'!$A:$A,MATCH(1,($H151='Processed Non-zero TRI Data'!$I:$I)*(AP151='Processed Non-zero TRI Data'!$W:$W),0)),"N/A - Facility Does Not Report to TRI")))</f>
        <v>N/A - Facility Does Not Report to TRI</v>
      </c>
    </row>
    <row r="152" spans="1:44" ht="29" x14ac:dyDescent="0.35">
      <c r="A152" s="34">
        <v>149</v>
      </c>
      <c r="B152" s="33" t="str">
        <f>IFERROR("TRI Form "&amp;VLOOKUP(H152,'Processed Non-zero TRI Data'!$I$2:$K$23,3,FALSE),"DMR")</f>
        <v>DMR</v>
      </c>
      <c r="C152" s="33" t="str">
        <f>VLOOKUP($D152, 'COU.OES Summary'!C:D, 2, FALSE)</f>
        <v> </v>
      </c>
      <c r="D152" s="33" t="str">
        <f>IFERROR(VLOOKUP($H152, 'Processed Non-zero TRI Data'!$I:$O, 7, FALSE), VLOOKUP($I152, 'Processed Non-zero DMR Data'!$K:$R, 8, FALSE))</f>
        <v>Waste handling, treatment, and disposal - POTW</v>
      </c>
      <c r="E152" s="34" t="s">
        <v>388</v>
      </c>
      <c r="F152" s="34" t="s">
        <v>389</v>
      </c>
      <c r="G152" s="34" t="s">
        <v>102</v>
      </c>
      <c r="H152" s="34"/>
      <c r="I152" s="105">
        <v>110039801462</v>
      </c>
      <c r="J152" s="33" t="str">
        <f>IFERROR(VLOOKUP($I152, 'Processed Non-zero DMR Data'!$K:$U, 11, FALSE),"")</f>
        <v>CA0081558</v>
      </c>
      <c r="K152" s="33" t="str">
        <f>IFERROR(VLOOKUP($I152, 'Processed Non-zero DMR Data'!$K:$V, 12, FALSE),"Not Reported")</f>
        <v>Oakwood Lake-San Joaquin River</v>
      </c>
      <c r="L152" s="106">
        <f>IFERROR(VLOOKUP($I152, 'Processed Non-zero DMR Data'!$K:$W, 13, FALSE),"No Reach Code Reported")</f>
        <v>180400030204</v>
      </c>
      <c r="M152" s="107" t="str">
        <f>IFERROR(IFERROR(VLOOKUP(H152, 'Off-site Locations'!$K$3:$O$5, 5, FALSE), VLOOKUP(H152, 'Off-site Locations'!$B$3:$E$4, 4, FALSE)), "No Offsite Transfers")</f>
        <v>No Offsite Transfers</v>
      </c>
      <c r="N152" s="33">
        <f>VLOOKUP($D152, 'COU.OES Summary'!C:E, 3, FALSE)</f>
        <v>365</v>
      </c>
      <c r="O152" s="108">
        <f t="shared" si="28"/>
        <v>0</v>
      </c>
      <c r="P152" s="108">
        <f t="shared" si="29"/>
        <v>0.27096562666666602</v>
      </c>
      <c r="Q152" s="109" cm="1">
        <f t="array" ref="Q152">IFERROR(_xlfn.XLOOKUP(1,  (MAX(IF(I152 = 'Processed Non-zero DMR Data'!$K:$K,'Processed Non-zero DMR Data'!$A:$A)) = 'Processed Non-zero DMR Data'!$A:$A)*('Processed Non-zero DMR Data'!$K:$K = I152),'Processed Non-zero DMR Data'!$T:$T), "N/A- Facility Does Not Report DMRs")</f>
        <v>0.27096562666666602</v>
      </c>
      <c r="R152" s="33">
        <f t="shared" si="39"/>
        <v>7.4237157990867406E-4</v>
      </c>
      <c r="S152" s="33" cm="1">
        <f t="array" ref="S152">IF(COUNTIF('Processed Non-zero DMR Data'!$K:$K,$I152)&gt;0,MEDIAN(IF('Processed Non-zero DMR Data'!$K:$K=I152,'Processed Non-zero DMR Data'!$T:$T)),"N/A - Facility Does Not Report DMRs")</f>
        <v>0.27096562666666602</v>
      </c>
      <c r="T152" s="33">
        <f t="shared" si="40"/>
        <v>7.4237157990867406E-4</v>
      </c>
      <c r="U152" s="33">
        <f>IF(COUNTIF('Processed Non-zero DMR Data'!$K:$K,$I152)&gt;0,_xlfn.MAXIFS('Processed Non-zero DMR Data'!$T:$T,'Processed Non-zero DMR Data'!$K:$K,$I152), "N/A - Facility Does Not Report DMRs")</f>
        <v>0.27096562666666602</v>
      </c>
      <c r="V152" s="33">
        <f t="shared" si="41"/>
        <v>7.4237157990867406E-4</v>
      </c>
      <c r="W152" s="110" cm="1">
        <f t="array" ref="W152">IF(COUNTIF('Processed Non-zero DMR Data'!$K:$K,$I152)&gt;0,INDEX('Processed Non-zero DMR Data'!$A:$A,MATCH(1,($I152='Processed Non-zero DMR Data'!$K:$K)*($U152='Processed Non-zero DMR Data'!$T:$T),0)), "N/A - Facility Does Not Report DMRs")</f>
        <v>2022</v>
      </c>
      <c r="X152" s="109" cm="1">
        <f t="array" ref="X152">IFERROR(_xlfn.XLOOKUP(1,  (MAX(IF(H152 = 'Processed Non-zero TRI Data'!$I:$I,'Processed Non-zero TRI Data'!$A:$A)) = 'Processed Non-zero TRI Data'!$A:$A)*('Processed Non-zero TRI Data'!$I:$I = H152), 'Processed Non-zero TRI Data'!$S:$S), "N/A- Facility Does Not Report to TRI")</f>
        <v>0</v>
      </c>
      <c r="Y152" s="33">
        <f t="shared" si="30"/>
        <v>0</v>
      </c>
      <c r="Z152" s="33" t="str" cm="1">
        <f t="array" ref="Z152">IF(COUNTIF('Processed Non-zero TRI Data'!$I:$I,$H152)&gt;0,MEDIAN(IF('Processed Non-zero TRI Data'!$I:$I=H152,'Processed Non-zero TRI Data'!$S:$S)), "N/A - Facility Does Not Report to TRI")</f>
        <v>N/A - Facility Does Not Report to TRI</v>
      </c>
      <c r="AA152" s="33" t="str">
        <f t="shared" si="31"/>
        <v>N/A - Facility Does Not Report to TRI</v>
      </c>
      <c r="AB152" s="33" t="str">
        <f>IF(COUNTIF('Processed Non-zero TRI Data'!$I:$I,$H152)&gt;0,_xlfn.MAXIFS('Processed Non-zero TRI Data'!$S:$S,'Processed Non-zero TRI Data'!$I:$I,$H152), "N/A - Facility Does Not Report to TRI")</f>
        <v>N/A - Facility Does Not Report to TRI</v>
      </c>
      <c r="AC152" s="33" t="str">
        <f t="shared" si="32"/>
        <v>N/A - Facility Does Not Report to TRI</v>
      </c>
      <c r="AD152" s="110" t="str" cm="1">
        <f t="array" ref="AD152">IFERROR(IF(B152 = "TRI Form R", IF(AB152 = 0, "Facility has no on-site water discharges between 2019-2023.",  IF(COUNTIF('Processed Non-zero TRI Data'!$I:$I,$H152)&gt;0,INDEX('Processed Non-zero TRI Data'!$A:$A,MATCH(1,($H152='Processed Non-zero TRI Data'!$I:$I)*(AB152='Processed Non-zero TRI Data'!$S:$S),0)))), VLOOKUP(H152, 'Form A Recent Reporting'!$L:$M, 2, FALSE)), ("N/A - Facility Does Not Report to TRI"))</f>
        <v>N/A - Facility Does Not Report to TRI</v>
      </c>
      <c r="AE152" s="109" cm="1">
        <f t="array" ref="AE152">IFERROR(_xlfn.XLOOKUP(1,  (MAX(IF(H152 = 'Processed Non-zero TRI Data'!$I:$I,'Processed Non-zero TRI Data'!$A:$A)) = 'Processed Non-zero TRI Data'!$A:$A)*('Processed Non-zero TRI Data'!$I:$I = H152), 'Processed Non-zero TRI Data'!$U:$U), "N/A- Facility Does Not Report to TRI")</f>
        <v>0</v>
      </c>
      <c r="AF152" s="33">
        <f t="shared" si="33"/>
        <v>0</v>
      </c>
      <c r="AG152" s="33" t="str" cm="1">
        <f t="array" ref="AG152">IF(COUNTIF('Processed Non-zero TRI Data'!$I:$I,$H152)&gt;0,MEDIAN(IF('Processed Non-zero TRI Data'!$I:$I=H152,'Processed Non-zero TRI Data'!$U:$U)), "N/A - Facility Does Not Report to TRI")</f>
        <v>N/A - Facility Does Not Report to TRI</v>
      </c>
      <c r="AH152" s="33" t="str">
        <f t="shared" si="34"/>
        <v>N/A - Facility Does Not Report to TRI</v>
      </c>
      <c r="AI152" s="33" t="str">
        <f>IF(COUNTIF('Processed Non-zero TRI Data'!$I:$I,$H152)&gt;0,_xlfn.MAXIFS('Processed Non-zero TRI Data'!$U:$U,'Processed Non-zero TRI Data'!$I:$I,$H152), "N/A - Facility Does Not Report to TRI")</f>
        <v>N/A - Facility Does Not Report to TRI</v>
      </c>
      <c r="AJ152" s="33" t="str">
        <f t="shared" si="35"/>
        <v>N/A - Facility Does Not Report to TRI</v>
      </c>
      <c r="AK152" s="110" t="str" cm="1">
        <f t="array" ref="AK152">IF(B152="TRI Form A",AD152,IF(AI152=0,"Facility has no transfers to POTWs between 2019-2023.",IF(COUNTIF('Processed Non-zero TRI Data'!$I:$I,$H152)&gt;0,INDEX('Processed Non-zero TRI Data'!$A:$A,MATCH(1,($H152='Processed Non-zero TRI Data'!$I:$I)*(AI152='Processed Non-zero TRI Data'!$U:$U),0)),"N/A - Facility Does Not Report to TRI")))</f>
        <v>N/A - Facility Does Not Report to TRI</v>
      </c>
      <c r="AL152" s="109" cm="1">
        <f t="array" ref="AL152">IFERROR(_xlfn.XLOOKUP(1,  (MAX(IF(H152 = 'Processed Non-zero TRI Data'!$I$2:$I$23,'Processed Non-zero TRI Data'!$A$2:$A$23)) = 'Processed Non-zero TRI Data'!$A$2:$A$23)*('Processed Non-zero TRI Data'!$I$2:$I$23 = H152), 'Processed Non-zero TRI Data'!$W$2:$W$23), "N/A- Facility Does Not Report to TRI")</f>
        <v>0</v>
      </c>
      <c r="AM152" s="33">
        <f t="shared" si="36"/>
        <v>0</v>
      </c>
      <c r="AN152" s="33" t="str" cm="1">
        <f t="array" ref="AN152">IF(COUNTIF('Processed Non-zero TRI Data'!$I:$I,$H152)&gt;0,MEDIAN(IF('Processed Non-zero TRI Data'!$I:$I=H152,'Processed Non-zero TRI Data'!$W:$W)), "N/A - Facility Does Not Report to TRI")</f>
        <v>N/A - Facility Does Not Report to TRI</v>
      </c>
      <c r="AO152" s="33" t="str">
        <f t="shared" si="37"/>
        <v>N/A - Facility Does Not Report to TRI</v>
      </c>
      <c r="AP152" s="33" t="str">
        <f>IF(COUNTIF('Processed Non-zero TRI Data'!$I:$I,$H152)&gt;0,_xlfn.MAXIFS('Processed Non-zero TRI Data'!$W:$W,'Processed Non-zero TRI Data'!$I:$I,$H152), "N/A - Facility Does Not Report to TRI")</f>
        <v>N/A - Facility Does Not Report to TRI</v>
      </c>
      <c r="AQ152" s="33" t="str">
        <f t="shared" si="38"/>
        <v>N/A - Facility Does Not Report to TRI</v>
      </c>
      <c r="AR152" s="110" t="str" cm="1">
        <f t="array" ref="AR152">IF(B152="TRI Form A",AD152,IF(AP152=0,"Facility has no transfers to non-POTWs between 2019-2023.",IF(COUNTIF('Processed Non-zero TRI Data'!$I:$I,$H152)&gt;0,INDEX('Processed Non-zero TRI Data'!$A:$A,MATCH(1,($H152='Processed Non-zero TRI Data'!$I:$I)*(AP152='Processed Non-zero TRI Data'!$W:$W),0)),"N/A - Facility Does Not Report to TRI")))</f>
        <v>N/A - Facility Does Not Report to TRI</v>
      </c>
    </row>
    <row r="153" spans="1:44" ht="29" x14ac:dyDescent="0.35">
      <c r="A153" s="34">
        <v>150</v>
      </c>
      <c r="B153" s="33" t="str">
        <f>IFERROR("TRI Form "&amp;VLOOKUP(H153,'Processed Non-zero TRI Data'!$I$2:$K$23,3,FALSE),"DMR")</f>
        <v>DMR</v>
      </c>
      <c r="C153" s="33" t="str">
        <f>VLOOKUP($D153, 'COU.OES Summary'!C:D, 2, FALSE)</f>
        <v> </v>
      </c>
      <c r="D153" s="33" t="str">
        <f>IFERROR(VLOOKUP($H153, 'Processed Non-zero TRI Data'!$I:$O, 7, FALSE), VLOOKUP($I153, 'Processed Non-zero DMR Data'!$K:$R, 8, FALSE))</f>
        <v>Waste handling, treatment, and disposal - Remediation or Monitoring</v>
      </c>
      <c r="E153" s="34" t="s">
        <v>390</v>
      </c>
      <c r="F153" s="34" t="s">
        <v>391</v>
      </c>
      <c r="G153" s="34" t="s">
        <v>181</v>
      </c>
      <c r="H153" s="34"/>
      <c r="I153" s="105">
        <v>110000412296</v>
      </c>
      <c r="J153" s="33" t="str">
        <f>IFERROR(VLOOKUP($I153, 'Processed Non-zero DMR Data'!$K:$U, 11, FALSE),"")</f>
        <v>MI0047392</v>
      </c>
      <c r="K153" s="33" t="str">
        <f>IFERROR(VLOOKUP($I153, 'Processed Non-zero DMR Data'!$K:$V, 12, FALSE),"Not Reported")</f>
        <v>Club Stream</v>
      </c>
      <c r="L153" s="106">
        <f>IFERROR(VLOOKUP($I153, 'Processed Non-zero DMR Data'!$K:$W, 13, FALSE),"No Reach Code Reported")</f>
        <v>40700040102</v>
      </c>
      <c r="M153" s="107" t="str">
        <f>IFERROR(IFERROR(VLOOKUP(H153, 'Off-site Locations'!$K$3:$O$5, 5, FALSE), VLOOKUP(H153, 'Off-site Locations'!$B$3:$E$4, 4, FALSE)), "No Offsite Transfers")</f>
        <v>No Offsite Transfers</v>
      </c>
      <c r="N153" s="33">
        <f>VLOOKUP($D153, 'COU.OES Summary'!C:E, 3, FALSE)</f>
        <v>365</v>
      </c>
      <c r="O153" s="108">
        <f t="shared" si="28"/>
        <v>0</v>
      </c>
      <c r="P153" s="108">
        <f t="shared" si="29"/>
        <v>0.26160262169999998</v>
      </c>
      <c r="Q153" s="109" cm="1">
        <f t="array" ref="Q153">IFERROR(_xlfn.XLOOKUP(1,  (MAX(IF(I153 = 'Processed Non-zero DMR Data'!$K:$K,'Processed Non-zero DMR Data'!$A:$A)) = 'Processed Non-zero DMR Data'!$A:$A)*('Processed Non-zero DMR Data'!$K:$K = I153),'Processed Non-zero DMR Data'!$T:$T), "N/A- Facility Does Not Report DMRs")</f>
        <v>0.21080633200000001</v>
      </c>
      <c r="R153" s="33">
        <f t="shared" si="39"/>
        <v>5.7755159452054796E-4</v>
      </c>
      <c r="S153" s="33" cm="1">
        <f t="array" ref="S153">IF(COUNTIF('Processed Non-zero DMR Data'!$K:$K,$I153)&gt;0,MEDIAN(IF('Processed Non-zero DMR Data'!$K:$K=I153,'Processed Non-zero DMR Data'!$T:$T)),"N/A - Facility Does Not Report DMRs")</f>
        <v>0.24757781345454499</v>
      </c>
      <c r="T153" s="33">
        <f t="shared" si="40"/>
        <v>6.7829537932752055E-4</v>
      </c>
      <c r="U153" s="33">
        <f>IF(COUNTIF('Processed Non-zero DMR Data'!$K:$K,$I153)&gt;0,_xlfn.MAXIFS('Processed Non-zero DMR Data'!$T:$T,'Processed Non-zero DMR Data'!$K:$K,$I153), "N/A - Facility Does Not Report DMRs")</f>
        <v>0.26160262169999998</v>
      </c>
      <c r="V153" s="33">
        <f t="shared" si="41"/>
        <v>7.1671951150684924E-4</v>
      </c>
      <c r="W153" s="110" cm="1">
        <f t="array" ref="W153">IF(COUNTIF('Processed Non-zero DMR Data'!$K:$K,$I153)&gt;0,INDEX('Processed Non-zero DMR Data'!$A:$A,MATCH(1,($I153='Processed Non-zero DMR Data'!$K:$K)*($U153='Processed Non-zero DMR Data'!$T:$T),0)), "N/A - Facility Does Not Report DMRs")</f>
        <v>2021</v>
      </c>
      <c r="X153" s="109" cm="1">
        <f t="array" ref="X153">IFERROR(_xlfn.XLOOKUP(1,  (MAX(IF(H153 = 'Processed Non-zero TRI Data'!$I:$I,'Processed Non-zero TRI Data'!$A:$A)) = 'Processed Non-zero TRI Data'!$A:$A)*('Processed Non-zero TRI Data'!$I:$I = H153), 'Processed Non-zero TRI Data'!$S:$S), "N/A- Facility Does Not Report to TRI")</f>
        <v>0</v>
      </c>
      <c r="Y153" s="33">
        <f t="shared" si="30"/>
        <v>0</v>
      </c>
      <c r="Z153" s="33" t="str" cm="1">
        <f t="array" ref="Z153">IF(COUNTIF('Processed Non-zero TRI Data'!$I:$I,$H153)&gt;0,MEDIAN(IF('Processed Non-zero TRI Data'!$I:$I=H153,'Processed Non-zero TRI Data'!$S:$S)), "N/A - Facility Does Not Report to TRI")</f>
        <v>N/A - Facility Does Not Report to TRI</v>
      </c>
      <c r="AA153" s="33" t="str">
        <f t="shared" si="31"/>
        <v>N/A - Facility Does Not Report to TRI</v>
      </c>
      <c r="AB153" s="33" t="str">
        <f>IF(COUNTIF('Processed Non-zero TRI Data'!$I:$I,$H153)&gt;0,_xlfn.MAXIFS('Processed Non-zero TRI Data'!$S:$S,'Processed Non-zero TRI Data'!$I:$I,$H153), "N/A - Facility Does Not Report to TRI")</f>
        <v>N/A - Facility Does Not Report to TRI</v>
      </c>
      <c r="AC153" s="33" t="str">
        <f t="shared" si="32"/>
        <v>N/A - Facility Does Not Report to TRI</v>
      </c>
      <c r="AD153" s="110" t="str" cm="1">
        <f t="array" ref="AD153">IFERROR(IF(B153 = "TRI Form R", IF(AB153 = 0, "Facility has no on-site water discharges between 2019-2023.",  IF(COUNTIF('Processed Non-zero TRI Data'!$I:$I,$H153)&gt;0,INDEX('Processed Non-zero TRI Data'!$A:$A,MATCH(1,($H153='Processed Non-zero TRI Data'!$I:$I)*(AB153='Processed Non-zero TRI Data'!$S:$S),0)))), VLOOKUP(H153, 'Form A Recent Reporting'!$L:$M, 2, FALSE)), ("N/A - Facility Does Not Report to TRI"))</f>
        <v>N/A - Facility Does Not Report to TRI</v>
      </c>
      <c r="AE153" s="109" cm="1">
        <f t="array" ref="AE153">IFERROR(_xlfn.XLOOKUP(1,  (MAX(IF(H153 = 'Processed Non-zero TRI Data'!$I:$I,'Processed Non-zero TRI Data'!$A:$A)) = 'Processed Non-zero TRI Data'!$A:$A)*('Processed Non-zero TRI Data'!$I:$I = H153), 'Processed Non-zero TRI Data'!$U:$U), "N/A- Facility Does Not Report to TRI")</f>
        <v>0</v>
      </c>
      <c r="AF153" s="33">
        <f t="shared" si="33"/>
        <v>0</v>
      </c>
      <c r="AG153" s="33" t="str" cm="1">
        <f t="array" ref="AG153">IF(COUNTIF('Processed Non-zero TRI Data'!$I:$I,$H153)&gt;0,MEDIAN(IF('Processed Non-zero TRI Data'!$I:$I=H153,'Processed Non-zero TRI Data'!$U:$U)), "N/A - Facility Does Not Report to TRI")</f>
        <v>N/A - Facility Does Not Report to TRI</v>
      </c>
      <c r="AH153" s="33" t="str">
        <f t="shared" si="34"/>
        <v>N/A - Facility Does Not Report to TRI</v>
      </c>
      <c r="AI153" s="33" t="str">
        <f>IF(COUNTIF('Processed Non-zero TRI Data'!$I:$I,$H153)&gt;0,_xlfn.MAXIFS('Processed Non-zero TRI Data'!$U:$U,'Processed Non-zero TRI Data'!$I:$I,$H153), "N/A - Facility Does Not Report to TRI")</f>
        <v>N/A - Facility Does Not Report to TRI</v>
      </c>
      <c r="AJ153" s="33" t="str">
        <f t="shared" si="35"/>
        <v>N/A - Facility Does Not Report to TRI</v>
      </c>
      <c r="AK153" s="110" t="str" cm="1">
        <f t="array" ref="AK153">IF(B153="TRI Form A",AD153,IF(AI153=0,"Facility has no transfers to POTWs between 2019-2023.",IF(COUNTIF('Processed Non-zero TRI Data'!$I:$I,$H153)&gt;0,INDEX('Processed Non-zero TRI Data'!$A:$A,MATCH(1,($H153='Processed Non-zero TRI Data'!$I:$I)*(AI153='Processed Non-zero TRI Data'!$U:$U),0)),"N/A - Facility Does Not Report to TRI")))</f>
        <v>N/A - Facility Does Not Report to TRI</v>
      </c>
      <c r="AL153" s="109" cm="1">
        <f t="array" ref="AL153">IFERROR(_xlfn.XLOOKUP(1,  (MAX(IF(H153 = 'Processed Non-zero TRI Data'!$I$2:$I$23,'Processed Non-zero TRI Data'!$A$2:$A$23)) = 'Processed Non-zero TRI Data'!$A$2:$A$23)*('Processed Non-zero TRI Data'!$I$2:$I$23 = H153), 'Processed Non-zero TRI Data'!$W$2:$W$23), "N/A- Facility Does Not Report to TRI")</f>
        <v>0</v>
      </c>
      <c r="AM153" s="33">
        <f t="shared" si="36"/>
        <v>0</v>
      </c>
      <c r="AN153" s="33" t="str" cm="1">
        <f t="array" ref="AN153">IF(COUNTIF('Processed Non-zero TRI Data'!$I:$I,$H153)&gt;0,MEDIAN(IF('Processed Non-zero TRI Data'!$I:$I=H153,'Processed Non-zero TRI Data'!$W:$W)), "N/A - Facility Does Not Report to TRI")</f>
        <v>N/A - Facility Does Not Report to TRI</v>
      </c>
      <c r="AO153" s="33" t="str">
        <f t="shared" si="37"/>
        <v>N/A - Facility Does Not Report to TRI</v>
      </c>
      <c r="AP153" s="33" t="str">
        <f>IF(COUNTIF('Processed Non-zero TRI Data'!$I:$I,$H153)&gt;0,_xlfn.MAXIFS('Processed Non-zero TRI Data'!$W:$W,'Processed Non-zero TRI Data'!$I:$I,$H153), "N/A - Facility Does Not Report to TRI")</f>
        <v>N/A - Facility Does Not Report to TRI</v>
      </c>
      <c r="AQ153" s="33" t="str">
        <f t="shared" si="38"/>
        <v>N/A - Facility Does Not Report to TRI</v>
      </c>
      <c r="AR153" s="110" t="str" cm="1">
        <f t="array" ref="AR153">IF(B153="TRI Form A",AD153,IF(AP153=0,"Facility has no transfers to non-POTWs between 2019-2023.",IF(COUNTIF('Processed Non-zero TRI Data'!$I:$I,$H153)&gt;0,INDEX('Processed Non-zero TRI Data'!$A:$A,MATCH(1,($H153='Processed Non-zero TRI Data'!$I:$I)*(AP153='Processed Non-zero TRI Data'!$W:$W),0)),"N/A - Facility Does Not Report to TRI")))</f>
        <v>N/A - Facility Does Not Report to TRI</v>
      </c>
    </row>
    <row r="154" spans="1:44" ht="29" x14ac:dyDescent="0.35">
      <c r="A154" s="34">
        <v>151</v>
      </c>
      <c r="B154" s="33" t="str">
        <f>IFERROR("TRI Form "&amp;VLOOKUP(H154,'Processed Non-zero TRI Data'!$I$2:$K$23,3,FALSE),"DMR")</f>
        <v>DMR</v>
      </c>
      <c r="C154" s="33" t="str">
        <f>VLOOKUP($D154, 'COU.OES Summary'!C:D, 2, FALSE)</f>
        <v> </v>
      </c>
      <c r="D154" s="33" t="str">
        <f>IFERROR(VLOOKUP($H154, 'Processed Non-zero TRI Data'!$I:$O, 7, FALSE), VLOOKUP($I154, 'Processed Non-zero DMR Data'!$K:$R, 8, FALSE))</f>
        <v>Waste handling, treatment, and disposal - POTW</v>
      </c>
      <c r="E154" s="34" t="s">
        <v>392</v>
      </c>
      <c r="F154" s="34" t="s">
        <v>393</v>
      </c>
      <c r="G154" s="34" t="s">
        <v>156</v>
      </c>
      <c r="H154" s="34"/>
      <c r="I154" s="105">
        <v>110020728943</v>
      </c>
      <c r="J154" s="33" t="str">
        <f>IFERROR(VLOOKUP($I154, 'Processed Non-zero DMR Data'!$K:$U, 11, FALSE),"")</f>
        <v>HI0020877</v>
      </c>
      <c r="K154" s="33" t="str">
        <f>IFERROR(VLOOKUP($I154, 'Processed Non-zero DMR Data'!$K:$V, 12, FALSE),"Not Reported")</f>
        <v>Kaloi Gulch</v>
      </c>
      <c r="L154" s="106">
        <f>IFERROR(VLOOKUP($I154, 'Processed Non-zero DMR Data'!$K:$W, 13, FALSE),"No Reach Code Reported")</f>
        <v>200600000405</v>
      </c>
      <c r="M154" s="107" t="str">
        <f>IFERROR(IFERROR(VLOOKUP(H154, 'Off-site Locations'!$K$3:$O$5, 5, FALSE), VLOOKUP(H154, 'Off-site Locations'!$B$3:$E$4, 4, FALSE)), "No Offsite Transfers")</f>
        <v>No Offsite Transfers</v>
      </c>
      <c r="N154" s="33">
        <f>VLOOKUP($D154, 'COU.OES Summary'!C:E, 3, FALSE)</f>
        <v>365</v>
      </c>
      <c r="O154" s="108">
        <f t="shared" si="28"/>
        <v>0</v>
      </c>
      <c r="P154" s="108">
        <f t="shared" si="29"/>
        <v>0.25944340032000002</v>
      </c>
      <c r="Q154" s="109" cm="1">
        <f t="array" ref="Q154">IFERROR(_xlfn.XLOOKUP(1,  (MAX(IF(I154 = 'Processed Non-zero DMR Data'!$K:$K,'Processed Non-zero DMR Data'!$A:$A)) = 'Processed Non-zero DMR Data'!$A:$A)*('Processed Non-zero DMR Data'!$K:$K = I154),'Processed Non-zero DMR Data'!$T:$T), "N/A- Facility Does Not Report DMRs")</f>
        <v>0.25944340032000002</v>
      </c>
      <c r="R154" s="33">
        <f t="shared" si="39"/>
        <v>7.1080383649315077E-4</v>
      </c>
      <c r="S154" s="33" cm="1">
        <f t="array" ref="S154">IF(COUNTIF('Processed Non-zero DMR Data'!$K:$K,$I154)&gt;0,MEDIAN(IF('Processed Non-zero DMR Data'!$K:$K=I154,'Processed Non-zero DMR Data'!$T:$T)),"N/A - Facility Does Not Report DMRs")</f>
        <v>0.25944340032000002</v>
      </c>
      <c r="T154" s="33">
        <f t="shared" si="40"/>
        <v>7.1080383649315077E-4</v>
      </c>
      <c r="U154" s="33">
        <f>IF(COUNTIF('Processed Non-zero DMR Data'!$K:$K,$I154)&gt;0,_xlfn.MAXIFS('Processed Non-zero DMR Data'!$T:$T,'Processed Non-zero DMR Data'!$K:$K,$I154), "N/A - Facility Does Not Report DMRs")</f>
        <v>0.25944340032000002</v>
      </c>
      <c r="V154" s="33">
        <f t="shared" si="41"/>
        <v>7.1080383649315077E-4</v>
      </c>
      <c r="W154" s="110" cm="1">
        <f t="array" ref="W154">IF(COUNTIF('Processed Non-zero DMR Data'!$K:$K,$I154)&gt;0,INDEX('Processed Non-zero DMR Data'!$A:$A,MATCH(1,($I154='Processed Non-zero DMR Data'!$K:$K)*($U154='Processed Non-zero DMR Data'!$T:$T),0)), "N/A - Facility Does Not Report DMRs")</f>
        <v>2019</v>
      </c>
      <c r="X154" s="109" cm="1">
        <f t="array" ref="X154">IFERROR(_xlfn.XLOOKUP(1,  (MAX(IF(H154 = 'Processed Non-zero TRI Data'!$I:$I,'Processed Non-zero TRI Data'!$A:$A)) = 'Processed Non-zero TRI Data'!$A:$A)*('Processed Non-zero TRI Data'!$I:$I = H154), 'Processed Non-zero TRI Data'!$S:$S), "N/A- Facility Does Not Report to TRI")</f>
        <v>0</v>
      </c>
      <c r="Y154" s="33">
        <f t="shared" si="30"/>
        <v>0</v>
      </c>
      <c r="Z154" s="33" t="str" cm="1">
        <f t="array" ref="Z154">IF(COUNTIF('Processed Non-zero TRI Data'!$I:$I,$H154)&gt;0,MEDIAN(IF('Processed Non-zero TRI Data'!$I:$I=H154,'Processed Non-zero TRI Data'!$S:$S)), "N/A - Facility Does Not Report to TRI")</f>
        <v>N/A - Facility Does Not Report to TRI</v>
      </c>
      <c r="AA154" s="33" t="str">
        <f t="shared" si="31"/>
        <v>N/A - Facility Does Not Report to TRI</v>
      </c>
      <c r="AB154" s="33" t="str">
        <f>IF(COUNTIF('Processed Non-zero TRI Data'!$I:$I,$H154)&gt;0,_xlfn.MAXIFS('Processed Non-zero TRI Data'!$S:$S,'Processed Non-zero TRI Data'!$I:$I,$H154), "N/A - Facility Does Not Report to TRI")</f>
        <v>N/A - Facility Does Not Report to TRI</v>
      </c>
      <c r="AC154" s="33" t="str">
        <f t="shared" si="32"/>
        <v>N/A - Facility Does Not Report to TRI</v>
      </c>
      <c r="AD154" s="110" t="str" cm="1">
        <f t="array" ref="AD154">IFERROR(IF(B154 = "TRI Form R", IF(AB154 = 0, "Facility has no on-site water discharges between 2019-2023.",  IF(COUNTIF('Processed Non-zero TRI Data'!$I:$I,$H154)&gt;0,INDEX('Processed Non-zero TRI Data'!$A:$A,MATCH(1,($H154='Processed Non-zero TRI Data'!$I:$I)*(AB154='Processed Non-zero TRI Data'!$S:$S),0)))), VLOOKUP(H154, 'Form A Recent Reporting'!$L:$M, 2, FALSE)), ("N/A - Facility Does Not Report to TRI"))</f>
        <v>N/A - Facility Does Not Report to TRI</v>
      </c>
      <c r="AE154" s="109" cm="1">
        <f t="array" ref="AE154">IFERROR(_xlfn.XLOOKUP(1,  (MAX(IF(H154 = 'Processed Non-zero TRI Data'!$I:$I,'Processed Non-zero TRI Data'!$A:$A)) = 'Processed Non-zero TRI Data'!$A:$A)*('Processed Non-zero TRI Data'!$I:$I = H154), 'Processed Non-zero TRI Data'!$U:$U), "N/A- Facility Does Not Report to TRI")</f>
        <v>0</v>
      </c>
      <c r="AF154" s="33">
        <f t="shared" si="33"/>
        <v>0</v>
      </c>
      <c r="AG154" s="33" t="str" cm="1">
        <f t="array" ref="AG154">IF(COUNTIF('Processed Non-zero TRI Data'!$I:$I,$H154)&gt;0,MEDIAN(IF('Processed Non-zero TRI Data'!$I:$I=H154,'Processed Non-zero TRI Data'!$U:$U)), "N/A - Facility Does Not Report to TRI")</f>
        <v>N/A - Facility Does Not Report to TRI</v>
      </c>
      <c r="AH154" s="33" t="str">
        <f t="shared" si="34"/>
        <v>N/A - Facility Does Not Report to TRI</v>
      </c>
      <c r="AI154" s="33" t="str">
        <f>IF(COUNTIF('Processed Non-zero TRI Data'!$I:$I,$H154)&gt;0,_xlfn.MAXIFS('Processed Non-zero TRI Data'!$U:$U,'Processed Non-zero TRI Data'!$I:$I,$H154), "N/A - Facility Does Not Report to TRI")</f>
        <v>N/A - Facility Does Not Report to TRI</v>
      </c>
      <c r="AJ154" s="33" t="str">
        <f t="shared" si="35"/>
        <v>N/A - Facility Does Not Report to TRI</v>
      </c>
      <c r="AK154" s="110" t="str" cm="1">
        <f t="array" ref="AK154">IF(B154="TRI Form A",AD154,IF(AI154=0,"Facility has no transfers to POTWs between 2019-2023.",IF(COUNTIF('Processed Non-zero TRI Data'!$I:$I,$H154)&gt;0,INDEX('Processed Non-zero TRI Data'!$A:$A,MATCH(1,($H154='Processed Non-zero TRI Data'!$I:$I)*(AI154='Processed Non-zero TRI Data'!$U:$U),0)),"N/A - Facility Does Not Report to TRI")))</f>
        <v>N/A - Facility Does Not Report to TRI</v>
      </c>
      <c r="AL154" s="109" cm="1">
        <f t="array" ref="AL154">IFERROR(_xlfn.XLOOKUP(1,  (MAX(IF(H154 = 'Processed Non-zero TRI Data'!$I$2:$I$23,'Processed Non-zero TRI Data'!$A$2:$A$23)) = 'Processed Non-zero TRI Data'!$A$2:$A$23)*('Processed Non-zero TRI Data'!$I$2:$I$23 = H154), 'Processed Non-zero TRI Data'!$W$2:$W$23), "N/A- Facility Does Not Report to TRI")</f>
        <v>0</v>
      </c>
      <c r="AM154" s="33">
        <f t="shared" si="36"/>
        <v>0</v>
      </c>
      <c r="AN154" s="33" t="str" cm="1">
        <f t="array" ref="AN154">IF(COUNTIF('Processed Non-zero TRI Data'!$I:$I,$H154)&gt;0,MEDIAN(IF('Processed Non-zero TRI Data'!$I:$I=H154,'Processed Non-zero TRI Data'!$W:$W)), "N/A - Facility Does Not Report to TRI")</f>
        <v>N/A - Facility Does Not Report to TRI</v>
      </c>
      <c r="AO154" s="33" t="str">
        <f t="shared" si="37"/>
        <v>N/A - Facility Does Not Report to TRI</v>
      </c>
      <c r="AP154" s="33" t="str">
        <f>IF(COUNTIF('Processed Non-zero TRI Data'!$I:$I,$H154)&gt;0,_xlfn.MAXIFS('Processed Non-zero TRI Data'!$W:$W,'Processed Non-zero TRI Data'!$I:$I,$H154), "N/A - Facility Does Not Report to TRI")</f>
        <v>N/A - Facility Does Not Report to TRI</v>
      </c>
      <c r="AQ154" s="33" t="str">
        <f t="shared" si="38"/>
        <v>N/A - Facility Does Not Report to TRI</v>
      </c>
      <c r="AR154" s="110" t="str" cm="1">
        <f t="array" ref="AR154">IF(B154="TRI Form A",AD154,IF(AP154=0,"Facility has no transfers to non-POTWs between 2019-2023.",IF(COUNTIF('Processed Non-zero TRI Data'!$I:$I,$H154)&gt;0,INDEX('Processed Non-zero TRI Data'!$A:$A,MATCH(1,($H154='Processed Non-zero TRI Data'!$I:$I)*(AP154='Processed Non-zero TRI Data'!$W:$W),0)),"N/A - Facility Does Not Report to TRI")))</f>
        <v>N/A - Facility Does Not Report to TRI</v>
      </c>
    </row>
    <row r="155" spans="1:44" ht="29" x14ac:dyDescent="0.35">
      <c r="A155" s="34">
        <v>152</v>
      </c>
      <c r="B155" s="33" t="str">
        <f>IFERROR("TRI Form "&amp;VLOOKUP(H155,'Processed Non-zero TRI Data'!$I$2:$K$23,3,FALSE),"DMR")</f>
        <v>DMR</v>
      </c>
      <c r="C155" s="33" t="str">
        <f>VLOOKUP($D155, 'COU.OES Summary'!C:D, 2, FALSE)</f>
        <v> </v>
      </c>
      <c r="D155" s="33" t="str">
        <f>IFERROR(VLOOKUP($H155, 'Processed Non-zero TRI Data'!$I:$O, 7, FALSE), VLOOKUP($I155, 'Processed Non-zero DMR Data'!$K:$R, 8, FALSE))</f>
        <v>Waste handling, treatment, and disposal - Remediation or Monitoring</v>
      </c>
      <c r="E155" s="34" t="s">
        <v>394</v>
      </c>
      <c r="F155" s="34" t="s">
        <v>337</v>
      </c>
      <c r="G155" s="34" t="s">
        <v>221</v>
      </c>
      <c r="H155" s="34"/>
      <c r="I155" s="105">
        <v>110008995490</v>
      </c>
      <c r="J155" s="33" t="str">
        <f>IFERROR(VLOOKUP($I155, 'Processed Non-zero DMR Data'!$K:$U, 11, FALSE),"")</f>
        <v>NV0023043</v>
      </c>
      <c r="K155" s="33" t="str">
        <f>IFERROR(VLOOKUP($I155, 'Processed Non-zero DMR Data'!$K:$V, 12, FALSE),"Not Reported")</f>
        <v>City of Las Vegas-Las Vegas Wash</v>
      </c>
      <c r="L155" s="106">
        <f>IFERROR(VLOOKUP($I155, 'Processed Non-zero DMR Data'!$K:$W, 13, FALSE),"No Reach Code Reported")</f>
        <v>150100150604</v>
      </c>
      <c r="M155" s="107" t="str">
        <f>IFERROR(IFERROR(VLOOKUP(H155, 'Off-site Locations'!$K$3:$O$5, 5, FALSE), VLOOKUP(H155, 'Off-site Locations'!$B$3:$E$4, 4, FALSE)), "No Offsite Transfers")</f>
        <v>No Offsite Transfers</v>
      </c>
      <c r="N155" s="33">
        <f>VLOOKUP($D155, 'COU.OES Summary'!C:E, 3, FALSE)</f>
        <v>365</v>
      </c>
      <c r="O155" s="108">
        <f t="shared" si="28"/>
        <v>0</v>
      </c>
      <c r="P155" s="108">
        <f t="shared" si="29"/>
        <v>0.25150662624999998</v>
      </c>
      <c r="Q155" s="109" cm="1">
        <f t="array" ref="Q155">IFERROR(_xlfn.XLOOKUP(1,  (MAX(IF(I155 = 'Processed Non-zero DMR Data'!$K:$K,'Processed Non-zero DMR Data'!$A:$A)) = 'Processed Non-zero DMR Data'!$A:$A)*('Processed Non-zero DMR Data'!$K:$K = I155),'Processed Non-zero DMR Data'!$T:$T), "N/A- Facility Does Not Report DMRs")</f>
        <v>0.25150662624999998</v>
      </c>
      <c r="R155" s="33">
        <f t="shared" si="39"/>
        <v>6.8905924999999998E-4</v>
      </c>
      <c r="S155" s="33" cm="1">
        <f t="array" ref="S155">IF(COUNTIF('Processed Non-zero DMR Data'!$K:$K,$I155)&gt;0,MEDIAN(IF('Processed Non-zero DMR Data'!$K:$K=I155,'Processed Non-zero DMR Data'!$T:$T)),"N/A - Facility Does Not Report DMRs")</f>
        <v>3.2581540218750003E-2</v>
      </c>
      <c r="T155" s="33">
        <f t="shared" si="40"/>
        <v>8.926449375000001E-5</v>
      </c>
      <c r="U155" s="33">
        <f>IF(COUNTIF('Processed Non-zero DMR Data'!$K:$K,$I155)&gt;0,_xlfn.MAXIFS('Processed Non-zero DMR Data'!$T:$T,'Processed Non-zero DMR Data'!$K:$K,$I155), "N/A - Facility Does Not Report DMRs")</f>
        <v>0.25150662624999998</v>
      </c>
      <c r="V155" s="33">
        <f t="shared" si="41"/>
        <v>6.8905924999999998E-4</v>
      </c>
      <c r="W155" s="110" cm="1">
        <f t="array" ref="W155">IF(COUNTIF('Processed Non-zero DMR Data'!$K:$K,$I155)&gt;0,INDEX('Processed Non-zero DMR Data'!$A:$A,MATCH(1,($I155='Processed Non-zero DMR Data'!$K:$K)*($U155='Processed Non-zero DMR Data'!$T:$T),0)), "N/A - Facility Does Not Report DMRs")</f>
        <v>2023</v>
      </c>
      <c r="X155" s="109" cm="1">
        <f t="array" ref="X155">IFERROR(_xlfn.XLOOKUP(1,  (MAX(IF(H155 = 'Processed Non-zero TRI Data'!$I:$I,'Processed Non-zero TRI Data'!$A:$A)) = 'Processed Non-zero TRI Data'!$A:$A)*('Processed Non-zero TRI Data'!$I:$I = H155), 'Processed Non-zero TRI Data'!$S:$S), "N/A- Facility Does Not Report to TRI")</f>
        <v>0</v>
      </c>
      <c r="Y155" s="33">
        <f t="shared" si="30"/>
        <v>0</v>
      </c>
      <c r="Z155" s="33" t="str" cm="1">
        <f t="array" ref="Z155">IF(COUNTIF('Processed Non-zero TRI Data'!$I:$I,$H155)&gt;0,MEDIAN(IF('Processed Non-zero TRI Data'!$I:$I=H155,'Processed Non-zero TRI Data'!$S:$S)), "N/A - Facility Does Not Report to TRI")</f>
        <v>N/A - Facility Does Not Report to TRI</v>
      </c>
      <c r="AA155" s="33" t="str">
        <f t="shared" si="31"/>
        <v>N/A - Facility Does Not Report to TRI</v>
      </c>
      <c r="AB155" s="33" t="str">
        <f>IF(COUNTIF('Processed Non-zero TRI Data'!$I:$I,$H155)&gt;0,_xlfn.MAXIFS('Processed Non-zero TRI Data'!$S:$S,'Processed Non-zero TRI Data'!$I:$I,$H155), "N/A - Facility Does Not Report to TRI")</f>
        <v>N/A - Facility Does Not Report to TRI</v>
      </c>
      <c r="AC155" s="33" t="str">
        <f t="shared" si="32"/>
        <v>N/A - Facility Does Not Report to TRI</v>
      </c>
      <c r="AD155" s="110" t="str" cm="1">
        <f t="array" ref="AD155">IFERROR(IF(B155 = "TRI Form R", IF(AB155 = 0, "Facility has no on-site water discharges between 2019-2023.",  IF(COUNTIF('Processed Non-zero TRI Data'!$I:$I,$H155)&gt;0,INDEX('Processed Non-zero TRI Data'!$A:$A,MATCH(1,($H155='Processed Non-zero TRI Data'!$I:$I)*(AB155='Processed Non-zero TRI Data'!$S:$S),0)))), VLOOKUP(H155, 'Form A Recent Reporting'!$L:$M, 2, FALSE)), ("N/A - Facility Does Not Report to TRI"))</f>
        <v>N/A - Facility Does Not Report to TRI</v>
      </c>
      <c r="AE155" s="109" cm="1">
        <f t="array" ref="AE155">IFERROR(_xlfn.XLOOKUP(1,  (MAX(IF(H155 = 'Processed Non-zero TRI Data'!$I:$I,'Processed Non-zero TRI Data'!$A:$A)) = 'Processed Non-zero TRI Data'!$A:$A)*('Processed Non-zero TRI Data'!$I:$I = H155), 'Processed Non-zero TRI Data'!$U:$U), "N/A- Facility Does Not Report to TRI")</f>
        <v>0</v>
      </c>
      <c r="AF155" s="33">
        <f t="shared" si="33"/>
        <v>0</v>
      </c>
      <c r="AG155" s="33" t="str" cm="1">
        <f t="array" ref="AG155">IF(COUNTIF('Processed Non-zero TRI Data'!$I:$I,$H155)&gt;0,MEDIAN(IF('Processed Non-zero TRI Data'!$I:$I=H155,'Processed Non-zero TRI Data'!$U:$U)), "N/A - Facility Does Not Report to TRI")</f>
        <v>N/A - Facility Does Not Report to TRI</v>
      </c>
      <c r="AH155" s="33" t="str">
        <f t="shared" si="34"/>
        <v>N/A - Facility Does Not Report to TRI</v>
      </c>
      <c r="AI155" s="33" t="str">
        <f>IF(COUNTIF('Processed Non-zero TRI Data'!$I:$I,$H155)&gt;0,_xlfn.MAXIFS('Processed Non-zero TRI Data'!$U:$U,'Processed Non-zero TRI Data'!$I:$I,$H155), "N/A - Facility Does Not Report to TRI")</f>
        <v>N/A - Facility Does Not Report to TRI</v>
      </c>
      <c r="AJ155" s="33" t="str">
        <f t="shared" si="35"/>
        <v>N/A - Facility Does Not Report to TRI</v>
      </c>
      <c r="AK155" s="110" t="str" cm="1">
        <f t="array" ref="AK155">IF(B155="TRI Form A",AD155,IF(AI155=0,"Facility has no transfers to POTWs between 2019-2023.",IF(COUNTIF('Processed Non-zero TRI Data'!$I:$I,$H155)&gt;0,INDEX('Processed Non-zero TRI Data'!$A:$A,MATCH(1,($H155='Processed Non-zero TRI Data'!$I:$I)*(AI155='Processed Non-zero TRI Data'!$U:$U),0)),"N/A - Facility Does Not Report to TRI")))</f>
        <v>N/A - Facility Does Not Report to TRI</v>
      </c>
      <c r="AL155" s="109" cm="1">
        <f t="array" ref="AL155">IFERROR(_xlfn.XLOOKUP(1,  (MAX(IF(H155 = 'Processed Non-zero TRI Data'!$I$2:$I$23,'Processed Non-zero TRI Data'!$A$2:$A$23)) = 'Processed Non-zero TRI Data'!$A$2:$A$23)*('Processed Non-zero TRI Data'!$I$2:$I$23 = H155), 'Processed Non-zero TRI Data'!$W$2:$W$23), "N/A- Facility Does Not Report to TRI")</f>
        <v>0</v>
      </c>
      <c r="AM155" s="33">
        <f t="shared" si="36"/>
        <v>0</v>
      </c>
      <c r="AN155" s="33" t="str" cm="1">
        <f t="array" ref="AN155">IF(COUNTIF('Processed Non-zero TRI Data'!$I:$I,$H155)&gt;0,MEDIAN(IF('Processed Non-zero TRI Data'!$I:$I=H155,'Processed Non-zero TRI Data'!$W:$W)), "N/A - Facility Does Not Report to TRI")</f>
        <v>N/A - Facility Does Not Report to TRI</v>
      </c>
      <c r="AO155" s="33" t="str">
        <f t="shared" si="37"/>
        <v>N/A - Facility Does Not Report to TRI</v>
      </c>
      <c r="AP155" s="33" t="str">
        <f>IF(COUNTIF('Processed Non-zero TRI Data'!$I:$I,$H155)&gt;0,_xlfn.MAXIFS('Processed Non-zero TRI Data'!$W:$W,'Processed Non-zero TRI Data'!$I:$I,$H155), "N/A - Facility Does Not Report to TRI")</f>
        <v>N/A - Facility Does Not Report to TRI</v>
      </c>
      <c r="AQ155" s="33" t="str">
        <f t="shared" si="38"/>
        <v>N/A - Facility Does Not Report to TRI</v>
      </c>
      <c r="AR155" s="110" t="str" cm="1">
        <f t="array" ref="AR155">IF(B155="TRI Form A",AD155,IF(AP155=0,"Facility has no transfers to non-POTWs between 2019-2023.",IF(COUNTIF('Processed Non-zero TRI Data'!$I:$I,$H155)&gt;0,INDEX('Processed Non-zero TRI Data'!$A:$A,MATCH(1,($H155='Processed Non-zero TRI Data'!$I:$I)*(AP155='Processed Non-zero TRI Data'!$W:$W),0)),"N/A - Facility Does Not Report to TRI")))</f>
        <v>N/A - Facility Does Not Report to TRI</v>
      </c>
    </row>
    <row r="156" spans="1:44" ht="29" x14ac:dyDescent="0.35">
      <c r="A156" s="34">
        <v>153</v>
      </c>
      <c r="B156" s="33" t="str">
        <f>IFERROR("TRI Form "&amp;VLOOKUP(H156,'Processed Non-zero TRI Data'!$I$2:$K$23,3,FALSE),"DMR")</f>
        <v>DMR</v>
      </c>
      <c r="C156" s="33" t="str">
        <f>VLOOKUP($D156, 'COU.OES Summary'!C:D, 2, FALSE)</f>
        <v> </v>
      </c>
      <c r="D156" s="33" t="str">
        <f>IFERROR(VLOOKUP($H156, 'Processed Non-zero TRI Data'!$I:$O, 7, FALSE), VLOOKUP($I156, 'Processed Non-zero DMR Data'!$K:$R, 8, FALSE))</f>
        <v>Waste handling, treatment, and disposal - Remediation or Monitoring</v>
      </c>
      <c r="E156" s="34" t="s">
        <v>395</v>
      </c>
      <c r="F156" s="34" t="s">
        <v>396</v>
      </c>
      <c r="G156" s="34" t="s">
        <v>276</v>
      </c>
      <c r="H156" s="34"/>
      <c r="I156" s="105">
        <v>110070885683</v>
      </c>
      <c r="J156" s="33" t="str">
        <f>IFERROR(VLOOKUP($I156, 'Processed Non-zero DMR Data'!$K:$U, 11, FALSE),"")</f>
        <v>VAG830554</v>
      </c>
      <c r="K156" s="33" t="str">
        <f>IFERROR(VLOOKUP($I156, 'Processed Non-zero DMR Data'!$K:$V, 12, FALSE),"Not Reported")</f>
        <v>Fourmile Run-Potomac River</v>
      </c>
      <c r="L156" s="106">
        <f>IFERROR(VLOOKUP($I156, 'Processed Non-zero DMR Data'!$K:$W, 13, FALSE),"No Reach Code Reported")</f>
        <v>20700100301</v>
      </c>
      <c r="M156" s="107" t="str">
        <f>IFERROR(IFERROR(VLOOKUP(H156, 'Off-site Locations'!$K$3:$O$5, 5, FALSE), VLOOKUP(H156, 'Off-site Locations'!$B$3:$E$4, 4, FALSE)), "No Offsite Transfers")</f>
        <v>No Offsite Transfers</v>
      </c>
      <c r="N156" s="33">
        <f>VLOOKUP($D156, 'COU.OES Summary'!C:E, 3, FALSE)</f>
        <v>365</v>
      </c>
      <c r="O156" s="108">
        <f t="shared" si="28"/>
        <v>0</v>
      </c>
      <c r="P156" s="108">
        <f t="shared" si="29"/>
        <v>0.24413116692299999</v>
      </c>
      <c r="Q156" s="109" cm="1">
        <f t="array" ref="Q156">IFERROR(_xlfn.XLOOKUP(1,  (MAX(IF(I156 = 'Processed Non-zero DMR Data'!$K:$K,'Processed Non-zero DMR Data'!$A:$A)) = 'Processed Non-zero DMR Data'!$A:$A)*('Processed Non-zero DMR Data'!$K:$K = I156),'Processed Non-zero DMR Data'!$T:$T), "N/A- Facility Does Not Report DMRs")</f>
        <v>0.24413116692299999</v>
      </c>
      <c r="R156" s="33">
        <f t="shared" si="39"/>
        <v>6.6885251211780817E-4</v>
      </c>
      <c r="S156" s="33" cm="1">
        <f t="array" ref="S156">IF(COUNTIF('Processed Non-zero DMR Data'!$K:$K,$I156)&gt;0,MEDIAN(IF('Processed Non-zero DMR Data'!$K:$K=I156,'Processed Non-zero DMR Data'!$T:$T)),"N/A - Facility Does Not Report DMRs")</f>
        <v>0.24413116692299999</v>
      </c>
      <c r="T156" s="33">
        <f t="shared" si="40"/>
        <v>6.6885251211780817E-4</v>
      </c>
      <c r="U156" s="33">
        <f>IF(COUNTIF('Processed Non-zero DMR Data'!$K:$K,$I156)&gt;0,_xlfn.MAXIFS('Processed Non-zero DMR Data'!$T:$T,'Processed Non-zero DMR Data'!$K:$K,$I156), "N/A - Facility Does Not Report DMRs")</f>
        <v>0.24413116692299999</v>
      </c>
      <c r="V156" s="33">
        <f t="shared" si="41"/>
        <v>6.6885251211780817E-4</v>
      </c>
      <c r="W156" s="110" cm="1">
        <f t="array" ref="W156">IF(COUNTIF('Processed Non-zero DMR Data'!$K:$K,$I156)&gt;0,INDEX('Processed Non-zero DMR Data'!$A:$A,MATCH(1,($I156='Processed Non-zero DMR Data'!$K:$K)*($U156='Processed Non-zero DMR Data'!$T:$T),0)), "N/A - Facility Does Not Report DMRs")</f>
        <v>2020</v>
      </c>
      <c r="X156" s="109" cm="1">
        <f t="array" ref="X156">IFERROR(_xlfn.XLOOKUP(1,  (MAX(IF(H156 = 'Processed Non-zero TRI Data'!$I:$I,'Processed Non-zero TRI Data'!$A:$A)) = 'Processed Non-zero TRI Data'!$A:$A)*('Processed Non-zero TRI Data'!$I:$I = H156), 'Processed Non-zero TRI Data'!$S:$S), "N/A- Facility Does Not Report to TRI")</f>
        <v>0</v>
      </c>
      <c r="Y156" s="33">
        <f t="shared" si="30"/>
        <v>0</v>
      </c>
      <c r="Z156" s="33" t="str" cm="1">
        <f t="array" ref="Z156">IF(COUNTIF('Processed Non-zero TRI Data'!$I:$I,$H156)&gt;0,MEDIAN(IF('Processed Non-zero TRI Data'!$I:$I=H156,'Processed Non-zero TRI Data'!$S:$S)), "N/A - Facility Does Not Report to TRI")</f>
        <v>N/A - Facility Does Not Report to TRI</v>
      </c>
      <c r="AA156" s="33" t="str">
        <f t="shared" si="31"/>
        <v>N/A - Facility Does Not Report to TRI</v>
      </c>
      <c r="AB156" s="33" t="str">
        <f>IF(COUNTIF('Processed Non-zero TRI Data'!$I:$I,$H156)&gt;0,_xlfn.MAXIFS('Processed Non-zero TRI Data'!$S:$S,'Processed Non-zero TRI Data'!$I:$I,$H156), "N/A - Facility Does Not Report to TRI")</f>
        <v>N/A - Facility Does Not Report to TRI</v>
      </c>
      <c r="AC156" s="33" t="str">
        <f t="shared" si="32"/>
        <v>N/A - Facility Does Not Report to TRI</v>
      </c>
      <c r="AD156" s="110" t="str" cm="1">
        <f t="array" ref="AD156">IFERROR(IF(B156 = "TRI Form R", IF(AB156 = 0, "Facility has no on-site water discharges between 2019-2023.",  IF(COUNTIF('Processed Non-zero TRI Data'!$I:$I,$H156)&gt;0,INDEX('Processed Non-zero TRI Data'!$A:$A,MATCH(1,($H156='Processed Non-zero TRI Data'!$I:$I)*(AB156='Processed Non-zero TRI Data'!$S:$S),0)))), VLOOKUP(H156, 'Form A Recent Reporting'!$L:$M, 2, FALSE)), ("N/A - Facility Does Not Report to TRI"))</f>
        <v>N/A - Facility Does Not Report to TRI</v>
      </c>
      <c r="AE156" s="109" cm="1">
        <f t="array" ref="AE156">IFERROR(_xlfn.XLOOKUP(1,  (MAX(IF(H156 = 'Processed Non-zero TRI Data'!$I:$I,'Processed Non-zero TRI Data'!$A:$A)) = 'Processed Non-zero TRI Data'!$A:$A)*('Processed Non-zero TRI Data'!$I:$I = H156), 'Processed Non-zero TRI Data'!$U:$U), "N/A- Facility Does Not Report to TRI")</f>
        <v>0</v>
      </c>
      <c r="AF156" s="33">
        <f t="shared" si="33"/>
        <v>0</v>
      </c>
      <c r="AG156" s="33" t="str" cm="1">
        <f t="array" ref="AG156">IF(COUNTIF('Processed Non-zero TRI Data'!$I:$I,$H156)&gt;0,MEDIAN(IF('Processed Non-zero TRI Data'!$I:$I=H156,'Processed Non-zero TRI Data'!$U:$U)), "N/A - Facility Does Not Report to TRI")</f>
        <v>N/A - Facility Does Not Report to TRI</v>
      </c>
      <c r="AH156" s="33" t="str">
        <f t="shared" si="34"/>
        <v>N/A - Facility Does Not Report to TRI</v>
      </c>
      <c r="AI156" s="33" t="str">
        <f>IF(COUNTIF('Processed Non-zero TRI Data'!$I:$I,$H156)&gt;0,_xlfn.MAXIFS('Processed Non-zero TRI Data'!$U:$U,'Processed Non-zero TRI Data'!$I:$I,$H156), "N/A - Facility Does Not Report to TRI")</f>
        <v>N/A - Facility Does Not Report to TRI</v>
      </c>
      <c r="AJ156" s="33" t="str">
        <f t="shared" si="35"/>
        <v>N/A - Facility Does Not Report to TRI</v>
      </c>
      <c r="AK156" s="110" t="str" cm="1">
        <f t="array" ref="AK156">IF(B156="TRI Form A",AD156,IF(AI156=0,"Facility has no transfers to POTWs between 2019-2023.",IF(COUNTIF('Processed Non-zero TRI Data'!$I:$I,$H156)&gt;0,INDEX('Processed Non-zero TRI Data'!$A:$A,MATCH(1,($H156='Processed Non-zero TRI Data'!$I:$I)*(AI156='Processed Non-zero TRI Data'!$U:$U),0)),"N/A - Facility Does Not Report to TRI")))</f>
        <v>N/A - Facility Does Not Report to TRI</v>
      </c>
      <c r="AL156" s="109" cm="1">
        <f t="array" ref="AL156">IFERROR(_xlfn.XLOOKUP(1,  (MAX(IF(H156 = 'Processed Non-zero TRI Data'!$I$2:$I$23,'Processed Non-zero TRI Data'!$A$2:$A$23)) = 'Processed Non-zero TRI Data'!$A$2:$A$23)*('Processed Non-zero TRI Data'!$I$2:$I$23 = H156), 'Processed Non-zero TRI Data'!$W$2:$W$23), "N/A- Facility Does Not Report to TRI")</f>
        <v>0</v>
      </c>
      <c r="AM156" s="33">
        <f t="shared" si="36"/>
        <v>0</v>
      </c>
      <c r="AN156" s="33" t="str" cm="1">
        <f t="array" ref="AN156">IF(COUNTIF('Processed Non-zero TRI Data'!$I:$I,$H156)&gt;0,MEDIAN(IF('Processed Non-zero TRI Data'!$I:$I=H156,'Processed Non-zero TRI Data'!$W:$W)), "N/A - Facility Does Not Report to TRI")</f>
        <v>N/A - Facility Does Not Report to TRI</v>
      </c>
      <c r="AO156" s="33" t="str">
        <f t="shared" si="37"/>
        <v>N/A - Facility Does Not Report to TRI</v>
      </c>
      <c r="AP156" s="33" t="str">
        <f>IF(COUNTIF('Processed Non-zero TRI Data'!$I:$I,$H156)&gt;0,_xlfn.MAXIFS('Processed Non-zero TRI Data'!$W:$W,'Processed Non-zero TRI Data'!$I:$I,$H156), "N/A - Facility Does Not Report to TRI")</f>
        <v>N/A - Facility Does Not Report to TRI</v>
      </c>
      <c r="AQ156" s="33" t="str">
        <f t="shared" si="38"/>
        <v>N/A - Facility Does Not Report to TRI</v>
      </c>
      <c r="AR156" s="110" t="str" cm="1">
        <f t="array" ref="AR156">IF(B156="TRI Form A",AD156,IF(AP156=0,"Facility has no transfers to non-POTWs between 2019-2023.",IF(COUNTIF('Processed Non-zero TRI Data'!$I:$I,$H156)&gt;0,INDEX('Processed Non-zero TRI Data'!$A:$A,MATCH(1,($H156='Processed Non-zero TRI Data'!$I:$I)*(AP156='Processed Non-zero TRI Data'!$W:$W),0)),"N/A - Facility Does Not Report to TRI")))</f>
        <v>N/A - Facility Does Not Report to TRI</v>
      </c>
    </row>
    <row r="157" spans="1:44" ht="29" x14ac:dyDescent="0.35">
      <c r="A157" s="34">
        <v>154</v>
      </c>
      <c r="B157" s="33" t="str">
        <f>IFERROR("TRI Form "&amp;VLOOKUP(H157,'Processed Non-zero TRI Data'!$I$2:$K$23,3,FALSE),"DMR")</f>
        <v>DMR</v>
      </c>
      <c r="C157" s="33" t="str">
        <f>VLOOKUP($D157, 'COU.OES Summary'!C:D, 2, FALSE)</f>
        <v> </v>
      </c>
      <c r="D157" s="33" t="str">
        <f>IFERROR(VLOOKUP($H157, 'Processed Non-zero TRI Data'!$I:$O, 7, FALSE), VLOOKUP($I157, 'Processed Non-zero DMR Data'!$K:$R, 8, FALSE))</f>
        <v>Waste handling, treatment, and disposal - Remediation or Monitoring</v>
      </c>
      <c r="E157" s="34" t="s">
        <v>397</v>
      </c>
      <c r="F157" s="34" t="s">
        <v>396</v>
      </c>
      <c r="G157" s="34" t="s">
        <v>276</v>
      </c>
      <c r="H157" s="34"/>
      <c r="I157" s="105">
        <v>110070884091</v>
      </c>
      <c r="J157" s="33" t="str">
        <f>IFERROR(VLOOKUP($I157, 'Processed Non-zero DMR Data'!$K:$U, 11, FALSE),"")</f>
        <v>VAG830562</v>
      </c>
      <c r="K157" s="33" t="str">
        <f>IFERROR(VLOOKUP($I157, 'Processed Non-zero DMR Data'!$K:$V, 12, FALSE),"Not Reported")</f>
        <v>Fourmile Run-Potomac River</v>
      </c>
      <c r="L157" s="106">
        <f>IFERROR(VLOOKUP($I157, 'Processed Non-zero DMR Data'!$K:$W, 13, FALSE),"No Reach Code Reported")</f>
        <v>20700100301</v>
      </c>
      <c r="M157" s="107" t="str">
        <f>IFERROR(IFERROR(VLOOKUP(H157, 'Off-site Locations'!$K$3:$O$5, 5, FALSE), VLOOKUP(H157, 'Off-site Locations'!$B$3:$E$4, 4, FALSE)), "No Offsite Transfers")</f>
        <v>No Offsite Transfers</v>
      </c>
      <c r="N157" s="33">
        <f>VLOOKUP($D157, 'COU.OES Summary'!C:E, 3, FALSE)</f>
        <v>365</v>
      </c>
      <c r="O157" s="108">
        <f t="shared" si="28"/>
        <v>0</v>
      </c>
      <c r="P157" s="108">
        <f t="shared" si="29"/>
        <v>0.24077142000000001</v>
      </c>
      <c r="Q157" s="109" cm="1">
        <f t="array" ref="Q157">IFERROR(_xlfn.XLOOKUP(1,  (MAX(IF(I157 = 'Processed Non-zero DMR Data'!$K:$K,'Processed Non-zero DMR Data'!$A:$A)) = 'Processed Non-zero DMR Data'!$A:$A)*('Processed Non-zero DMR Data'!$K:$K = I157),'Processed Non-zero DMR Data'!$T:$T), "N/A- Facility Does Not Report DMRs")</f>
        <v>2.4698140461428501E-4</v>
      </c>
      <c r="R157" s="33">
        <f t="shared" si="39"/>
        <v>6.7666138250489041E-7</v>
      </c>
      <c r="S157" s="33" cm="1">
        <f t="array" ref="S157">IF(COUNTIF('Processed Non-zero DMR Data'!$K:$K,$I157)&gt;0,MEDIAN(IF('Processed Non-zero DMR Data'!$K:$K=I157,'Processed Non-zero DMR Data'!$T:$T)),"N/A - Facility Does Not Report DMRs")</f>
        <v>0.1216229678325</v>
      </c>
      <c r="T157" s="33">
        <f t="shared" si="40"/>
        <v>3.3321361050000001E-4</v>
      </c>
      <c r="U157" s="33">
        <f>IF(COUNTIF('Processed Non-zero DMR Data'!$K:$K,$I157)&gt;0,_xlfn.MAXIFS('Processed Non-zero DMR Data'!$T:$T,'Processed Non-zero DMR Data'!$K:$K,$I157), "N/A - Facility Does Not Report DMRs")</f>
        <v>0.24077142000000001</v>
      </c>
      <c r="V157" s="33">
        <f t="shared" si="41"/>
        <v>6.5964772602739735E-4</v>
      </c>
      <c r="W157" s="110" cm="1">
        <f t="array" ref="W157">IF(COUNTIF('Processed Non-zero DMR Data'!$K:$K,$I157)&gt;0,INDEX('Processed Non-zero DMR Data'!$A:$A,MATCH(1,($I157='Processed Non-zero DMR Data'!$K:$K)*($U157='Processed Non-zero DMR Data'!$T:$T),0)), "N/A - Facility Does Not Report DMRs")</f>
        <v>2020</v>
      </c>
      <c r="X157" s="109" cm="1">
        <f t="array" ref="X157">IFERROR(_xlfn.XLOOKUP(1,  (MAX(IF(H157 = 'Processed Non-zero TRI Data'!$I:$I,'Processed Non-zero TRI Data'!$A:$A)) = 'Processed Non-zero TRI Data'!$A:$A)*('Processed Non-zero TRI Data'!$I:$I = H157), 'Processed Non-zero TRI Data'!$S:$S), "N/A- Facility Does Not Report to TRI")</f>
        <v>0</v>
      </c>
      <c r="Y157" s="33">
        <f t="shared" si="30"/>
        <v>0</v>
      </c>
      <c r="Z157" s="33" t="str" cm="1">
        <f t="array" ref="Z157">IF(COUNTIF('Processed Non-zero TRI Data'!$I:$I,$H157)&gt;0,MEDIAN(IF('Processed Non-zero TRI Data'!$I:$I=H157,'Processed Non-zero TRI Data'!$S:$S)), "N/A - Facility Does Not Report to TRI")</f>
        <v>N/A - Facility Does Not Report to TRI</v>
      </c>
      <c r="AA157" s="33" t="str">
        <f t="shared" si="31"/>
        <v>N/A - Facility Does Not Report to TRI</v>
      </c>
      <c r="AB157" s="33" t="str">
        <f>IF(COUNTIF('Processed Non-zero TRI Data'!$I:$I,$H157)&gt;0,_xlfn.MAXIFS('Processed Non-zero TRI Data'!$S:$S,'Processed Non-zero TRI Data'!$I:$I,$H157), "N/A - Facility Does Not Report to TRI")</f>
        <v>N/A - Facility Does Not Report to TRI</v>
      </c>
      <c r="AC157" s="33" t="str">
        <f t="shared" si="32"/>
        <v>N/A - Facility Does Not Report to TRI</v>
      </c>
      <c r="AD157" s="110" t="str" cm="1">
        <f t="array" ref="AD157">IFERROR(IF(B157 = "TRI Form R", IF(AB157 = 0, "Facility has no on-site water discharges between 2019-2023.",  IF(COUNTIF('Processed Non-zero TRI Data'!$I:$I,$H157)&gt;0,INDEX('Processed Non-zero TRI Data'!$A:$A,MATCH(1,($H157='Processed Non-zero TRI Data'!$I:$I)*(AB157='Processed Non-zero TRI Data'!$S:$S),0)))), VLOOKUP(H157, 'Form A Recent Reporting'!$L:$M, 2, FALSE)), ("N/A - Facility Does Not Report to TRI"))</f>
        <v>N/A - Facility Does Not Report to TRI</v>
      </c>
      <c r="AE157" s="109" cm="1">
        <f t="array" ref="AE157">IFERROR(_xlfn.XLOOKUP(1,  (MAX(IF(H157 = 'Processed Non-zero TRI Data'!$I:$I,'Processed Non-zero TRI Data'!$A:$A)) = 'Processed Non-zero TRI Data'!$A:$A)*('Processed Non-zero TRI Data'!$I:$I = H157), 'Processed Non-zero TRI Data'!$U:$U), "N/A- Facility Does Not Report to TRI")</f>
        <v>0</v>
      </c>
      <c r="AF157" s="33">
        <f t="shared" si="33"/>
        <v>0</v>
      </c>
      <c r="AG157" s="33" t="str" cm="1">
        <f t="array" ref="AG157">IF(COUNTIF('Processed Non-zero TRI Data'!$I:$I,$H157)&gt;0,MEDIAN(IF('Processed Non-zero TRI Data'!$I:$I=H157,'Processed Non-zero TRI Data'!$U:$U)), "N/A - Facility Does Not Report to TRI")</f>
        <v>N/A - Facility Does Not Report to TRI</v>
      </c>
      <c r="AH157" s="33" t="str">
        <f t="shared" si="34"/>
        <v>N/A - Facility Does Not Report to TRI</v>
      </c>
      <c r="AI157" s="33" t="str">
        <f>IF(COUNTIF('Processed Non-zero TRI Data'!$I:$I,$H157)&gt;0,_xlfn.MAXIFS('Processed Non-zero TRI Data'!$U:$U,'Processed Non-zero TRI Data'!$I:$I,$H157), "N/A - Facility Does Not Report to TRI")</f>
        <v>N/A - Facility Does Not Report to TRI</v>
      </c>
      <c r="AJ157" s="33" t="str">
        <f t="shared" si="35"/>
        <v>N/A - Facility Does Not Report to TRI</v>
      </c>
      <c r="AK157" s="110" t="str" cm="1">
        <f t="array" ref="AK157">IF(B157="TRI Form A",AD157,IF(AI157=0,"Facility has no transfers to POTWs between 2019-2023.",IF(COUNTIF('Processed Non-zero TRI Data'!$I:$I,$H157)&gt;0,INDEX('Processed Non-zero TRI Data'!$A:$A,MATCH(1,($H157='Processed Non-zero TRI Data'!$I:$I)*(AI157='Processed Non-zero TRI Data'!$U:$U),0)),"N/A - Facility Does Not Report to TRI")))</f>
        <v>N/A - Facility Does Not Report to TRI</v>
      </c>
      <c r="AL157" s="109" cm="1">
        <f t="array" ref="AL157">IFERROR(_xlfn.XLOOKUP(1,  (MAX(IF(H157 = 'Processed Non-zero TRI Data'!$I$2:$I$23,'Processed Non-zero TRI Data'!$A$2:$A$23)) = 'Processed Non-zero TRI Data'!$A$2:$A$23)*('Processed Non-zero TRI Data'!$I$2:$I$23 = H157), 'Processed Non-zero TRI Data'!$W$2:$W$23), "N/A- Facility Does Not Report to TRI")</f>
        <v>0</v>
      </c>
      <c r="AM157" s="33">
        <f t="shared" si="36"/>
        <v>0</v>
      </c>
      <c r="AN157" s="33" t="str" cm="1">
        <f t="array" ref="AN157">IF(COUNTIF('Processed Non-zero TRI Data'!$I:$I,$H157)&gt;0,MEDIAN(IF('Processed Non-zero TRI Data'!$I:$I=H157,'Processed Non-zero TRI Data'!$W:$W)), "N/A - Facility Does Not Report to TRI")</f>
        <v>N/A - Facility Does Not Report to TRI</v>
      </c>
      <c r="AO157" s="33" t="str">
        <f t="shared" si="37"/>
        <v>N/A - Facility Does Not Report to TRI</v>
      </c>
      <c r="AP157" s="33" t="str">
        <f>IF(COUNTIF('Processed Non-zero TRI Data'!$I:$I,$H157)&gt;0,_xlfn.MAXIFS('Processed Non-zero TRI Data'!$W:$W,'Processed Non-zero TRI Data'!$I:$I,$H157), "N/A - Facility Does Not Report to TRI")</f>
        <v>N/A - Facility Does Not Report to TRI</v>
      </c>
      <c r="AQ157" s="33" t="str">
        <f t="shared" si="38"/>
        <v>N/A - Facility Does Not Report to TRI</v>
      </c>
      <c r="AR157" s="110" t="str" cm="1">
        <f t="array" ref="AR157">IF(B157="TRI Form A",AD157,IF(AP157=0,"Facility has no transfers to non-POTWs between 2019-2023.",IF(COUNTIF('Processed Non-zero TRI Data'!$I:$I,$H157)&gt;0,INDEX('Processed Non-zero TRI Data'!$A:$A,MATCH(1,($H157='Processed Non-zero TRI Data'!$I:$I)*(AP157='Processed Non-zero TRI Data'!$W:$W),0)),"N/A - Facility Does Not Report to TRI")))</f>
        <v>N/A - Facility Does Not Report to TRI</v>
      </c>
    </row>
    <row r="158" spans="1:44" ht="29" x14ac:dyDescent="0.35">
      <c r="A158" s="34">
        <v>155</v>
      </c>
      <c r="B158" s="33" t="str">
        <f>IFERROR("TRI Form "&amp;VLOOKUP(H158,'Processed Non-zero TRI Data'!$I$2:$K$23,3,FALSE),"DMR")</f>
        <v>DMR</v>
      </c>
      <c r="C158" s="33" t="str">
        <f>VLOOKUP($D158, 'COU.OES Summary'!C:D, 2, FALSE)</f>
        <v> </v>
      </c>
      <c r="D158" s="33" t="str">
        <f>IFERROR(VLOOKUP($H158, 'Processed Non-zero TRI Data'!$I:$O, 7, FALSE), VLOOKUP($I158, 'Processed Non-zero DMR Data'!$K:$R, 8, FALSE))</f>
        <v>Waste handling, treatment, and disposal - Remediation or Monitoring</v>
      </c>
      <c r="E158" s="34" t="s">
        <v>398</v>
      </c>
      <c r="F158" s="34" t="s">
        <v>399</v>
      </c>
      <c r="G158" s="34" t="s">
        <v>400</v>
      </c>
      <c r="H158" s="34"/>
      <c r="I158" s="105">
        <v>110000581255</v>
      </c>
      <c r="J158" s="33" t="str">
        <f>IFERROR(VLOOKUP($I158, 'Processed Non-zero DMR Data'!$K:$U, 11, FALSE),"")</f>
        <v>RI0022942</v>
      </c>
      <c r="K158" s="33" t="str">
        <f>IFERROR(VLOOKUP($I158, 'Processed Non-zero DMR Data'!$K:$V, 12, FALSE),"Not Reported")</f>
        <v>Hunt River</v>
      </c>
      <c r="L158" s="106" t="str">
        <f>IFERROR(VLOOKUP($I158, 'Processed Non-zero DMR Data'!$K:$W, 13, FALSE),"No Reach Code Reported")</f>
        <v>010900040904</v>
      </c>
      <c r="M158" s="107" t="str">
        <f>IFERROR(IFERROR(VLOOKUP(H158, 'Off-site Locations'!$K$3:$O$5, 5, FALSE), VLOOKUP(H158, 'Off-site Locations'!$B$3:$E$4, 4, FALSE)), "No Offsite Transfers")</f>
        <v>No Offsite Transfers</v>
      </c>
      <c r="N158" s="33">
        <f>VLOOKUP($D158, 'COU.OES Summary'!C:E, 3, FALSE)</f>
        <v>365</v>
      </c>
      <c r="O158" s="108">
        <f t="shared" si="28"/>
        <v>0</v>
      </c>
      <c r="P158" s="108">
        <f t="shared" si="29"/>
        <v>0.233113608</v>
      </c>
      <c r="Q158" s="109" cm="1">
        <f t="array" ref="Q158">IFERROR(_xlfn.XLOOKUP(1,  (MAX(IF(I158 = 'Processed Non-zero DMR Data'!$K:$K,'Processed Non-zero DMR Data'!$A:$A)) = 'Processed Non-zero DMR Data'!$A:$A)*('Processed Non-zero DMR Data'!$K:$K = I158),'Processed Non-zero DMR Data'!$T:$T), "N/A- Facility Does Not Report DMRs")</f>
        <v>0.233113608</v>
      </c>
      <c r="R158" s="33">
        <f t="shared" si="39"/>
        <v>6.3866741917808221E-4</v>
      </c>
      <c r="S158" s="33" cm="1">
        <f t="array" ref="S158">IF(COUNTIF('Processed Non-zero DMR Data'!$K:$K,$I158)&gt;0,MEDIAN(IF('Processed Non-zero DMR Data'!$K:$K=I158,'Processed Non-zero DMR Data'!$T:$T)),"N/A - Facility Does Not Report DMRs")</f>
        <v>0.233113608</v>
      </c>
      <c r="T158" s="33">
        <f t="shared" si="40"/>
        <v>6.3866741917808221E-4</v>
      </c>
      <c r="U158" s="33">
        <f>IF(COUNTIF('Processed Non-zero DMR Data'!$K:$K,$I158)&gt;0,_xlfn.MAXIFS('Processed Non-zero DMR Data'!$T:$T,'Processed Non-zero DMR Data'!$K:$K,$I158), "N/A - Facility Does Not Report DMRs")</f>
        <v>0.233113608</v>
      </c>
      <c r="V158" s="33">
        <f t="shared" si="41"/>
        <v>6.3866741917808221E-4</v>
      </c>
      <c r="W158" s="110" cm="1">
        <f t="array" ref="W158">IF(COUNTIF('Processed Non-zero DMR Data'!$K:$K,$I158)&gt;0,INDEX('Processed Non-zero DMR Data'!$A:$A,MATCH(1,($I158='Processed Non-zero DMR Data'!$K:$K)*($U158='Processed Non-zero DMR Data'!$T:$T),0)), "N/A - Facility Does Not Report DMRs")</f>
        <v>2022</v>
      </c>
      <c r="X158" s="109" cm="1">
        <f t="array" ref="X158">IFERROR(_xlfn.XLOOKUP(1,  (MAX(IF(H158 = 'Processed Non-zero TRI Data'!$I:$I,'Processed Non-zero TRI Data'!$A:$A)) = 'Processed Non-zero TRI Data'!$A:$A)*('Processed Non-zero TRI Data'!$I:$I = H158), 'Processed Non-zero TRI Data'!$S:$S), "N/A- Facility Does Not Report to TRI")</f>
        <v>0</v>
      </c>
      <c r="Y158" s="33">
        <f t="shared" si="30"/>
        <v>0</v>
      </c>
      <c r="Z158" s="33" t="str" cm="1">
        <f t="array" ref="Z158">IF(COUNTIF('Processed Non-zero TRI Data'!$I:$I,$H158)&gt;0,MEDIAN(IF('Processed Non-zero TRI Data'!$I:$I=H158,'Processed Non-zero TRI Data'!$S:$S)), "N/A - Facility Does Not Report to TRI")</f>
        <v>N/A - Facility Does Not Report to TRI</v>
      </c>
      <c r="AA158" s="33" t="str">
        <f t="shared" si="31"/>
        <v>N/A - Facility Does Not Report to TRI</v>
      </c>
      <c r="AB158" s="33" t="str">
        <f>IF(COUNTIF('Processed Non-zero TRI Data'!$I:$I,$H158)&gt;0,_xlfn.MAXIFS('Processed Non-zero TRI Data'!$S:$S,'Processed Non-zero TRI Data'!$I:$I,$H158), "N/A - Facility Does Not Report to TRI")</f>
        <v>N/A - Facility Does Not Report to TRI</v>
      </c>
      <c r="AC158" s="33" t="str">
        <f t="shared" si="32"/>
        <v>N/A - Facility Does Not Report to TRI</v>
      </c>
      <c r="AD158" s="110" t="str" cm="1">
        <f t="array" ref="AD158">IFERROR(IF(B158 = "TRI Form R", IF(AB158 = 0, "Facility has no on-site water discharges between 2019-2023.",  IF(COUNTIF('Processed Non-zero TRI Data'!$I:$I,$H158)&gt;0,INDEX('Processed Non-zero TRI Data'!$A:$A,MATCH(1,($H158='Processed Non-zero TRI Data'!$I:$I)*(AB158='Processed Non-zero TRI Data'!$S:$S),0)))), VLOOKUP(H158, 'Form A Recent Reporting'!$L:$M, 2, FALSE)), ("N/A - Facility Does Not Report to TRI"))</f>
        <v>N/A - Facility Does Not Report to TRI</v>
      </c>
      <c r="AE158" s="109" cm="1">
        <f t="array" ref="AE158">IFERROR(_xlfn.XLOOKUP(1,  (MAX(IF(H158 = 'Processed Non-zero TRI Data'!$I:$I,'Processed Non-zero TRI Data'!$A:$A)) = 'Processed Non-zero TRI Data'!$A:$A)*('Processed Non-zero TRI Data'!$I:$I = H158), 'Processed Non-zero TRI Data'!$U:$U), "N/A- Facility Does Not Report to TRI")</f>
        <v>0</v>
      </c>
      <c r="AF158" s="33">
        <f t="shared" si="33"/>
        <v>0</v>
      </c>
      <c r="AG158" s="33" t="str" cm="1">
        <f t="array" ref="AG158">IF(COUNTIF('Processed Non-zero TRI Data'!$I:$I,$H158)&gt;0,MEDIAN(IF('Processed Non-zero TRI Data'!$I:$I=H158,'Processed Non-zero TRI Data'!$U:$U)), "N/A - Facility Does Not Report to TRI")</f>
        <v>N/A - Facility Does Not Report to TRI</v>
      </c>
      <c r="AH158" s="33" t="str">
        <f t="shared" si="34"/>
        <v>N/A - Facility Does Not Report to TRI</v>
      </c>
      <c r="AI158" s="33" t="str">
        <f>IF(COUNTIF('Processed Non-zero TRI Data'!$I:$I,$H158)&gt;0,_xlfn.MAXIFS('Processed Non-zero TRI Data'!$U:$U,'Processed Non-zero TRI Data'!$I:$I,$H158), "N/A - Facility Does Not Report to TRI")</f>
        <v>N/A - Facility Does Not Report to TRI</v>
      </c>
      <c r="AJ158" s="33" t="str">
        <f t="shared" si="35"/>
        <v>N/A - Facility Does Not Report to TRI</v>
      </c>
      <c r="AK158" s="110" t="str" cm="1">
        <f t="array" ref="AK158">IF(B158="TRI Form A",AD158,IF(AI158=0,"Facility has no transfers to POTWs between 2019-2023.",IF(COUNTIF('Processed Non-zero TRI Data'!$I:$I,$H158)&gt;0,INDEX('Processed Non-zero TRI Data'!$A:$A,MATCH(1,($H158='Processed Non-zero TRI Data'!$I:$I)*(AI158='Processed Non-zero TRI Data'!$U:$U),0)),"N/A - Facility Does Not Report to TRI")))</f>
        <v>N/A - Facility Does Not Report to TRI</v>
      </c>
      <c r="AL158" s="109" cm="1">
        <f t="array" ref="AL158">IFERROR(_xlfn.XLOOKUP(1,  (MAX(IF(H158 = 'Processed Non-zero TRI Data'!$I$2:$I$23,'Processed Non-zero TRI Data'!$A$2:$A$23)) = 'Processed Non-zero TRI Data'!$A$2:$A$23)*('Processed Non-zero TRI Data'!$I$2:$I$23 = H158), 'Processed Non-zero TRI Data'!$W$2:$W$23), "N/A- Facility Does Not Report to TRI")</f>
        <v>0</v>
      </c>
      <c r="AM158" s="33">
        <f t="shared" si="36"/>
        <v>0</v>
      </c>
      <c r="AN158" s="33" t="str" cm="1">
        <f t="array" ref="AN158">IF(COUNTIF('Processed Non-zero TRI Data'!$I:$I,$H158)&gt;0,MEDIAN(IF('Processed Non-zero TRI Data'!$I:$I=H158,'Processed Non-zero TRI Data'!$W:$W)), "N/A - Facility Does Not Report to TRI")</f>
        <v>N/A - Facility Does Not Report to TRI</v>
      </c>
      <c r="AO158" s="33" t="str">
        <f t="shared" si="37"/>
        <v>N/A - Facility Does Not Report to TRI</v>
      </c>
      <c r="AP158" s="33" t="str">
        <f>IF(COUNTIF('Processed Non-zero TRI Data'!$I:$I,$H158)&gt;0,_xlfn.MAXIFS('Processed Non-zero TRI Data'!$W:$W,'Processed Non-zero TRI Data'!$I:$I,$H158), "N/A - Facility Does Not Report to TRI")</f>
        <v>N/A - Facility Does Not Report to TRI</v>
      </c>
      <c r="AQ158" s="33" t="str">
        <f t="shared" si="38"/>
        <v>N/A - Facility Does Not Report to TRI</v>
      </c>
      <c r="AR158" s="110" t="str" cm="1">
        <f t="array" ref="AR158">IF(B158="TRI Form A",AD158,IF(AP158=0,"Facility has no transfers to non-POTWs between 2019-2023.",IF(COUNTIF('Processed Non-zero TRI Data'!$I:$I,$H158)&gt;0,INDEX('Processed Non-zero TRI Data'!$A:$A,MATCH(1,($H158='Processed Non-zero TRI Data'!$I:$I)*(AP158='Processed Non-zero TRI Data'!$W:$W),0)),"N/A - Facility Does Not Report to TRI")))</f>
        <v>N/A - Facility Does Not Report to TRI</v>
      </c>
    </row>
    <row r="159" spans="1:44" ht="29" x14ac:dyDescent="0.35">
      <c r="A159" s="34">
        <v>156</v>
      </c>
      <c r="B159" s="33" t="str">
        <f>IFERROR("TRI Form "&amp;VLOOKUP(H159,'Processed Non-zero TRI Data'!$I$2:$K$23,3,FALSE),"DMR")</f>
        <v>DMR</v>
      </c>
      <c r="C159" s="33" t="str">
        <f>VLOOKUP($D159, 'COU.OES Summary'!C:D, 2, FALSE)</f>
        <v> </v>
      </c>
      <c r="D159" s="33" t="str">
        <f>IFERROR(VLOOKUP($H159, 'Processed Non-zero TRI Data'!$I:$O, 7, FALSE), VLOOKUP($I159, 'Processed Non-zero DMR Data'!$K:$R, 8, FALSE))</f>
        <v>Waste handling, treatment, and disposal - Remediation or Monitoring</v>
      </c>
      <c r="E159" s="34" t="s">
        <v>401</v>
      </c>
      <c r="F159" s="34" t="s">
        <v>402</v>
      </c>
      <c r="G159" s="34" t="s">
        <v>276</v>
      </c>
      <c r="H159" s="34"/>
      <c r="I159" s="105">
        <v>110070548118</v>
      </c>
      <c r="J159" s="33" t="str">
        <f>IFERROR(VLOOKUP($I159, 'Processed Non-zero DMR Data'!$K:$U, 11, FALSE),"")</f>
        <v>VAG830543</v>
      </c>
      <c r="K159" s="33" t="str">
        <f>IFERROR(VLOOKUP($I159, 'Processed Non-zero DMR Data'!$K:$V, 12, FALSE),"Not Reported")</f>
        <v>Cameron Run</v>
      </c>
      <c r="L159" s="106">
        <f>IFERROR(VLOOKUP($I159, 'Processed Non-zero DMR Data'!$K:$W, 13, FALSE),"No Reach Code Reported")</f>
        <v>20700100302</v>
      </c>
      <c r="M159" s="107" t="str">
        <f>IFERROR(IFERROR(VLOOKUP(H159, 'Off-site Locations'!$K$3:$O$5, 5, FALSE), VLOOKUP(H159, 'Off-site Locations'!$B$3:$E$4, 4, FALSE)), "No Offsite Transfers")</f>
        <v>No Offsite Transfers</v>
      </c>
      <c r="N159" s="33">
        <f>VLOOKUP($D159, 'COU.OES Summary'!C:E, 3, FALSE)</f>
        <v>365</v>
      </c>
      <c r="O159" s="108">
        <f t="shared" si="28"/>
        <v>0</v>
      </c>
      <c r="P159" s="108">
        <f t="shared" si="29"/>
        <v>0.22186534499999999</v>
      </c>
      <c r="Q159" s="109" cm="1">
        <f t="array" ref="Q159">IFERROR(_xlfn.XLOOKUP(1,  (MAX(IF(I159 = 'Processed Non-zero DMR Data'!$K:$K,'Processed Non-zero DMR Data'!$A:$A)) = 'Processed Non-zero DMR Data'!$A:$A)*('Processed Non-zero DMR Data'!$K:$K = I159),'Processed Non-zero DMR Data'!$T:$T), "N/A- Facility Does Not Report DMRs")</f>
        <v>8.4481200000000006E-2</v>
      </c>
      <c r="R159" s="33">
        <f t="shared" si="39"/>
        <v>2.3145534246575344E-4</v>
      </c>
      <c r="S159" s="33" cm="1">
        <f t="array" ref="S159">IF(COUNTIF('Processed Non-zero DMR Data'!$K:$K,$I159)&gt;0,MEDIAN(IF('Processed Non-zero DMR Data'!$K:$K=I159,'Processed Non-zero DMR Data'!$T:$T)),"N/A - Facility Does Not Report DMRs")</f>
        <v>0.15317327250000001</v>
      </c>
      <c r="T159" s="33">
        <f t="shared" si="40"/>
        <v>4.1965280136986306E-4</v>
      </c>
      <c r="U159" s="33">
        <f>IF(COUNTIF('Processed Non-zero DMR Data'!$K:$K,$I159)&gt;0,_xlfn.MAXIFS('Processed Non-zero DMR Data'!$T:$T,'Processed Non-zero DMR Data'!$K:$K,$I159), "N/A - Facility Does Not Report DMRs")</f>
        <v>0.22186534499999999</v>
      </c>
      <c r="V159" s="33">
        <f t="shared" si="41"/>
        <v>6.0785026027397257E-4</v>
      </c>
      <c r="W159" s="110" cm="1">
        <f t="array" ref="W159">IF(COUNTIF('Processed Non-zero DMR Data'!$K:$K,$I159)&gt;0,INDEX('Processed Non-zero DMR Data'!$A:$A,MATCH(1,($I159='Processed Non-zero DMR Data'!$K:$K)*($U159='Processed Non-zero DMR Data'!$T:$T),0)), "N/A - Facility Does Not Report DMRs")</f>
        <v>2019</v>
      </c>
      <c r="X159" s="109" cm="1">
        <f t="array" ref="X159">IFERROR(_xlfn.XLOOKUP(1,  (MAX(IF(H159 = 'Processed Non-zero TRI Data'!$I:$I,'Processed Non-zero TRI Data'!$A:$A)) = 'Processed Non-zero TRI Data'!$A:$A)*('Processed Non-zero TRI Data'!$I:$I = H159), 'Processed Non-zero TRI Data'!$S:$S), "N/A- Facility Does Not Report to TRI")</f>
        <v>0</v>
      </c>
      <c r="Y159" s="33">
        <f t="shared" si="30"/>
        <v>0</v>
      </c>
      <c r="Z159" s="33" t="str" cm="1">
        <f t="array" ref="Z159">IF(COUNTIF('Processed Non-zero TRI Data'!$I:$I,$H159)&gt;0,MEDIAN(IF('Processed Non-zero TRI Data'!$I:$I=H159,'Processed Non-zero TRI Data'!$S:$S)), "N/A - Facility Does Not Report to TRI")</f>
        <v>N/A - Facility Does Not Report to TRI</v>
      </c>
      <c r="AA159" s="33" t="str">
        <f t="shared" si="31"/>
        <v>N/A - Facility Does Not Report to TRI</v>
      </c>
      <c r="AB159" s="33" t="str">
        <f>IF(COUNTIF('Processed Non-zero TRI Data'!$I:$I,$H159)&gt;0,_xlfn.MAXIFS('Processed Non-zero TRI Data'!$S:$S,'Processed Non-zero TRI Data'!$I:$I,$H159), "N/A - Facility Does Not Report to TRI")</f>
        <v>N/A - Facility Does Not Report to TRI</v>
      </c>
      <c r="AC159" s="33" t="str">
        <f t="shared" si="32"/>
        <v>N/A - Facility Does Not Report to TRI</v>
      </c>
      <c r="AD159" s="110" t="str" cm="1">
        <f t="array" ref="AD159">IFERROR(IF(B159 = "TRI Form R", IF(AB159 = 0, "Facility has no on-site water discharges between 2019-2023.",  IF(COUNTIF('Processed Non-zero TRI Data'!$I:$I,$H159)&gt;0,INDEX('Processed Non-zero TRI Data'!$A:$A,MATCH(1,($H159='Processed Non-zero TRI Data'!$I:$I)*(AB159='Processed Non-zero TRI Data'!$S:$S),0)))), VLOOKUP(H159, 'Form A Recent Reporting'!$L:$M, 2, FALSE)), ("N/A - Facility Does Not Report to TRI"))</f>
        <v>N/A - Facility Does Not Report to TRI</v>
      </c>
      <c r="AE159" s="109" cm="1">
        <f t="array" ref="AE159">IFERROR(_xlfn.XLOOKUP(1,  (MAX(IF(H159 = 'Processed Non-zero TRI Data'!$I:$I,'Processed Non-zero TRI Data'!$A:$A)) = 'Processed Non-zero TRI Data'!$A:$A)*('Processed Non-zero TRI Data'!$I:$I = H159), 'Processed Non-zero TRI Data'!$U:$U), "N/A- Facility Does Not Report to TRI")</f>
        <v>0</v>
      </c>
      <c r="AF159" s="33">
        <f t="shared" si="33"/>
        <v>0</v>
      </c>
      <c r="AG159" s="33" t="str" cm="1">
        <f t="array" ref="AG159">IF(COUNTIF('Processed Non-zero TRI Data'!$I:$I,$H159)&gt;0,MEDIAN(IF('Processed Non-zero TRI Data'!$I:$I=H159,'Processed Non-zero TRI Data'!$U:$U)), "N/A - Facility Does Not Report to TRI")</f>
        <v>N/A - Facility Does Not Report to TRI</v>
      </c>
      <c r="AH159" s="33" t="str">
        <f t="shared" si="34"/>
        <v>N/A - Facility Does Not Report to TRI</v>
      </c>
      <c r="AI159" s="33" t="str">
        <f>IF(COUNTIF('Processed Non-zero TRI Data'!$I:$I,$H159)&gt;0,_xlfn.MAXIFS('Processed Non-zero TRI Data'!$U:$U,'Processed Non-zero TRI Data'!$I:$I,$H159), "N/A - Facility Does Not Report to TRI")</f>
        <v>N/A - Facility Does Not Report to TRI</v>
      </c>
      <c r="AJ159" s="33" t="str">
        <f t="shared" si="35"/>
        <v>N/A - Facility Does Not Report to TRI</v>
      </c>
      <c r="AK159" s="110" t="str" cm="1">
        <f t="array" ref="AK159">IF(B159="TRI Form A",AD159,IF(AI159=0,"Facility has no transfers to POTWs between 2019-2023.",IF(COUNTIF('Processed Non-zero TRI Data'!$I:$I,$H159)&gt;0,INDEX('Processed Non-zero TRI Data'!$A:$A,MATCH(1,($H159='Processed Non-zero TRI Data'!$I:$I)*(AI159='Processed Non-zero TRI Data'!$U:$U),0)),"N/A - Facility Does Not Report to TRI")))</f>
        <v>N/A - Facility Does Not Report to TRI</v>
      </c>
      <c r="AL159" s="109" cm="1">
        <f t="array" ref="AL159">IFERROR(_xlfn.XLOOKUP(1,  (MAX(IF(H159 = 'Processed Non-zero TRI Data'!$I$2:$I$23,'Processed Non-zero TRI Data'!$A$2:$A$23)) = 'Processed Non-zero TRI Data'!$A$2:$A$23)*('Processed Non-zero TRI Data'!$I$2:$I$23 = H159), 'Processed Non-zero TRI Data'!$W$2:$W$23), "N/A- Facility Does Not Report to TRI")</f>
        <v>0</v>
      </c>
      <c r="AM159" s="33">
        <f t="shared" si="36"/>
        <v>0</v>
      </c>
      <c r="AN159" s="33" t="str" cm="1">
        <f t="array" ref="AN159">IF(COUNTIF('Processed Non-zero TRI Data'!$I:$I,$H159)&gt;0,MEDIAN(IF('Processed Non-zero TRI Data'!$I:$I=H159,'Processed Non-zero TRI Data'!$W:$W)), "N/A - Facility Does Not Report to TRI")</f>
        <v>N/A - Facility Does Not Report to TRI</v>
      </c>
      <c r="AO159" s="33" t="str">
        <f t="shared" si="37"/>
        <v>N/A - Facility Does Not Report to TRI</v>
      </c>
      <c r="AP159" s="33" t="str">
        <f>IF(COUNTIF('Processed Non-zero TRI Data'!$I:$I,$H159)&gt;0,_xlfn.MAXIFS('Processed Non-zero TRI Data'!$W:$W,'Processed Non-zero TRI Data'!$I:$I,$H159), "N/A - Facility Does Not Report to TRI")</f>
        <v>N/A - Facility Does Not Report to TRI</v>
      </c>
      <c r="AQ159" s="33" t="str">
        <f t="shared" si="38"/>
        <v>N/A - Facility Does Not Report to TRI</v>
      </c>
      <c r="AR159" s="110" t="str" cm="1">
        <f t="array" ref="AR159">IF(B159="TRI Form A",AD159,IF(AP159=0,"Facility has no transfers to non-POTWs between 2019-2023.",IF(COUNTIF('Processed Non-zero TRI Data'!$I:$I,$H159)&gt;0,INDEX('Processed Non-zero TRI Data'!$A:$A,MATCH(1,($H159='Processed Non-zero TRI Data'!$I:$I)*(AP159='Processed Non-zero TRI Data'!$W:$W),0)),"N/A - Facility Does Not Report to TRI")))</f>
        <v>N/A - Facility Does Not Report to TRI</v>
      </c>
    </row>
    <row r="160" spans="1:44" ht="29" x14ac:dyDescent="0.35">
      <c r="A160" s="34">
        <v>157</v>
      </c>
      <c r="B160" s="33" t="str">
        <f>IFERROR("TRI Form "&amp;VLOOKUP(H160,'Processed Non-zero TRI Data'!$I$2:$K$23,3,FALSE),"DMR")</f>
        <v>DMR</v>
      </c>
      <c r="C160" s="33" t="str">
        <f>VLOOKUP($D160, 'COU.OES Summary'!C:D, 2, FALSE)</f>
        <v> </v>
      </c>
      <c r="D160" s="33" t="str">
        <f>IFERROR(VLOOKUP($H160, 'Processed Non-zero TRI Data'!$I:$O, 7, FALSE), VLOOKUP($I160, 'Processed Non-zero DMR Data'!$K:$R, 8, FALSE))</f>
        <v>Waste handling, treatment, and disposal - POTW</v>
      </c>
      <c r="E160" s="34" t="s">
        <v>403</v>
      </c>
      <c r="F160" s="34" t="s">
        <v>404</v>
      </c>
      <c r="G160" s="34" t="s">
        <v>108</v>
      </c>
      <c r="H160" s="34"/>
      <c r="I160" s="105">
        <v>110003250277</v>
      </c>
      <c r="J160" s="33" t="str">
        <f>IFERROR(VLOOKUP($I160, 'Processed Non-zero DMR Data'!$K:$U, 11, FALSE),"")</f>
        <v>KY0021202</v>
      </c>
      <c r="K160" s="33" t="str">
        <f>IFERROR(VLOOKUP($I160, 'Processed Non-zero DMR Data'!$K:$V, 12, FALSE),"Not Reported")</f>
        <v>Clear Fork Creek</v>
      </c>
      <c r="L160" s="106">
        <f>IFERROR(VLOOKUP($I160, 'Processed Non-zero DMR Data'!$K:$W, 13, FALSE),"No Reach Code Reported")</f>
        <v>51100020802</v>
      </c>
      <c r="M160" s="107" t="str">
        <f>IFERROR(IFERROR(VLOOKUP(H160, 'Off-site Locations'!$K$3:$O$5, 5, FALSE), VLOOKUP(H160, 'Off-site Locations'!$B$3:$E$4, 4, FALSE)), "No Offsite Transfers")</f>
        <v>No Offsite Transfers</v>
      </c>
      <c r="N160" s="33">
        <f>VLOOKUP($D160, 'COU.OES Summary'!C:E, 3, FALSE)</f>
        <v>365</v>
      </c>
      <c r="O160" s="108">
        <f t="shared" si="28"/>
        <v>0</v>
      </c>
      <c r="P160" s="108">
        <f t="shared" si="29"/>
        <v>0.22104399999999999</v>
      </c>
      <c r="Q160" s="109" cm="1">
        <f t="array" ref="Q160">IFERROR(_xlfn.XLOOKUP(1,  (MAX(IF(I160 = 'Processed Non-zero DMR Data'!$K:$K,'Processed Non-zero DMR Data'!$A:$A)) = 'Processed Non-zero DMR Data'!$A:$A)*('Processed Non-zero DMR Data'!$K:$K = I160),'Processed Non-zero DMR Data'!$T:$T), "N/A- Facility Does Not Report DMRs")</f>
        <v>0.22104399999999999</v>
      </c>
      <c r="R160" s="33">
        <f t="shared" si="39"/>
        <v>6.0559999999999998E-4</v>
      </c>
      <c r="S160" s="33" cm="1">
        <f t="array" ref="S160">IF(COUNTIF('Processed Non-zero DMR Data'!$K:$K,$I160)&gt;0,MEDIAN(IF('Processed Non-zero DMR Data'!$K:$K=I160,'Processed Non-zero DMR Data'!$T:$T)),"N/A - Facility Does Not Report DMRs")</f>
        <v>0.22104399999999999</v>
      </c>
      <c r="T160" s="33">
        <f t="shared" si="40"/>
        <v>6.0559999999999998E-4</v>
      </c>
      <c r="U160" s="33">
        <f>IF(COUNTIF('Processed Non-zero DMR Data'!$K:$K,$I160)&gt;0,_xlfn.MAXIFS('Processed Non-zero DMR Data'!$T:$T,'Processed Non-zero DMR Data'!$K:$K,$I160), "N/A - Facility Does Not Report DMRs")</f>
        <v>0.22104399999999999</v>
      </c>
      <c r="V160" s="33">
        <f t="shared" si="41"/>
        <v>6.0559999999999998E-4</v>
      </c>
      <c r="W160" s="110" cm="1">
        <f t="array" ref="W160">IF(COUNTIF('Processed Non-zero DMR Data'!$K:$K,$I160)&gt;0,INDEX('Processed Non-zero DMR Data'!$A:$A,MATCH(1,($I160='Processed Non-zero DMR Data'!$K:$K)*($U160='Processed Non-zero DMR Data'!$T:$T),0)), "N/A - Facility Does Not Report DMRs")</f>
        <v>2019</v>
      </c>
      <c r="X160" s="109" cm="1">
        <f t="array" ref="X160">IFERROR(_xlfn.XLOOKUP(1,  (MAX(IF(H160 = 'Processed Non-zero TRI Data'!$I:$I,'Processed Non-zero TRI Data'!$A:$A)) = 'Processed Non-zero TRI Data'!$A:$A)*('Processed Non-zero TRI Data'!$I:$I = H160), 'Processed Non-zero TRI Data'!$S:$S), "N/A- Facility Does Not Report to TRI")</f>
        <v>0</v>
      </c>
      <c r="Y160" s="33">
        <f t="shared" si="30"/>
        <v>0</v>
      </c>
      <c r="Z160" s="33" t="str" cm="1">
        <f t="array" ref="Z160">IF(COUNTIF('Processed Non-zero TRI Data'!$I:$I,$H160)&gt;0,MEDIAN(IF('Processed Non-zero TRI Data'!$I:$I=H160,'Processed Non-zero TRI Data'!$S:$S)), "N/A - Facility Does Not Report to TRI")</f>
        <v>N/A - Facility Does Not Report to TRI</v>
      </c>
      <c r="AA160" s="33" t="str">
        <f t="shared" si="31"/>
        <v>N/A - Facility Does Not Report to TRI</v>
      </c>
      <c r="AB160" s="33" t="str">
        <f>IF(COUNTIF('Processed Non-zero TRI Data'!$I:$I,$H160)&gt;0,_xlfn.MAXIFS('Processed Non-zero TRI Data'!$S:$S,'Processed Non-zero TRI Data'!$I:$I,$H160), "N/A - Facility Does Not Report to TRI")</f>
        <v>N/A - Facility Does Not Report to TRI</v>
      </c>
      <c r="AC160" s="33" t="str">
        <f t="shared" si="32"/>
        <v>N/A - Facility Does Not Report to TRI</v>
      </c>
      <c r="AD160" s="110" t="str" cm="1">
        <f t="array" ref="AD160">IFERROR(IF(B160 = "TRI Form R", IF(AB160 = 0, "Facility has no on-site water discharges between 2019-2023.",  IF(COUNTIF('Processed Non-zero TRI Data'!$I:$I,$H160)&gt;0,INDEX('Processed Non-zero TRI Data'!$A:$A,MATCH(1,($H160='Processed Non-zero TRI Data'!$I:$I)*(AB160='Processed Non-zero TRI Data'!$S:$S),0)))), VLOOKUP(H160, 'Form A Recent Reporting'!$L:$M, 2, FALSE)), ("N/A - Facility Does Not Report to TRI"))</f>
        <v>N/A - Facility Does Not Report to TRI</v>
      </c>
      <c r="AE160" s="109" cm="1">
        <f t="array" ref="AE160">IFERROR(_xlfn.XLOOKUP(1,  (MAX(IF(H160 = 'Processed Non-zero TRI Data'!$I:$I,'Processed Non-zero TRI Data'!$A:$A)) = 'Processed Non-zero TRI Data'!$A:$A)*('Processed Non-zero TRI Data'!$I:$I = H160), 'Processed Non-zero TRI Data'!$U:$U), "N/A- Facility Does Not Report to TRI")</f>
        <v>0</v>
      </c>
      <c r="AF160" s="33">
        <f t="shared" si="33"/>
        <v>0</v>
      </c>
      <c r="AG160" s="33" t="str" cm="1">
        <f t="array" ref="AG160">IF(COUNTIF('Processed Non-zero TRI Data'!$I:$I,$H160)&gt;0,MEDIAN(IF('Processed Non-zero TRI Data'!$I:$I=H160,'Processed Non-zero TRI Data'!$U:$U)), "N/A - Facility Does Not Report to TRI")</f>
        <v>N/A - Facility Does Not Report to TRI</v>
      </c>
      <c r="AH160" s="33" t="str">
        <f t="shared" si="34"/>
        <v>N/A - Facility Does Not Report to TRI</v>
      </c>
      <c r="AI160" s="33" t="str">
        <f>IF(COUNTIF('Processed Non-zero TRI Data'!$I:$I,$H160)&gt;0,_xlfn.MAXIFS('Processed Non-zero TRI Data'!$U:$U,'Processed Non-zero TRI Data'!$I:$I,$H160), "N/A - Facility Does Not Report to TRI")</f>
        <v>N/A - Facility Does Not Report to TRI</v>
      </c>
      <c r="AJ160" s="33" t="str">
        <f t="shared" si="35"/>
        <v>N/A - Facility Does Not Report to TRI</v>
      </c>
      <c r="AK160" s="110" t="str" cm="1">
        <f t="array" ref="AK160">IF(B160="TRI Form A",AD160,IF(AI160=0,"Facility has no transfers to POTWs between 2019-2023.",IF(COUNTIF('Processed Non-zero TRI Data'!$I:$I,$H160)&gt;0,INDEX('Processed Non-zero TRI Data'!$A:$A,MATCH(1,($H160='Processed Non-zero TRI Data'!$I:$I)*(AI160='Processed Non-zero TRI Data'!$U:$U),0)),"N/A - Facility Does Not Report to TRI")))</f>
        <v>N/A - Facility Does Not Report to TRI</v>
      </c>
      <c r="AL160" s="109" cm="1">
        <f t="array" ref="AL160">IFERROR(_xlfn.XLOOKUP(1,  (MAX(IF(H160 = 'Processed Non-zero TRI Data'!$I$2:$I$23,'Processed Non-zero TRI Data'!$A$2:$A$23)) = 'Processed Non-zero TRI Data'!$A$2:$A$23)*('Processed Non-zero TRI Data'!$I$2:$I$23 = H160), 'Processed Non-zero TRI Data'!$W$2:$W$23), "N/A- Facility Does Not Report to TRI")</f>
        <v>0</v>
      </c>
      <c r="AM160" s="33">
        <f t="shared" si="36"/>
        <v>0</v>
      </c>
      <c r="AN160" s="33" t="str" cm="1">
        <f t="array" ref="AN160">IF(COUNTIF('Processed Non-zero TRI Data'!$I:$I,$H160)&gt;0,MEDIAN(IF('Processed Non-zero TRI Data'!$I:$I=H160,'Processed Non-zero TRI Data'!$W:$W)), "N/A - Facility Does Not Report to TRI")</f>
        <v>N/A - Facility Does Not Report to TRI</v>
      </c>
      <c r="AO160" s="33" t="str">
        <f t="shared" si="37"/>
        <v>N/A - Facility Does Not Report to TRI</v>
      </c>
      <c r="AP160" s="33" t="str">
        <f>IF(COUNTIF('Processed Non-zero TRI Data'!$I:$I,$H160)&gt;0,_xlfn.MAXIFS('Processed Non-zero TRI Data'!$W:$W,'Processed Non-zero TRI Data'!$I:$I,$H160), "N/A - Facility Does Not Report to TRI")</f>
        <v>N/A - Facility Does Not Report to TRI</v>
      </c>
      <c r="AQ160" s="33" t="str">
        <f t="shared" si="38"/>
        <v>N/A - Facility Does Not Report to TRI</v>
      </c>
      <c r="AR160" s="110" t="str" cm="1">
        <f t="array" ref="AR160">IF(B160="TRI Form A",AD160,IF(AP160=0,"Facility has no transfers to non-POTWs between 2019-2023.",IF(COUNTIF('Processed Non-zero TRI Data'!$I:$I,$H160)&gt;0,INDEX('Processed Non-zero TRI Data'!$A:$A,MATCH(1,($H160='Processed Non-zero TRI Data'!$I:$I)*(AP160='Processed Non-zero TRI Data'!$W:$W),0)),"N/A - Facility Does Not Report to TRI")))</f>
        <v>N/A - Facility Does Not Report to TRI</v>
      </c>
    </row>
    <row r="161" spans="1:44" ht="29" x14ac:dyDescent="0.35">
      <c r="A161" s="34">
        <v>158</v>
      </c>
      <c r="B161" s="33" t="str">
        <f>IFERROR("TRI Form "&amp;VLOOKUP(H161,'Processed Non-zero TRI Data'!$I$2:$K$23,3,FALSE),"DMR")</f>
        <v>DMR</v>
      </c>
      <c r="C161" s="33" t="str">
        <f>VLOOKUP($D161, 'COU.OES Summary'!C:D, 2, FALSE)</f>
        <v> </v>
      </c>
      <c r="D161" s="33" t="str">
        <f>IFERROR(VLOOKUP($H161, 'Processed Non-zero TRI Data'!$I:$O, 7, FALSE), VLOOKUP($I161, 'Processed Non-zero DMR Data'!$K:$R, 8, FALSE))</f>
        <v>Waste handling, treatment, and disposal - Remediation or Monitoring</v>
      </c>
      <c r="E161" s="34" t="s">
        <v>405</v>
      </c>
      <c r="F161" s="34" t="s">
        <v>406</v>
      </c>
      <c r="G161" s="34" t="s">
        <v>181</v>
      </c>
      <c r="H161" s="34"/>
      <c r="I161" s="105">
        <v>110000410957</v>
      </c>
      <c r="J161" s="33" t="str">
        <f>IFERROR(VLOOKUP($I161, 'Processed Non-zero DMR Data'!$K:$U, 11, FALSE),"")</f>
        <v>MI0004057</v>
      </c>
      <c r="K161" s="33" t="str">
        <f>IFERROR(VLOOKUP($I161, 'Processed Non-zero DMR Data'!$K:$V, 12, FALSE),"Not Reported")</f>
        <v>Muskegon Lake-Muskegon River</v>
      </c>
      <c r="L161" s="106">
        <f>IFERROR(VLOOKUP($I161, 'Processed Non-zero DMR Data'!$K:$W, 13, FALSE),"No Reach Code Reported")</f>
        <v>40601021004</v>
      </c>
      <c r="M161" s="107" t="str">
        <f>IFERROR(IFERROR(VLOOKUP(H161, 'Off-site Locations'!$K$3:$O$5, 5, FALSE), VLOOKUP(H161, 'Off-site Locations'!$B$3:$E$4, 4, FALSE)), "No Offsite Transfers")</f>
        <v>No Offsite Transfers</v>
      </c>
      <c r="N161" s="33">
        <f>VLOOKUP($D161, 'COU.OES Summary'!C:E, 3, FALSE)</f>
        <v>365</v>
      </c>
      <c r="O161" s="108">
        <f t="shared" si="28"/>
        <v>0</v>
      </c>
      <c r="P161" s="108">
        <f t="shared" si="29"/>
        <v>0.2159967025</v>
      </c>
      <c r="Q161" s="109" cm="1">
        <f t="array" ref="Q161">IFERROR(_xlfn.XLOOKUP(1,  (MAX(IF(I161 = 'Processed Non-zero DMR Data'!$K:$K,'Processed Non-zero DMR Data'!$A:$A)) = 'Processed Non-zero DMR Data'!$A:$A)*('Processed Non-zero DMR Data'!$K:$K = I161),'Processed Non-zero DMR Data'!$T:$T), "N/A- Facility Does Not Report DMRs")</f>
        <v>0.19230638750000001</v>
      </c>
      <c r="R161" s="33">
        <f t="shared" si="39"/>
        <v>5.2686681506849313E-4</v>
      </c>
      <c r="S161" s="33" cm="1">
        <f t="array" ref="S161">IF(COUNTIF('Processed Non-zero DMR Data'!$K:$K,$I161)&gt;0,MEDIAN(IF('Processed Non-zero DMR Data'!$K:$K=I161,'Processed Non-zero DMR Data'!$T:$T)),"N/A - Facility Does Not Report DMRs")</f>
        <v>0.1956712525</v>
      </c>
      <c r="T161" s="33">
        <f t="shared" si="40"/>
        <v>5.3608562328767121E-4</v>
      </c>
      <c r="U161" s="33">
        <f>IF(COUNTIF('Processed Non-zero DMR Data'!$K:$K,$I161)&gt;0,_xlfn.MAXIFS('Processed Non-zero DMR Data'!$T:$T,'Processed Non-zero DMR Data'!$K:$K,$I161), "N/A - Facility Does Not Report DMRs")</f>
        <v>0.2159967025</v>
      </c>
      <c r="V161" s="33">
        <f t="shared" si="41"/>
        <v>5.9177178767123287E-4</v>
      </c>
      <c r="W161" s="110" cm="1">
        <f t="array" ref="W161">IF(COUNTIF('Processed Non-zero DMR Data'!$K:$K,$I161)&gt;0,INDEX('Processed Non-zero DMR Data'!$A:$A,MATCH(1,($I161='Processed Non-zero DMR Data'!$K:$K)*($U161='Processed Non-zero DMR Data'!$T:$T),0)), "N/A - Facility Does Not Report DMRs")</f>
        <v>2022</v>
      </c>
      <c r="X161" s="109" cm="1">
        <f t="array" ref="X161">IFERROR(_xlfn.XLOOKUP(1,  (MAX(IF(H161 = 'Processed Non-zero TRI Data'!$I:$I,'Processed Non-zero TRI Data'!$A:$A)) = 'Processed Non-zero TRI Data'!$A:$A)*('Processed Non-zero TRI Data'!$I:$I = H161), 'Processed Non-zero TRI Data'!$S:$S), "N/A- Facility Does Not Report to TRI")</f>
        <v>0</v>
      </c>
      <c r="Y161" s="33">
        <f t="shared" si="30"/>
        <v>0</v>
      </c>
      <c r="Z161" s="33" t="str" cm="1">
        <f t="array" ref="Z161">IF(COUNTIF('Processed Non-zero TRI Data'!$I:$I,$H161)&gt;0,MEDIAN(IF('Processed Non-zero TRI Data'!$I:$I=H161,'Processed Non-zero TRI Data'!$S:$S)), "N/A - Facility Does Not Report to TRI")</f>
        <v>N/A - Facility Does Not Report to TRI</v>
      </c>
      <c r="AA161" s="33" t="str">
        <f t="shared" si="31"/>
        <v>N/A - Facility Does Not Report to TRI</v>
      </c>
      <c r="AB161" s="33" t="str">
        <f>IF(COUNTIF('Processed Non-zero TRI Data'!$I:$I,$H161)&gt;0,_xlfn.MAXIFS('Processed Non-zero TRI Data'!$S:$S,'Processed Non-zero TRI Data'!$I:$I,$H161), "N/A - Facility Does Not Report to TRI")</f>
        <v>N/A - Facility Does Not Report to TRI</v>
      </c>
      <c r="AC161" s="33" t="str">
        <f t="shared" si="32"/>
        <v>N/A - Facility Does Not Report to TRI</v>
      </c>
      <c r="AD161" s="110" t="str" cm="1">
        <f t="array" ref="AD161">IFERROR(IF(B161 = "TRI Form R", IF(AB161 = 0, "Facility has no on-site water discharges between 2019-2023.",  IF(COUNTIF('Processed Non-zero TRI Data'!$I:$I,$H161)&gt;0,INDEX('Processed Non-zero TRI Data'!$A:$A,MATCH(1,($H161='Processed Non-zero TRI Data'!$I:$I)*(AB161='Processed Non-zero TRI Data'!$S:$S),0)))), VLOOKUP(H161, 'Form A Recent Reporting'!$L:$M, 2, FALSE)), ("N/A - Facility Does Not Report to TRI"))</f>
        <v>N/A - Facility Does Not Report to TRI</v>
      </c>
      <c r="AE161" s="109" cm="1">
        <f t="array" ref="AE161">IFERROR(_xlfn.XLOOKUP(1,  (MAX(IF(H161 = 'Processed Non-zero TRI Data'!$I:$I,'Processed Non-zero TRI Data'!$A:$A)) = 'Processed Non-zero TRI Data'!$A:$A)*('Processed Non-zero TRI Data'!$I:$I = H161), 'Processed Non-zero TRI Data'!$U:$U), "N/A- Facility Does Not Report to TRI")</f>
        <v>0</v>
      </c>
      <c r="AF161" s="33">
        <f t="shared" si="33"/>
        <v>0</v>
      </c>
      <c r="AG161" s="33" t="str" cm="1">
        <f t="array" ref="AG161">IF(COUNTIF('Processed Non-zero TRI Data'!$I:$I,$H161)&gt;0,MEDIAN(IF('Processed Non-zero TRI Data'!$I:$I=H161,'Processed Non-zero TRI Data'!$U:$U)), "N/A - Facility Does Not Report to TRI")</f>
        <v>N/A - Facility Does Not Report to TRI</v>
      </c>
      <c r="AH161" s="33" t="str">
        <f t="shared" si="34"/>
        <v>N/A - Facility Does Not Report to TRI</v>
      </c>
      <c r="AI161" s="33" t="str">
        <f>IF(COUNTIF('Processed Non-zero TRI Data'!$I:$I,$H161)&gt;0,_xlfn.MAXIFS('Processed Non-zero TRI Data'!$U:$U,'Processed Non-zero TRI Data'!$I:$I,$H161), "N/A - Facility Does Not Report to TRI")</f>
        <v>N/A - Facility Does Not Report to TRI</v>
      </c>
      <c r="AJ161" s="33" t="str">
        <f t="shared" si="35"/>
        <v>N/A - Facility Does Not Report to TRI</v>
      </c>
      <c r="AK161" s="110" t="str" cm="1">
        <f t="array" ref="AK161">IF(B161="TRI Form A",AD161,IF(AI161=0,"Facility has no transfers to POTWs between 2019-2023.",IF(COUNTIF('Processed Non-zero TRI Data'!$I:$I,$H161)&gt;0,INDEX('Processed Non-zero TRI Data'!$A:$A,MATCH(1,($H161='Processed Non-zero TRI Data'!$I:$I)*(AI161='Processed Non-zero TRI Data'!$U:$U),0)),"N/A - Facility Does Not Report to TRI")))</f>
        <v>N/A - Facility Does Not Report to TRI</v>
      </c>
      <c r="AL161" s="109" cm="1">
        <f t="array" ref="AL161">IFERROR(_xlfn.XLOOKUP(1,  (MAX(IF(H161 = 'Processed Non-zero TRI Data'!$I$2:$I$23,'Processed Non-zero TRI Data'!$A$2:$A$23)) = 'Processed Non-zero TRI Data'!$A$2:$A$23)*('Processed Non-zero TRI Data'!$I$2:$I$23 = H161), 'Processed Non-zero TRI Data'!$W$2:$W$23), "N/A- Facility Does Not Report to TRI")</f>
        <v>0</v>
      </c>
      <c r="AM161" s="33">
        <f t="shared" si="36"/>
        <v>0</v>
      </c>
      <c r="AN161" s="33" t="str" cm="1">
        <f t="array" ref="AN161">IF(COUNTIF('Processed Non-zero TRI Data'!$I:$I,$H161)&gt;0,MEDIAN(IF('Processed Non-zero TRI Data'!$I:$I=H161,'Processed Non-zero TRI Data'!$W:$W)), "N/A - Facility Does Not Report to TRI")</f>
        <v>N/A - Facility Does Not Report to TRI</v>
      </c>
      <c r="AO161" s="33" t="str">
        <f t="shared" si="37"/>
        <v>N/A - Facility Does Not Report to TRI</v>
      </c>
      <c r="AP161" s="33" t="str">
        <f>IF(COUNTIF('Processed Non-zero TRI Data'!$I:$I,$H161)&gt;0,_xlfn.MAXIFS('Processed Non-zero TRI Data'!$W:$W,'Processed Non-zero TRI Data'!$I:$I,$H161), "N/A - Facility Does Not Report to TRI")</f>
        <v>N/A - Facility Does Not Report to TRI</v>
      </c>
      <c r="AQ161" s="33" t="str">
        <f t="shared" si="38"/>
        <v>N/A - Facility Does Not Report to TRI</v>
      </c>
      <c r="AR161" s="110" t="str" cm="1">
        <f t="array" ref="AR161">IF(B161="TRI Form A",AD161,IF(AP161=0,"Facility has no transfers to non-POTWs between 2019-2023.",IF(COUNTIF('Processed Non-zero TRI Data'!$I:$I,$H161)&gt;0,INDEX('Processed Non-zero TRI Data'!$A:$A,MATCH(1,($H161='Processed Non-zero TRI Data'!$I:$I)*(AP161='Processed Non-zero TRI Data'!$W:$W),0)),"N/A - Facility Does Not Report to TRI")))</f>
        <v>N/A - Facility Does Not Report to TRI</v>
      </c>
    </row>
    <row r="162" spans="1:44" ht="29" x14ac:dyDescent="0.35">
      <c r="A162" s="34">
        <v>159</v>
      </c>
      <c r="B162" s="33" t="str">
        <f>IFERROR("TRI Form "&amp;VLOOKUP(H162,'Processed Non-zero TRI Data'!$I$2:$K$23,3,FALSE),"DMR")</f>
        <v>DMR</v>
      </c>
      <c r="C162" s="33" t="str">
        <f>VLOOKUP($D162, 'COU.OES Summary'!C:D, 2, FALSE)</f>
        <v> </v>
      </c>
      <c r="D162" s="33" t="str">
        <f>IFERROR(VLOOKUP($H162, 'Processed Non-zero TRI Data'!$I:$O, 7, FALSE), VLOOKUP($I162, 'Processed Non-zero DMR Data'!$K:$R, 8, FALSE))</f>
        <v>Waste handling, treatment, and disposal - Remediation or Monitoring</v>
      </c>
      <c r="E162" s="34" t="s">
        <v>407</v>
      </c>
      <c r="F162" s="34" t="s">
        <v>260</v>
      </c>
      <c r="G162" s="34" t="s">
        <v>111</v>
      </c>
      <c r="H162" s="34"/>
      <c r="I162" s="105">
        <v>110000433022</v>
      </c>
      <c r="J162" s="33" t="str">
        <f>IFERROR(VLOOKUP($I162, 'Processed Non-zero DMR Data'!$K:$U, 11, FALSE),"")</f>
        <v>IL0079758</v>
      </c>
      <c r="K162" s="33" t="str">
        <f>IFERROR(VLOOKUP($I162, 'Processed Non-zero DMR Data'!$K:$V, 12, FALSE),"Not Reported")</f>
        <v>Bills Run-Illinois River</v>
      </c>
      <c r="L162" s="106">
        <f>IFERROR(VLOOKUP($I162, 'Processed Non-zero DMR Data'!$K:$W, 13, FALSE),"No Reach Code Reported")</f>
        <v>71200050705</v>
      </c>
      <c r="M162" s="107" t="str">
        <f>IFERROR(IFERROR(VLOOKUP(H162, 'Off-site Locations'!$K$3:$O$5, 5, FALSE), VLOOKUP(H162, 'Off-site Locations'!$B$3:$E$4, 4, FALSE)), "No Offsite Transfers")</f>
        <v>No Offsite Transfers</v>
      </c>
      <c r="N162" s="33">
        <f>VLOOKUP($D162, 'COU.OES Summary'!C:E, 3, FALSE)</f>
        <v>365</v>
      </c>
      <c r="O162" s="108">
        <f t="shared" si="28"/>
        <v>0</v>
      </c>
      <c r="P162" s="108">
        <f t="shared" si="29"/>
        <v>0.20465185</v>
      </c>
      <c r="Q162" s="109" cm="1">
        <f t="array" ref="Q162">IFERROR(_xlfn.XLOOKUP(1,  (MAX(IF(I162 = 'Processed Non-zero DMR Data'!$K:$K,'Processed Non-zero DMR Data'!$A:$A)) = 'Processed Non-zero DMR Data'!$A:$A)*('Processed Non-zero DMR Data'!$K:$K = I162),'Processed Non-zero DMR Data'!$T:$T), "N/A- Facility Does Not Report DMRs")</f>
        <v>3.7533314999999998E-2</v>
      </c>
      <c r="R162" s="33">
        <f t="shared" si="39"/>
        <v>1.0283099999999999E-4</v>
      </c>
      <c r="S162" s="33" cm="1">
        <f t="array" ref="S162">IF(COUNTIF('Processed Non-zero DMR Data'!$K:$K,$I162)&gt;0,MEDIAN(IF('Processed Non-zero DMR Data'!$K:$K=I162,'Processed Non-zero DMR Data'!$T:$T)),"N/A - Facility Does Not Report DMRs")</f>
        <v>6.4544044999999994E-2</v>
      </c>
      <c r="T162" s="33">
        <f t="shared" si="40"/>
        <v>1.7683299999999999E-4</v>
      </c>
      <c r="U162" s="33">
        <f>IF(COUNTIF('Processed Non-zero DMR Data'!$K:$K,$I162)&gt;0,_xlfn.MAXIFS('Processed Non-zero DMR Data'!$T:$T,'Processed Non-zero DMR Data'!$K:$K,$I162), "N/A - Facility Does Not Report DMRs")</f>
        <v>0.20465185</v>
      </c>
      <c r="V162" s="33">
        <f t="shared" si="41"/>
        <v>5.6068999999999997E-4</v>
      </c>
      <c r="W162" s="110" cm="1">
        <f t="array" ref="W162">IF(COUNTIF('Processed Non-zero DMR Data'!$K:$K,$I162)&gt;0,INDEX('Processed Non-zero DMR Data'!$A:$A,MATCH(1,($I162='Processed Non-zero DMR Data'!$K:$K)*($U162='Processed Non-zero DMR Data'!$T:$T),0)), "N/A - Facility Does Not Report DMRs")</f>
        <v>2020</v>
      </c>
      <c r="X162" s="109" cm="1">
        <f t="array" ref="X162">IFERROR(_xlfn.XLOOKUP(1,  (MAX(IF(H162 = 'Processed Non-zero TRI Data'!$I:$I,'Processed Non-zero TRI Data'!$A:$A)) = 'Processed Non-zero TRI Data'!$A:$A)*('Processed Non-zero TRI Data'!$I:$I = H162), 'Processed Non-zero TRI Data'!$S:$S), "N/A- Facility Does Not Report to TRI")</f>
        <v>0</v>
      </c>
      <c r="Y162" s="33">
        <f t="shared" si="30"/>
        <v>0</v>
      </c>
      <c r="Z162" s="33" t="str" cm="1">
        <f t="array" ref="Z162">IF(COUNTIF('Processed Non-zero TRI Data'!$I:$I,$H162)&gt;0,MEDIAN(IF('Processed Non-zero TRI Data'!$I:$I=H162,'Processed Non-zero TRI Data'!$S:$S)), "N/A - Facility Does Not Report to TRI")</f>
        <v>N/A - Facility Does Not Report to TRI</v>
      </c>
      <c r="AA162" s="33" t="str">
        <f t="shared" si="31"/>
        <v>N/A - Facility Does Not Report to TRI</v>
      </c>
      <c r="AB162" s="33" t="str">
        <f>IF(COUNTIF('Processed Non-zero TRI Data'!$I:$I,$H162)&gt;0,_xlfn.MAXIFS('Processed Non-zero TRI Data'!$S:$S,'Processed Non-zero TRI Data'!$I:$I,$H162), "N/A - Facility Does Not Report to TRI")</f>
        <v>N/A - Facility Does Not Report to TRI</v>
      </c>
      <c r="AC162" s="33" t="str">
        <f t="shared" si="32"/>
        <v>N/A - Facility Does Not Report to TRI</v>
      </c>
      <c r="AD162" s="110" t="str" cm="1">
        <f t="array" ref="AD162">IFERROR(IF(B162 = "TRI Form R", IF(AB162 = 0, "Facility has no on-site water discharges between 2019-2023.",  IF(COUNTIF('Processed Non-zero TRI Data'!$I:$I,$H162)&gt;0,INDEX('Processed Non-zero TRI Data'!$A:$A,MATCH(1,($H162='Processed Non-zero TRI Data'!$I:$I)*(AB162='Processed Non-zero TRI Data'!$S:$S),0)))), VLOOKUP(H162, 'Form A Recent Reporting'!$L:$M, 2, FALSE)), ("N/A - Facility Does Not Report to TRI"))</f>
        <v>N/A - Facility Does Not Report to TRI</v>
      </c>
      <c r="AE162" s="109" cm="1">
        <f t="array" ref="AE162">IFERROR(_xlfn.XLOOKUP(1,  (MAX(IF(H162 = 'Processed Non-zero TRI Data'!$I:$I,'Processed Non-zero TRI Data'!$A:$A)) = 'Processed Non-zero TRI Data'!$A:$A)*('Processed Non-zero TRI Data'!$I:$I = H162), 'Processed Non-zero TRI Data'!$U:$U), "N/A- Facility Does Not Report to TRI")</f>
        <v>0</v>
      </c>
      <c r="AF162" s="33">
        <f t="shared" si="33"/>
        <v>0</v>
      </c>
      <c r="AG162" s="33" t="str" cm="1">
        <f t="array" ref="AG162">IF(COUNTIF('Processed Non-zero TRI Data'!$I:$I,$H162)&gt;0,MEDIAN(IF('Processed Non-zero TRI Data'!$I:$I=H162,'Processed Non-zero TRI Data'!$U:$U)), "N/A - Facility Does Not Report to TRI")</f>
        <v>N/A - Facility Does Not Report to TRI</v>
      </c>
      <c r="AH162" s="33" t="str">
        <f t="shared" si="34"/>
        <v>N/A - Facility Does Not Report to TRI</v>
      </c>
      <c r="AI162" s="33" t="str">
        <f>IF(COUNTIF('Processed Non-zero TRI Data'!$I:$I,$H162)&gt;0,_xlfn.MAXIFS('Processed Non-zero TRI Data'!$U:$U,'Processed Non-zero TRI Data'!$I:$I,$H162), "N/A - Facility Does Not Report to TRI")</f>
        <v>N/A - Facility Does Not Report to TRI</v>
      </c>
      <c r="AJ162" s="33" t="str">
        <f t="shared" si="35"/>
        <v>N/A - Facility Does Not Report to TRI</v>
      </c>
      <c r="AK162" s="110" t="str" cm="1">
        <f t="array" ref="AK162">IF(B162="TRI Form A",AD162,IF(AI162=0,"Facility has no transfers to POTWs between 2019-2023.",IF(COUNTIF('Processed Non-zero TRI Data'!$I:$I,$H162)&gt;0,INDEX('Processed Non-zero TRI Data'!$A:$A,MATCH(1,($H162='Processed Non-zero TRI Data'!$I:$I)*(AI162='Processed Non-zero TRI Data'!$U:$U),0)),"N/A - Facility Does Not Report to TRI")))</f>
        <v>N/A - Facility Does Not Report to TRI</v>
      </c>
      <c r="AL162" s="109" cm="1">
        <f t="array" ref="AL162">IFERROR(_xlfn.XLOOKUP(1,  (MAX(IF(H162 = 'Processed Non-zero TRI Data'!$I$2:$I$23,'Processed Non-zero TRI Data'!$A$2:$A$23)) = 'Processed Non-zero TRI Data'!$A$2:$A$23)*('Processed Non-zero TRI Data'!$I$2:$I$23 = H162), 'Processed Non-zero TRI Data'!$W$2:$W$23), "N/A- Facility Does Not Report to TRI")</f>
        <v>0</v>
      </c>
      <c r="AM162" s="33">
        <f t="shared" si="36"/>
        <v>0</v>
      </c>
      <c r="AN162" s="33" t="str" cm="1">
        <f t="array" ref="AN162">IF(COUNTIF('Processed Non-zero TRI Data'!$I:$I,$H162)&gt;0,MEDIAN(IF('Processed Non-zero TRI Data'!$I:$I=H162,'Processed Non-zero TRI Data'!$W:$W)), "N/A - Facility Does Not Report to TRI")</f>
        <v>N/A - Facility Does Not Report to TRI</v>
      </c>
      <c r="AO162" s="33" t="str">
        <f t="shared" si="37"/>
        <v>N/A - Facility Does Not Report to TRI</v>
      </c>
      <c r="AP162" s="33" t="str">
        <f>IF(COUNTIF('Processed Non-zero TRI Data'!$I:$I,$H162)&gt;0,_xlfn.MAXIFS('Processed Non-zero TRI Data'!$W:$W,'Processed Non-zero TRI Data'!$I:$I,$H162), "N/A - Facility Does Not Report to TRI")</f>
        <v>N/A - Facility Does Not Report to TRI</v>
      </c>
      <c r="AQ162" s="33" t="str">
        <f t="shared" si="38"/>
        <v>N/A - Facility Does Not Report to TRI</v>
      </c>
      <c r="AR162" s="110" t="str" cm="1">
        <f t="array" ref="AR162">IF(B162="TRI Form A",AD162,IF(AP162=0,"Facility has no transfers to non-POTWs between 2019-2023.",IF(COUNTIF('Processed Non-zero TRI Data'!$I:$I,$H162)&gt;0,INDEX('Processed Non-zero TRI Data'!$A:$A,MATCH(1,($H162='Processed Non-zero TRI Data'!$I:$I)*(AP162='Processed Non-zero TRI Data'!$W:$W),0)),"N/A - Facility Does Not Report to TRI")))</f>
        <v>N/A - Facility Does Not Report to TRI</v>
      </c>
    </row>
    <row r="163" spans="1:44" ht="29" x14ac:dyDescent="0.35">
      <c r="A163" s="34">
        <v>160</v>
      </c>
      <c r="B163" s="33" t="str">
        <f>IFERROR("TRI Form "&amp;VLOOKUP(H163,'Processed Non-zero TRI Data'!$I$2:$K$23,3,FALSE),"DMR")</f>
        <v>DMR</v>
      </c>
      <c r="C163" s="33" t="str">
        <f>VLOOKUP($D163, 'COU.OES Summary'!C:D, 2, FALSE)</f>
        <v> </v>
      </c>
      <c r="D163" s="33" t="str">
        <f>IFERROR(VLOOKUP($H163, 'Processed Non-zero TRI Data'!$I:$O, 7, FALSE), VLOOKUP($I163, 'Processed Non-zero DMR Data'!$K:$R, 8, FALSE))</f>
        <v>Waste handling, treatment, and disposal - Remediation or Monitoring</v>
      </c>
      <c r="E163" s="34" t="s">
        <v>408</v>
      </c>
      <c r="F163" s="34" t="s">
        <v>409</v>
      </c>
      <c r="G163" s="34" t="s">
        <v>181</v>
      </c>
      <c r="H163" s="34"/>
      <c r="I163" s="105">
        <v>110009900116</v>
      </c>
      <c r="J163" s="33" t="str">
        <f>IFERROR(VLOOKUP($I163, 'Processed Non-zero DMR Data'!$K:$U, 11, FALSE),"")</f>
        <v>MI0053465</v>
      </c>
      <c r="K163" s="33" t="str">
        <f>IFERROR(VLOOKUP($I163, 'Processed Non-zero DMR Data'!$K:$V, 12, FALSE),"Not Reported")</f>
        <v>Wegner Ditch-Fawn River</v>
      </c>
      <c r="L163" s="106" t="str">
        <f>IFERROR(VLOOKUP($I163, 'Processed Non-zero DMR Data'!$K:$W, 13, FALSE),"No Reach Code Reported")</f>
        <v>040500010807</v>
      </c>
      <c r="M163" s="107" t="str">
        <f>IFERROR(IFERROR(VLOOKUP(H163, 'Off-site Locations'!$K$3:$O$5, 5, FALSE), VLOOKUP(H163, 'Off-site Locations'!$B$3:$E$4, 4, FALSE)), "No Offsite Transfers")</f>
        <v>No Offsite Transfers</v>
      </c>
      <c r="N163" s="33">
        <f>VLOOKUP($D163, 'COU.OES Summary'!C:E, 3, FALSE)</f>
        <v>365</v>
      </c>
      <c r="O163" s="108">
        <f t="shared" si="28"/>
        <v>0</v>
      </c>
      <c r="P163" s="108">
        <f t="shared" si="29"/>
        <v>0.19716822000000001</v>
      </c>
      <c r="Q163" s="109" cm="1">
        <f t="array" ref="Q163">IFERROR(_xlfn.XLOOKUP(1,  (MAX(IF(I163 = 'Processed Non-zero DMR Data'!$K:$K,'Processed Non-zero DMR Data'!$A:$A)) = 'Processed Non-zero DMR Data'!$A:$A)*('Processed Non-zero DMR Data'!$K:$K = I163),'Processed Non-zero DMR Data'!$T:$T), "N/A- Facility Does Not Report DMRs")</f>
        <v>0.164515659687725</v>
      </c>
      <c r="R163" s="33">
        <f t="shared" si="39"/>
        <v>4.507278347608904E-4</v>
      </c>
      <c r="S163" s="33" cm="1">
        <f t="array" ref="S163">IF(COUNTIF('Processed Non-zero DMR Data'!$K:$K,$I163)&gt;0,MEDIAN(IF('Processed Non-zero DMR Data'!$K:$K=I163,'Processed Non-zero DMR Data'!$T:$T)),"N/A - Facility Does Not Report DMRs")</f>
        <v>0.18084193984386249</v>
      </c>
      <c r="T163" s="33">
        <f t="shared" si="40"/>
        <v>4.9545736943523971E-4</v>
      </c>
      <c r="U163" s="33">
        <f>IF(COUNTIF('Processed Non-zero DMR Data'!$K:$K,$I163)&gt;0,_xlfn.MAXIFS('Processed Non-zero DMR Data'!$T:$T,'Processed Non-zero DMR Data'!$K:$K,$I163), "N/A - Facility Does Not Report DMRs")</f>
        <v>0.19716822000000001</v>
      </c>
      <c r="V163" s="33">
        <f t="shared" si="41"/>
        <v>5.4018690410958907E-4</v>
      </c>
      <c r="W163" s="110" cm="1">
        <f t="array" ref="W163">IF(COUNTIF('Processed Non-zero DMR Data'!$K:$K,$I163)&gt;0,INDEX('Processed Non-zero DMR Data'!$A:$A,MATCH(1,($I163='Processed Non-zero DMR Data'!$K:$K)*($U163='Processed Non-zero DMR Data'!$T:$T),0)), "N/A - Facility Does Not Report DMRs")</f>
        <v>2022</v>
      </c>
      <c r="X163" s="109" cm="1">
        <f t="array" ref="X163">IFERROR(_xlfn.XLOOKUP(1,  (MAX(IF(H163 = 'Processed Non-zero TRI Data'!$I:$I,'Processed Non-zero TRI Data'!$A:$A)) = 'Processed Non-zero TRI Data'!$A:$A)*('Processed Non-zero TRI Data'!$I:$I = H163), 'Processed Non-zero TRI Data'!$S:$S), "N/A- Facility Does Not Report to TRI")</f>
        <v>0</v>
      </c>
      <c r="Y163" s="33">
        <f t="shared" si="30"/>
        <v>0</v>
      </c>
      <c r="Z163" s="33" t="str" cm="1">
        <f t="array" ref="Z163">IF(COUNTIF('Processed Non-zero TRI Data'!$I:$I,$H163)&gt;0,MEDIAN(IF('Processed Non-zero TRI Data'!$I:$I=H163,'Processed Non-zero TRI Data'!$S:$S)), "N/A - Facility Does Not Report to TRI")</f>
        <v>N/A - Facility Does Not Report to TRI</v>
      </c>
      <c r="AA163" s="33" t="str">
        <f t="shared" si="31"/>
        <v>N/A - Facility Does Not Report to TRI</v>
      </c>
      <c r="AB163" s="33" t="str">
        <f>IF(COUNTIF('Processed Non-zero TRI Data'!$I:$I,$H163)&gt;0,_xlfn.MAXIFS('Processed Non-zero TRI Data'!$S:$S,'Processed Non-zero TRI Data'!$I:$I,$H163), "N/A - Facility Does Not Report to TRI")</f>
        <v>N/A - Facility Does Not Report to TRI</v>
      </c>
      <c r="AC163" s="33" t="str">
        <f t="shared" si="32"/>
        <v>N/A - Facility Does Not Report to TRI</v>
      </c>
      <c r="AD163" s="110" t="str" cm="1">
        <f t="array" ref="AD163">IFERROR(IF(B163 = "TRI Form R", IF(AB163 = 0, "Facility has no on-site water discharges between 2019-2023.",  IF(COUNTIF('Processed Non-zero TRI Data'!$I:$I,$H163)&gt;0,INDEX('Processed Non-zero TRI Data'!$A:$A,MATCH(1,($H163='Processed Non-zero TRI Data'!$I:$I)*(AB163='Processed Non-zero TRI Data'!$S:$S),0)))), VLOOKUP(H163, 'Form A Recent Reporting'!$L:$M, 2, FALSE)), ("N/A - Facility Does Not Report to TRI"))</f>
        <v>N/A - Facility Does Not Report to TRI</v>
      </c>
      <c r="AE163" s="109" cm="1">
        <f t="array" ref="AE163">IFERROR(_xlfn.XLOOKUP(1,  (MAX(IF(H163 = 'Processed Non-zero TRI Data'!$I:$I,'Processed Non-zero TRI Data'!$A:$A)) = 'Processed Non-zero TRI Data'!$A:$A)*('Processed Non-zero TRI Data'!$I:$I = H163), 'Processed Non-zero TRI Data'!$U:$U), "N/A- Facility Does Not Report to TRI")</f>
        <v>0</v>
      </c>
      <c r="AF163" s="33">
        <f t="shared" si="33"/>
        <v>0</v>
      </c>
      <c r="AG163" s="33" t="str" cm="1">
        <f t="array" ref="AG163">IF(COUNTIF('Processed Non-zero TRI Data'!$I:$I,$H163)&gt;0,MEDIAN(IF('Processed Non-zero TRI Data'!$I:$I=H163,'Processed Non-zero TRI Data'!$U:$U)), "N/A - Facility Does Not Report to TRI")</f>
        <v>N/A - Facility Does Not Report to TRI</v>
      </c>
      <c r="AH163" s="33" t="str">
        <f t="shared" si="34"/>
        <v>N/A - Facility Does Not Report to TRI</v>
      </c>
      <c r="AI163" s="33" t="str">
        <f>IF(COUNTIF('Processed Non-zero TRI Data'!$I:$I,$H163)&gt;0,_xlfn.MAXIFS('Processed Non-zero TRI Data'!$U:$U,'Processed Non-zero TRI Data'!$I:$I,$H163), "N/A - Facility Does Not Report to TRI")</f>
        <v>N/A - Facility Does Not Report to TRI</v>
      </c>
      <c r="AJ163" s="33" t="str">
        <f t="shared" si="35"/>
        <v>N/A - Facility Does Not Report to TRI</v>
      </c>
      <c r="AK163" s="110" t="str" cm="1">
        <f t="array" ref="AK163">IF(B163="TRI Form A",AD163,IF(AI163=0,"Facility has no transfers to POTWs between 2019-2023.",IF(COUNTIF('Processed Non-zero TRI Data'!$I:$I,$H163)&gt;0,INDEX('Processed Non-zero TRI Data'!$A:$A,MATCH(1,($H163='Processed Non-zero TRI Data'!$I:$I)*(AI163='Processed Non-zero TRI Data'!$U:$U),0)),"N/A - Facility Does Not Report to TRI")))</f>
        <v>N/A - Facility Does Not Report to TRI</v>
      </c>
      <c r="AL163" s="109" cm="1">
        <f t="array" ref="AL163">IFERROR(_xlfn.XLOOKUP(1,  (MAX(IF(H163 = 'Processed Non-zero TRI Data'!$I$2:$I$23,'Processed Non-zero TRI Data'!$A$2:$A$23)) = 'Processed Non-zero TRI Data'!$A$2:$A$23)*('Processed Non-zero TRI Data'!$I$2:$I$23 = H163), 'Processed Non-zero TRI Data'!$W$2:$W$23), "N/A- Facility Does Not Report to TRI")</f>
        <v>0</v>
      </c>
      <c r="AM163" s="33">
        <f t="shared" si="36"/>
        <v>0</v>
      </c>
      <c r="AN163" s="33" t="str" cm="1">
        <f t="array" ref="AN163">IF(COUNTIF('Processed Non-zero TRI Data'!$I:$I,$H163)&gt;0,MEDIAN(IF('Processed Non-zero TRI Data'!$I:$I=H163,'Processed Non-zero TRI Data'!$W:$W)), "N/A - Facility Does Not Report to TRI")</f>
        <v>N/A - Facility Does Not Report to TRI</v>
      </c>
      <c r="AO163" s="33" t="str">
        <f t="shared" si="37"/>
        <v>N/A - Facility Does Not Report to TRI</v>
      </c>
      <c r="AP163" s="33" t="str">
        <f>IF(COUNTIF('Processed Non-zero TRI Data'!$I:$I,$H163)&gt;0,_xlfn.MAXIFS('Processed Non-zero TRI Data'!$W:$W,'Processed Non-zero TRI Data'!$I:$I,$H163), "N/A - Facility Does Not Report to TRI")</f>
        <v>N/A - Facility Does Not Report to TRI</v>
      </c>
      <c r="AQ163" s="33" t="str">
        <f t="shared" si="38"/>
        <v>N/A - Facility Does Not Report to TRI</v>
      </c>
      <c r="AR163" s="110" t="str" cm="1">
        <f t="array" ref="AR163">IF(B163="TRI Form A",AD163,IF(AP163=0,"Facility has no transfers to non-POTWs between 2019-2023.",IF(COUNTIF('Processed Non-zero TRI Data'!$I:$I,$H163)&gt;0,INDEX('Processed Non-zero TRI Data'!$A:$A,MATCH(1,($H163='Processed Non-zero TRI Data'!$I:$I)*(AP163='Processed Non-zero TRI Data'!$W:$W),0)),"N/A - Facility Does Not Report to TRI")))</f>
        <v>N/A - Facility Does Not Report to TRI</v>
      </c>
    </row>
    <row r="164" spans="1:44" ht="29" x14ac:dyDescent="0.35">
      <c r="A164" s="34">
        <v>161</v>
      </c>
      <c r="B164" s="33" t="str">
        <f>IFERROR("TRI Form "&amp;VLOOKUP(H164,'Processed Non-zero TRI Data'!$I$2:$K$23,3,FALSE),"DMR")</f>
        <v>DMR</v>
      </c>
      <c r="C164" s="33" t="str">
        <f>VLOOKUP($D164, 'COU.OES Summary'!C:D, 2, FALSE)</f>
        <v> </v>
      </c>
      <c r="D164" s="33" t="str">
        <f>IFERROR(VLOOKUP($H164, 'Processed Non-zero TRI Data'!$I:$O, 7, FALSE), VLOOKUP($I164, 'Processed Non-zero DMR Data'!$K:$R, 8, FALSE))</f>
        <v>Waste handling, treatment, and disposal - Remediation or Monitoring</v>
      </c>
      <c r="E164" s="34" t="s">
        <v>410</v>
      </c>
      <c r="F164" s="34" t="s">
        <v>411</v>
      </c>
      <c r="G164" s="34" t="s">
        <v>102</v>
      </c>
      <c r="H164" s="34"/>
      <c r="I164" s="105">
        <v>110033145353</v>
      </c>
      <c r="J164" s="33" t="str">
        <f>IFERROR(VLOOKUP($I164, 'Processed Non-zero DMR Data'!$K:$U, 11, FALSE),"")</f>
        <v>CA0005550</v>
      </c>
      <c r="K164" s="33" t="str">
        <f>IFERROR(VLOOKUP($I164, 'Processed Non-zero DMR Data'!$K:$V, 12, FALSE),"Not Reported")</f>
        <v>American Canyon-Frontal Suisun Bay Estuaries</v>
      </c>
      <c r="L164" s="106">
        <f>IFERROR(VLOOKUP($I164, 'Processed Non-zero DMR Data'!$K:$W, 13, FALSE),"No Reach Code Reported")</f>
        <v>180500010109</v>
      </c>
      <c r="M164" s="107" t="str">
        <f>IFERROR(IFERROR(VLOOKUP(H164, 'Off-site Locations'!$K$3:$O$5, 5, FALSE), VLOOKUP(H164, 'Off-site Locations'!$B$3:$E$4, 4, FALSE)), "No Offsite Transfers")</f>
        <v>No Offsite Transfers</v>
      </c>
      <c r="N164" s="33">
        <f>VLOOKUP($D164, 'COU.OES Summary'!C:E, 3, FALSE)</f>
        <v>365</v>
      </c>
      <c r="O164" s="108">
        <f t="shared" si="28"/>
        <v>0</v>
      </c>
      <c r="P164" s="108">
        <f t="shared" si="29"/>
        <v>0.18497295</v>
      </c>
      <c r="Q164" s="109" cm="1">
        <f t="array" ref="Q164">IFERROR(_xlfn.XLOOKUP(1,  (MAX(IF(I164 = 'Processed Non-zero DMR Data'!$K:$K,'Processed Non-zero DMR Data'!$A:$A)) = 'Processed Non-zero DMR Data'!$A:$A)*('Processed Non-zero DMR Data'!$K:$K = I164),'Processed Non-zero DMR Data'!$T:$T), "N/A- Facility Does Not Report DMRs")</f>
        <v>0.18497295</v>
      </c>
      <c r="R164" s="33">
        <f t="shared" si="39"/>
        <v>5.0677520547945203E-4</v>
      </c>
      <c r="S164" s="33" cm="1">
        <f t="array" ref="S164">IF(COUNTIF('Processed Non-zero DMR Data'!$K:$K,$I164)&gt;0,MEDIAN(IF('Processed Non-zero DMR Data'!$K:$K=I164,'Processed Non-zero DMR Data'!$T:$T)),"N/A - Facility Does Not Report DMRs")</f>
        <v>0.18497295</v>
      </c>
      <c r="T164" s="33">
        <f t="shared" si="40"/>
        <v>5.0677520547945203E-4</v>
      </c>
      <c r="U164" s="33">
        <f>IF(COUNTIF('Processed Non-zero DMR Data'!$K:$K,$I164)&gt;0,_xlfn.MAXIFS('Processed Non-zero DMR Data'!$T:$T,'Processed Non-zero DMR Data'!$K:$K,$I164), "N/A - Facility Does Not Report DMRs")</f>
        <v>0.18497295</v>
      </c>
      <c r="V164" s="33">
        <f t="shared" si="41"/>
        <v>5.0677520547945203E-4</v>
      </c>
      <c r="W164" s="110" cm="1">
        <f t="array" ref="W164">IF(COUNTIF('Processed Non-zero DMR Data'!$K:$K,$I164)&gt;0,INDEX('Processed Non-zero DMR Data'!$A:$A,MATCH(1,($I164='Processed Non-zero DMR Data'!$K:$K)*($U164='Processed Non-zero DMR Data'!$T:$T),0)), "N/A - Facility Does Not Report DMRs")</f>
        <v>2023</v>
      </c>
      <c r="X164" s="109" cm="1">
        <f t="array" ref="X164">IFERROR(_xlfn.XLOOKUP(1,  (MAX(IF(H164 = 'Processed Non-zero TRI Data'!$I:$I,'Processed Non-zero TRI Data'!$A:$A)) = 'Processed Non-zero TRI Data'!$A:$A)*('Processed Non-zero TRI Data'!$I:$I = H164), 'Processed Non-zero TRI Data'!$S:$S), "N/A- Facility Does Not Report to TRI")</f>
        <v>0</v>
      </c>
      <c r="Y164" s="33">
        <f t="shared" si="30"/>
        <v>0</v>
      </c>
      <c r="Z164" s="33" t="str" cm="1">
        <f t="array" ref="Z164">IF(COUNTIF('Processed Non-zero TRI Data'!$I:$I,$H164)&gt;0,MEDIAN(IF('Processed Non-zero TRI Data'!$I:$I=H164,'Processed Non-zero TRI Data'!$S:$S)), "N/A - Facility Does Not Report to TRI")</f>
        <v>N/A - Facility Does Not Report to TRI</v>
      </c>
      <c r="AA164" s="33" t="str">
        <f t="shared" si="31"/>
        <v>N/A - Facility Does Not Report to TRI</v>
      </c>
      <c r="AB164" s="33" t="str">
        <f>IF(COUNTIF('Processed Non-zero TRI Data'!$I:$I,$H164)&gt;0,_xlfn.MAXIFS('Processed Non-zero TRI Data'!$S:$S,'Processed Non-zero TRI Data'!$I:$I,$H164), "N/A - Facility Does Not Report to TRI")</f>
        <v>N/A - Facility Does Not Report to TRI</v>
      </c>
      <c r="AC164" s="33" t="str">
        <f t="shared" si="32"/>
        <v>N/A - Facility Does Not Report to TRI</v>
      </c>
      <c r="AD164" s="110" t="str" cm="1">
        <f t="array" ref="AD164">IFERROR(IF(B164 = "TRI Form R", IF(AB164 = 0, "Facility has no on-site water discharges between 2019-2023.",  IF(COUNTIF('Processed Non-zero TRI Data'!$I:$I,$H164)&gt;0,INDEX('Processed Non-zero TRI Data'!$A:$A,MATCH(1,($H164='Processed Non-zero TRI Data'!$I:$I)*(AB164='Processed Non-zero TRI Data'!$S:$S),0)))), VLOOKUP(H164, 'Form A Recent Reporting'!$L:$M, 2, FALSE)), ("N/A - Facility Does Not Report to TRI"))</f>
        <v>N/A - Facility Does Not Report to TRI</v>
      </c>
      <c r="AE164" s="109" cm="1">
        <f t="array" ref="AE164">IFERROR(_xlfn.XLOOKUP(1,  (MAX(IF(H164 = 'Processed Non-zero TRI Data'!$I:$I,'Processed Non-zero TRI Data'!$A:$A)) = 'Processed Non-zero TRI Data'!$A:$A)*('Processed Non-zero TRI Data'!$I:$I = H164), 'Processed Non-zero TRI Data'!$U:$U), "N/A- Facility Does Not Report to TRI")</f>
        <v>0</v>
      </c>
      <c r="AF164" s="33">
        <f t="shared" si="33"/>
        <v>0</v>
      </c>
      <c r="AG164" s="33" t="str" cm="1">
        <f t="array" ref="AG164">IF(COUNTIF('Processed Non-zero TRI Data'!$I:$I,$H164)&gt;0,MEDIAN(IF('Processed Non-zero TRI Data'!$I:$I=H164,'Processed Non-zero TRI Data'!$U:$U)), "N/A - Facility Does Not Report to TRI")</f>
        <v>N/A - Facility Does Not Report to TRI</v>
      </c>
      <c r="AH164" s="33" t="str">
        <f t="shared" si="34"/>
        <v>N/A - Facility Does Not Report to TRI</v>
      </c>
      <c r="AI164" s="33" t="str">
        <f>IF(COUNTIF('Processed Non-zero TRI Data'!$I:$I,$H164)&gt;0,_xlfn.MAXIFS('Processed Non-zero TRI Data'!$U:$U,'Processed Non-zero TRI Data'!$I:$I,$H164), "N/A - Facility Does Not Report to TRI")</f>
        <v>N/A - Facility Does Not Report to TRI</v>
      </c>
      <c r="AJ164" s="33" t="str">
        <f t="shared" si="35"/>
        <v>N/A - Facility Does Not Report to TRI</v>
      </c>
      <c r="AK164" s="110" t="str" cm="1">
        <f t="array" ref="AK164">IF(B164="TRI Form A",AD164,IF(AI164=0,"Facility has no transfers to POTWs between 2019-2023.",IF(COUNTIF('Processed Non-zero TRI Data'!$I:$I,$H164)&gt;0,INDEX('Processed Non-zero TRI Data'!$A:$A,MATCH(1,($H164='Processed Non-zero TRI Data'!$I:$I)*(AI164='Processed Non-zero TRI Data'!$U:$U),0)),"N/A - Facility Does Not Report to TRI")))</f>
        <v>N/A - Facility Does Not Report to TRI</v>
      </c>
      <c r="AL164" s="109" cm="1">
        <f t="array" ref="AL164">IFERROR(_xlfn.XLOOKUP(1,  (MAX(IF(H164 = 'Processed Non-zero TRI Data'!$I$2:$I$23,'Processed Non-zero TRI Data'!$A$2:$A$23)) = 'Processed Non-zero TRI Data'!$A$2:$A$23)*('Processed Non-zero TRI Data'!$I$2:$I$23 = H164), 'Processed Non-zero TRI Data'!$W$2:$W$23), "N/A- Facility Does Not Report to TRI")</f>
        <v>0</v>
      </c>
      <c r="AM164" s="33">
        <f t="shared" si="36"/>
        <v>0</v>
      </c>
      <c r="AN164" s="33" t="str" cm="1">
        <f t="array" ref="AN164">IF(COUNTIF('Processed Non-zero TRI Data'!$I:$I,$H164)&gt;0,MEDIAN(IF('Processed Non-zero TRI Data'!$I:$I=H164,'Processed Non-zero TRI Data'!$W:$W)), "N/A - Facility Does Not Report to TRI")</f>
        <v>N/A - Facility Does Not Report to TRI</v>
      </c>
      <c r="AO164" s="33" t="str">
        <f t="shared" si="37"/>
        <v>N/A - Facility Does Not Report to TRI</v>
      </c>
      <c r="AP164" s="33" t="str">
        <f>IF(COUNTIF('Processed Non-zero TRI Data'!$I:$I,$H164)&gt;0,_xlfn.MAXIFS('Processed Non-zero TRI Data'!$W:$W,'Processed Non-zero TRI Data'!$I:$I,$H164), "N/A - Facility Does Not Report to TRI")</f>
        <v>N/A - Facility Does Not Report to TRI</v>
      </c>
      <c r="AQ164" s="33" t="str">
        <f t="shared" si="38"/>
        <v>N/A - Facility Does Not Report to TRI</v>
      </c>
      <c r="AR164" s="110" t="str" cm="1">
        <f t="array" ref="AR164">IF(B164="TRI Form A",AD164,IF(AP164=0,"Facility has no transfers to non-POTWs between 2019-2023.",IF(COUNTIF('Processed Non-zero TRI Data'!$I:$I,$H164)&gt;0,INDEX('Processed Non-zero TRI Data'!$A:$A,MATCH(1,($H164='Processed Non-zero TRI Data'!$I:$I)*(AP164='Processed Non-zero TRI Data'!$W:$W),0)),"N/A - Facility Does Not Report to TRI")))</f>
        <v>N/A - Facility Does Not Report to TRI</v>
      </c>
    </row>
    <row r="165" spans="1:44" ht="29" x14ac:dyDescent="0.35">
      <c r="A165" s="34">
        <v>162</v>
      </c>
      <c r="B165" s="33" t="str">
        <f>IFERROR("TRI Form "&amp;VLOOKUP(H165,'Processed Non-zero TRI Data'!$I$2:$K$23,3,FALSE),"DMR")</f>
        <v>DMR</v>
      </c>
      <c r="C165" s="33" t="str">
        <f>VLOOKUP($D165, 'COU.OES Summary'!C:D, 2, FALSE)</f>
        <v> </v>
      </c>
      <c r="D165" s="33" t="str">
        <f>IFERROR(VLOOKUP($H165, 'Processed Non-zero TRI Data'!$I:$O, 7, FALSE), VLOOKUP($I165, 'Processed Non-zero DMR Data'!$K:$R, 8, FALSE))</f>
        <v>Waste handling, treatment, and disposal - POTW</v>
      </c>
      <c r="E165" s="34" t="s">
        <v>412</v>
      </c>
      <c r="F165" s="34" t="s">
        <v>413</v>
      </c>
      <c r="G165" s="34" t="s">
        <v>102</v>
      </c>
      <c r="H165" s="34"/>
      <c r="I165" s="105">
        <v>110000730825</v>
      </c>
      <c r="J165" s="33" t="str">
        <f>IFERROR(VLOOKUP($I165, 'Processed Non-zero DMR Data'!$K:$U, 11, FALSE),"")</f>
        <v>CA7000009</v>
      </c>
      <c r="K165" s="33" t="str">
        <f>IFERROR(VLOOKUP($I165, 'Processed Non-zero DMR Data'!$K:$V, 12, FALSE),"Not Reported")</f>
        <v>Upper New River</v>
      </c>
      <c r="L165" s="106">
        <f>IFERROR(VLOOKUP($I165, 'Processed Non-zero DMR Data'!$K:$W, 13, FALSE),"No Reach Code Reported")</f>
        <v>181002040902</v>
      </c>
      <c r="M165" s="107" t="str">
        <f>IFERROR(IFERROR(VLOOKUP(H165, 'Off-site Locations'!$K$3:$O$5, 5, FALSE), VLOOKUP(H165, 'Off-site Locations'!$B$3:$E$4, 4, FALSE)), "No Offsite Transfers")</f>
        <v>No Offsite Transfers</v>
      </c>
      <c r="N165" s="33">
        <f>VLOOKUP($D165, 'COU.OES Summary'!C:E, 3, FALSE)</f>
        <v>365</v>
      </c>
      <c r="O165" s="108">
        <f t="shared" si="28"/>
        <v>0</v>
      </c>
      <c r="P165" s="108">
        <f t="shared" si="29"/>
        <v>0.18484804499999999</v>
      </c>
      <c r="Q165" s="109" cm="1">
        <f t="array" ref="Q165">IFERROR(_xlfn.XLOOKUP(1,  (MAX(IF(I165 = 'Processed Non-zero DMR Data'!$K:$K,'Processed Non-zero DMR Data'!$A:$A)) = 'Processed Non-zero DMR Data'!$A:$A)*('Processed Non-zero DMR Data'!$K:$K = I165),'Processed Non-zero DMR Data'!$T:$T), "N/A- Facility Does Not Report DMRs")</f>
        <v>0.18484804499999999</v>
      </c>
      <c r="R165" s="33">
        <f t="shared" si="39"/>
        <v>5.0643299999999993E-4</v>
      </c>
      <c r="S165" s="33" cm="1">
        <f t="array" ref="S165">IF(COUNTIF('Processed Non-zero DMR Data'!$K:$K,$I165)&gt;0,MEDIAN(IF('Processed Non-zero DMR Data'!$K:$K=I165,'Processed Non-zero DMR Data'!$T:$T)),"N/A - Facility Does Not Report DMRs")</f>
        <v>8.1958970625000002E-2</v>
      </c>
      <c r="T165" s="33">
        <f t="shared" si="40"/>
        <v>2.24545125E-4</v>
      </c>
      <c r="U165" s="33">
        <f>IF(COUNTIF('Processed Non-zero DMR Data'!$K:$K,$I165)&gt;0,_xlfn.MAXIFS('Processed Non-zero DMR Data'!$T:$T,'Processed Non-zero DMR Data'!$K:$K,$I165), "N/A - Facility Does Not Report DMRs")</f>
        <v>0.18484804499999999</v>
      </c>
      <c r="V165" s="33">
        <f t="shared" si="41"/>
        <v>5.0643299999999993E-4</v>
      </c>
      <c r="W165" s="110" cm="1">
        <f t="array" ref="W165">IF(COUNTIF('Processed Non-zero DMR Data'!$K:$K,$I165)&gt;0,INDEX('Processed Non-zero DMR Data'!$A:$A,MATCH(1,($I165='Processed Non-zero DMR Data'!$K:$K)*($U165='Processed Non-zero DMR Data'!$T:$T),0)), "N/A - Facility Does Not Report DMRs")</f>
        <v>2023</v>
      </c>
      <c r="X165" s="109" cm="1">
        <f t="array" ref="X165">IFERROR(_xlfn.XLOOKUP(1,  (MAX(IF(H165 = 'Processed Non-zero TRI Data'!$I:$I,'Processed Non-zero TRI Data'!$A:$A)) = 'Processed Non-zero TRI Data'!$A:$A)*('Processed Non-zero TRI Data'!$I:$I = H165), 'Processed Non-zero TRI Data'!$S:$S), "N/A- Facility Does Not Report to TRI")</f>
        <v>0</v>
      </c>
      <c r="Y165" s="33">
        <f t="shared" si="30"/>
        <v>0</v>
      </c>
      <c r="Z165" s="33" t="str" cm="1">
        <f t="array" ref="Z165">IF(COUNTIF('Processed Non-zero TRI Data'!$I:$I,$H165)&gt;0,MEDIAN(IF('Processed Non-zero TRI Data'!$I:$I=H165,'Processed Non-zero TRI Data'!$S:$S)), "N/A - Facility Does Not Report to TRI")</f>
        <v>N/A - Facility Does Not Report to TRI</v>
      </c>
      <c r="AA165" s="33" t="str">
        <f t="shared" si="31"/>
        <v>N/A - Facility Does Not Report to TRI</v>
      </c>
      <c r="AB165" s="33" t="str">
        <f>IF(COUNTIF('Processed Non-zero TRI Data'!$I:$I,$H165)&gt;0,_xlfn.MAXIFS('Processed Non-zero TRI Data'!$S:$S,'Processed Non-zero TRI Data'!$I:$I,$H165), "N/A - Facility Does Not Report to TRI")</f>
        <v>N/A - Facility Does Not Report to TRI</v>
      </c>
      <c r="AC165" s="33" t="str">
        <f t="shared" si="32"/>
        <v>N/A - Facility Does Not Report to TRI</v>
      </c>
      <c r="AD165" s="110" t="str" cm="1">
        <f t="array" ref="AD165">IFERROR(IF(B165 = "TRI Form R", IF(AB165 = 0, "Facility has no on-site water discharges between 2019-2023.",  IF(COUNTIF('Processed Non-zero TRI Data'!$I:$I,$H165)&gt;0,INDEX('Processed Non-zero TRI Data'!$A:$A,MATCH(1,($H165='Processed Non-zero TRI Data'!$I:$I)*(AB165='Processed Non-zero TRI Data'!$S:$S),0)))), VLOOKUP(H165, 'Form A Recent Reporting'!$L:$M, 2, FALSE)), ("N/A - Facility Does Not Report to TRI"))</f>
        <v>N/A - Facility Does Not Report to TRI</v>
      </c>
      <c r="AE165" s="109" cm="1">
        <f t="array" ref="AE165">IFERROR(_xlfn.XLOOKUP(1,  (MAX(IF(H165 = 'Processed Non-zero TRI Data'!$I:$I,'Processed Non-zero TRI Data'!$A:$A)) = 'Processed Non-zero TRI Data'!$A:$A)*('Processed Non-zero TRI Data'!$I:$I = H165), 'Processed Non-zero TRI Data'!$U:$U), "N/A- Facility Does Not Report to TRI")</f>
        <v>0</v>
      </c>
      <c r="AF165" s="33">
        <f t="shared" si="33"/>
        <v>0</v>
      </c>
      <c r="AG165" s="33" t="str" cm="1">
        <f t="array" ref="AG165">IF(COUNTIF('Processed Non-zero TRI Data'!$I:$I,$H165)&gt;0,MEDIAN(IF('Processed Non-zero TRI Data'!$I:$I=H165,'Processed Non-zero TRI Data'!$U:$U)), "N/A - Facility Does Not Report to TRI")</f>
        <v>N/A - Facility Does Not Report to TRI</v>
      </c>
      <c r="AH165" s="33" t="str">
        <f t="shared" si="34"/>
        <v>N/A - Facility Does Not Report to TRI</v>
      </c>
      <c r="AI165" s="33" t="str">
        <f>IF(COUNTIF('Processed Non-zero TRI Data'!$I:$I,$H165)&gt;0,_xlfn.MAXIFS('Processed Non-zero TRI Data'!$U:$U,'Processed Non-zero TRI Data'!$I:$I,$H165), "N/A - Facility Does Not Report to TRI")</f>
        <v>N/A - Facility Does Not Report to TRI</v>
      </c>
      <c r="AJ165" s="33" t="str">
        <f t="shared" si="35"/>
        <v>N/A - Facility Does Not Report to TRI</v>
      </c>
      <c r="AK165" s="110" t="str" cm="1">
        <f t="array" ref="AK165">IF(B165="TRI Form A",AD165,IF(AI165=0,"Facility has no transfers to POTWs between 2019-2023.",IF(COUNTIF('Processed Non-zero TRI Data'!$I:$I,$H165)&gt;0,INDEX('Processed Non-zero TRI Data'!$A:$A,MATCH(1,($H165='Processed Non-zero TRI Data'!$I:$I)*(AI165='Processed Non-zero TRI Data'!$U:$U),0)),"N/A - Facility Does Not Report to TRI")))</f>
        <v>N/A - Facility Does Not Report to TRI</v>
      </c>
      <c r="AL165" s="109" cm="1">
        <f t="array" ref="AL165">IFERROR(_xlfn.XLOOKUP(1,  (MAX(IF(H165 = 'Processed Non-zero TRI Data'!$I$2:$I$23,'Processed Non-zero TRI Data'!$A$2:$A$23)) = 'Processed Non-zero TRI Data'!$A$2:$A$23)*('Processed Non-zero TRI Data'!$I$2:$I$23 = H165), 'Processed Non-zero TRI Data'!$W$2:$W$23), "N/A- Facility Does Not Report to TRI")</f>
        <v>0</v>
      </c>
      <c r="AM165" s="33">
        <f t="shared" si="36"/>
        <v>0</v>
      </c>
      <c r="AN165" s="33" t="str" cm="1">
        <f t="array" ref="AN165">IF(COUNTIF('Processed Non-zero TRI Data'!$I:$I,$H165)&gt;0,MEDIAN(IF('Processed Non-zero TRI Data'!$I:$I=H165,'Processed Non-zero TRI Data'!$W:$W)), "N/A - Facility Does Not Report to TRI")</f>
        <v>N/A - Facility Does Not Report to TRI</v>
      </c>
      <c r="AO165" s="33" t="str">
        <f t="shared" si="37"/>
        <v>N/A - Facility Does Not Report to TRI</v>
      </c>
      <c r="AP165" s="33" t="str">
        <f>IF(COUNTIF('Processed Non-zero TRI Data'!$I:$I,$H165)&gt;0,_xlfn.MAXIFS('Processed Non-zero TRI Data'!$W:$W,'Processed Non-zero TRI Data'!$I:$I,$H165), "N/A - Facility Does Not Report to TRI")</f>
        <v>N/A - Facility Does Not Report to TRI</v>
      </c>
      <c r="AQ165" s="33" t="str">
        <f t="shared" si="38"/>
        <v>N/A - Facility Does Not Report to TRI</v>
      </c>
      <c r="AR165" s="110" t="str" cm="1">
        <f t="array" ref="AR165">IF(B165="TRI Form A",AD165,IF(AP165=0,"Facility has no transfers to non-POTWs between 2019-2023.",IF(COUNTIF('Processed Non-zero TRI Data'!$I:$I,$H165)&gt;0,INDEX('Processed Non-zero TRI Data'!$A:$A,MATCH(1,($H165='Processed Non-zero TRI Data'!$I:$I)*(AP165='Processed Non-zero TRI Data'!$W:$W),0)),"N/A - Facility Does Not Report to TRI")))</f>
        <v>N/A - Facility Does Not Report to TRI</v>
      </c>
    </row>
    <row r="166" spans="1:44" ht="29" x14ac:dyDescent="0.35">
      <c r="A166" s="34">
        <v>163</v>
      </c>
      <c r="B166" s="33" t="str">
        <f>IFERROR("TRI Form "&amp;VLOOKUP(H166,'Processed Non-zero TRI Data'!$I$2:$K$23,3,FALSE),"DMR")</f>
        <v>DMR</v>
      </c>
      <c r="C166" s="33" t="str">
        <f>VLOOKUP($D166, 'COU.OES Summary'!C:D, 2, FALSE)</f>
        <v> </v>
      </c>
      <c r="D166" s="33" t="str">
        <f>IFERROR(VLOOKUP($H166, 'Processed Non-zero TRI Data'!$I:$O, 7, FALSE), VLOOKUP($I166, 'Processed Non-zero DMR Data'!$K:$R, 8, FALSE))</f>
        <v>Waste handling, treatment, and disposal - non-POTW WWT</v>
      </c>
      <c r="E166" s="34" t="s">
        <v>414</v>
      </c>
      <c r="F166" s="34" t="s">
        <v>415</v>
      </c>
      <c r="G166" s="34" t="s">
        <v>102</v>
      </c>
      <c r="H166" s="34"/>
      <c r="I166" s="105">
        <v>110054272210</v>
      </c>
      <c r="J166" s="33" t="str">
        <f>IFERROR(VLOOKUP($I166, 'Processed Non-zero DMR Data'!$K:$U, 11, FALSE),"")</f>
        <v>CA0083721</v>
      </c>
      <c r="K166" s="33" t="str">
        <f>IFERROR(VLOOKUP($I166, 'Processed Non-zero DMR Data'!$K:$V, 12, FALSE),"Not Reported")</f>
        <v>Kopta Slough</v>
      </c>
      <c r="L166" s="106">
        <f>IFERROR(VLOOKUP($I166, 'Processed Non-zero DMR Data'!$K:$W, 13, FALSE),"No Reach Code Reported")</f>
        <v>180201570701</v>
      </c>
      <c r="M166" s="107" t="str">
        <f>IFERROR(IFERROR(VLOOKUP(H166, 'Off-site Locations'!$K$3:$O$5, 5, FALSE), VLOOKUP(H166, 'Off-site Locations'!$B$3:$E$4, 4, FALSE)), "No Offsite Transfers")</f>
        <v>No Offsite Transfers</v>
      </c>
      <c r="N166" s="33">
        <f>VLOOKUP($D166, 'COU.OES Summary'!C:E, 3, FALSE)</f>
        <v>365</v>
      </c>
      <c r="O166" s="108">
        <f t="shared" si="28"/>
        <v>0</v>
      </c>
      <c r="P166" s="108">
        <f t="shared" si="29"/>
        <v>0.16759979999999999</v>
      </c>
      <c r="Q166" s="109" cm="1">
        <f t="array" ref="Q166">IFERROR(_xlfn.XLOOKUP(1,  (MAX(IF(I166 = 'Processed Non-zero DMR Data'!$K:$K,'Processed Non-zero DMR Data'!$A:$A)) = 'Processed Non-zero DMR Data'!$A:$A)*('Processed Non-zero DMR Data'!$K:$K = I166),'Processed Non-zero DMR Data'!$T:$T), "N/A- Facility Does Not Report DMRs")</f>
        <v>0.16759979999999999</v>
      </c>
      <c r="R166" s="33">
        <f t="shared" si="39"/>
        <v>4.5917753424657532E-4</v>
      </c>
      <c r="S166" s="33" cm="1">
        <f t="array" ref="S166">IF(COUNTIF('Processed Non-zero DMR Data'!$K:$K,$I166)&gt;0,MEDIAN(IF('Processed Non-zero DMR Data'!$K:$K=I166,'Processed Non-zero DMR Data'!$T:$T)),"N/A - Facility Does Not Report DMRs")</f>
        <v>0.11971141225</v>
      </c>
      <c r="T166" s="33">
        <f t="shared" si="40"/>
        <v>3.2797647191780822E-4</v>
      </c>
      <c r="U166" s="33">
        <f>IF(COUNTIF('Processed Non-zero DMR Data'!$K:$K,$I166)&gt;0,_xlfn.MAXIFS('Processed Non-zero DMR Data'!$T:$T,'Processed Non-zero DMR Data'!$K:$K,$I166), "N/A - Facility Does Not Report DMRs")</f>
        <v>0.16759979999999999</v>
      </c>
      <c r="V166" s="33">
        <f t="shared" si="41"/>
        <v>4.5917753424657532E-4</v>
      </c>
      <c r="W166" s="110" cm="1">
        <f t="array" ref="W166">IF(COUNTIF('Processed Non-zero DMR Data'!$K:$K,$I166)&gt;0,INDEX('Processed Non-zero DMR Data'!$A:$A,MATCH(1,($I166='Processed Non-zero DMR Data'!$K:$K)*($U166='Processed Non-zero DMR Data'!$T:$T),0)), "N/A - Facility Does Not Report DMRs")</f>
        <v>2023</v>
      </c>
      <c r="X166" s="109" cm="1">
        <f t="array" ref="X166">IFERROR(_xlfn.XLOOKUP(1,  (MAX(IF(H166 = 'Processed Non-zero TRI Data'!$I:$I,'Processed Non-zero TRI Data'!$A:$A)) = 'Processed Non-zero TRI Data'!$A:$A)*('Processed Non-zero TRI Data'!$I:$I = H166), 'Processed Non-zero TRI Data'!$S:$S), "N/A- Facility Does Not Report to TRI")</f>
        <v>0</v>
      </c>
      <c r="Y166" s="33">
        <f t="shared" si="30"/>
        <v>0</v>
      </c>
      <c r="Z166" s="33" t="str" cm="1">
        <f t="array" ref="Z166">IF(COUNTIF('Processed Non-zero TRI Data'!$I:$I,$H166)&gt;0,MEDIAN(IF('Processed Non-zero TRI Data'!$I:$I=H166,'Processed Non-zero TRI Data'!$S:$S)), "N/A - Facility Does Not Report to TRI")</f>
        <v>N/A - Facility Does Not Report to TRI</v>
      </c>
      <c r="AA166" s="33" t="str">
        <f t="shared" si="31"/>
        <v>N/A - Facility Does Not Report to TRI</v>
      </c>
      <c r="AB166" s="33" t="str">
        <f>IF(COUNTIF('Processed Non-zero TRI Data'!$I:$I,$H166)&gt;0,_xlfn.MAXIFS('Processed Non-zero TRI Data'!$S:$S,'Processed Non-zero TRI Data'!$I:$I,$H166), "N/A - Facility Does Not Report to TRI")</f>
        <v>N/A - Facility Does Not Report to TRI</v>
      </c>
      <c r="AC166" s="33" t="str">
        <f t="shared" si="32"/>
        <v>N/A - Facility Does Not Report to TRI</v>
      </c>
      <c r="AD166" s="110" t="str" cm="1">
        <f t="array" ref="AD166">IFERROR(IF(B166 = "TRI Form R", IF(AB166 = 0, "Facility has no on-site water discharges between 2019-2023.",  IF(COUNTIF('Processed Non-zero TRI Data'!$I:$I,$H166)&gt;0,INDEX('Processed Non-zero TRI Data'!$A:$A,MATCH(1,($H166='Processed Non-zero TRI Data'!$I:$I)*(AB166='Processed Non-zero TRI Data'!$S:$S),0)))), VLOOKUP(H166, 'Form A Recent Reporting'!$L:$M, 2, FALSE)), ("N/A - Facility Does Not Report to TRI"))</f>
        <v>N/A - Facility Does Not Report to TRI</v>
      </c>
      <c r="AE166" s="109" cm="1">
        <f t="array" ref="AE166">IFERROR(_xlfn.XLOOKUP(1,  (MAX(IF(H166 = 'Processed Non-zero TRI Data'!$I:$I,'Processed Non-zero TRI Data'!$A:$A)) = 'Processed Non-zero TRI Data'!$A:$A)*('Processed Non-zero TRI Data'!$I:$I = H166), 'Processed Non-zero TRI Data'!$U:$U), "N/A- Facility Does Not Report to TRI")</f>
        <v>0</v>
      </c>
      <c r="AF166" s="33">
        <f t="shared" si="33"/>
        <v>0</v>
      </c>
      <c r="AG166" s="33" t="str" cm="1">
        <f t="array" ref="AG166">IF(COUNTIF('Processed Non-zero TRI Data'!$I:$I,$H166)&gt;0,MEDIAN(IF('Processed Non-zero TRI Data'!$I:$I=H166,'Processed Non-zero TRI Data'!$U:$U)), "N/A - Facility Does Not Report to TRI")</f>
        <v>N/A - Facility Does Not Report to TRI</v>
      </c>
      <c r="AH166" s="33" t="str">
        <f t="shared" si="34"/>
        <v>N/A - Facility Does Not Report to TRI</v>
      </c>
      <c r="AI166" s="33" t="str">
        <f>IF(COUNTIF('Processed Non-zero TRI Data'!$I:$I,$H166)&gt;0,_xlfn.MAXIFS('Processed Non-zero TRI Data'!$U:$U,'Processed Non-zero TRI Data'!$I:$I,$H166), "N/A - Facility Does Not Report to TRI")</f>
        <v>N/A - Facility Does Not Report to TRI</v>
      </c>
      <c r="AJ166" s="33" t="str">
        <f t="shared" si="35"/>
        <v>N/A - Facility Does Not Report to TRI</v>
      </c>
      <c r="AK166" s="110" t="str" cm="1">
        <f t="array" ref="AK166">IF(B166="TRI Form A",AD166,IF(AI166=0,"Facility has no transfers to POTWs between 2019-2023.",IF(COUNTIF('Processed Non-zero TRI Data'!$I:$I,$H166)&gt;0,INDEX('Processed Non-zero TRI Data'!$A:$A,MATCH(1,($H166='Processed Non-zero TRI Data'!$I:$I)*(AI166='Processed Non-zero TRI Data'!$U:$U),0)),"N/A - Facility Does Not Report to TRI")))</f>
        <v>N/A - Facility Does Not Report to TRI</v>
      </c>
      <c r="AL166" s="109" cm="1">
        <f t="array" ref="AL166">IFERROR(_xlfn.XLOOKUP(1,  (MAX(IF(H166 = 'Processed Non-zero TRI Data'!$I$2:$I$23,'Processed Non-zero TRI Data'!$A$2:$A$23)) = 'Processed Non-zero TRI Data'!$A$2:$A$23)*('Processed Non-zero TRI Data'!$I$2:$I$23 = H166), 'Processed Non-zero TRI Data'!$W$2:$W$23), "N/A- Facility Does Not Report to TRI")</f>
        <v>0</v>
      </c>
      <c r="AM166" s="33">
        <f t="shared" si="36"/>
        <v>0</v>
      </c>
      <c r="AN166" s="33" t="str" cm="1">
        <f t="array" ref="AN166">IF(COUNTIF('Processed Non-zero TRI Data'!$I:$I,$H166)&gt;0,MEDIAN(IF('Processed Non-zero TRI Data'!$I:$I=H166,'Processed Non-zero TRI Data'!$W:$W)), "N/A - Facility Does Not Report to TRI")</f>
        <v>N/A - Facility Does Not Report to TRI</v>
      </c>
      <c r="AO166" s="33" t="str">
        <f t="shared" si="37"/>
        <v>N/A - Facility Does Not Report to TRI</v>
      </c>
      <c r="AP166" s="33" t="str">
        <f>IF(COUNTIF('Processed Non-zero TRI Data'!$I:$I,$H166)&gt;0,_xlfn.MAXIFS('Processed Non-zero TRI Data'!$W:$W,'Processed Non-zero TRI Data'!$I:$I,$H166), "N/A - Facility Does Not Report to TRI")</f>
        <v>N/A - Facility Does Not Report to TRI</v>
      </c>
      <c r="AQ166" s="33" t="str">
        <f t="shared" si="38"/>
        <v>N/A - Facility Does Not Report to TRI</v>
      </c>
      <c r="AR166" s="110" t="str" cm="1">
        <f t="array" ref="AR166">IF(B166="TRI Form A",AD166,IF(AP166=0,"Facility has no transfers to non-POTWs between 2019-2023.",IF(COUNTIF('Processed Non-zero TRI Data'!$I:$I,$H166)&gt;0,INDEX('Processed Non-zero TRI Data'!$A:$A,MATCH(1,($H166='Processed Non-zero TRI Data'!$I:$I)*(AP166='Processed Non-zero TRI Data'!$W:$W),0)),"N/A - Facility Does Not Report to TRI")))</f>
        <v>N/A - Facility Does Not Report to TRI</v>
      </c>
    </row>
    <row r="167" spans="1:44" ht="29" x14ac:dyDescent="0.35">
      <c r="A167" s="34">
        <v>164</v>
      </c>
      <c r="B167" s="33" t="str">
        <f>IFERROR("TRI Form "&amp;VLOOKUP(H167,'Processed Non-zero TRI Data'!$I$2:$K$23,3,FALSE),"DMR")</f>
        <v>DMR</v>
      </c>
      <c r="C167" s="33" t="str">
        <f>VLOOKUP($D167, 'COU.OES Summary'!C:D, 2, FALSE)</f>
        <v> </v>
      </c>
      <c r="D167" s="33" t="str">
        <f>IFERROR(VLOOKUP($H167, 'Processed Non-zero TRI Data'!$I:$O, 7, FALSE), VLOOKUP($I167, 'Processed Non-zero DMR Data'!$K:$R, 8, FALSE))</f>
        <v>Waste handling, treatment, and disposal - Remediation or Monitoring</v>
      </c>
      <c r="E167" s="34" t="s">
        <v>416</v>
      </c>
      <c r="F167" s="34" t="s">
        <v>417</v>
      </c>
      <c r="G167" s="34" t="s">
        <v>340</v>
      </c>
      <c r="H167" s="34"/>
      <c r="I167" s="105">
        <v>110000772628</v>
      </c>
      <c r="J167" s="33" t="str">
        <f>IFERROR(VLOOKUP($I167, 'Processed Non-zero DMR Data'!$K:$U, 11, FALSE),"")</f>
        <v>PA0055913</v>
      </c>
      <c r="K167" s="33" t="str">
        <f>IFERROR(VLOOKUP($I167, 'Processed Non-zero DMR Data'!$K:$V, 12, FALSE),"Not Reported")</f>
        <v>Martins Creek</v>
      </c>
      <c r="L167" s="106">
        <f>IFERROR(VLOOKUP($I167, 'Processed Non-zero DMR Data'!$K:$W, 13, FALSE),"No Reach Code Reported")</f>
        <v>20402010403</v>
      </c>
      <c r="M167" s="107" t="str">
        <f>IFERROR(IFERROR(VLOOKUP(H167, 'Off-site Locations'!$K$3:$O$5, 5, FALSE), VLOOKUP(H167, 'Off-site Locations'!$B$3:$E$4, 4, FALSE)), "No Offsite Transfers")</f>
        <v>No Offsite Transfers</v>
      </c>
      <c r="N167" s="33">
        <f>VLOOKUP($D167, 'COU.OES Summary'!C:E, 3, FALSE)</f>
        <v>365</v>
      </c>
      <c r="O167" s="108">
        <f t="shared" si="28"/>
        <v>0</v>
      </c>
      <c r="P167" s="108">
        <f t="shared" si="29"/>
        <v>0.16578300000000001</v>
      </c>
      <c r="Q167" s="109" cm="1">
        <f t="array" ref="Q167">IFERROR(_xlfn.XLOOKUP(1,  (MAX(IF(I167 = 'Processed Non-zero DMR Data'!$K:$K,'Processed Non-zero DMR Data'!$A:$A)) = 'Processed Non-zero DMR Data'!$A:$A)*('Processed Non-zero DMR Data'!$K:$K = I167),'Processed Non-zero DMR Data'!$T:$T), "N/A- Facility Does Not Report DMRs")</f>
        <v>0.16578300000000001</v>
      </c>
      <c r="R167" s="33">
        <f t="shared" si="39"/>
        <v>4.5420000000000004E-4</v>
      </c>
      <c r="S167" s="33" cm="1">
        <f t="array" ref="S167">IF(COUNTIF('Processed Non-zero DMR Data'!$K:$K,$I167)&gt;0,MEDIAN(IF('Processed Non-zero DMR Data'!$K:$K=I167,'Processed Non-zero DMR Data'!$T:$T)),"N/A - Facility Does Not Report DMRs")</f>
        <v>8.2891500000000007E-2</v>
      </c>
      <c r="T167" s="33">
        <f t="shared" si="40"/>
        <v>2.2710000000000002E-4</v>
      </c>
      <c r="U167" s="33">
        <f>IF(COUNTIF('Processed Non-zero DMR Data'!$K:$K,$I167)&gt;0,_xlfn.MAXIFS('Processed Non-zero DMR Data'!$T:$T,'Processed Non-zero DMR Data'!$K:$K,$I167), "N/A - Facility Does Not Report DMRs")</f>
        <v>0.16578300000000001</v>
      </c>
      <c r="V167" s="33">
        <f t="shared" si="41"/>
        <v>4.5420000000000004E-4</v>
      </c>
      <c r="W167" s="110" cm="1">
        <f t="array" ref="W167">IF(COUNTIF('Processed Non-zero DMR Data'!$K:$K,$I167)&gt;0,INDEX('Processed Non-zero DMR Data'!$A:$A,MATCH(1,($I167='Processed Non-zero DMR Data'!$K:$K)*($U167='Processed Non-zero DMR Data'!$T:$T),0)), "N/A - Facility Does Not Report DMRs")</f>
        <v>2023</v>
      </c>
      <c r="X167" s="109" cm="1">
        <f t="array" ref="X167">IFERROR(_xlfn.XLOOKUP(1,  (MAX(IF(H167 = 'Processed Non-zero TRI Data'!$I:$I,'Processed Non-zero TRI Data'!$A:$A)) = 'Processed Non-zero TRI Data'!$A:$A)*('Processed Non-zero TRI Data'!$I:$I = H167), 'Processed Non-zero TRI Data'!$S:$S), "N/A- Facility Does Not Report to TRI")</f>
        <v>0</v>
      </c>
      <c r="Y167" s="33">
        <f t="shared" si="30"/>
        <v>0</v>
      </c>
      <c r="Z167" s="33" t="str" cm="1">
        <f t="array" ref="Z167">IF(COUNTIF('Processed Non-zero TRI Data'!$I:$I,$H167)&gt;0,MEDIAN(IF('Processed Non-zero TRI Data'!$I:$I=H167,'Processed Non-zero TRI Data'!$S:$S)), "N/A - Facility Does Not Report to TRI")</f>
        <v>N/A - Facility Does Not Report to TRI</v>
      </c>
      <c r="AA167" s="33" t="str">
        <f t="shared" si="31"/>
        <v>N/A - Facility Does Not Report to TRI</v>
      </c>
      <c r="AB167" s="33" t="str">
        <f>IF(COUNTIF('Processed Non-zero TRI Data'!$I:$I,$H167)&gt;0,_xlfn.MAXIFS('Processed Non-zero TRI Data'!$S:$S,'Processed Non-zero TRI Data'!$I:$I,$H167), "N/A - Facility Does Not Report to TRI")</f>
        <v>N/A - Facility Does Not Report to TRI</v>
      </c>
      <c r="AC167" s="33" t="str">
        <f t="shared" si="32"/>
        <v>N/A - Facility Does Not Report to TRI</v>
      </c>
      <c r="AD167" s="110" t="str" cm="1">
        <f t="array" ref="AD167">IFERROR(IF(B167 = "TRI Form R", IF(AB167 = 0, "Facility has no on-site water discharges between 2019-2023.",  IF(COUNTIF('Processed Non-zero TRI Data'!$I:$I,$H167)&gt;0,INDEX('Processed Non-zero TRI Data'!$A:$A,MATCH(1,($H167='Processed Non-zero TRI Data'!$I:$I)*(AB167='Processed Non-zero TRI Data'!$S:$S),0)))), VLOOKUP(H167, 'Form A Recent Reporting'!$L:$M, 2, FALSE)), ("N/A - Facility Does Not Report to TRI"))</f>
        <v>N/A - Facility Does Not Report to TRI</v>
      </c>
      <c r="AE167" s="109" cm="1">
        <f t="array" ref="AE167">IFERROR(_xlfn.XLOOKUP(1,  (MAX(IF(H167 = 'Processed Non-zero TRI Data'!$I:$I,'Processed Non-zero TRI Data'!$A:$A)) = 'Processed Non-zero TRI Data'!$A:$A)*('Processed Non-zero TRI Data'!$I:$I = H167), 'Processed Non-zero TRI Data'!$U:$U), "N/A- Facility Does Not Report to TRI")</f>
        <v>0</v>
      </c>
      <c r="AF167" s="33">
        <f t="shared" si="33"/>
        <v>0</v>
      </c>
      <c r="AG167" s="33" t="str" cm="1">
        <f t="array" ref="AG167">IF(COUNTIF('Processed Non-zero TRI Data'!$I:$I,$H167)&gt;0,MEDIAN(IF('Processed Non-zero TRI Data'!$I:$I=H167,'Processed Non-zero TRI Data'!$U:$U)), "N/A - Facility Does Not Report to TRI")</f>
        <v>N/A - Facility Does Not Report to TRI</v>
      </c>
      <c r="AH167" s="33" t="str">
        <f t="shared" si="34"/>
        <v>N/A - Facility Does Not Report to TRI</v>
      </c>
      <c r="AI167" s="33" t="str">
        <f>IF(COUNTIF('Processed Non-zero TRI Data'!$I:$I,$H167)&gt;0,_xlfn.MAXIFS('Processed Non-zero TRI Data'!$U:$U,'Processed Non-zero TRI Data'!$I:$I,$H167), "N/A - Facility Does Not Report to TRI")</f>
        <v>N/A - Facility Does Not Report to TRI</v>
      </c>
      <c r="AJ167" s="33" t="str">
        <f t="shared" si="35"/>
        <v>N/A - Facility Does Not Report to TRI</v>
      </c>
      <c r="AK167" s="110" t="str" cm="1">
        <f t="array" ref="AK167">IF(B167="TRI Form A",AD167,IF(AI167=0,"Facility has no transfers to POTWs between 2019-2023.",IF(COUNTIF('Processed Non-zero TRI Data'!$I:$I,$H167)&gt;0,INDEX('Processed Non-zero TRI Data'!$A:$A,MATCH(1,($H167='Processed Non-zero TRI Data'!$I:$I)*(AI167='Processed Non-zero TRI Data'!$U:$U),0)),"N/A - Facility Does Not Report to TRI")))</f>
        <v>N/A - Facility Does Not Report to TRI</v>
      </c>
      <c r="AL167" s="109" cm="1">
        <f t="array" ref="AL167">IFERROR(_xlfn.XLOOKUP(1,  (MAX(IF(H167 = 'Processed Non-zero TRI Data'!$I$2:$I$23,'Processed Non-zero TRI Data'!$A$2:$A$23)) = 'Processed Non-zero TRI Data'!$A$2:$A$23)*('Processed Non-zero TRI Data'!$I$2:$I$23 = H167), 'Processed Non-zero TRI Data'!$W$2:$W$23), "N/A- Facility Does Not Report to TRI")</f>
        <v>0</v>
      </c>
      <c r="AM167" s="33">
        <f t="shared" si="36"/>
        <v>0</v>
      </c>
      <c r="AN167" s="33" t="str" cm="1">
        <f t="array" ref="AN167">IF(COUNTIF('Processed Non-zero TRI Data'!$I:$I,$H167)&gt;0,MEDIAN(IF('Processed Non-zero TRI Data'!$I:$I=H167,'Processed Non-zero TRI Data'!$W:$W)), "N/A - Facility Does Not Report to TRI")</f>
        <v>N/A - Facility Does Not Report to TRI</v>
      </c>
      <c r="AO167" s="33" t="str">
        <f t="shared" si="37"/>
        <v>N/A - Facility Does Not Report to TRI</v>
      </c>
      <c r="AP167" s="33" t="str">
        <f>IF(COUNTIF('Processed Non-zero TRI Data'!$I:$I,$H167)&gt;0,_xlfn.MAXIFS('Processed Non-zero TRI Data'!$W:$W,'Processed Non-zero TRI Data'!$I:$I,$H167), "N/A - Facility Does Not Report to TRI")</f>
        <v>N/A - Facility Does Not Report to TRI</v>
      </c>
      <c r="AQ167" s="33" t="str">
        <f t="shared" si="38"/>
        <v>N/A - Facility Does Not Report to TRI</v>
      </c>
      <c r="AR167" s="110" t="str" cm="1">
        <f t="array" ref="AR167">IF(B167="TRI Form A",AD167,IF(AP167=0,"Facility has no transfers to non-POTWs between 2019-2023.",IF(COUNTIF('Processed Non-zero TRI Data'!$I:$I,$H167)&gt;0,INDEX('Processed Non-zero TRI Data'!$A:$A,MATCH(1,($H167='Processed Non-zero TRI Data'!$I:$I)*(AP167='Processed Non-zero TRI Data'!$W:$W),0)),"N/A - Facility Does Not Report to TRI")))</f>
        <v>N/A - Facility Does Not Report to TRI</v>
      </c>
    </row>
    <row r="168" spans="1:44" ht="29" x14ac:dyDescent="0.35">
      <c r="A168" s="34">
        <v>165</v>
      </c>
      <c r="B168" s="33" t="str">
        <f>IFERROR("TRI Form "&amp;VLOOKUP(H168,'Processed Non-zero TRI Data'!$I$2:$K$23,3,FALSE),"DMR")</f>
        <v>DMR</v>
      </c>
      <c r="C168" s="33" t="str">
        <f>VLOOKUP($D168, 'COU.OES Summary'!C:D, 2, FALSE)</f>
        <v> </v>
      </c>
      <c r="D168" s="33" t="str">
        <f>IFERROR(VLOOKUP($H168, 'Processed Non-zero TRI Data'!$I:$O, 7, FALSE), VLOOKUP($I168, 'Processed Non-zero DMR Data'!$K:$R, 8, FALSE))</f>
        <v>Waste handling, treatment, and disposal - Remediation or Monitoring</v>
      </c>
      <c r="E168" s="34" t="s">
        <v>418</v>
      </c>
      <c r="F168" s="34" t="s">
        <v>419</v>
      </c>
      <c r="G168" s="34" t="s">
        <v>91</v>
      </c>
      <c r="H168" s="34"/>
      <c r="I168" s="105">
        <v>110007015871</v>
      </c>
      <c r="J168" s="33" t="str">
        <f>IFERROR(VLOOKUP($I168, 'Processed Non-zero DMR Data'!$K:$U, 11, FALSE),"")</f>
        <v>LA0038890</v>
      </c>
      <c r="K168" s="33" t="str">
        <f>IFERROR(VLOOKUP($I168, 'Processed Non-zero DMR Data'!$K:$V, 12, FALSE),"Not Reported")</f>
        <v>Hope Canal-Pipeline Canal</v>
      </c>
      <c r="L168" s="106">
        <f>IFERROR(VLOOKUP($I168, 'Processed Non-zero DMR Data'!$K:$W, 13, FALSE),"No Reach Code Reported")</f>
        <v>80702040302</v>
      </c>
      <c r="M168" s="107" t="str">
        <f>IFERROR(IFERROR(VLOOKUP(H168, 'Off-site Locations'!$K$3:$O$5, 5, FALSE), VLOOKUP(H168, 'Off-site Locations'!$B$3:$E$4, 4, FALSE)), "No Offsite Transfers")</f>
        <v>No Offsite Transfers</v>
      </c>
      <c r="N168" s="33">
        <f>VLOOKUP($D168, 'COU.OES Summary'!C:E, 3, FALSE)</f>
        <v>365</v>
      </c>
      <c r="O168" s="108">
        <f t="shared" si="28"/>
        <v>0</v>
      </c>
      <c r="P168" s="108">
        <f t="shared" si="29"/>
        <v>0.16571</v>
      </c>
      <c r="Q168" s="109" cm="1">
        <f t="array" ref="Q168">IFERROR(_xlfn.XLOOKUP(1,  (MAX(IF(I168 = 'Processed Non-zero DMR Data'!$K:$K,'Processed Non-zero DMR Data'!$A:$A)) = 'Processed Non-zero DMR Data'!$A:$A)*('Processed Non-zero DMR Data'!$K:$K = I168),'Processed Non-zero DMR Data'!$T:$T), "N/A- Facility Does Not Report DMRs")</f>
        <v>8.2854999999999998E-2</v>
      </c>
      <c r="R168" s="33">
        <f t="shared" si="39"/>
        <v>2.2699999999999999E-4</v>
      </c>
      <c r="S168" s="33" cm="1">
        <f t="array" ref="S168">IF(COUNTIF('Processed Non-zero DMR Data'!$K:$K,$I168)&gt;0,MEDIAN(IF('Processed Non-zero DMR Data'!$K:$K=I168,'Processed Non-zero DMR Data'!$T:$T)),"N/A - Facility Does Not Report DMRs")</f>
        <v>8.2854999999999998E-2</v>
      </c>
      <c r="T168" s="33">
        <f t="shared" si="40"/>
        <v>2.2699999999999999E-4</v>
      </c>
      <c r="U168" s="33">
        <f>IF(COUNTIF('Processed Non-zero DMR Data'!$K:$K,$I168)&gt;0,_xlfn.MAXIFS('Processed Non-zero DMR Data'!$T:$T,'Processed Non-zero DMR Data'!$K:$K,$I168), "N/A - Facility Does Not Report DMRs")</f>
        <v>0.16571</v>
      </c>
      <c r="V168" s="33">
        <f t="shared" si="41"/>
        <v>4.5399999999999998E-4</v>
      </c>
      <c r="W168" s="110" cm="1">
        <f t="array" ref="W168">IF(COUNTIF('Processed Non-zero DMR Data'!$K:$K,$I168)&gt;0,INDEX('Processed Non-zero DMR Data'!$A:$A,MATCH(1,($I168='Processed Non-zero DMR Data'!$K:$K)*($U168='Processed Non-zero DMR Data'!$T:$T),0)), "N/A - Facility Does Not Report DMRs")</f>
        <v>2021</v>
      </c>
      <c r="X168" s="109" cm="1">
        <f t="array" ref="X168">IFERROR(_xlfn.XLOOKUP(1,  (MAX(IF(H168 = 'Processed Non-zero TRI Data'!$I:$I,'Processed Non-zero TRI Data'!$A:$A)) = 'Processed Non-zero TRI Data'!$A:$A)*('Processed Non-zero TRI Data'!$I:$I = H168), 'Processed Non-zero TRI Data'!$S:$S), "N/A- Facility Does Not Report to TRI")</f>
        <v>0</v>
      </c>
      <c r="Y168" s="33">
        <f t="shared" si="30"/>
        <v>0</v>
      </c>
      <c r="Z168" s="33" t="str" cm="1">
        <f t="array" ref="Z168">IF(COUNTIF('Processed Non-zero TRI Data'!$I:$I,$H168)&gt;0,MEDIAN(IF('Processed Non-zero TRI Data'!$I:$I=H168,'Processed Non-zero TRI Data'!$S:$S)), "N/A - Facility Does Not Report to TRI")</f>
        <v>N/A - Facility Does Not Report to TRI</v>
      </c>
      <c r="AA168" s="33" t="str">
        <f t="shared" si="31"/>
        <v>N/A - Facility Does Not Report to TRI</v>
      </c>
      <c r="AB168" s="33" t="str">
        <f>IF(COUNTIF('Processed Non-zero TRI Data'!$I:$I,$H168)&gt;0,_xlfn.MAXIFS('Processed Non-zero TRI Data'!$S:$S,'Processed Non-zero TRI Data'!$I:$I,$H168), "N/A - Facility Does Not Report to TRI")</f>
        <v>N/A - Facility Does Not Report to TRI</v>
      </c>
      <c r="AC168" s="33" t="str">
        <f t="shared" si="32"/>
        <v>N/A - Facility Does Not Report to TRI</v>
      </c>
      <c r="AD168" s="110" t="str" cm="1">
        <f t="array" ref="AD168">IFERROR(IF(B168 = "TRI Form R", IF(AB168 = 0, "Facility has no on-site water discharges between 2019-2023.",  IF(COUNTIF('Processed Non-zero TRI Data'!$I:$I,$H168)&gt;0,INDEX('Processed Non-zero TRI Data'!$A:$A,MATCH(1,($H168='Processed Non-zero TRI Data'!$I:$I)*(AB168='Processed Non-zero TRI Data'!$S:$S),0)))), VLOOKUP(H168, 'Form A Recent Reporting'!$L:$M, 2, FALSE)), ("N/A - Facility Does Not Report to TRI"))</f>
        <v>N/A - Facility Does Not Report to TRI</v>
      </c>
      <c r="AE168" s="109" cm="1">
        <f t="array" ref="AE168">IFERROR(_xlfn.XLOOKUP(1,  (MAX(IF(H168 = 'Processed Non-zero TRI Data'!$I:$I,'Processed Non-zero TRI Data'!$A:$A)) = 'Processed Non-zero TRI Data'!$A:$A)*('Processed Non-zero TRI Data'!$I:$I = H168), 'Processed Non-zero TRI Data'!$U:$U), "N/A- Facility Does Not Report to TRI")</f>
        <v>0</v>
      </c>
      <c r="AF168" s="33">
        <f t="shared" si="33"/>
        <v>0</v>
      </c>
      <c r="AG168" s="33" t="str" cm="1">
        <f t="array" ref="AG168">IF(COUNTIF('Processed Non-zero TRI Data'!$I:$I,$H168)&gt;0,MEDIAN(IF('Processed Non-zero TRI Data'!$I:$I=H168,'Processed Non-zero TRI Data'!$U:$U)), "N/A - Facility Does Not Report to TRI")</f>
        <v>N/A - Facility Does Not Report to TRI</v>
      </c>
      <c r="AH168" s="33" t="str">
        <f t="shared" si="34"/>
        <v>N/A - Facility Does Not Report to TRI</v>
      </c>
      <c r="AI168" s="33" t="str">
        <f>IF(COUNTIF('Processed Non-zero TRI Data'!$I:$I,$H168)&gt;0,_xlfn.MAXIFS('Processed Non-zero TRI Data'!$U:$U,'Processed Non-zero TRI Data'!$I:$I,$H168), "N/A - Facility Does Not Report to TRI")</f>
        <v>N/A - Facility Does Not Report to TRI</v>
      </c>
      <c r="AJ168" s="33" t="str">
        <f t="shared" si="35"/>
        <v>N/A - Facility Does Not Report to TRI</v>
      </c>
      <c r="AK168" s="110" t="str" cm="1">
        <f t="array" ref="AK168">IF(B168="TRI Form A",AD168,IF(AI168=0,"Facility has no transfers to POTWs between 2019-2023.",IF(COUNTIF('Processed Non-zero TRI Data'!$I:$I,$H168)&gt;0,INDEX('Processed Non-zero TRI Data'!$A:$A,MATCH(1,($H168='Processed Non-zero TRI Data'!$I:$I)*(AI168='Processed Non-zero TRI Data'!$U:$U),0)),"N/A - Facility Does Not Report to TRI")))</f>
        <v>N/A - Facility Does Not Report to TRI</v>
      </c>
      <c r="AL168" s="109" cm="1">
        <f t="array" ref="AL168">IFERROR(_xlfn.XLOOKUP(1,  (MAX(IF(H168 = 'Processed Non-zero TRI Data'!$I$2:$I$23,'Processed Non-zero TRI Data'!$A$2:$A$23)) = 'Processed Non-zero TRI Data'!$A$2:$A$23)*('Processed Non-zero TRI Data'!$I$2:$I$23 = H168), 'Processed Non-zero TRI Data'!$W$2:$W$23), "N/A- Facility Does Not Report to TRI")</f>
        <v>0</v>
      </c>
      <c r="AM168" s="33">
        <f t="shared" si="36"/>
        <v>0</v>
      </c>
      <c r="AN168" s="33" t="str" cm="1">
        <f t="array" ref="AN168">IF(COUNTIF('Processed Non-zero TRI Data'!$I:$I,$H168)&gt;0,MEDIAN(IF('Processed Non-zero TRI Data'!$I:$I=H168,'Processed Non-zero TRI Data'!$W:$W)), "N/A - Facility Does Not Report to TRI")</f>
        <v>N/A - Facility Does Not Report to TRI</v>
      </c>
      <c r="AO168" s="33" t="str">
        <f t="shared" si="37"/>
        <v>N/A - Facility Does Not Report to TRI</v>
      </c>
      <c r="AP168" s="33" t="str">
        <f>IF(COUNTIF('Processed Non-zero TRI Data'!$I:$I,$H168)&gt;0,_xlfn.MAXIFS('Processed Non-zero TRI Data'!$W:$W,'Processed Non-zero TRI Data'!$I:$I,$H168), "N/A - Facility Does Not Report to TRI")</f>
        <v>N/A - Facility Does Not Report to TRI</v>
      </c>
      <c r="AQ168" s="33" t="str">
        <f t="shared" si="38"/>
        <v>N/A - Facility Does Not Report to TRI</v>
      </c>
      <c r="AR168" s="110" t="str" cm="1">
        <f t="array" ref="AR168">IF(B168="TRI Form A",AD168,IF(AP168=0,"Facility has no transfers to non-POTWs between 2019-2023.",IF(COUNTIF('Processed Non-zero TRI Data'!$I:$I,$H168)&gt;0,INDEX('Processed Non-zero TRI Data'!$A:$A,MATCH(1,($H168='Processed Non-zero TRI Data'!$I:$I)*(AP168='Processed Non-zero TRI Data'!$W:$W),0)),"N/A - Facility Does Not Report to TRI")))</f>
        <v>N/A - Facility Does Not Report to TRI</v>
      </c>
    </row>
    <row r="169" spans="1:44" ht="29" x14ac:dyDescent="0.35">
      <c r="A169" s="34">
        <v>166</v>
      </c>
      <c r="B169" s="33" t="str">
        <f>IFERROR("TRI Form "&amp;VLOOKUP(H169,'Processed Non-zero TRI Data'!$I$2:$K$23,3,FALSE),"DMR")</f>
        <v>DMR</v>
      </c>
      <c r="C169" s="33" t="str">
        <f>VLOOKUP($D169, 'COU.OES Summary'!C:D, 2, FALSE)</f>
        <v> </v>
      </c>
      <c r="D169" s="33" t="str">
        <f>IFERROR(VLOOKUP($H169, 'Processed Non-zero TRI Data'!$I:$O, 7, FALSE), VLOOKUP($I169, 'Processed Non-zero DMR Data'!$K:$R, 8, FALSE))</f>
        <v>Waste handling, treatment, and disposal - Remediation or Monitoring</v>
      </c>
      <c r="E169" s="34" t="s">
        <v>420</v>
      </c>
      <c r="F169" s="34" t="s">
        <v>421</v>
      </c>
      <c r="G169" s="34" t="s">
        <v>95</v>
      </c>
      <c r="H169" s="34"/>
      <c r="I169" s="105">
        <v>110045651344</v>
      </c>
      <c r="J169" s="33" t="str">
        <f>IFERROR(VLOOKUP($I169, 'Processed Non-zero DMR Data'!$K:$U, 11, FALSE),"")</f>
        <v>TX0007421</v>
      </c>
      <c r="K169" s="33" t="str">
        <f>IFERROR(VLOOKUP($I169, 'Processed Non-zero DMR Data'!$K:$V, 12, FALSE),"Not Reported")</f>
        <v>Vince Bayou-Buffalo Bayou</v>
      </c>
      <c r="L169" s="106">
        <f>IFERROR(VLOOKUP($I169, 'Processed Non-zero DMR Data'!$K:$W, 13, FALSE),"No Reach Code Reported")</f>
        <v>120401040703</v>
      </c>
      <c r="M169" s="107" t="str">
        <f>IFERROR(IFERROR(VLOOKUP(H169, 'Off-site Locations'!$K$3:$O$5, 5, FALSE), VLOOKUP(H169, 'Off-site Locations'!$B$3:$E$4, 4, FALSE)), "No Offsite Transfers")</f>
        <v>No Offsite Transfers</v>
      </c>
      <c r="N169" s="33">
        <f>VLOOKUP($D169, 'COU.OES Summary'!C:E, 3, FALSE)</f>
        <v>365</v>
      </c>
      <c r="O169" s="108">
        <f t="shared" si="28"/>
        <v>0</v>
      </c>
      <c r="P169" s="108">
        <f t="shared" si="29"/>
        <v>0.16571</v>
      </c>
      <c r="Q169" s="109" cm="1">
        <f t="array" ref="Q169">IFERROR(_xlfn.XLOOKUP(1,  (MAX(IF(I169 = 'Processed Non-zero DMR Data'!$K:$K,'Processed Non-zero DMR Data'!$A:$A)) = 'Processed Non-zero DMR Data'!$A:$A)*('Processed Non-zero DMR Data'!$K:$K = I169),'Processed Non-zero DMR Data'!$T:$T), "N/A- Facility Does Not Report DMRs")</f>
        <v>0.16571</v>
      </c>
      <c r="R169" s="33">
        <f t="shared" si="39"/>
        <v>4.5399999999999998E-4</v>
      </c>
      <c r="S169" s="33" cm="1">
        <f t="array" ref="S169">IF(COUNTIF('Processed Non-zero DMR Data'!$K:$K,$I169)&gt;0,MEDIAN(IF('Processed Non-zero DMR Data'!$K:$K=I169,'Processed Non-zero DMR Data'!$T:$T)),"N/A - Facility Does Not Report DMRs")</f>
        <v>0.16571</v>
      </c>
      <c r="T169" s="33">
        <f t="shared" si="40"/>
        <v>4.5399999999999998E-4</v>
      </c>
      <c r="U169" s="33">
        <f>IF(COUNTIF('Processed Non-zero DMR Data'!$K:$K,$I169)&gt;0,_xlfn.MAXIFS('Processed Non-zero DMR Data'!$T:$T,'Processed Non-zero DMR Data'!$K:$K,$I169), "N/A - Facility Does Not Report DMRs")</f>
        <v>0.16571</v>
      </c>
      <c r="V169" s="33">
        <f t="shared" si="41"/>
        <v>4.5399999999999998E-4</v>
      </c>
      <c r="W169" s="110" cm="1">
        <f t="array" ref="W169">IF(COUNTIF('Processed Non-zero DMR Data'!$K:$K,$I169)&gt;0,INDEX('Processed Non-zero DMR Data'!$A:$A,MATCH(1,($I169='Processed Non-zero DMR Data'!$K:$K)*($U169='Processed Non-zero DMR Data'!$T:$T),0)), "N/A - Facility Does Not Report DMRs")</f>
        <v>2020</v>
      </c>
      <c r="X169" s="109" cm="1">
        <f t="array" ref="X169">IFERROR(_xlfn.XLOOKUP(1,  (MAX(IF(H169 = 'Processed Non-zero TRI Data'!$I:$I,'Processed Non-zero TRI Data'!$A:$A)) = 'Processed Non-zero TRI Data'!$A:$A)*('Processed Non-zero TRI Data'!$I:$I = H169), 'Processed Non-zero TRI Data'!$S:$S), "N/A- Facility Does Not Report to TRI")</f>
        <v>0</v>
      </c>
      <c r="Y169" s="33">
        <f t="shared" si="30"/>
        <v>0</v>
      </c>
      <c r="Z169" s="33" t="str" cm="1">
        <f t="array" ref="Z169">IF(COUNTIF('Processed Non-zero TRI Data'!$I:$I,$H169)&gt;0,MEDIAN(IF('Processed Non-zero TRI Data'!$I:$I=H169,'Processed Non-zero TRI Data'!$S:$S)), "N/A - Facility Does Not Report to TRI")</f>
        <v>N/A - Facility Does Not Report to TRI</v>
      </c>
      <c r="AA169" s="33" t="str">
        <f t="shared" si="31"/>
        <v>N/A - Facility Does Not Report to TRI</v>
      </c>
      <c r="AB169" s="33" t="str">
        <f>IF(COUNTIF('Processed Non-zero TRI Data'!$I:$I,$H169)&gt;0,_xlfn.MAXIFS('Processed Non-zero TRI Data'!$S:$S,'Processed Non-zero TRI Data'!$I:$I,$H169), "N/A - Facility Does Not Report to TRI")</f>
        <v>N/A - Facility Does Not Report to TRI</v>
      </c>
      <c r="AC169" s="33" t="str">
        <f t="shared" si="32"/>
        <v>N/A - Facility Does Not Report to TRI</v>
      </c>
      <c r="AD169" s="110" t="str" cm="1">
        <f t="array" ref="AD169">IFERROR(IF(B169 = "TRI Form R", IF(AB169 = 0, "Facility has no on-site water discharges between 2019-2023.",  IF(COUNTIF('Processed Non-zero TRI Data'!$I:$I,$H169)&gt;0,INDEX('Processed Non-zero TRI Data'!$A:$A,MATCH(1,($H169='Processed Non-zero TRI Data'!$I:$I)*(AB169='Processed Non-zero TRI Data'!$S:$S),0)))), VLOOKUP(H169, 'Form A Recent Reporting'!$L:$M, 2, FALSE)), ("N/A - Facility Does Not Report to TRI"))</f>
        <v>N/A - Facility Does Not Report to TRI</v>
      </c>
      <c r="AE169" s="109" cm="1">
        <f t="array" ref="AE169">IFERROR(_xlfn.XLOOKUP(1,  (MAX(IF(H169 = 'Processed Non-zero TRI Data'!$I:$I,'Processed Non-zero TRI Data'!$A:$A)) = 'Processed Non-zero TRI Data'!$A:$A)*('Processed Non-zero TRI Data'!$I:$I = H169), 'Processed Non-zero TRI Data'!$U:$U), "N/A- Facility Does Not Report to TRI")</f>
        <v>0</v>
      </c>
      <c r="AF169" s="33">
        <f t="shared" si="33"/>
        <v>0</v>
      </c>
      <c r="AG169" s="33" t="str" cm="1">
        <f t="array" ref="AG169">IF(COUNTIF('Processed Non-zero TRI Data'!$I:$I,$H169)&gt;0,MEDIAN(IF('Processed Non-zero TRI Data'!$I:$I=H169,'Processed Non-zero TRI Data'!$U:$U)), "N/A - Facility Does Not Report to TRI")</f>
        <v>N/A - Facility Does Not Report to TRI</v>
      </c>
      <c r="AH169" s="33" t="str">
        <f t="shared" si="34"/>
        <v>N/A - Facility Does Not Report to TRI</v>
      </c>
      <c r="AI169" s="33" t="str">
        <f>IF(COUNTIF('Processed Non-zero TRI Data'!$I:$I,$H169)&gt;0,_xlfn.MAXIFS('Processed Non-zero TRI Data'!$U:$U,'Processed Non-zero TRI Data'!$I:$I,$H169), "N/A - Facility Does Not Report to TRI")</f>
        <v>N/A - Facility Does Not Report to TRI</v>
      </c>
      <c r="AJ169" s="33" t="str">
        <f t="shared" si="35"/>
        <v>N/A - Facility Does Not Report to TRI</v>
      </c>
      <c r="AK169" s="110" t="str" cm="1">
        <f t="array" ref="AK169">IF(B169="TRI Form A",AD169,IF(AI169=0,"Facility has no transfers to POTWs between 2019-2023.",IF(COUNTIF('Processed Non-zero TRI Data'!$I:$I,$H169)&gt;0,INDEX('Processed Non-zero TRI Data'!$A:$A,MATCH(1,($H169='Processed Non-zero TRI Data'!$I:$I)*(AI169='Processed Non-zero TRI Data'!$U:$U),0)),"N/A - Facility Does Not Report to TRI")))</f>
        <v>N/A - Facility Does Not Report to TRI</v>
      </c>
      <c r="AL169" s="109" cm="1">
        <f t="array" ref="AL169">IFERROR(_xlfn.XLOOKUP(1,  (MAX(IF(H169 = 'Processed Non-zero TRI Data'!$I$2:$I$23,'Processed Non-zero TRI Data'!$A$2:$A$23)) = 'Processed Non-zero TRI Data'!$A$2:$A$23)*('Processed Non-zero TRI Data'!$I$2:$I$23 = H169), 'Processed Non-zero TRI Data'!$W$2:$W$23), "N/A- Facility Does Not Report to TRI")</f>
        <v>0</v>
      </c>
      <c r="AM169" s="33">
        <f t="shared" si="36"/>
        <v>0</v>
      </c>
      <c r="AN169" s="33" t="str" cm="1">
        <f t="array" ref="AN169">IF(COUNTIF('Processed Non-zero TRI Data'!$I:$I,$H169)&gt;0,MEDIAN(IF('Processed Non-zero TRI Data'!$I:$I=H169,'Processed Non-zero TRI Data'!$W:$W)), "N/A - Facility Does Not Report to TRI")</f>
        <v>N/A - Facility Does Not Report to TRI</v>
      </c>
      <c r="AO169" s="33" t="str">
        <f t="shared" si="37"/>
        <v>N/A - Facility Does Not Report to TRI</v>
      </c>
      <c r="AP169" s="33" t="str">
        <f>IF(COUNTIF('Processed Non-zero TRI Data'!$I:$I,$H169)&gt;0,_xlfn.MAXIFS('Processed Non-zero TRI Data'!$W:$W,'Processed Non-zero TRI Data'!$I:$I,$H169), "N/A - Facility Does Not Report to TRI")</f>
        <v>N/A - Facility Does Not Report to TRI</v>
      </c>
      <c r="AQ169" s="33" t="str">
        <f t="shared" si="38"/>
        <v>N/A - Facility Does Not Report to TRI</v>
      </c>
      <c r="AR169" s="110" t="str" cm="1">
        <f t="array" ref="AR169">IF(B169="TRI Form A",AD169,IF(AP169=0,"Facility has no transfers to non-POTWs between 2019-2023.",IF(COUNTIF('Processed Non-zero TRI Data'!$I:$I,$H169)&gt;0,INDEX('Processed Non-zero TRI Data'!$A:$A,MATCH(1,($H169='Processed Non-zero TRI Data'!$I:$I)*(AP169='Processed Non-zero TRI Data'!$W:$W),0)),"N/A - Facility Does Not Report to TRI")))</f>
        <v>N/A - Facility Does Not Report to TRI</v>
      </c>
    </row>
    <row r="170" spans="1:44" ht="29" x14ac:dyDescent="0.35">
      <c r="A170" s="34">
        <v>167</v>
      </c>
      <c r="B170" s="33" t="str">
        <f>IFERROR("TRI Form "&amp;VLOOKUP(H170,'Processed Non-zero TRI Data'!$I$2:$K$23,3,FALSE),"DMR")</f>
        <v>DMR</v>
      </c>
      <c r="C170" s="33" t="str">
        <f>VLOOKUP($D170, 'COU.OES Summary'!C:D, 2, FALSE)</f>
        <v> </v>
      </c>
      <c r="D170" s="33" t="str">
        <f>IFERROR(VLOOKUP($H170, 'Processed Non-zero TRI Data'!$I:$O, 7, FALSE), VLOOKUP($I170, 'Processed Non-zero DMR Data'!$K:$R, 8, FALSE))</f>
        <v>Waste handling, treatment, and disposal - Remediation or Monitoring</v>
      </c>
      <c r="E170" s="34" t="s">
        <v>422</v>
      </c>
      <c r="F170" s="34" t="s">
        <v>423</v>
      </c>
      <c r="G170" s="34" t="s">
        <v>95</v>
      </c>
      <c r="H170" s="34"/>
      <c r="I170" s="105">
        <v>110056961480</v>
      </c>
      <c r="J170" s="33" t="str">
        <f>IFERROR(VLOOKUP($I170, 'Processed Non-zero DMR Data'!$K:$U, 11, FALSE),"")</f>
        <v>TX0102326</v>
      </c>
      <c r="K170" s="33" t="str">
        <f>IFERROR(VLOOKUP($I170, 'Processed Non-zero DMR Data'!$K:$V, 12, FALSE),"Not Reported")</f>
        <v>Ellis Branch-Cedar Bayou</v>
      </c>
      <c r="L170" s="106">
        <f>IFERROR(VLOOKUP($I170, 'Processed Non-zero DMR Data'!$K:$W, 13, FALSE),"No Reach Code Reported")</f>
        <v>120402030105</v>
      </c>
      <c r="M170" s="107" t="str">
        <f>IFERROR(IFERROR(VLOOKUP(H170, 'Off-site Locations'!$K$3:$O$5, 5, FALSE), VLOOKUP(H170, 'Off-site Locations'!$B$3:$E$4, 4, FALSE)), "No Offsite Transfers")</f>
        <v>No Offsite Transfers</v>
      </c>
      <c r="N170" s="33">
        <f>VLOOKUP($D170, 'COU.OES Summary'!C:E, 3, FALSE)</f>
        <v>365</v>
      </c>
      <c r="O170" s="108">
        <f t="shared" si="28"/>
        <v>0</v>
      </c>
      <c r="P170" s="108">
        <f t="shared" si="29"/>
        <v>0.16571</v>
      </c>
      <c r="Q170" s="109" cm="1">
        <f t="array" ref="Q170">IFERROR(_xlfn.XLOOKUP(1,  (MAX(IF(I170 = 'Processed Non-zero DMR Data'!$K:$K,'Processed Non-zero DMR Data'!$A:$A)) = 'Processed Non-zero DMR Data'!$A:$A)*('Processed Non-zero DMR Data'!$K:$K = I170),'Processed Non-zero DMR Data'!$T:$T), "N/A- Facility Does Not Report DMRs")</f>
        <v>0.16571</v>
      </c>
      <c r="R170" s="33">
        <f t="shared" si="39"/>
        <v>4.5399999999999998E-4</v>
      </c>
      <c r="S170" s="33" cm="1">
        <f t="array" ref="S170">IF(COUNTIF('Processed Non-zero DMR Data'!$K:$K,$I170)&gt;0,MEDIAN(IF('Processed Non-zero DMR Data'!$K:$K=I170,'Processed Non-zero DMR Data'!$T:$T)),"N/A - Facility Does Not Report DMRs")</f>
        <v>0.16571</v>
      </c>
      <c r="T170" s="33">
        <f t="shared" si="40"/>
        <v>4.5399999999999998E-4</v>
      </c>
      <c r="U170" s="33">
        <f>IF(COUNTIF('Processed Non-zero DMR Data'!$K:$K,$I170)&gt;0,_xlfn.MAXIFS('Processed Non-zero DMR Data'!$T:$T,'Processed Non-zero DMR Data'!$K:$K,$I170), "N/A - Facility Does Not Report DMRs")</f>
        <v>0.16571</v>
      </c>
      <c r="V170" s="33">
        <f t="shared" si="41"/>
        <v>4.5399999999999998E-4</v>
      </c>
      <c r="W170" s="110" cm="1">
        <f t="array" ref="W170">IF(COUNTIF('Processed Non-zero DMR Data'!$K:$K,$I170)&gt;0,INDEX('Processed Non-zero DMR Data'!$A:$A,MATCH(1,($I170='Processed Non-zero DMR Data'!$K:$K)*($U170='Processed Non-zero DMR Data'!$T:$T),0)), "N/A - Facility Does Not Report DMRs")</f>
        <v>2022</v>
      </c>
      <c r="X170" s="109" cm="1">
        <f t="array" ref="X170">IFERROR(_xlfn.XLOOKUP(1,  (MAX(IF(H170 = 'Processed Non-zero TRI Data'!$I:$I,'Processed Non-zero TRI Data'!$A:$A)) = 'Processed Non-zero TRI Data'!$A:$A)*('Processed Non-zero TRI Data'!$I:$I = H170), 'Processed Non-zero TRI Data'!$S:$S), "N/A- Facility Does Not Report to TRI")</f>
        <v>0</v>
      </c>
      <c r="Y170" s="33">
        <f t="shared" si="30"/>
        <v>0</v>
      </c>
      <c r="Z170" s="33" t="str" cm="1">
        <f t="array" ref="Z170">IF(COUNTIF('Processed Non-zero TRI Data'!$I:$I,$H170)&gt;0,MEDIAN(IF('Processed Non-zero TRI Data'!$I:$I=H170,'Processed Non-zero TRI Data'!$S:$S)), "N/A - Facility Does Not Report to TRI")</f>
        <v>N/A - Facility Does Not Report to TRI</v>
      </c>
      <c r="AA170" s="33" t="str">
        <f t="shared" si="31"/>
        <v>N/A - Facility Does Not Report to TRI</v>
      </c>
      <c r="AB170" s="33" t="str">
        <f>IF(COUNTIF('Processed Non-zero TRI Data'!$I:$I,$H170)&gt;0,_xlfn.MAXIFS('Processed Non-zero TRI Data'!$S:$S,'Processed Non-zero TRI Data'!$I:$I,$H170), "N/A - Facility Does Not Report to TRI")</f>
        <v>N/A - Facility Does Not Report to TRI</v>
      </c>
      <c r="AC170" s="33" t="str">
        <f t="shared" si="32"/>
        <v>N/A - Facility Does Not Report to TRI</v>
      </c>
      <c r="AD170" s="110" t="str" cm="1">
        <f t="array" ref="AD170">IFERROR(IF(B170 = "TRI Form R", IF(AB170 = 0, "Facility has no on-site water discharges between 2019-2023.",  IF(COUNTIF('Processed Non-zero TRI Data'!$I:$I,$H170)&gt;0,INDEX('Processed Non-zero TRI Data'!$A:$A,MATCH(1,($H170='Processed Non-zero TRI Data'!$I:$I)*(AB170='Processed Non-zero TRI Data'!$S:$S),0)))), VLOOKUP(H170, 'Form A Recent Reporting'!$L:$M, 2, FALSE)), ("N/A - Facility Does Not Report to TRI"))</f>
        <v>N/A - Facility Does Not Report to TRI</v>
      </c>
      <c r="AE170" s="109" cm="1">
        <f t="array" ref="AE170">IFERROR(_xlfn.XLOOKUP(1,  (MAX(IF(H170 = 'Processed Non-zero TRI Data'!$I:$I,'Processed Non-zero TRI Data'!$A:$A)) = 'Processed Non-zero TRI Data'!$A:$A)*('Processed Non-zero TRI Data'!$I:$I = H170), 'Processed Non-zero TRI Data'!$U:$U), "N/A- Facility Does Not Report to TRI")</f>
        <v>0</v>
      </c>
      <c r="AF170" s="33">
        <f t="shared" si="33"/>
        <v>0</v>
      </c>
      <c r="AG170" s="33" t="str" cm="1">
        <f t="array" ref="AG170">IF(COUNTIF('Processed Non-zero TRI Data'!$I:$I,$H170)&gt;0,MEDIAN(IF('Processed Non-zero TRI Data'!$I:$I=H170,'Processed Non-zero TRI Data'!$U:$U)), "N/A - Facility Does Not Report to TRI")</f>
        <v>N/A - Facility Does Not Report to TRI</v>
      </c>
      <c r="AH170" s="33" t="str">
        <f t="shared" si="34"/>
        <v>N/A - Facility Does Not Report to TRI</v>
      </c>
      <c r="AI170" s="33" t="str">
        <f>IF(COUNTIF('Processed Non-zero TRI Data'!$I:$I,$H170)&gt;0,_xlfn.MAXIFS('Processed Non-zero TRI Data'!$U:$U,'Processed Non-zero TRI Data'!$I:$I,$H170), "N/A - Facility Does Not Report to TRI")</f>
        <v>N/A - Facility Does Not Report to TRI</v>
      </c>
      <c r="AJ170" s="33" t="str">
        <f t="shared" si="35"/>
        <v>N/A - Facility Does Not Report to TRI</v>
      </c>
      <c r="AK170" s="110" t="str" cm="1">
        <f t="array" ref="AK170">IF(B170="TRI Form A",AD170,IF(AI170=0,"Facility has no transfers to POTWs between 2019-2023.",IF(COUNTIF('Processed Non-zero TRI Data'!$I:$I,$H170)&gt;0,INDEX('Processed Non-zero TRI Data'!$A:$A,MATCH(1,($H170='Processed Non-zero TRI Data'!$I:$I)*(AI170='Processed Non-zero TRI Data'!$U:$U),0)),"N/A - Facility Does Not Report to TRI")))</f>
        <v>N/A - Facility Does Not Report to TRI</v>
      </c>
      <c r="AL170" s="109" cm="1">
        <f t="array" ref="AL170">IFERROR(_xlfn.XLOOKUP(1,  (MAX(IF(H170 = 'Processed Non-zero TRI Data'!$I$2:$I$23,'Processed Non-zero TRI Data'!$A$2:$A$23)) = 'Processed Non-zero TRI Data'!$A$2:$A$23)*('Processed Non-zero TRI Data'!$I$2:$I$23 = H170), 'Processed Non-zero TRI Data'!$W$2:$W$23), "N/A- Facility Does Not Report to TRI")</f>
        <v>0</v>
      </c>
      <c r="AM170" s="33">
        <f t="shared" si="36"/>
        <v>0</v>
      </c>
      <c r="AN170" s="33" t="str" cm="1">
        <f t="array" ref="AN170">IF(COUNTIF('Processed Non-zero TRI Data'!$I:$I,$H170)&gt;0,MEDIAN(IF('Processed Non-zero TRI Data'!$I:$I=H170,'Processed Non-zero TRI Data'!$W:$W)), "N/A - Facility Does Not Report to TRI")</f>
        <v>N/A - Facility Does Not Report to TRI</v>
      </c>
      <c r="AO170" s="33" t="str">
        <f t="shared" si="37"/>
        <v>N/A - Facility Does Not Report to TRI</v>
      </c>
      <c r="AP170" s="33" t="str">
        <f>IF(COUNTIF('Processed Non-zero TRI Data'!$I:$I,$H170)&gt;0,_xlfn.MAXIFS('Processed Non-zero TRI Data'!$W:$W,'Processed Non-zero TRI Data'!$I:$I,$H170), "N/A - Facility Does Not Report to TRI")</f>
        <v>N/A - Facility Does Not Report to TRI</v>
      </c>
      <c r="AQ170" s="33" t="str">
        <f t="shared" si="38"/>
        <v>N/A - Facility Does Not Report to TRI</v>
      </c>
      <c r="AR170" s="110" t="str" cm="1">
        <f t="array" ref="AR170">IF(B170="TRI Form A",AD170,IF(AP170=0,"Facility has no transfers to non-POTWs between 2019-2023.",IF(COUNTIF('Processed Non-zero TRI Data'!$I:$I,$H170)&gt;0,INDEX('Processed Non-zero TRI Data'!$A:$A,MATCH(1,($H170='Processed Non-zero TRI Data'!$I:$I)*(AP170='Processed Non-zero TRI Data'!$W:$W),0)),"N/A - Facility Does Not Report to TRI")))</f>
        <v>N/A - Facility Does Not Report to TRI</v>
      </c>
    </row>
    <row r="171" spans="1:44" ht="29" x14ac:dyDescent="0.35">
      <c r="A171" s="34">
        <v>168</v>
      </c>
      <c r="B171" s="33" t="str">
        <f>IFERROR("TRI Form "&amp;VLOOKUP(H171,'Processed Non-zero TRI Data'!$I$2:$K$23,3,FALSE),"DMR")</f>
        <v>DMR</v>
      </c>
      <c r="C171" s="33" t="str">
        <f>VLOOKUP($D171, 'COU.OES Summary'!C:D, 2, FALSE)</f>
        <v> </v>
      </c>
      <c r="D171" s="33" t="str">
        <f>IFERROR(VLOOKUP($H171, 'Processed Non-zero TRI Data'!$I:$O, 7, FALSE), VLOOKUP($I171, 'Processed Non-zero DMR Data'!$K:$R, 8, FALSE))</f>
        <v>Waste handling, treatment, and disposal - Remediation or Monitoring</v>
      </c>
      <c r="E171" s="34" t="s">
        <v>424</v>
      </c>
      <c r="F171" s="34" t="s">
        <v>425</v>
      </c>
      <c r="G171" s="34" t="s">
        <v>102</v>
      </c>
      <c r="H171" s="34"/>
      <c r="I171" s="105">
        <v>110037256867</v>
      </c>
      <c r="J171" s="33" t="str">
        <f>IFERROR(VLOOKUP($I171, 'Processed Non-zero DMR Data'!$K:$U, 11, FALSE),"")</f>
        <v>CA0050628</v>
      </c>
      <c r="K171" s="33" t="str">
        <f>IFERROR(VLOOKUP($I171, 'Processed Non-zero DMR Data'!$K:$V, 12, FALSE),"Not Reported")</f>
        <v>Pismo Creek</v>
      </c>
      <c r="L171" s="106">
        <f>IFERROR(VLOOKUP($I171, 'Processed Non-zero DMR Data'!$K:$W, 13, FALSE),"No Reach Code Reported")</f>
        <v>180600060703</v>
      </c>
      <c r="M171" s="107" t="str">
        <f>IFERROR(IFERROR(VLOOKUP(H171, 'Off-site Locations'!$K$3:$O$5, 5, FALSE), VLOOKUP(H171, 'Off-site Locations'!$B$3:$E$4, 4, FALSE)), "No Offsite Transfers")</f>
        <v>No Offsite Transfers</v>
      </c>
      <c r="N171" s="33">
        <f>VLOOKUP($D171, 'COU.OES Summary'!C:E, 3, FALSE)</f>
        <v>365</v>
      </c>
      <c r="O171" s="108">
        <f t="shared" si="28"/>
        <v>0</v>
      </c>
      <c r="P171" s="108">
        <f t="shared" si="29"/>
        <v>0.1623291875</v>
      </c>
      <c r="Q171" s="109" cm="1">
        <f t="array" ref="Q171">IFERROR(_xlfn.XLOOKUP(1,  (MAX(IF(I171 = 'Processed Non-zero DMR Data'!$K:$K,'Processed Non-zero DMR Data'!$A:$A)) = 'Processed Non-zero DMR Data'!$A:$A)*('Processed Non-zero DMR Data'!$K:$K = I171),'Processed Non-zero DMR Data'!$T:$T), "N/A- Facility Does Not Report DMRs")</f>
        <v>2.0115003999999999E-2</v>
      </c>
      <c r="R171" s="33">
        <f t="shared" si="39"/>
        <v>5.5109599999999998E-5</v>
      </c>
      <c r="S171" s="33" cm="1">
        <f t="array" ref="S171">IF(COUNTIF('Processed Non-zero DMR Data'!$K:$K,$I171)&gt;0,MEDIAN(IF('Processed Non-zero DMR Data'!$K:$K=I171,'Processed Non-zero DMR Data'!$T:$T)),"N/A - Facility Does Not Report DMRs")</f>
        <v>2.4825831559375001E-2</v>
      </c>
      <c r="T171" s="33">
        <f t="shared" si="40"/>
        <v>6.8015976875000005E-5</v>
      </c>
      <c r="U171" s="33">
        <f>IF(COUNTIF('Processed Non-zero DMR Data'!$K:$K,$I171)&gt;0,_xlfn.MAXIFS('Processed Non-zero DMR Data'!$T:$T,'Processed Non-zero DMR Data'!$K:$K,$I171), "N/A - Facility Does Not Report DMRs")</f>
        <v>0.1623291875</v>
      </c>
      <c r="V171" s="33">
        <f t="shared" si="41"/>
        <v>4.4473750000000002E-4</v>
      </c>
      <c r="W171" s="110" cm="1">
        <f t="array" ref="W171">IF(COUNTIF('Processed Non-zero DMR Data'!$K:$K,$I171)&gt;0,INDEX('Processed Non-zero DMR Data'!$A:$A,MATCH(1,($I171='Processed Non-zero DMR Data'!$K:$K)*($U171='Processed Non-zero DMR Data'!$T:$T),0)), "N/A - Facility Does Not Report DMRs")</f>
        <v>2022</v>
      </c>
      <c r="X171" s="109" cm="1">
        <f t="array" ref="X171">IFERROR(_xlfn.XLOOKUP(1,  (MAX(IF(H171 = 'Processed Non-zero TRI Data'!$I:$I,'Processed Non-zero TRI Data'!$A:$A)) = 'Processed Non-zero TRI Data'!$A:$A)*('Processed Non-zero TRI Data'!$I:$I = H171), 'Processed Non-zero TRI Data'!$S:$S), "N/A- Facility Does Not Report to TRI")</f>
        <v>0</v>
      </c>
      <c r="Y171" s="33">
        <f t="shared" si="30"/>
        <v>0</v>
      </c>
      <c r="Z171" s="33" t="str" cm="1">
        <f t="array" ref="Z171">IF(COUNTIF('Processed Non-zero TRI Data'!$I:$I,$H171)&gt;0,MEDIAN(IF('Processed Non-zero TRI Data'!$I:$I=H171,'Processed Non-zero TRI Data'!$S:$S)), "N/A - Facility Does Not Report to TRI")</f>
        <v>N/A - Facility Does Not Report to TRI</v>
      </c>
      <c r="AA171" s="33" t="str">
        <f t="shared" si="31"/>
        <v>N/A - Facility Does Not Report to TRI</v>
      </c>
      <c r="AB171" s="33" t="str">
        <f>IF(COUNTIF('Processed Non-zero TRI Data'!$I:$I,$H171)&gt;0,_xlfn.MAXIFS('Processed Non-zero TRI Data'!$S:$S,'Processed Non-zero TRI Data'!$I:$I,$H171), "N/A - Facility Does Not Report to TRI")</f>
        <v>N/A - Facility Does Not Report to TRI</v>
      </c>
      <c r="AC171" s="33" t="str">
        <f t="shared" si="32"/>
        <v>N/A - Facility Does Not Report to TRI</v>
      </c>
      <c r="AD171" s="110" t="str" cm="1">
        <f t="array" ref="AD171">IFERROR(IF(B171 = "TRI Form R", IF(AB171 = 0, "Facility has no on-site water discharges between 2019-2023.",  IF(COUNTIF('Processed Non-zero TRI Data'!$I:$I,$H171)&gt;0,INDEX('Processed Non-zero TRI Data'!$A:$A,MATCH(1,($H171='Processed Non-zero TRI Data'!$I:$I)*(AB171='Processed Non-zero TRI Data'!$S:$S),0)))), VLOOKUP(H171, 'Form A Recent Reporting'!$L:$M, 2, FALSE)), ("N/A - Facility Does Not Report to TRI"))</f>
        <v>N/A - Facility Does Not Report to TRI</v>
      </c>
      <c r="AE171" s="109" cm="1">
        <f t="array" ref="AE171">IFERROR(_xlfn.XLOOKUP(1,  (MAX(IF(H171 = 'Processed Non-zero TRI Data'!$I:$I,'Processed Non-zero TRI Data'!$A:$A)) = 'Processed Non-zero TRI Data'!$A:$A)*('Processed Non-zero TRI Data'!$I:$I = H171), 'Processed Non-zero TRI Data'!$U:$U), "N/A- Facility Does Not Report to TRI")</f>
        <v>0</v>
      </c>
      <c r="AF171" s="33">
        <f t="shared" si="33"/>
        <v>0</v>
      </c>
      <c r="AG171" s="33" t="str" cm="1">
        <f t="array" ref="AG171">IF(COUNTIF('Processed Non-zero TRI Data'!$I:$I,$H171)&gt;0,MEDIAN(IF('Processed Non-zero TRI Data'!$I:$I=H171,'Processed Non-zero TRI Data'!$U:$U)), "N/A - Facility Does Not Report to TRI")</f>
        <v>N/A - Facility Does Not Report to TRI</v>
      </c>
      <c r="AH171" s="33" t="str">
        <f t="shared" si="34"/>
        <v>N/A - Facility Does Not Report to TRI</v>
      </c>
      <c r="AI171" s="33" t="str">
        <f>IF(COUNTIF('Processed Non-zero TRI Data'!$I:$I,$H171)&gt;0,_xlfn.MAXIFS('Processed Non-zero TRI Data'!$U:$U,'Processed Non-zero TRI Data'!$I:$I,$H171), "N/A - Facility Does Not Report to TRI")</f>
        <v>N/A - Facility Does Not Report to TRI</v>
      </c>
      <c r="AJ171" s="33" t="str">
        <f t="shared" si="35"/>
        <v>N/A - Facility Does Not Report to TRI</v>
      </c>
      <c r="AK171" s="110" t="str" cm="1">
        <f t="array" ref="AK171">IF(B171="TRI Form A",AD171,IF(AI171=0,"Facility has no transfers to POTWs between 2019-2023.",IF(COUNTIF('Processed Non-zero TRI Data'!$I:$I,$H171)&gt;0,INDEX('Processed Non-zero TRI Data'!$A:$A,MATCH(1,($H171='Processed Non-zero TRI Data'!$I:$I)*(AI171='Processed Non-zero TRI Data'!$U:$U),0)),"N/A - Facility Does Not Report to TRI")))</f>
        <v>N/A - Facility Does Not Report to TRI</v>
      </c>
      <c r="AL171" s="109" cm="1">
        <f t="array" ref="AL171">IFERROR(_xlfn.XLOOKUP(1,  (MAX(IF(H171 = 'Processed Non-zero TRI Data'!$I$2:$I$23,'Processed Non-zero TRI Data'!$A$2:$A$23)) = 'Processed Non-zero TRI Data'!$A$2:$A$23)*('Processed Non-zero TRI Data'!$I$2:$I$23 = H171), 'Processed Non-zero TRI Data'!$W$2:$W$23), "N/A- Facility Does Not Report to TRI")</f>
        <v>0</v>
      </c>
      <c r="AM171" s="33">
        <f t="shared" si="36"/>
        <v>0</v>
      </c>
      <c r="AN171" s="33" t="str" cm="1">
        <f t="array" ref="AN171">IF(COUNTIF('Processed Non-zero TRI Data'!$I:$I,$H171)&gt;0,MEDIAN(IF('Processed Non-zero TRI Data'!$I:$I=H171,'Processed Non-zero TRI Data'!$W:$W)), "N/A - Facility Does Not Report to TRI")</f>
        <v>N/A - Facility Does Not Report to TRI</v>
      </c>
      <c r="AO171" s="33" t="str">
        <f t="shared" si="37"/>
        <v>N/A - Facility Does Not Report to TRI</v>
      </c>
      <c r="AP171" s="33" t="str">
        <f>IF(COUNTIF('Processed Non-zero TRI Data'!$I:$I,$H171)&gt;0,_xlfn.MAXIFS('Processed Non-zero TRI Data'!$W:$W,'Processed Non-zero TRI Data'!$I:$I,$H171), "N/A - Facility Does Not Report to TRI")</f>
        <v>N/A - Facility Does Not Report to TRI</v>
      </c>
      <c r="AQ171" s="33" t="str">
        <f t="shared" si="38"/>
        <v>N/A - Facility Does Not Report to TRI</v>
      </c>
      <c r="AR171" s="110" t="str" cm="1">
        <f t="array" ref="AR171">IF(B171="TRI Form A",AD171,IF(AP171=0,"Facility has no transfers to non-POTWs between 2019-2023.",IF(COUNTIF('Processed Non-zero TRI Data'!$I:$I,$H171)&gt;0,INDEX('Processed Non-zero TRI Data'!$A:$A,MATCH(1,($H171='Processed Non-zero TRI Data'!$I:$I)*(AP171='Processed Non-zero TRI Data'!$W:$W),0)),"N/A - Facility Does Not Report to TRI")))</f>
        <v>N/A - Facility Does Not Report to TRI</v>
      </c>
    </row>
    <row r="172" spans="1:44" ht="29" x14ac:dyDescent="0.35">
      <c r="A172" s="34">
        <v>169</v>
      </c>
      <c r="B172" s="33" t="str">
        <f>IFERROR("TRI Form "&amp;VLOOKUP(H172,'Processed Non-zero TRI Data'!$I$2:$K$23,3,FALSE),"DMR")</f>
        <v>DMR</v>
      </c>
      <c r="C172" s="33" t="str">
        <f>VLOOKUP($D172, 'COU.OES Summary'!C:D, 2, FALSE)</f>
        <v> </v>
      </c>
      <c r="D172" s="33" t="str">
        <f>IFERROR(VLOOKUP($H172, 'Processed Non-zero TRI Data'!$I:$O, 7, FALSE), VLOOKUP($I172, 'Processed Non-zero DMR Data'!$K:$R, 8, FALSE))</f>
        <v>Waste handling, treatment, and disposal - Remediation or Monitoring</v>
      </c>
      <c r="E172" s="34" t="s">
        <v>426</v>
      </c>
      <c r="F172" s="34" t="s">
        <v>427</v>
      </c>
      <c r="G172" s="34" t="s">
        <v>129</v>
      </c>
      <c r="H172" s="34"/>
      <c r="I172" s="105">
        <v>110054612558</v>
      </c>
      <c r="J172" s="33" t="str">
        <f>IFERROR(VLOOKUP($I172, 'Processed Non-zero DMR Data'!$K:$U, 11, FALSE),"")</f>
        <v>MO0137243</v>
      </c>
      <c r="K172" s="33" t="str">
        <f>IFERROR(VLOOKUP($I172, 'Processed Non-zero DMR Data'!$K:$V, 12, FALSE),"Not Reported")</f>
        <v>Buffalo Creek-Mississippi River</v>
      </c>
      <c r="L172" s="106">
        <f>IFERROR(VLOOKUP($I172, 'Processed Non-zero DMR Data'!$K:$W, 13, FALSE),"No Reach Code Reported")</f>
        <v>71100040702</v>
      </c>
      <c r="M172" s="107" t="str">
        <f>IFERROR(IFERROR(VLOOKUP(H172, 'Off-site Locations'!$K$3:$O$5, 5, FALSE), VLOOKUP(H172, 'Off-site Locations'!$B$3:$E$4, 4, FALSE)), "No Offsite Transfers")</f>
        <v>No Offsite Transfers</v>
      </c>
      <c r="N172" s="33">
        <f>VLOOKUP($D172, 'COU.OES Summary'!C:E, 3, FALSE)</f>
        <v>365</v>
      </c>
      <c r="O172" s="108">
        <f t="shared" si="28"/>
        <v>0</v>
      </c>
      <c r="P172" s="108">
        <f t="shared" si="29"/>
        <v>0.1602393</v>
      </c>
      <c r="Q172" s="109" cm="1">
        <f t="array" ref="Q172">IFERROR(_xlfn.XLOOKUP(1,  (MAX(IF(I172 = 'Processed Non-zero DMR Data'!$K:$K,'Processed Non-zero DMR Data'!$A:$A)) = 'Processed Non-zero DMR Data'!$A:$A)*('Processed Non-zero DMR Data'!$K:$K = I172),'Processed Non-zero DMR Data'!$T:$T), "N/A- Facility Does Not Report DMRs")</f>
        <v>0.1602393</v>
      </c>
      <c r="R172" s="33">
        <f t="shared" si="39"/>
        <v>4.3901178082191781E-4</v>
      </c>
      <c r="S172" s="33" cm="1">
        <f t="array" ref="S172">IF(COUNTIF('Processed Non-zero DMR Data'!$K:$K,$I172)&gt;0,MEDIAN(IF('Processed Non-zero DMR Data'!$K:$K=I172,'Processed Non-zero DMR Data'!$T:$T)),"N/A - Facility Does Not Report DMRs")</f>
        <v>0.1031942</v>
      </c>
      <c r="T172" s="33">
        <f t="shared" si="40"/>
        <v>2.8272383561643837E-4</v>
      </c>
      <c r="U172" s="33">
        <f>IF(COUNTIF('Processed Non-zero DMR Data'!$K:$K,$I172)&gt;0,_xlfn.MAXIFS('Processed Non-zero DMR Data'!$T:$T,'Processed Non-zero DMR Data'!$K:$K,$I172), "N/A - Facility Does Not Report DMRs")</f>
        <v>0.1602393</v>
      </c>
      <c r="V172" s="33">
        <f t="shared" si="41"/>
        <v>4.3901178082191781E-4</v>
      </c>
      <c r="W172" s="110" cm="1">
        <f t="array" ref="W172">IF(COUNTIF('Processed Non-zero DMR Data'!$K:$K,$I172)&gt;0,INDEX('Processed Non-zero DMR Data'!$A:$A,MATCH(1,($I172='Processed Non-zero DMR Data'!$K:$K)*($U172='Processed Non-zero DMR Data'!$T:$T),0)), "N/A - Facility Does Not Report DMRs")</f>
        <v>2023</v>
      </c>
      <c r="X172" s="109" cm="1">
        <f t="array" ref="X172">IFERROR(_xlfn.XLOOKUP(1,  (MAX(IF(H172 = 'Processed Non-zero TRI Data'!$I:$I,'Processed Non-zero TRI Data'!$A:$A)) = 'Processed Non-zero TRI Data'!$A:$A)*('Processed Non-zero TRI Data'!$I:$I = H172), 'Processed Non-zero TRI Data'!$S:$S), "N/A- Facility Does Not Report to TRI")</f>
        <v>0</v>
      </c>
      <c r="Y172" s="33">
        <f t="shared" si="30"/>
        <v>0</v>
      </c>
      <c r="Z172" s="33" t="str" cm="1">
        <f t="array" ref="Z172">IF(COUNTIF('Processed Non-zero TRI Data'!$I:$I,$H172)&gt;0,MEDIAN(IF('Processed Non-zero TRI Data'!$I:$I=H172,'Processed Non-zero TRI Data'!$S:$S)), "N/A - Facility Does Not Report to TRI")</f>
        <v>N/A - Facility Does Not Report to TRI</v>
      </c>
      <c r="AA172" s="33" t="str">
        <f t="shared" si="31"/>
        <v>N/A - Facility Does Not Report to TRI</v>
      </c>
      <c r="AB172" s="33" t="str">
        <f>IF(COUNTIF('Processed Non-zero TRI Data'!$I:$I,$H172)&gt;0,_xlfn.MAXIFS('Processed Non-zero TRI Data'!$S:$S,'Processed Non-zero TRI Data'!$I:$I,$H172), "N/A - Facility Does Not Report to TRI")</f>
        <v>N/A - Facility Does Not Report to TRI</v>
      </c>
      <c r="AC172" s="33" t="str">
        <f t="shared" si="32"/>
        <v>N/A - Facility Does Not Report to TRI</v>
      </c>
      <c r="AD172" s="110" t="str" cm="1">
        <f t="array" ref="AD172">IFERROR(IF(B172 = "TRI Form R", IF(AB172 = 0, "Facility has no on-site water discharges between 2019-2023.",  IF(COUNTIF('Processed Non-zero TRI Data'!$I:$I,$H172)&gt;0,INDEX('Processed Non-zero TRI Data'!$A:$A,MATCH(1,($H172='Processed Non-zero TRI Data'!$I:$I)*(AB172='Processed Non-zero TRI Data'!$S:$S),0)))), VLOOKUP(H172, 'Form A Recent Reporting'!$L:$M, 2, FALSE)), ("N/A - Facility Does Not Report to TRI"))</f>
        <v>N/A - Facility Does Not Report to TRI</v>
      </c>
      <c r="AE172" s="109" cm="1">
        <f t="array" ref="AE172">IFERROR(_xlfn.XLOOKUP(1,  (MAX(IF(H172 = 'Processed Non-zero TRI Data'!$I:$I,'Processed Non-zero TRI Data'!$A:$A)) = 'Processed Non-zero TRI Data'!$A:$A)*('Processed Non-zero TRI Data'!$I:$I = H172), 'Processed Non-zero TRI Data'!$U:$U), "N/A- Facility Does Not Report to TRI")</f>
        <v>0</v>
      </c>
      <c r="AF172" s="33">
        <f t="shared" si="33"/>
        <v>0</v>
      </c>
      <c r="AG172" s="33" t="str" cm="1">
        <f t="array" ref="AG172">IF(COUNTIF('Processed Non-zero TRI Data'!$I:$I,$H172)&gt;0,MEDIAN(IF('Processed Non-zero TRI Data'!$I:$I=H172,'Processed Non-zero TRI Data'!$U:$U)), "N/A - Facility Does Not Report to TRI")</f>
        <v>N/A - Facility Does Not Report to TRI</v>
      </c>
      <c r="AH172" s="33" t="str">
        <f t="shared" si="34"/>
        <v>N/A - Facility Does Not Report to TRI</v>
      </c>
      <c r="AI172" s="33" t="str">
        <f>IF(COUNTIF('Processed Non-zero TRI Data'!$I:$I,$H172)&gt;0,_xlfn.MAXIFS('Processed Non-zero TRI Data'!$U:$U,'Processed Non-zero TRI Data'!$I:$I,$H172), "N/A - Facility Does Not Report to TRI")</f>
        <v>N/A - Facility Does Not Report to TRI</v>
      </c>
      <c r="AJ172" s="33" t="str">
        <f t="shared" si="35"/>
        <v>N/A - Facility Does Not Report to TRI</v>
      </c>
      <c r="AK172" s="110" t="str" cm="1">
        <f t="array" ref="AK172">IF(B172="TRI Form A",AD172,IF(AI172=0,"Facility has no transfers to POTWs between 2019-2023.",IF(COUNTIF('Processed Non-zero TRI Data'!$I:$I,$H172)&gt;0,INDEX('Processed Non-zero TRI Data'!$A:$A,MATCH(1,($H172='Processed Non-zero TRI Data'!$I:$I)*(AI172='Processed Non-zero TRI Data'!$U:$U),0)),"N/A - Facility Does Not Report to TRI")))</f>
        <v>N/A - Facility Does Not Report to TRI</v>
      </c>
      <c r="AL172" s="109" cm="1">
        <f t="array" ref="AL172">IFERROR(_xlfn.XLOOKUP(1,  (MAX(IF(H172 = 'Processed Non-zero TRI Data'!$I$2:$I$23,'Processed Non-zero TRI Data'!$A$2:$A$23)) = 'Processed Non-zero TRI Data'!$A$2:$A$23)*('Processed Non-zero TRI Data'!$I$2:$I$23 = H172), 'Processed Non-zero TRI Data'!$W$2:$W$23), "N/A- Facility Does Not Report to TRI")</f>
        <v>0</v>
      </c>
      <c r="AM172" s="33">
        <f t="shared" si="36"/>
        <v>0</v>
      </c>
      <c r="AN172" s="33" t="str" cm="1">
        <f t="array" ref="AN172">IF(COUNTIF('Processed Non-zero TRI Data'!$I:$I,$H172)&gt;0,MEDIAN(IF('Processed Non-zero TRI Data'!$I:$I=H172,'Processed Non-zero TRI Data'!$W:$W)), "N/A - Facility Does Not Report to TRI")</f>
        <v>N/A - Facility Does Not Report to TRI</v>
      </c>
      <c r="AO172" s="33" t="str">
        <f t="shared" si="37"/>
        <v>N/A - Facility Does Not Report to TRI</v>
      </c>
      <c r="AP172" s="33" t="str">
        <f>IF(COUNTIF('Processed Non-zero TRI Data'!$I:$I,$H172)&gt;0,_xlfn.MAXIFS('Processed Non-zero TRI Data'!$W:$W,'Processed Non-zero TRI Data'!$I:$I,$H172), "N/A - Facility Does Not Report to TRI")</f>
        <v>N/A - Facility Does Not Report to TRI</v>
      </c>
      <c r="AQ172" s="33" t="str">
        <f t="shared" si="38"/>
        <v>N/A - Facility Does Not Report to TRI</v>
      </c>
      <c r="AR172" s="110" t="str" cm="1">
        <f t="array" ref="AR172">IF(B172="TRI Form A",AD172,IF(AP172=0,"Facility has no transfers to non-POTWs between 2019-2023.",IF(COUNTIF('Processed Non-zero TRI Data'!$I:$I,$H172)&gt;0,INDEX('Processed Non-zero TRI Data'!$A:$A,MATCH(1,($H172='Processed Non-zero TRI Data'!$I:$I)*(AP172='Processed Non-zero TRI Data'!$W:$W),0)),"N/A - Facility Does Not Report to TRI")))</f>
        <v>N/A - Facility Does Not Report to TRI</v>
      </c>
    </row>
    <row r="173" spans="1:44" ht="29" x14ac:dyDescent="0.35">
      <c r="A173" s="34">
        <v>170</v>
      </c>
      <c r="B173" s="33" t="str">
        <f>IFERROR("TRI Form "&amp;VLOOKUP(H173,'Processed Non-zero TRI Data'!$I$2:$K$23,3,FALSE),"DMR")</f>
        <v>DMR</v>
      </c>
      <c r="C173" s="33" t="str">
        <f>VLOOKUP($D173, 'COU.OES Summary'!C:D, 2, FALSE)</f>
        <v> </v>
      </c>
      <c r="D173" s="33" t="str">
        <f>IFERROR(VLOOKUP($H173, 'Processed Non-zero TRI Data'!$I:$O, 7, FALSE), VLOOKUP($I173, 'Processed Non-zero DMR Data'!$K:$R, 8, FALSE))</f>
        <v>Waste handling, treatment, and disposal - Remediation or Monitoring</v>
      </c>
      <c r="E173" s="34" t="s">
        <v>428</v>
      </c>
      <c r="F173" s="34" t="s">
        <v>429</v>
      </c>
      <c r="G173" s="34" t="s">
        <v>181</v>
      </c>
      <c r="H173" s="34"/>
      <c r="I173" s="105">
        <v>110009291872</v>
      </c>
      <c r="J173" s="33" t="str">
        <f>IFERROR(VLOOKUP($I173, 'Processed Non-zero DMR Data'!$K:$U, 11, FALSE),"")</f>
        <v>MI0000884</v>
      </c>
      <c r="K173" s="33" t="str">
        <f>IFERROR(VLOOKUP($I173, 'Processed Non-zero DMR Data'!$K:$V, 12, FALSE),"Not Reported")</f>
        <v>White Lake-White River</v>
      </c>
      <c r="L173" s="106">
        <f>IFERROR(VLOOKUP($I173, 'Processed Non-zero DMR Data'!$K:$W, 13, FALSE),"No Reach Code Reported")</f>
        <v>40601010904</v>
      </c>
      <c r="M173" s="107" t="str">
        <f>IFERROR(IFERROR(VLOOKUP(H173, 'Off-site Locations'!$K$3:$O$5, 5, FALSE), VLOOKUP(H173, 'Off-site Locations'!$B$3:$E$4, 4, FALSE)), "No Offsite Transfers")</f>
        <v>No Offsite Transfers</v>
      </c>
      <c r="N173" s="33">
        <f>VLOOKUP($D173, 'COU.OES Summary'!C:E, 3, FALSE)</f>
        <v>365</v>
      </c>
      <c r="O173" s="108">
        <f t="shared" si="28"/>
        <v>0</v>
      </c>
      <c r="P173" s="108">
        <f t="shared" si="29"/>
        <v>0.15662201310000001</v>
      </c>
      <c r="Q173" s="109" cm="1">
        <f t="array" ref="Q173">IFERROR(_xlfn.XLOOKUP(1,  (MAX(IF(I173 = 'Processed Non-zero DMR Data'!$K:$K,'Processed Non-zero DMR Data'!$A:$A)) = 'Processed Non-zero DMR Data'!$A:$A)*('Processed Non-zero DMR Data'!$K:$K = I173),'Processed Non-zero DMR Data'!$T:$T), "N/A- Facility Does Not Report DMRs")</f>
        <v>0.15662201310000001</v>
      </c>
      <c r="R173" s="33">
        <f t="shared" si="39"/>
        <v>4.2910140575342471E-4</v>
      </c>
      <c r="S173" s="33" cm="1">
        <f t="array" ref="S173">IF(COUNTIF('Processed Non-zero DMR Data'!$K:$K,$I173)&gt;0,MEDIAN(IF('Processed Non-zero DMR Data'!$K:$K=I173,'Processed Non-zero DMR Data'!$T:$T)),"N/A - Facility Does Not Report DMRs")</f>
        <v>4.2771730124999997E-2</v>
      </c>
      <c r="T173" s="33">
        <f t="shared" si="40"/>
        <v>1.1718282226027397E-4</v>
      </c>
      <c r="U173" s="33">
        <f>IF(COUNTIF('Processed Non-zero DMR Data'!$K:$K,$I173)&gt;0,_xlfn.MAXIFS('Processed Non-zero DMR Data'!$T:$T,'Processed Non-zero DMR Data'!$K:$K,$I173), "N/A - Facility Does Not Report DMRs")</f>
        <v>0.15662201310000001</v>
      </c>
      <c r="V173" s="33">
        <f t="shared" si="41"/>
        <v>4.2910140575342471E-4</v>
      </c>
      <c r="W173" s="110" cm="1">
        <f t="array" ref="W173">IF(COUNTIF('Processed Non-zero DMR Data'!$K:$K,$I173)&gt;0,INDEX('Processed Non-zero DMR Data'!$A:$A,MATCH(1,($I173='Processed Non-zero DMR Data'!$K:$K)*($U173='Processed Non-zero DMR Data'!$T:$T),0)), "N/A - Facility Does Not Report DMRs")</f>
        <v>2023</v>
      </c>
      <c r="X173" s="109" cm="1">
        <f t="array" ref="X173">IFERROR(_xlfn.XLOOKUP(1,  (MAX(IF(H173 = 'Processed Non-zero TRI Data'!$I:$I,'Processed Non-zero TRI Data'!$A:$A)) = 'Processed Non-zero TRI Data'!$A:$A)*('Processed Non-zero TRI Data'!$I:$I = H173), 'Processed Non-zero TRI Data'!$S:$S), "N/A- Facility Does Not Report to TRI")</f>
        <v>0</v>
      </c>
      <c r="Y173" s="33">
        <f t="shared" si="30"/>
        <v>0</v>
      </c>
      <c r="Z173" s="33" t="str" cm="1">
        <f t="array" ref="Z173">IF(COUNTIF('Processed Non-zero TRI Data'!$I:$I,$H173)&gt;0,MEDIAN(IF('Processed Non-zero TRI Data'!$I:$I=H173,'Processed Non-zero TRI Data'!$S:$S)), "N/A - Facility Does Not Report to TRI")</f>
        <v>N/A - Facility Does Not Report to TRI</v>
      </c>
      <c r="AA173" s="33" t="str">
        <f t="shared" si="31"/>
        <v>N/A - Facility Does Not Report to TRI</v>
      </c>
      <c r="AB173" s="33" t="str">
        <f>IF(COUNTIF('Processed Non-zero TRI Data'!$I:$I,$H173)&gt;0,_xlfn.MAXIFS('Processed Non-zero TRI Data'!$S:$S,'Processed Non-zero TRI Data'!$I:$I,$H173), "N/A - Facility Does Not Report to TRI")</f>
        <v>N/A - Facility Does Not Report to TRI</v>
      </c>
      <c r="AC173" s="33" t="str">
        <f t="shared" si="32"/>
        <v>N/A - Facility Does Not Report to TRI</v>
      </c>
      <c r="AD173" s="110" t="str" cm="1">
        <f t="array" ref="AD173">IFERROR(IF(B173 = "TRI Form R", IF(AB173 = 0, "Facility has no on-site water discharges between 2019-2023.",  IF(COUNTIF('Processed Non-zero TRI Data'!$I:$I,$H173)&gt;0,INDEX('Processed Non-zero TRI Data'!$A:$A,MATCH(1,($H173='Processed Non-zero TRI Data'!$I:$I)*(AB173='Processed Non-zero TRI Data'!$S:$S),0)))), VLOOKUP(H173, 'Form A Recent Reporting'!$L:$M, 2, FALSE)), ("N/A - Facility Does Not Report to TRI"))</f>
        <v>N/A - Facility Does Not Report to TRI</v>
      </c>
      <c r="AE173" s="109" cm="1">
        <f t="array" ref="AE173">IFERROR(_xlfn.XLOOKUP(1,  (MAX(IF(H173 = 'Processed Non-zero TRI Data'!$I:$I,'Processed Non-zero TRI Data'!$A:$A)) = 'Processed Non-zero TRI Data'!$A:$A)*('Processed Non-zero TRI Data'!$I:$I = H173), 'Processed Non-zero TRI Data'!$U:$U), "N/A- Facility Does Not Report to TRI")</f>
        <v>0</v>
      </c>
      <c r="AF173" s="33">
        <f t="shared" si="33"/>
        <v>0</v>
      </c>
      <c r="AG173" s="33" t="str" cm="1">
        <f t="array" ref="AG173">IF(COUNTIF('Processed Non-zero TRI Data'!$I:$I,$H173)&gt;0,MEDIAN(IF('Processed Non-zero TRI Data'!$I:$I=H173,'Processed Non-zero TRI Data'!$U:$U)), "N/A - Facility Does Not Report to TRI")</f>
        <v>N/A - Facility Does Not Report to TRI</v>
      </c>
      <c r="AH173" s="33" t="str">
        <f t="shared" si="34"/>
        <v>N/A - Facility Does Not Report to TRI</v>
      </c>
      <c r="AI173" s="33" t="str">
        <f>IF(COUNTIF('Processed Non-zero TRI Data'!$I:$I,$H173)&gt;0,_xlfn.MAXIFS('Processed Non-zero TRI Data'!$U:$U,'Processed Non-zero TRI Data'!$I:$I,$H173), "N/A - Facility Does Not Report to TRI")</f>
        <v>N/A - Facility Does Not Report to TRI</v>
      </c>
      <c r="AJ173" s="33" t="str">
        <f t="shared" si="35"/>
        <v>N/A - Facility Does Not Report to TRI</v>
      </c>
      <c r="AK173" s="110" t="str" cm="1">
        <f t="array" ref="AK173">IF(B173="TRI Form A",AD173,IF(AI173=0,"Facility has no transfers to POTWs between 2019-2023.",IF(COUNTIF('Processed Non-zero TRI Data'!$I:$I,$H173)&gt;0,INDEX('Processed Non-zero TRI Data'!$A:$A,MATCH(1,($H173='Processed Non-zero TRI Data'!$I:$I)*(AI173='Processed Non-zero TRI Data'!$U:$U),0)),"N/A - Facility Does Not Report to TRI")))</f>
        <v>N/A - Facility Does Not Report to TRI</v>
      </c>
      <c r="AL173" s="109" cm="1">
        <f t="array" ref="AL173">IFERROR(_xlfn.XLOOKUP(1,  (MAX(IF(H173 = 'Processed Non-zero TRI Data'!$I$2:$I$23,'Processed Non-zero TRI Data'!$A$2:$A$23)) = 'Processed Non-zero TRI Data'!$A$2:$A$23)*('Processed Non-zero TRI Data'!$I$2:$I$23 = H173), 'Processed Non-zero TRI Data'!$W$2:$W$23), "N/A- Facility Does Not Report to TRI")</f>
        <v>0</v>
      </c>
      <c r="AM173" s="33">
        <f t="shared" si="36"/>
        <v>0</v>
      </c>
      <c r="AN173" s="33" t="str" cm="1">
        <f t="array" ref="AN173">IF(COUNTIF('Processed Non-zero TRI Data'!$I:$I,$H173)&gt;0,MEDIAN(IF('Processed Non-zero TRI Data'!$I:$I=H173,'Processed Non-zero TRI Data'!$W:$W)), "N/A - Facility Does Not Report to TRI")</f>
        <v>N/A - Facility Does Not Report to TRI</v>
      </c>
      <c r="AO173" s="33" t="str">
        <f t="shared" si="37"/>
        <v>N/A - Facility Does Not Report to TRI</v>
      </c>
      <c r="AP173" s="33" t="str">
        <f>IF(COUNTIF('Processed Non-zero TRI Data'!$I:$I,$H173)&gt;0,_xlfn.MAXIFS('Processed Non-zero TRI Data'!$W:$W,'Processed Non-zero TRI Data'!$I:$I,$H173), "N/A - Facility Does Not Report to TRI")</f>
        <v>N/A - Facility Does Not Report to TRI</v>
      </c>
      <c r="AQ173" s="33" t="str">
        <f t="shared" si="38"/>
        <v>N/A - Facility Does Not Report to TRI</v>
      </c>
      <c r="AR173" s="110" t="str" cm="1">
        <f t="array" ref="AR173">IF(B173="TRI Form A",AD173,IF(AP173=0,"Facility has no transfers to non-POTWs between 2019-2023.",IF(COUNTIF('Processed Non-zero TRI Data'!$I:$I,$H173)&gt;0,INDEX('Processed Non-zero TRI Data'!$A:$A,MATCH(1,($H173='Processed Non-zero TRI Data'!$I:$I)*(AP173='Processed Non-zero TRI Data'!$W:$W),0)),"N/A - Facility Does Not Report to TRI")))</f>
        <v>N/A - Facility Does Not Report to TRI</v>
      </c>
    </row>
    <row r="174" spans="1:44" ht="29" x14ac:dyDescent="0.35">
      <c r="A174" s="34">
        <v>171</v>
      </c>
      <c r="B174" s="33" t="str">
        <f>IFERROR("TRI Form "&amp;VLOOKUP(H174,'Processed Non-zero TRI Data'!$I$2:$K$23,3,FALSE),"DMR")</f>
        <v>DMR</v>
      </c>
      <c r="C174" s="33" t="str">
        <f>VLOOKUP($D174, 'COU.OES Summary'!C:D, 2, FALSE)</f>
        <v> </v>
      </c>
      <c r="D174" s="33" t="str">
        <f>IFERROR(VLOOKUP($H174, 'Processed Non-zero TRI Data'!$I:$O, 7, FALSE), VLOOKUP($I174, 'Processed Non-zero DMR Data'!$K:$R, 8, FALSE))</f>
        <v>Waste handling, treatment, and disposal - Remediation or Monitoring</v>
      </c>
      <c r="E174" s="34" t="s">
        <v>430</v>
      </c>
      <c r="F174" s="34" t="s">
        <v>275</v>
      </c>
      <c r="G174" s="34" t="s">
        <v>276</v>
      </c>
      <c r="H174" s="34"/>
      <c r="I174" s="105">
        <v>110070882213</v>
      </c>
      <c r="J174" s="33" t="str">
        <f>IFERROR(VLOOKUP($I174, 'Processed Non-zero DMR Data'!$K:$U, 11, FALSE),"")</f>
        <v>VAG830559</v>
      </c>
      <c r="K174" s="33" t="str">
        <f>IFERROR(VLOOKUP($I174, 'Processed Non-zero DMR Data'!$K:$V, 12, FALSE),"Not Reported")</f>
        <v>Pimmit Run-Potomac River</v>
      </c>
      <c r="L174" s="106">
        <f>IFERROR(VLOOKUP($I174, 'Processed Non-zero DMR Data'!$K:$W, 13, FALSE),"No Reach Code Reported")</f>
        <v>20700100103</v>
      </c>
      <c r="M174" s="107" t="str">
        <f>IFERROR(IFERROR(VLOOKUP(H174, 'Off-site Locations'!$K$3:$O$5, 5, FALSE), VLOOKUP(H174, 'Off-site Locations'!$B$3:$E$4, 4, FALSE)), "No Offsite Transfers")</f>
        <v>No Offsite Transfers</v>
      </c>
      <c r="N174" s="33">
        <f>VLOOKUP($D174, 'COU.OES Summary'!C:E, 3, FALSE)</f>
        <v>365</v>
      </c>
      <c r="O174" s="108">
        <f t="shared" si="28"/>
        <v>0</v>
      </c>
      <c r="P174" s="108">
        <f t="shared" si="29"/>
        <v>0.155423897088</v>
      </c>
      <c r="Q174" s="109" cm="1">
        <f t="array" ref="Q174">IFERROR(_xlfn.XLOOKUP(1,  (MAX(IF(I174 = 'Processed Non-zero DMR Data'!$K:$K,'Processed Non-zero DMR Data'!$A:$A)) = 'Processed Non-zero DMR Data'!$A:$A)*('Processed Non-zero DMR Data'!$K:$K = I174),'Processed Non-zero DMR Data'!$T:$T), "N/A- Facility Does Not Report DMRs")</f>
        <v>3.7453331999999999E-2</v>
      </c>
      <c r="R174" s="33">
        <f t="shared" si="39"/>
        <v>1.0261186849315068E-4</v>
      </c>
      <c r="S174" s="33" cm="1">
        <f t="array" ref="S174">IF(COUNTIF('Processed Non-zero DMR Data'!$K:$K,$I174)&gt;0,MEDIAN(IF('Processed Non-zero DMR Data'!$K:$K=I174,'Processed Non-zero DMR Data'!$T:$T)),"N/A - Facility Does Not Report DMRs")</f>
        <v>9.643861454399999E-2</v>
      </c>
      <c r="T174" s="33">
        <f t="shared" si="40"/>
        <v>2.6421538231232876E-4</v>
      </c>
      <c r="U174" s="33">
        <f>IF(COUNTIF('Processed Non-zero DMR Data'!$K:$K,$I174)&gt;0,_xlfn.MAXIFS('Processed Non-zero DMR Data'!$T:$T,'Processed Non-zero DMR Data'!$K:$K,$I174), "N/A - Facility Does Not Report DMRs")</f>
        <v>0.155423897088</v>
      </c>
      <c r="V174" s="33">
        <f t="shared" si="41"/>
        <v>4.2581889613150684E-4</v>
      </c>
      <c r="W174" s="110" cm="1">
        <f t="array" ref="W174">IF(COUNTIF('Processed Non-zero DMR Data'!$K:$K,$I174)&gt;0,INDEX('Processed Non-zero DMR Data'!$A:$A,MATCH(1,($I174='Processed Non-zero DMR Data'!$K:$K)*($U174='Processed Non-zero DMR Data'!$T:$T),0)), "N/A - Facility Does Not Report DMRs")</f>
        <v>2020</v>
      </c>
      <c r="X174" s="109" cm="1">
        <f t="array" ref="X174">IFERROR(_xlfn.XLOOKUP(1,  (MAX(IF(H174 = 'Processed Non-zero TRI Data'!$I:$I,'Processed Non-zero TRI Data'!$A:$A)) = 'Processed Non-zero TRI Data'!$A:$A)*('Processed Non-zero TRI Data'!$I:$I = H174), 'Processed Non-zero TRI Data'!$S:$S), "N/A- Facility Does Not Report to TRI")</f>
        <v>0</v>
      </c>
      <c r="Y174" s="33">
        <f t="shared" si="30"/>
        <v>0</v>
      </c>
      <c r="Z174" s="33" t="str" cm="1">
        <f t="array" ref="Z174">IF(COUNTIF('Processed Non-zero TRI Data'!$I:$I,$H174)&gt;0,MEDIAN(IF('Processed Non-zero TRI Data'!$I:$I=H174,'Processed Non-zero TRI Data'!$S:$S)), "N/A - Facility Does Not Report to TRI")</f>
        <v>N/A - Facility Does Not Report to TRI</v>
      </c>
      <c r="AA174" s="33" t="str">
        <f t="shared" si="31"/>
        <v>N/A - Facility Does Not Report to TRI</v>
      </c>
      <c r="AB174" s="33" t="str">
        <f>IF(COUNTIF('Processed Non-zero TRI Data'!$I:$I,$H174)&gt;0,_xlfn.MAXIFS('Processed Non-zero TRI Data'!$S:$S,'Processed Non-zero TRI Data'!$I:$I,$H174), "N/A - Facility Does Not Report to TRI")</f>
        <v>N/A - Facility Does Not Report to TRI</v>
      </c>
      <c r="AC174" s="33" t="str">
        <f t="shared" si="32"/>
        <v>N/A - Facility Does Not Report to TRI</v>
      </c>
      <c r="AD174" s="110" t="str" cm="1">
        <f t="array" ref="AD174">IFERROR(IF(B174 = "TRI Form R", IF(AB174 = 0, "Facility has no on-site water discharges between 2019-2023.",  IF(COUNTIF('Processed Non-zero TRI Data'!$I:$I,$H174)&gt;0,INDEX('Processed Non-zero TRI Data'!$A:$A,MATCH(1,($H174='Processed Non-zero TRI Data'!$I:$I)*(AB174='Processed Non-zero TRI Data'!$S:$S),0)))), VLOOKUP(H174, 'Form A Recent Reporting'!$L:$M, 2, FALSE)), ("N/A - Facility Does Not Report to TRI"))</f>
        <v>N/A - Facility Does Not Report to TRI</v>
      </c>
      <c r="AE174" s="109" cm="1">
        <f t="array" ref="AE174">IFERROR(_xlfn.XLOOKUP(1,  (MAX(IF(H174 = 'Processed Non-zero TRI Data'!$I:$I,'Processed Non-zero TRI Data'!$A:$A)) = 'Processed Non-zero TRI Data'!$A:$A)*('Processed Non-zero TRI Data'!$I:$I = H174), 'Processed Non-zero TRI Data'!$U:$U), "N/A- Facility Does Not Report to TRI")</f>
        <v>0</v>
      </c>
      <c r="AF174" s="33">
        <f t="shared" si="33"/>
        <v>0</v>
      </c>
      <c r="AG174" s="33" t="str" cm="1">
        <f t="array" ref="AG174">IF(COUNTIF('Processed Non-zero TRI Data'!$I:$I,$H174)&gt;0,MEDIAN(IF('Processed Non-zero TRI Data'!$I:$I=H174,'Processed Non-zero TRI Data'!$U:$U)), "N/A - Facility Does Not Report to TRI")</f>
        <v>N/A - Facility Does Not Report to TRI</v>
      </c>
      <c r="AH174" s="33" t="str">
        <f t="shared" si="34"/>
        <v>N/A - Facility Does Not Report to TRI</v>
      </c>
      <c r="AI174" s="33" t="str">
        <f>IF(COUNTIF('Processed Non-zero TRI Data'!$I:$I,$H174)&gt;0,_xlfn.MAXIFS('Processed Non-zero TRI Data'!$U:$U,'Processed Non-zero TRI Data'!$I:$I,$H174), "N/A - Facility Does Not Report to TRI")</f>
        <v>N/A - Facility Does Not Report to TRI</v>
      </c>
      <c r="AJ174" s="33" t="str">
        <f t="shared" si="35"/>
        <v>N/A - Facility Does Not Report to TRI</v>
      </c>
      <c r="AK174" s="110" t="str" cm="1">
        <f t="array" ref="AK174">IF(B174="TRI Form A",AD174,IF(AI174=0,"Facility has no transfers to POTWs between 2019-2023.",IF(COUNTIF('Processed Non-zero TRI Data'!$I:$I,$H174)&gt;0,INDEX('Processed Non-zero TRI Data'!$A:$A,MATCH(1,($H174='Processed Non-zero TRI Data'!$I:$I)*(AI174='Processed Non-zero TRI Data'!$U:$U),0)),"N/A - Facility Does Not Report to TRI")))</f>
        <v>N/A - Facility Does Not Report to TRI</v>
      </c>
      <c r="AL174" s="109" cm="1">
        <f t="array" ref="AL174">IFERROR(_xlfn.XLOOKUP(1,  (MAX(IF(H174 = 'Processed Non-zero TRI Data'!$I$2:$I$23,'Processed Non-zero TRI Data'!$A$2:$A$23)) = 'Processed Non-zero TRI Data'!$A$2:$A$23)*('Processed Non-zero TRI Data'!$I$2:$I$23 = H174), 'Processed Non-zero TRI Data'!$W$2:$W$23), "N/A- Facility Does Not Report to TRI")</f>
        <v>0</v>
      </c>
      <c r="AM174" s="33">
        <f t="shared" si="36"/>
        <v>0</v>
      </c>
      <c r="AN174" s="33" t="str" cm="1">
        <f t="array" ref="AN174">IF(COUNTIF('Processed Non-zero TRI Data'!$I:$I,$H174)&gt;0,MEDIAN(IF('Processed Non-zero TRI Data'!$I:$I=H174,'Processed Non-zero TRI Data'!$W:$W)), "N/A - Facility Does Not Report to TRI")</f>
        <v>N/A - Facility Does Not Report to TRI</v>
      </c>
      <c r="AO174" s="33" t="str">
        <f t="shared" si="37"/>
        <v>N/A - Facility Does Not Report to TRI</v>
      </c>
      <c r="AP174" s="33" t="str">
        <f>IF(COUNTIF('Processed Non-zero TRI Data'!$I:$I,$H174)&gt;0,_xlfn.MAXIFS('Processed Non-zero TRI Data'!$W:$W,'Processed Non-zero TRI Data'!$I:$I,$H174), "N/A - Facility Does Not Report to TRI")</f>
        <v>N/A - Facility Does Not Report to TRI</v>
      </c>
      <c r="AQ174" s="33" t="str">
        <f t="shared" si="38"/>
        <v>N/A - Facility Does Not Report to TRI</v>
      </c>
      <c r="AR174" s="110" t="str" cm="1">
        <f t="array" ref="AR174">IF(B174="TRI Form A",AD174,IF(AP174=0,"Facility has no transfers to non-POTWs between 2019-2023.",IF(COUNTIF('Processed Non-zero TRI Data'!$I:$I,$H174)&gt;0,INDEX('Processed Non-zero TRI Data'!$A:$A,MATCH(1,($H174='Processed Non-zero TRI Data'!$I:$I)*(AP174='Processed Non-zero TRI Data'!$W:$W),0)),"N/A - Facility Does Not Report to TRI")))</f>
        <v>N/A - Facility Does Not Report to TRI</v>
      </c>
    </row>
    <row r="175" spans="1:44" ht="29" x14ac:dyDescent="0.35">
      <c r="A175" s="34">
        <v>172</v>
      </c>
      <c r="B175" s="33" t="str">
        <f>IFERROR("TRI Form "&amp;VLOOKUP(H175,'Processed Non-zero TRI Data'!$I$2:$K$23,3,FALSE),"DMR")</f>
        <v>DMR</v>
      </c>
      <c r="C175" s="33" t="str">
        <f>VLOOKUP($D175, 'COU.OES Summary'!C:D, 2, FALSE)</f>
        <v> </v>
      </c>
      <c r="D175" s="33" t="str">
        <f>IFERROR(VLOOKUP($H175, 'Processed Non-zero TRI Data'!$I:$O, 7, FALSE), VLOOKUP($I175, 'Processed Non-zero DMR Data'!$K:$R, 8, FALSE))</f>
        <v>Waste handling, treatment, and disposal - Remediation or Monitoring</v>
      </c>
      <c r="E175" s="34" t="s">
        <v>431</v>
      </c>
      <c r="F175" s="34" t="s">
        <v>432</v>
      </c>
      <c r="G175" s="34" t="s">
        <v>254</v>
      </c>
      <c r="H175" s="34"/>
      <c r="I175" s="105">
        <v>110000322311</v>
      </c>
      <c r="J175" s="33" t="str">
        <f>IFERROR(VLOOKUP($I175, 'Processed Non-zero DMR Data'!$K:$U, 11, FALSE),"")</f>
        <v>NJ0004006</v>
      </c>
      <c r="K175" s="33" t="str">
        <f>IFERROR(VLOOKUP($I175, 'Processed Non-zero DMR Data'!$K:$V, 12, FALSE),"Not Reported")</f>
        <v>Buckhorn Creek-Delaware River</v>
      </c>
      <c r="L175" s="106" t="str">
        <f>IFERROR(VLOOKUP($I175, 'Processed Non-zero DMR Data'!$K:$W, 13, FALSE),"No Reach Code Reported")</f>
        <v>020401050603</v>
      </c>
      <c r="M175" s="107" t="str">
        <f>IFERROR(IFERROR(VLOOKUP(H175, 'Off-site Locations'!$K$3:$O$5, 5, FALSE), VLOOKUP(H175, 'Off-site Locations'!$B$3:$E$4, 4, FALSE)), "No Offsite Transfers")</f>
        <v>No Offsite Transfers</v>
      </c>
      <c r="N175" s="33">
        <f>VLOOKUP($D175, 'COU.OES Summary'!C:E, 3, FALSE)</f>
        <v>365</v>
      </c>
      <c r="O175" s="108">
        <f t="shared" si="28"/>
        <v>0</v>
      </c>
      <c r="P175" s="108">
        <f t="shared" si="29"/>
        <v>0.15440000000000001</v>
      </c>
      <c r="Q175" s="109" cm="1">
        <f t="array" ref="Q175">IFERROR(_xlfn.XLOOKUP(1,  (MAX(IF(I175 = 'Processed Non-zero DMR Data'!$K:$K,'Processed Non-zero DMR Data'!$A:$A)) = 'Processed Non-zero DMR Data'!$A:$A)*('Processed Non-zero DMR Data'!$K:$K = I175),'Processed Non-zero DMR Data'!$T:$T), "N/A- Facility Does Not Report DMRs")</f>
        <v>0.15440000000000001</v>
      </c>
      <c r="R175" s="33">
        <f t="shared" si="39"/>
        <v>4.23013698630137E-4</v>
      </c>
      <c r="S175" s="33" cm="1">
        <f t="array" ref="S175">IF(COUNTIF('Processed Non-zero DMR Data'!$K:$K,$I175)&gt;0,MEDIAN(IF('Processed Non-zero DMR Data'!$K:$K=I175,'Processed Non-zero DMR Data'!$T:$T)),"N/A - Facility Does Not Report DMRs")</f>
        <v>0.15440000000000001</v>
      </c>
      <c r="T175" s="33">
        <f t="shared" si="40"/>
        <v>4.23013698630137E-4</v>
      </c>
      <c r="U175" s="33">
        <f>IF(COUNTIF('Processed Non-zero DMR Data'!$K:$K,$I175)&gt;0,_xlfn.MAXIFS('Processed Non-zero DMR Data'!$T:$T,'Processed Non-zero DMR Data'!$K:$K,$I175), "N/A - Facility Does Not Report DMRs")</f>
        <v>0.15440000000000001</v>
      </c>
      <c r="V175" s="33">
        <f t="shared" si="41"/>
        <v>4.23013698630137E-4</v>
      </c>
      <c r="W175" s="110" cm="1">
        <f t="array" ref="W175">IF(COUNTIF('Processed Non-zero DMR Data'!$K:$K,$I175)&gt;0,INDEX('Processed Non-zero DMR Data'!$A:$A,MATCH(1,($I175='Processed Non-zero DMR Data'!$K:$K)*($U175='Processed Non-zero DMR Data'!$T:$T),0)), "N/A - Facility Does Not Report DMRs")</f>
        <v>2023</v>
      </c>
      <c r="X175" s="109" cm="1">
        <f t="array" ref="X175">IFERROR(_xlfn.XLOOKUP(1,  (MAX(IF(H175 = 'Processed Non-zero TRI Data'!$I:$I,'Processed Non-zero TRI Data'!$A:$A)) = 'Processed Non-zero TRI Data'!$A:$A)*('Processed Non-zero TRI Data'!$I:$I = H175), 'Processed Non-zero TRI Data'!$S:$S), "N/A- Facility Does Not Report to TRI")</f>
        <v>0</v>
      </c>
      <c r="Y175" s="33">
        <f t="shared" si="30"/>
        <v>0</v>
      </c>
      <c r="Z175" s="33" t="str" cm="1">
        <f t="array" ref="Z175">IF(COUNTIF('Processed Non-zero TRI Data'!$I:$I,$H175)&gt;0,MEDIAN(IF('Processed Non-zero TRI Data'!$I:$I=H175,'Processed Non-zero TRI Data'!$S:$S)), "N/A - Facility Does Not Report to TRI")</f>
        <v>N/A - Facility Does Not Report to TRI</v>
      </c>
      <c r="AA175" s="33" t="str">
        <f t="shared" si="31"/>
        <v>N/A - Facility Does Not Report to TRI</v>
      </c>
      <c r="AB175" s="33" t="str">
        <f>IF(COUNTIF('Processed Non-zero TRI Data'!$I:$I,$H175)&gt;0,_xlfn.MAXIFS('Processed Non-zero TRI Data'!$S:$S,'Processed Non-zero TRI Data'!$I:$I,$H175), "N/A - Facility Does Not Report to TRI")</f>
        <v>N/A - Facility Does Not Report to TRI</v>
      </c>
      <c r="AC175" s="33" t="str">
        <f t="shared" si="32"/>
        <v>N/A - Facility Does Not Report to TRI</v>
      </c>
      <c r="AD175" s="110" t="str" cm="1">
        <f t="array" ref="AD175">IFERROR(IF(B175 = "TRI Form R", IF(AB175 = 0, "Facility has no on-site water discharges between 2019-2023.",  IF(COUNTIF('Processed Non-zero TRI Data'!$I:$I,$H175)&gt;0,INDEX('Processed Non-zero TRI Data'!$A:$A,MATCH(1,($H175='Processed Non-zero TRI Data'!$I:$I)*(AB175='Processed Non-zero TRI Data'!$S:$S),0)))), VLOOKUP(H175, 'Form A Recent Reporting'!$L:$M, 2, FALSE)), ("N/A - Facility Does Not Report to TRI"))</f>
        <v>N/A - Facility Does Not Report to TRI</v>
      </c>
      <c r="AE175" s="109" cm="1">
        <f t="array" ref="AE175">IFERROR(_xlfn.XLOOKUP(1,  (MAX(IF(H175 = 'Processed Non-zero TRI Data'!$I:$I,'Processed Non-zero TRI Data'!$A:$A)) = 'Processed Non-zero TRI Data'!$A:$A)*('Processed Non-zero TRI Data'!$I:$I = H175), 'Processed Non-zero TRI Data'!$U:$U), "N/A- Facility Does Not Report to TRI")</f>
        <v>0</v>
      </c>
      <c r="AF175" s="33">
        <f t="shared" si="33"/>
        <v>0</v>
      </c>
      <c r="AG175" s="33" t="str" cm="1">
        <f t="array" ref="AG175">IF(COUNTIF('Processed Non-zero TRI Data'!$I:$I,$H175)&gt;0,MEDIAN(IF('Processed Non-zero TRI Data'!$I:$I=H175,'Processed Non-zero TRI Data'!$U:$U)), "N/A - Facility Does Not Report to TRI")</f>
        <v>N/A - Facility Does Not Report to TRI</v>
      </c>
      <c r="AH175" s="33" t="str">
        <f t="shared" si="34"/>
        <v>N/A - Facility Does Not Report to TRI</v>
      </c>
      <c r="AI175" s="33" t="str">
        <f>IF(COUNTIF('Processed Non-zero TRI Data'!$I:$I,$H175)&gt;0,_xlfn.MAXIFS('Processed Non-zero TRI Data'!$U:$U,'Processed Non-zero TRI Data'!$I:$I,$H175), "N/A - Facility Does Not Report to TRI")</f>
        <v>N/A - Facility Does Not Report to TRI</v>
      </c>
      <c r="AJ175" s="33" t="str">
        <f t="shared" si="35"/>
        <v>N/A - Facility Does Not Report to TRI</v>
      </c>
      <c r="AK175" s="110" t="str" cm="1">
        <f t="array" ref="AK175">IF(B175="TRI Form A",AD175,IF(AI175=0,"Facility has no transfers to POTWs between 2019-2023.",IF(COUNTIF('Processed Non-zero TRI Data'!$I:$I,$H175)&gt;0,INDEX('Processed Non-zero TRI Data'!$A:$A,MATCH(1,($H175='Processed Non-zero TRI Data'!$I:$I)*(AI175='Processed Non-zero TRI Data'!$U:$U),0)),"N/A - Facility Does Not Report to TRI")))</f>
        <v>N/A - Facility Does Not Report to TRI</v>
      </c>
      <c r="AL175" s="109" cm="1">
        <f t="array" ref="AL175">IFERROR(_xlfn.XLOOKUP(1,  (MAX(IF(H175 = 'Processed Non-zero TRI Data'!$I$2:$I$23,'Processed Non-zero TRI Data'!$A$2:$A$23)) = 'Processed Non-zero TRI Data'!$A$2:$A$23)*('Processed Non-zero TRI Data'!$I$2:$I$23 = H175), 'Processed Non-zero TRI Data'!$W$2:$W$23), "N/A- Facility Does Not Report to TRI")</f>
        <v>0</v>
      </c>
      <c r="AM175" s="33">
        <f t="shared" si="36"/>
        <v>0</v>
      </c>
      <c r="AN175" s="33" t="str" cm="1">
        <f t="array" ref="AN175">IF(COUNTIF('Processed Non-zero TRI Data'!$I:$I,$H175)&gt;0,MEDIAN(IF('Processed Non-zero TRI Data'!$I:$I=H175,'Processed Non-zero TRI Data'!$W:$W)), "N/A - Facility Does Not Report to TRI")</f>
        <v>N/A - Facility Does Not Report to TRI</v>
      </c>
      <c r="AO175" s="33" t="str">
        <f t="shared" si="37"/>
        <v>N/A - Facility Does Not Report to TRI</v>
      </c>
      <c r="AP175" s="33" t="str">
        <f>IF(COUNTIF('Processed Non-zero TRI Data'!$I:$I,$H175)&gt;0,_xlfn.MAXIFS('Processed Non-zero TRI Data'!$W:$W,'Processed Non-zero TRI Data'!$I:$I,$H175), "N/A - Facility Does Not Report to TRI")</f>
        <v>N/A - Facility Does Not Report to TRI</v>
      </c>
      <c r="AQ175" s="33" t="str">
        <f t="shared" si="38"/>
        <v>N/A - Facility Does Not Report to TRI</v>
      </c>
      <c r="AR175" s="110" t="str" cm="1">
        <f t="array" ref="AR175">IF(B175="TRI Form A",AD175,IF(AP175=0,"Facility has no transfers to non-POTWs between 2019-2023.",IF(COUNTIF('Processed Non-zero TRI Data'!$I:$I,$H175)&gt;0,INDEX('Processed Non-zero TRI Data'!$A:$A,MATCH(1,($H175='Processed Non-zero TRI Data'!$I:$I)*(AP175='Processed Non-zero TRI Data'!$W:$W),0)),"N/A - Facility Does Not Report to TRI")))</f>
        <v>N/A - Facility Does Not Report to TRI</v>
      </c>
    </row>
    <row r="176" spans="1:44" ht="29" x14ac:dyDescent="0.35">
      <c r="A176" s="34">
        <v>173</v>
      </c>
      <c r="B176" s="33" t="str">
        <f>IFERROR("TRI Form "&amp;VLOOKUP(H176,'Processed Non-zero TRI Data'!$I$2:$K$23,3,FALSE),"DMR")</f>
        <v>DMR</v>
      </c>
      <c r="C176" s="33" t="str">
        <f>VLOOKUP($D176, 'COU.OES Summary'!C:D, 2, FALSE)</f>
        <v> </v>
      </c>
      <c r="D176" s="33" t="str">
        <f>IFERROR(VLOOKUP($H176, 'Processed Non-zero TRI Data'!$I:$O, 7, FALSE), VLOOKUP($I176, 'Processed Non-zero DMR Data'!$K:$R, 8, FALSE))</f>
        <v>Waste handling, treatment, and disposal - POTW</v>
      </c>
      <c r="E176" s="34" t="s">
        <v>433</v>
      </c>
      <c r="F176" s="34" t="s">
        <v>434</v>
      </c>
      <c r="G176" s="34" t="s">
        <v>102</v>
      </c>
      <c r="H176" s="34"/>
      <c r="I176" s="105">
        <v>110011373637</v>
      </c>
      <c r="J176" s="33" t="str">
        <f>IFERROR(VLOOKUP($I176, 'Processed Non-zero DMR Data'!$K:$U, 11, FALSE),"")</f>
        <v>CA0079391</v>
      </c>
      <c r="K176" s="33" t="str">
        <f>IFERROR(VLOOKUP($I176, 'Processed Non-zero DMR Data'!$K:$V, 12, FALSE),"Not Reported")</f>
        <v>Middle Jackson Creek</v>
      </c>
      <c r="L176" s="106">
        <f>IFERROR(VLOOKUP($I176, 'Processed Non-zero DMR Data'!$K:$W, 13, FALSE),"No Reach Code Reported")</f>
        <v>180400120702</v>
      </c>
      <c r="M176" s="107" t="str">
        <f>IFERROR(IFERROR(VLOOKUP(H176, 'Off-site Locations'!$K$3:$O$5, 5, FALSE), VLOOKUP(H176, 'Off-site Locations'!$B$3:$E$4, 4, FALSE)), "No Offsite Transfers")</f>
        <v>No Offsite Transfers</v>
      </c>
      <c r="N176" s="33">
        <f>VLOOKUP($D176, 'COU.OES Summary'!C:E, 3, FALSE)</f>
        <v>365</v>
      </c>
      <c r="O176" s="108">
        <f t="shared" si="28"/>
        <v>0</v>
      </c>
      <c r="P176" s="108">
        <f t="shared" si="29"/>
        <v>0.15199045999999999</v>
      </c>
      <c r="Q176" s="109" cm="1">
        <f t="array" ref="Q176">IFERROR(_xlfn.XLOOKUP(1,  (MAX(IF(I176 = 'Processed Non-zero DMR Data'!$K:$K,'Processed Non-zero DMR Data'!$A:$A)) = 'Processed Non-zero DMR Data'!$A:$A)*('Processed Non-zero DMR Data'!$K:$K = I176),'Processed Non-zero DMR Data'!$T:$T), "N/A- Facility Does Not Report DMRs")</f>
        <v>0.15199045999999999</v>
      </c>
      <c r="R176" s="33">
        <f t="shared" si="39"/>
        <v>4.1641221917808216E-4</v>
      </c>
      <c r="S176" s="33" cm="1">
        <f t="array" ref="S176">IF(COUNTIF('Processed Non-zero DMR Data'!$K:$K,$I176)&gt;0,MEDIAN(IF('Processed Non-zero DMR Data'!$K:$K=I176,'Processed Non-zero DMR Data'!$T:$T)),"N/A - Facility Does Not Report DMRs")</f>
        <v>0.15199045999999999</v>
      </c>
      <c r="T176" s="33">
        <f t="shared" si="40"/>
        <v>4.1641221917808216E-4</v>
      </c>
      <c r="U176" s="33">
        <f>IF(COUNTIF('Processed Non-zero DMR Data'!$K:$K,$I176)&gt;0,_xlfn.MAXIFS('Processed Non-zero DMR Data'!$T:$T,'Processed Non-zero DMR Data'!$K:$K,$I176), "N/A - Facility Does Not Report DMRs")</f>
        <v>0.15199045999999999</v>
      </c>
      <c r="V176" s="33">
        <f t="shared" si="41"/>
        <v>4.1641221917808216E-4</v>
      </c>
      <c r="W176" s="110" cm="1">
        <f t="array" ref="W176">IF(COUNTIF('Processed Non-zero DMR Data'!$K:$K,$I176)&gt;0,INDEX('Processed Non-zero DMR Data'!$A:$A,MATCH(1,($I176='Processed Non-zero DMR Data'!$K:$K)*($U176='Processed Non-zero DMR Data'!$T:$T),0)), "N/A - Facility Does Not Report DMRs")</f>
        <v>2021</v>
      </c>
      <c r="X176" s="109" cm="1">
        <f t="array" ref="X176">IFERROR(_xlfn.XLOOKUP(1,  (MAX(IF(H176 = 'Processed Non-zero TRI Data'!$I:$I,'Processed Non-zero TRI Data'!$A:$A)) = 'Processed Non-zero TRI Data'!$A:$A)*('Processed Non-zero TRI Data'!$I:$I = H176), 'Processed Non-zero TRI Data'!$S:$S), "N/A- Facility Does Not Report to TRI")</f>
        <v>0</v>
      </c>
      <c r="Y176" s="33">
        <f t="shared" si="30"/>
        <v>0</v>
      </c>
      <c r="Z176" s="33" t="str" cm="1">
        <f t="array" ref="Z176">IF(COUNTIF('Processed Non-zero TRI Data'!$I:$I,$H176)&gt;0,MEDIAN(IF('Processed Non-zero TRI Data'!$I:$I=H176,'Processed Non-zero TRI Data'!$S:$S)), "N/A - Facility Does Not Report to TRI")</f>
        <v>N/A - Facility Does Not Report to TRI</v>
      </c>
      <c r="AA176" s="33" t="str">
        <f t="shared" si="31"/>
        <v>N/A - Facility Does Not Report to TRI</v>
      </c>
      <c r="AB176" s="33" t="str">
        <f>IF(COUNTIF('Processed Non-zero TRI Data'!$I:$I,$H176)&gt;0,_xlfn.MAXIFS('Processed Non-zero TRI Data'!$S:$S,'Processed Non-zero TRI Data'!$I:$I,$H176), "N/A - Facility Does Not Report to TRI")</f>
        <v>N/A - Facility Does Not Report to TRI</v>
      </c>
      <c r="AC176" s="33" t="str">
        <f t="shared" si="32"/>
        <v>N/A - Facility Does Not Report to TRI</v>
      </c>
      <c r="AD176" s="110" t="str" cm="1">
        <f t="array" ref="AD176">IFERROR(IF(B176 = "TRI Form R", IF(AB176 = 0, "Facility has no on-site water discharges between 2019-2023.",  IF(COUNTIF('Processed Non-zero TRI Data'!$I:$I,$H176)&gt;0,INDEX('Processed Non-zero TRI Data'!$A:$A,MATCH(1,($H176='Processed Non-zero TRI Data'!$I:$I)*(AB176='Processed Non-zero TRI Data'!$S:$S),0)))), VLOOKUP(H176, 'Form A Recent Reporting'!$L:$M, 2, FALSE)), ("N/A - Facility Does Not Report to TRI"))</f>
        <v>N/A - Facility Does Not Report to TRI</v>
      </c>
      <c r="AE176" s="109" cm="1">
        <f t="array" ref="AE176">IFERROR(_xlfn.XLOOKUP(1,  (MAX(IF(H176 = 'Processed Non-zero TRI Data'!$I:$I,'Processed Non-zero TRI Data'!$A:$A)) = 'Processed Non-zero TRI Data'!$A:$A)*('Processed Non-zero TRI Data'!$I:$I = H176), 'Processed Non-zero TRI Data'!$U:$U), "N/A- Facility Does Not Report to TRI")</f>
        <v>0</v>
      </c>
      <c r="AF176" s="33">
        <f t="shared" si="33"/>
        <v>0</v>
      </c>
      <c r="AG176" s="33" t="str" cm="1">
        <f t="array" ref="AG176">IF(COUNTIF('Processed Non-zero TRI Data'!$I:$I,$H176)&gt;0,MEDIAN(IF('Processed Non-zero TRI Data'!$I:$I=H176,'Processed Non-zero TRI Data'!$U:$U)), "N/A - Facility Does Not Report to TRI")</f>
        <v>N/A - Facility Does Not Report to TRI</v>
      </c>
      <c r="AH176" s="33" t="str">
        <f t="shared" si="34"/>
        <v>N/A - Facility Does Not Report to TRI</v>
      </c>
      <c r="AI176" s="33" t="str">
        <f>IF(COUNTIF('Processed Non-zero TRI Data'!$I:$I,$H176)&gt;0,_xlfn.MAXIFS('Processed Non-zero TRI Data'!$U:$U,'Processed Non-zero TRI Data'!$I:$I,$H176), "N/A - Facility Does Not Report to TRI")</f>
        <v>N/A - Facility Does Not Report to TRI</v>
      </c>
      <c r="AJ176" s="33" t="str">
        <f t="shared" si="35"/>
        <v>N/A - Facility Does Not Report to TRI</v>
      </c>
      <c r="AK176" s="110" t="str" cm="1">
        <f t="array" ref="AK176">IF(B176="TRI Form A",AD176,IF(AI176=0,"Facility has no transfers to POTWs between 2019-2023.",IF(COUNTIF('Processed Non-zero TRI Data'!$I:$I,$H176)&gt;0,INDEX('Processed Non-zero TRI Data'!$A:$A,MATCH(1,($H176='Processed Non-zero TRI Data'!$I:$I)*(AI176='Processed Non-zero TRI Data'!$U:$U),0)),"N/A - Facility Does Not Report to TRI")))</f>
        <v>N/A - Facility Does Not Report to TRI</v>
      </c>
      <c r="AL176" s="109" cm="1">
        <f t="array" ref="AL176">IFERROR(_xlfn.XLOOKUP(1,  (MAX(IF(H176 = 'Processed Non-zero TRI Data'!$I$2:$I$23,'Processed Non-zero TRI Data'!$A$2:$A$23)) = 'Processed Non-zero TRI Data'!$A$2:$A$23)*('Processed Non-zero TRI Data'!$I$2:$I$23 = H176), 'Processed Non-zero TRI Data'!$W$2:$W$23), "N/A- Facility Does Not Report to TRI")</f>
        <v>0</v>
      </c>
      <c r="AM176" s="33">
        <f t="shared" si="36"/>
        <v>0</v>
      </c>
      <c r="AN176" s="33" t="str" cm="1">
        <f t="array" ref="AN176">IF(COUNTIF('Processed Non-zero TRI Data'!$I:$I,$H176)&gt;0,MEDIAN(IF('Processed Non-zero TRI Data'!$I:$I=H176,'Processed Non-zero TRI Data'!$W:$W)), "N/A - Facility Does Not Report to TRI")</f>
        <v>N/A - Facility Does Not Report to TRI</v>
      </c>
      <c r="AO176" s="33" t="str">
        <f t="shared" si="37"/>
        <v>N/A - Facility Does Not Report to TRI</v>
      </c>
      <c r="AP176" s="33" t="str">
        <f>IF(COUNTIF('Processed Non-zero TRI Data'!$I:$I,$H176)&gt;0,_xlfn.MAXIFS('Processed Non-zero TRI Data'!$W:$W,'Processed Non-zero TRI Data'!$I:$I,$H176), "N/A - Facility Does Not Report to TRI")</f>
        <v>N/A - Facility Does Not Report to TRI</v>
      </c>
      <c r="AQ176" s="33" t="str">
        <f t="shared" si="38"/>
        <v>N/A - Facility Does Not Report to TRI</v>
      </c>
      <c r="AR176" s="110" t="str" cm="1">
        <f t="array" ref="AR176">IF(B176="TRI Form A",AD176,IF(AP176=0,"Facility has no transfers to non-POTWs between 2019-2023.",IF(COUNTIF('Processed Non-zero TRI Data'!$I:$I,$H176)&gt;0,INDEX('Processed Non-zero TRI Data'!$A:$A,MATCH(1,($H176='Processed Non-zero TRI Data'!$I:$I)*(AP176='Processed Non-zero TRI Data'!$W:$W),0)),"N/A - Facility Does Not Report to TRI")))</f>
        <v>N/A - Facility Does Not Report to TRI</v>
      </c>
    </row>
    <row r="177" spans="1:44" ht="29" x14ac:dyDescent="0.35">
      <c r="A177" s="34">
        <v>174</v>
      </c>
      <c r="B177" s="33" t="str">
        <f>IFERROR("TRI Form "&amp;VLOOKUP(H177,'Processed Non-zero TRI Data'!$I$2:$K$23,3,FALSE),"DMR")</f>
        <v>DMR</v>
      </c>
      <c r="C177" s="33" t="str">
        <f>VLOOKUP($D177, 'COU.OES Summary'!C:D, 2, FALSE)</f>
        <v> </v>
      </c>
      <c r="D177" s="33" t="str">
        <f>IFERROR(VLOOKUP($H177, 'Processed Non-zero TRI Data'!$I:$O, 7, FALSE), VLOOKUP($I177, 'Processed Non-zero DMR Data'!$K:$R, 8, FALSE))</f>
        <v>Waste handling, treatment, and disposal - Landfill</v>
      </c>
      <c r="E177" s="34" t="s">
        <v>435</v>
      </c>
      <c r="F177" s="34" t="s">
        <v>436</v>
      </c>
      <c r="G177" s="34" t="s">
        <v>340</v>
      </c>
      <c r="H177" s="34"/>
      <c r="I177" s="105">
        <v>110000817439</v>
      </c>
      <c r="J177" s="33" t="str">
        <f>IFERROR(VLOOKUP($I177, 'Processed Non-zero DMR Data'!$K:$U, 11, FALSE),"")</f>
        <v>PA0043818</v>
      </c>
      <c r="K177" s="33" t="str">
        <f>IFERROR(VLOOKUP($I177, 'Processed Non-zero DMR Data'!$K:$V, 12, FALSE),"Not Reported")</f>
        <v>Van Sciver Lake-Delaware River</v>
      </c>
      <c r="L177" s="106">
        <f>IFERROR(VLOOKUP($I177, 'Processed Non-zero DMR Data'!$K:$W, 13, FALSE),"No Reach Code Reported")</f>
        <v>20402010404</v>
      </c>
      <c r="M177" s="107" t="str">
        <f>IFERROR(IFERROR(VLOOKUP(H177, 'Off-site Locations'!$K$3:$O$5, 5, FALSE), VLOOKUP(H177, 'Off-site Locations'!$B$3:$E$4, 4, FALSE)), "No Offsite Transfers")</f>
        <v>No Offsite Transfers</v>
      </c>
      <c r="N177" s="33">
        <f>VLOOKUP($D177, 'COU.OES Summary'!C:E, 3, FALSE)</f>
        <v>365</v>
      </c>
      <c r="O177" s="108">
        <f t="shared" si="28"/>
        <v>0</v>
      </c>
      <c r="P177" s="108">
        <f t="shared" si="29"/>
        <v>0.14482600000000001</v>
      </c>
      <c r="Q177" s="109" cm="1">
        <f t="array" ref="Q177">IFERROR(_xlfn.XLOOKUP(1,  (MAX(IF(I177 = 'Processed Non-zero DMR Data'!$K:$K,'Processed Non-zero DMR Data'!$A:$A)) = 'Processed Non-zero DMR Data'!$A:$A)*('Processed Non-zero DMR Data'!$K:$K = I177),'Processed Non-zero DMR Data'!$T:$T), "N/A- Facility Does Not Report DMRs")</f>
        <v>5.7816899999999997E-2</v>
      </c>
      <c r="R177" s="33">
        <f t="shared" si="39"/>
        <v>1.5840246575342466E-4</v>
      </c>
      <c r="S177" s="33" cm="1">
        <f t="array" ref="S177">IF(COUNTIF('Processed Non-zero DMR Data'!$K:$K,$I177)&gt;0,MEDIAN(IF('Processed Non-zero DMR Data'!$K:$K=I177,'Processed Non-zero DMR Data'!$T:$T)),"N/A - Facility Does Not Report DMRs")</f>
        <v>6.2129900000000002E-2</v>
      </c>
      <c r="T177" s="33">
        <f t="shared" si="40"/>
        <v>1.7021890410958904E-4</v>
      </c>
      <c r="U177" s="33">
        <f>IF(COUNTIF('Processed Non-zero DMR Data'!$K:$K,$I177)&gt;0,_xlfn.MAXIFS('Processed Non-zero DMR Data'!$T:$T,'Processed Non-zero DMR Data'!$K:$K,$I177), "N/A - Facility Does Not Report DMRs")</f>
        <v>0.14482600000000001</v>
      </c>
      <c r="V177" s="33">
        <f t="shared" si="41"/>
        <v>3.9678356164383566E-4</v>
      </c>
      <c r="W177" s="110" cm="1">
        <f t="array" ref="W177">IF(COUNTIF('Processed Non-zero DMR Data'!$K:$K,$I177)&gt;0,INDEX('Processed Non-zero DMR Data'!$A:$A,MATCH(1,($I177='Processed Non-zero DMR Data'!$K:$K)*($U177='Processed Non-zero DMR Data'!$T:$T),0)), "N/A - Facility Does Not Report DMRs")</f>
        <v>2020</v>
      </c>
      <c r="X177" s="109" cm="1">
        <f t="array" ref="X177">IFERROR(_xlfn.XLOOKUP(1,  (MAX(IF(H177 = 'Processed Non-zero TRI Data'!$I:$I,'Processed Non-zero TRI Data'!$A:$A)) = 'Processed Non-zero TRI Data'!$A:$A)*('Processed Non-zero TRI Data'!$I:$I = H177), 'Processed Non-zero TRI Data'!$S:$S), "N/A- Facility Does Not Report to TRI")</f>
        <v>0</v>
      </c>
      <c r="Y177" s="33">
        <f t="shared" si="30"/>
        <v>0</v>
      </c>
      <c r="Z177" s="33" t="str" cm="1">
        <f t="array" ref="Z177">IF(COUNTIF('Processed Non-zero TRI Data'!$I:$I,$H177)&gt;0,MEDIAN(IF('Processed Non-zero TRI Data'!$I:$I=H177,'Processed Non-zero TRI Data'!$S:$S)), "N/A - Facility Does Not Report to TRI")</f>
        <v>N/A - Facility Does Not Report to TRI</v>
      </c>
      <c r="AA177" s="33" t="str">
        <f t="shared" si="31"/>
        <v>N/A - Facility Does Not Report to TRI</v>
      </c>
      <c r="AB177" s="33" t="str">
        <f>IF(COUNTIF('Processed Non-zero TRI Data'!$I:$I,$H177)&gt;0,_xlfn.MAXIFS('Processed Non-zero TRI Data'!$S:$S,'Processed Non-zero TRI Data'!$I:$I,$H177), "N/A - Facility Does Not Report to TRI")</f>
        <v>N/A - Facility Does Not Report to TRI</v>
      </c>
      <c r="AC177" s="33" t="str">
        <f t="shared" si="32"/>
        <v>N/A - Facility Does Not Report to TRI</v>
      </c>
      <c r="AD177" s="110" t="str" cm="1">
        <f t="array" ref="AD177">IFERROR(IF(B177 = "TRI Form R", IF(AB177 = 0, "Facility has no on-site water discharges between 2019-2023.",  IF(COUNTIF('Processed Non-zero TRI Data'!$I:$I,$H177)&gt;0,INDEX('Processed Non-zero TRI Data'!$A:$A,MATCH(1,($H177='Processed Non-zero TRI Data'!$I:$I)*(AB177='Processed Non-zero TRI Data'!$S:$S),0)))), VLOOKUP(H177, 'Form A Recent Reporting'!$L:$M, 2, FALSE)), ("N/A - Facility Does Not Report to TRI"))</f>
        <v>N/A - Facility Does Not Report to TRI</v>
      </c>
      <c r="AE177" s="109" cm="1">
        <f t="array" ref="AE177">IFERROR(_xlfn.XLOOKUP(1,  (MAX(IF(H177 = 'Processed Non-zero TRI Data'!$I:$I,'Processed Non-zero TRI Data'!$A:$A)) = 'Processed Non-zero TRI Data'!$A:$A)*('Processed Non-zero TRI Data'!$I:$I = H177), 'Processed Non-zero TRI Data'!$U:$U), "N/A- Facility Does Not Report to TRI")</f>
        <v>0</v>
      </c>
      <c r="AF177" s="33">
        <f t="shared" si="33"/>
        <v>0</v>
      </c>
      <c r="AG177" s="33" t="str" cm="1">
        <f t="array" ref="AG177">IF(COUNTIF('Processed Non-zero TRI Data'!$I:$I,$H177)&gt;0,MEDIAN(IF('Processed Non-zero TRI Data'!$I:$I=H177,'Processed Non-zero TRI Data'!$U:$U)), "N/A - Facility Does Not Report to TRI")</f>
        <v>N/A - Facility Does Not Report to TRI</v>
      </c>
      <c r="AH177" s="33" t="str">
        <f t="shared" si="34"/>
        <v>N/A - Facility Does Not Report to TRI</v>
      </c>
      <c r="AI177" s="33" t="str">
        <f>IF(COUNTIF('Processed Non-zero TRI Data'!$I:$I,$H177)&gt;0,_xlfn.MAXIFS('Processed Non-zero TRI Data'!$U:$U,'Processed Non-zero TRI Data'!$I:$I,$H177), "N/A - Facility Does Not Report to TRI")</f>
        <v>N/A - Facility Does Not Report to TRI</v>
      </c>
      <c r="AJ177" s="33" t="str">
        <f t="shared" si="35"/>
        <v>N/A - Facility Does Not Report to TRI</v>
      </c>
      <c r="AK177" s="110" t="str" cm="1">
        <f t="array" ref="AK177">IF(B177="TRI Form A",AD177,IF(AI177=0,"Facility has no transfers to POTWs between 2019-2023.",IF(COUNTIF('Processed Non-zero TRI Data'!$I:$I,$H177)&gt;0,INDEX('Processed Non-zero TRI Data'!$A:$A,MATCH(1,($H177='Processed Non-zero TRI Data'!$I:$I)*(AI177='Processed Non-zero TRI Data'!$U:$U),0)),"N/A - Facility Does Not Report to TRI")))</f>
        <v>N/A - Facility Does Not Report to TRI</v>
      </c>
      <c r="AL177" s="109" cm="1">
        <f t="array" ref="AL177">IFERROR(_xlfn.XLOOKUP(1,  (MAX(IF(H177 = 'Processed Non-zero TRI Data'!$I$2:$I$23,'Processed Non-zero TRI Data'!$A$2:$A$23)) = 'Processed Non-zero TRI Data'!$A$2:$A$23)*('Processed Non-zero TRI Data'!$I$2:$I$23 = H177), 'Processed Non-zero TRI Data'!$W$2:$W$23), "N/A- Facility Does Not Report to TRI")</f>
        <v>0</v>
      </c>
      <c r="AM177" s="33">
        <f t="shared" si="36"/>
        <v>0</v>
      </c>
      <c r="AN177" s="33" t="str" cm="1">
        <f t="array" ref="AN177">IF(COUNTIF('Processed Non-zero TRI Data'!$I:$I,$H177)&gt;0,MEDIAN(IF('Processed Non-zero TRI Data'!$I:$I=H177,'Processed Non-zero TRI Data'!$W:$W)), "N/A - Facility Does Not Report to TRI")</f>
        <v>N/A - Facility Does Not Report to TRI</v>
      </c>
      <c r="AO177" s="33" t="str">
        <f t="shared" si="37"/>
        <v>N/A - Facility Does Not Report to TRI</v>
      </c>
      <c r="AP177" s="33" t="str">
        <f>IF(COUNTIF('Processed Non-zero TRI Data'!$I:$I,$H177)&gt;0,_xlfn.MAXIFS('Processed Non-zero TRI Data'!$W:$W,'Processed Non-zero TRI Data'!$I:$I,$H177), "N/A - Facility Does Not Report to TRI")</f>
        <v>N/A - Facility Does Not Report to TRI</v>
      </c>
      <c r="AQ177" s="33" t="str">
        <f t="shared" si="38"/>
        <v>N/A - Facility Does Not Report to TRI</v>
      </c>
      <c r="AR177" s="110" t="str" cm="1">
        <f t="array" ref="AR177">IF(B177="TRI Form A",AD177,IF(AP177=0,"Facility has no transfers to non-POTWs between 2019-2023.",IF(COUNTIF('Processed Non-zero TRI Data'!$I:$I,$H177)&gt;0,INDEX('Processed Non-zero TRI Data'!$A:$A,MATCH(1,($H177='Processed Non-zero TRI Data'!$I:$I)*(AP177='Processed Non-zero TRI Data'!$W:$W),0)),"N/A - Facility Does Not Report to TRI")))</f>
        <v>N/A - Facility Does Not Report to TRI</v>
      </c>
    </row>
    <row r="178" spans="1:44" ht="29" x14ac:dyDescent="0.35">
      <c r="A178" s="34">
        <v>175</v>
      </c>
      <c r="B178" s="33" t="str">
        <f>IFERROR("TRI Form "&amp;VLOOKUP(H178,'Processed Non-zero TRI Data'!$I$2:$K$23,3,FALSE),"DMR")</f>
        <v>DMR</v>
      </c>
      <c r="C178" s="33" t="str">
        <f>VLOOKUP($D178, 'COU.OES Summary'!C:D, 2, FALSE)</f>
        <v> </v>
      </c>
      <c r="D178" s="33" t="str">
        <f>IFERROR(VLOOKUP($H178, 'Processed Non-zero TRI Data'!$I:$O, 7, FALSE), VLOOKUP($I178, 'Processed Non-zero DMR Data'!$K:$R, 8, FALSE))</f>
        <v>Waste handling, treatment, and disposal - Remediation or Monitoring</v>
      </c>
      <c r="E178" s="34" t="s">
        <v>437</v>
      </c>
      <c r="F178" s="34" t="s">
        <v>438</v>
      </c>
      <c r="G178" s="34" t="s">
        <v>181</v>
      </c>
      <c r="H178" s="34"/>
      <c r="I178" s="105">
        <v>110070389730</v>
      </c>
      <c r="J178" s="33" t="str">
        <f>IFERROR(VLOOKUP($I178, 'Processed Non-zero DMR Data'!$K:$U, 11, FALSE),"")</f>
        <v>MI0060251</v>
      </c>
      <c r="K178" s="33" t="str">
        <f>IFERROR(VLOOKUP($I178, 'Processed Non-zero DMR Data'!$K:$V, 12, FALSE),"Not Reported")</f>
        <v>Buskirk Creek-Rabbit River</v>
      </c>
      <c r="L178" s="106">
        <f>IFERROR(VLOOKUP($I178, 'Processed Non-zero DMR Data'!$K:$W, 13, FALSE),"No Reach Code Reported")</f>
        <v>40500030805</v>
      </c>
      <c r="M178" s="107" t="str">
        <f>IFERROR(IFERROR(VLOOKUP(H178, 'Off-site Locations'!$K$3:$O$5, 5, FALSE), VLOOKUP(H178, 'Off-site Locations'!$B$3:$E$4, 4, FALSE)), "No Offsite Transfers")</f>
        <v>No Offsite Transfers</v>
      </c>
      <c r="N178" s="33">
        <f>VLOOKUP($D178, 'COU.OES Summary'!C:E, 3, FALSE)</f>
        <v>365</v>
      </c>
      <c r="O178" s="108">
        <f t="shared" si="28"/>
        <v>0</v>
      </c>
      <c r="P178" s="108">
        <f t="shared" si="29"/>
        <v>0.1371992856</v>
      </c>
      <c r="Q178" s="109" cm="1">
        <f t="array" ref="Q178">IFERROR(_xlfn.XLOOKUP(1,  (MAX(IF(I178 = 'Processed Non-zero DMR Data'!$K:$K,'Processed Non-zero DMR Data'!$A:$A)) = 'Processed Non-zero DMR Data'!$A:$A)*('Processed Non-zero DMR Data'!$K:$K = I178),'Processed Non-zero DMR Data'!$T:$T), "N/A- Facility Does Not Report DMRs")</f>
        <v>0.1371992856</v>
      </c>
      <c r="R178" s="33">
        <f t="shared" si="39"/>
        <v>3.7588845369863016E-4</v>
      </c>
      <c r="S178" s="33" cm="1">
        <f t="array" ref="S178">IF(COUNTIF('Processed Non-zero DMR Data'!$K:$K,$I178)&gt;0,MEDIAN(IF('Processed Non-zero DMR Data'!$K:$K=I178,'Processed Non-zero DMR Data'!$T:$T)),"N/A - Facility Does Not Report DMRs")</f>
        <v>0.1371992856</v>
      </c>
      <c r="T178" s="33">
        <f t="shared" si="40"/>
        <v>3.7588845369863016E-4</v>
      </c>
      <c r="U178" s="33">
        <f>IF(COUNTIF('Processed Non-zero DMR Data'!$K:$K,$I178)&gt;0,_xlfn.MAXIFS('Processed Non-zero DMR Data'!$T:$T,'Processed Non-zero DMR Data'!$K:$K,$I178), "N/A - Facility Does Not Report DMRs")</f>
        <v>0.1371992856</v>
      </c>
      <c r="V178" s="33">
        <f t="shared" si="41"/>
        <v>3.7588845369863016E-4</v>
      </c>
      <c r="W178" s="110" cm="1">
        <f t="array" ref="W178">IF(COUNTIF('Processed Non-zero DMR Data'!$K:$K,$I178)&gt;0,INDEX('Processed Non-zero DMR Data'!$A:$A,MATCH(1,($I178='Processed Non-zero DMR Data'!$K:$K)*($U178='Processed Non-zero DMR Data'!$T:$T),0)), "N/A - Facility Does Not Report DMRs")</f>
        <v>2019</v>
      </c>
      <c r="X178" s="109" cm="1">
        <f t="array" ref="X178">IFERROR(_xlfn.XLOOKUP(1,  (MAX(IF(H178 = 'Processed Non-zero TRI Data'!$I:$I,'Processed Non-zero TRI Data'!$A:$A)) = 'Processed Non-zero TRI Data'!$A:$A)*('Processed Non-zero TRI Data'!$I:$I = H178), 'Processed Non-zero TRI Data'!$S:$S), "N/A- Facility Does Not Report to TRI")</f>
        <v>0</v>
      </c>
      <c r="Y178" s="33">
        <f t="shared" si="30"/>
        <v>0</v>
      </c>
      <c r="Z178" s="33" t="str" cm="1">
        <f t="array" ref="Z178">IF(COUNTIF('Processed Non-zero TRI Data'!$I:$I,$H178)&gt;0,MEDIAN(IF('Processed Non-zero TRI Data'!$I:$I=H178,'Processed Non-zero TRI Data'!$S:$S)), "N/A - Facility Does Not Report to TRI")</f>
        <v>N/A - Facility Does Not Report to TRI</v>
      </c>
      <c r="AA178" s="33" t="str">
        <f t="shared" si="31"/>
        <v>N/A - Facility Does Not Report to TRI</v>
      </c>
      <c r="AB178" s="33" t="str">
        <f>IF(COUNTIF('Processed Non-zero TRI Data'!$I:$I,$H178)&gt;0,_xlfn.MAXIFS('Processed Non-zero TRI Data'!$S:$S,'Processed Non-zero TRI Data'!$I:$I,$H178), "N/A - Facility Does Not Report to TRI")</f>
        <v>N/A - Facility Does Not Report to TRI</v>
      </c>
      <c r="AC178" s="33" t="str">
        <f t="shared" si="32"/>
        <v>N/A - Facility Does Not Report to TRI</v>
      </c>
      <c r="AD178" s="110" t="str" cm="1">
        <f t="array" ref="AD178">IFERROR(IF(B178 = "TRI Form R", IF(AB178 = 0, "Facility has no on-site water discharges between 2019-2023.",  IF(COUNTIF('Processed Non-zero TRI Data'!$I:$I,$H178)&gt;0,INDEX('Processed Non-zero TRI Data'!$A:$A,MATCH(1,($H178='Processed Non-zero TRI Data'!$I:$I)*(AB178='Processed Non-zero TRI Data'!$S:$S),0)))), VLOOKUP(H178, 'Form A Recent Reporting'!$L:$M, 2, FALSE)), ("N/A - Facility Does Not Report to TRI"))</f>
        <v>N/A - Facility Does Not Report to TRI</v>
      </c>
      <c r="AE178" s="109" cm="1">
        <f t="array" ref="AE178">IFERROR(_xlfn.XLOOKUP(1,  (MAX(IF(H178 = 'Processed Non-zero TRI Data'!$I:$I,'Processed Non-zero TRI Data'!$A:$A)) = 'Processed Non-zero TRI Data'!$A:$A)*('Processed Non-zero TRI Data'!$I:$I = H178), 'Processed Non-zero TRI Data'!$U:$U), "N/A- Facility Does Not Report to TRI")</f>
        <v>0</v>
      </c>
      <c r="AF178" s="33">
        <f t="shared" si="33"/>
        <v>0</v>
      </c>
      <c r="AG178" s="33" t="str" cm="1">
        <f t="array" ref="AG178">IF(COUNTIF('Processed Non-zero TRI Data'!$I:$I,$H178)&gt;0,MEDIAN(IF('Processed Non-zero TRI Data'!$I:$I=H178,'Processed Non-zero TRI Data'!$U:$U)), "N/A - Facility Does Not Report to TRI")</f>
        <v>N/A - Facility Does Not Report to TRI</v>
      </c>
      <c r="AH178" s="33" t="str">
        <f t="shared" si="34"/>
        <v>N/A - Facility Does Not Report to TRI</v>
      </c>
      <c r="AI178" s="33" t="str">
        <f>IF(COUNTIF('Processed Non-zero TRI Data'!$I:$I,$H178)&gt;0,_xlfn.MAXIFS('Processed Non-zero TRI Data'!$U:$U,'Processed Non-zero TRI Data'!$I:$I,$H178), "N/A - Facility Does Not Report to TRI")</f>
        <v>N/A - Facility Does Not Report to TRI</v>
      </c>
      <c r="AJ178" s="33" t="str">
        <f t="shared" si="35"/>
        <v>N/A - Facility Does Not Report to TRI</v>
      </c>
      <c r="AK178" s="110" t="str" cm="1">
        <f t="array" ref="AK178">IF(B178="TRI Form A",AD178,IF(AI178=0,"Facility has no transfers to POTWs between 2019-2023.",IF(COUNTIF('Processed Non-zero TRI Data'!$I:$I,$H178)&gt;0,INDEX('Processed Non-zero TRI Data'!$A:$A,MATCH(1,($H178='Processed Non-zero TRI Data'!$I:$I)*(AI178='Processed Non-zero TRI Data'!$U:$U),0)),"N/A - Facility Does Not Report to TRI")))</f>
        <v>N/A - Facility Does Not Report to TRI</v>
      </c>
      <c r="AL178" s="109" cm="1">
        <f t="array" ref="AL178">IFERROR(_xlfn.XLOOKUP(1,  (MAX(IF(H178 = 'Processed Non-zero TRI Data'!$I$2:$I$23,'Processed Non-zero TRI Data'!$A$2:$A$23)) = 'Processed Non-zero TRI Data'!$A$2:$A$23)*('Processed Non-zero TRI Data'!$I$2:$I$23 = H178), 'Processed Non-zero TRI Data'!$W$2:$W$23), "N/A- Facility Does Not Report to TRI")</f>
        <v>0</v>
      </c>
      <c r="AM178" s="33">
        <f t="shared" si="36"/>
        <v>0</v>
      </c>
      <c r="AN178" s="33" t="str" cm="1">
        <f t="array" ref="AN178">IF(COUNTIF('Processed Non-zero TRI Data'!$I:$I,$H178)&gt;0,MEDIAN(IF('Processed Non-zero TRI Data'!$I:$I=H178,'Processed Non-zero TRI Data'!$W:$W)), "N/A - Facility Does Not Report to TRI")</f>
        <v>N/A - Facility Does Not Report to TRI</v>
      </c>
      <c r="AO178" s="33" t="str">
        <f t="shared" si="37"/>
        <v>N/A - Facility Does Not Report to TRI</v>
      </c>
      <c r="AP178" s="33" t="str">
        <f>IF(COUNTIF('Processed Non-zero TRI Data'!$I:$I,$H178)&gt;0,_xlfn.MAXIFS('Processed Non-zero TRI Data'!$W:$W,'Processed Non-zero TRI Data'!$I:$I,$H178), "N/A - Facility Does Not Report to TRI")</f>
        <v>N/A - Facility Does Not Report to TRI</v>
      </c>
      <c r="AQ178" s="33" t="str">
        <f t="shared" si="38"/>
        <v>N/A - Facility Does Not Report to TRI</v>
      </c>
      <c r="AR178" s="110" t="str" cm="1">
        <f t="array" ref="AR178">IF(B178="TRI Form A",AD178,IF(AP178=0,"Facility has no transfers to non-POTWs between 2019-2023.",IF(COUNTIF('Processed Non-zero TRI Data'!$I:$I,$H178)&gt;0,INDEX('Processed Non-zero TRI Data'!$A:$A,MATCH(1,($H178='Processed Non-zero TRI Data'!$I:$I)*(AP178='Processed Non-zero TRI Data'!$W:$W),0)),"N/A - Facility Does Not Report to TRI")))</f>
        <v>N/A - Facility Does Not Report to TRI</v>
      </c>
    </row>
    <row r="179" spans="1:44" ht="29" x14ac:dyDescent="0.35">
      <c r="A179" s="34">
        <v>176</v>
      </c>
      <c r="B179" s="33" t="str">
        <f>IFERROR("TRI Form "&amp;VLOOKUP(H179,'Processed Non-zero TRI Data'!$I$2:$K$23,3,FALSE),"DMR")</f>
        <v>DMR</v>
      </c>
      <c r="C179" s="33" t="str">
        <f>VLOOKUP($D179, 'COU.OES Summary'!C:D, 2, FALSE)</f>
        <v> </v>
      </c>
      <c r="D179" s="33" t="str">
        <f>IFERROR(VLOOKUP($H179, 'Processed Non-zero TRI Data'!$I:$O, 7, FALSE), VLOOKUP($I179, 'Processed Non-zero DMR Data'!$K:$R, 8, FALSE))</f>
        <v>Waste handling, treatment, and disposal - Remediation or Monitoring</v>
      </c>
      <c r="E179" s="34" t="s">
        <v>439</v>
      </c>
      <c r="F179" s="34" t="s">
        <v>440</v>
      </c>
      <c r="G179" s="34" t="s">
        <v>102</v>
      </c>
      <c r="H179" s="34"/>
      <c r="I179" s="105">
        <v>110071349304</v>
      </c>
      <c r="J179" s="33" t="str">
        <f>IFERROR(VLOOKUP($I179, 'Processed Non-zero DMR Data'!$K:$U, 11, FALSE),"")</f>
        <v>CA0004961</v>
      </c>
      <c r="K179" s="33" t="str">
        <f>IFERROR(VLOOKUP($I179, 'Processed Non-zero DMR Data'!$K:$V, 12, FALSE),"Not Reported")</f>
        <v>Mount Diablo Creek-Frontal Suisun Bay Estuaries</v>
      </c>
      <c r="L179" s="106">
        <f>IFERROR(VLOOKUP($I179, 'Processed Non-zero DMR Data'!$K:$W, 13, FALSE),"No Reach Code Reported")</f>
        <v>180500010302</v>
      </c>
      <c r="M179" s="107" t="str">
        <f>IFERROR(IFERROR(VLOOKUP(H179, 'Off-site Locations'!$K$3:$O$5, 5, FALSE), VLOOKUP(H179, 'Off-site Locations'!$B$3:$E$4, 4, FALSE)), "No Offsite Transfers")</f>
        <v>No Offsite Transfers</v>
      </c>
      <c r="N179" s="33">
        <f>VLOOKUP($D179, 'COU.OES Summary'!C:E, 3, FALSE)</f>
        <v>365</v>
      </c>
      <c r="O179" s="108">
        <f t="shared" si="28"/>
        <v>0</v>
      </c>
      <c r="P179" s="108">
        <f t="shared" si="29"/>
        <v>0.13559686800000001</v>
      </c>
      <c r="Q179" s="109" cm="1">
        <f t="array" ref="Q179">IFERROR(_xlfn.XLOOKUP(1,  (MAX(IF(I179 = 'Processed Non-zero DMR Data'!$K:$K,'Processed Non-zero DMR Data'!$A:$A)) = 'Processed Non-zero DMR Data'!$A:$A)*('Processed Non-zero DMR Data'!$K:$K = I179),'Processed Non-zero DMR Data'!$T:$T), "N/A- Facility Does Not Report DMRs")</f>
        <v>0.122434152</v>
      </c>
      <c r="R179" s="33">
        <f t="shared" si="39"/>
        <v>3.3543603287671236E-4</v>
      </c>
      <c r="S179" s="33" cm="1">
        <f t="array" ref="S179">IF(COUNTIF('Processed Non-zero DMR Data'!$K:$K,$I179)&gt;0,MEDIAN(IF('Processed Non-zero DMR Data'!$K:$K=I179,'Processed Non-zero DMR Data'!$T:$T)),"N/A - Facility Does Not Report DMRs")</f>
        <v>0.12901551</v>
      </c>
      <c r="T179" s="33">
        <f t="shared" si="40"/>
        <v>3.5346715068493149E-4</v>
      </c>
      <c r="U179" s="33">
        <f>IF(COUNTIF('Processed Non-zero DMR Data'!$K:$K,$I179)&gt;0,_xlfn.MAXIFS('Processed Non-zero DMR Data'!$T:$T,'Processed Non-zero DMR Data'!$K:$K,$I179), "N/A - Facility Does Not Report DMRs")</f>
        <v>0.13559686800000001</v>
      </c>
      <c r="V179" s="33">
        <f t="shared" si="41"/>
        <v>3.7149826849315073E-4</v>
      </c>
      <c r="W179" s="110" cm="1">
        <f t="array" ref="W179">IF(COUNTIF('Processed Non-zero DMR Data'!$K:$K,$I179)&gt;0,INDEX('Processed Non-zero DMR Data'!$A:$A,MATCH(1,($I179='Processed Non-zero DMR Data'!$K:$K)*($U179='Processed Non-zero DMR Data'!$T:$T),0)), "N/A - Facility Does Not Report DMRs")</f>
        <v>2022</v>
      </c>
      <c r="X179" s="109" cm="1">
        <f t="array" ref="X179">IFERROR(_xlfn.XLOOKUP(1,  (MAX(IF(H179 = 'Processed Non-zero TRI Data'!$I:$I,'Processed Non-zero TRI Data'!$A:$A)) = 'Processed Non-zero TRI Data'!$A:$A)*('Processed Non-zero TRI Data'!$I:$I = H179), 'Processed Non-zero TRI Data'!$S:$S), "N/A- Facility Does Not Report to TRI")</f>
        <v>0</v>
      </c>
      <c r="Y179" s="33">
        <f t="shared" si="30"/>
        <v>0</v>
      </c>
      <c r="Z179" s="33" t="str" cm="1">
        <f t="array" ref="Z179">IF(COUNTIF('Processed Non-zero TRI Data'!$I:$I,$H179)&gt;0,MEDIAN(IF('Processed Non-zero TRI Data'!$I:$I=H179,'Processed Non-zero TRI Data'!$S:$S)), "N/A - Facility Does Not Report to TRI")</f>
        <v>N/A - Facility Does Not Report to TRI</v>
      </c>
      <c r="AA179" s="33" t="str">
        <f t="shared" si="31"/>
        <v>N/A - Facility Does Not Report to TRI</v>
      </c>
      <c r="AB179" s="33" t="str">
        <f>IF(COUNTIF('Processed Non-zero TRI Data'!$I:$I,$H179)&gt;0,_xlfn.MAXIFS('Processed Non-zero TRI Data'!$S:$S,'Processed Non-zero TRI Data'!$I:$I,$H179), "N/A - Facility Does Not Report to TRI")</f>
        <v>N/A - Facility Does Not Report to TRI</v>
      </c>
      <c r="AC179" s="33" t="str">
        <f t="shared" si="32"/>
        <v>N/A - Facility Does Not Report to TRI</v>
      </c>
      <c r="AD179" s="110" t="str" cm="1">
        <f t="array" ref="AD179">IFERROR(IF(B179 = "TRI Form R", IF(AB179 = 0, "Facility has no on-site water discharges between 2019-2023.",  IF(COUNTIF('Processed Non-zero TRI Data'!$I:$I,$H179)&gt;0,INDEX('Processed Non-zero TRI Data'!$A:$A,MATCH(1,($H179='Processed Non-zero TRI Data'!$I:$I)*(AB179='Processed Non-zero TRI Data'!$S:$S),0)))), VLOOKUP(H179, 'Form A Recent Reporting'!$L:$M, 2, FALSE)), ("N/A - Facility Does Not Report to TRI"))</f>
        <v>N/A - Facility Does Not Report to TRI</v>
      </c>
      <c r="AE179" s="109" cm="1">
        <f t="array" ref="AE179">IFERROR(_xlfn.XLOOKUP(1,  (MAX(IF(H179 = 'Processed Non-zero TRI Data'!$I:$I,'Processed Non-zero TRI Data'!$A:$A)) = 'Processed Non-zero TRI Data'!$A:$A)*('Processed Non-zero TRI Data'!$I:$I = H179), 'Processed Non-zero TRI Data'!$U:$U), "N/A- Facility Does Not Report to TRI")</f>
        <v>0</v>
      </c>
      <c r="AF179" s="33">
        <f t="shared" si="33"/>
        <v>0</v>
      </c>
      <c r="AG179" s="33" t="str" cm="1">
        <f t="array" ref="AG179">IF(COUNTIF('Processed Non-zero TRI Data'!$I:$I,$H179)&gt;0,MEDIAN(IF('Processed Non-zero TRI Data'!$I:$I=H179,'Processed Non-zero TRI Data'!$U:$U)), "N/A - Facility Does Not Report to TRI")</f>
        <v>N/A - Facility Does Not Report to TRI</v>
      </c>
      <c r="AH179" s="33" t="str">
        <f t="shared" si="34"/>
        <v>N/A - Facility Does Not Report to TRI</v>
      </c>
      <c r="AI179" s="33" t="str">
        <f>IF(COUNTIF('Processed Non-zero TRI Data'!$I:$I,$H179)&gt;0,_xlfn.MAXIFS('Processed Non-zero TRI Data'!$U:$U,'Processed Non-zero TRI Data'!$I:$I,$H179), "N/A - Facility Does Not Report to TRI")</f>
        <v>N/A - Facility Does Not Report to TRI</v>
      </c>
      <c r="AJ179" s="33" t="str">
        <f t="shared" si="35"/>
        <v>N/A - Facility Does Not Report to TRI</v>
      </c>
      <c r="AK179" s="110" t="str" cm="1">
        <f t="array" ref="AK179">IF(B179="TRI Form A",AD179,IF(AI179=0,"Facility has no transfers to POTWs between 2019-2023.",IF(COUNTIF('Processed Non-zero TRI Data'!$I:$I,$H179)&gt;0,INDEX('Processed Non-zero TRI Data'!$A:$A,MATCH(1,($H179='Processed Non-zero TRI Data'!$I:$I)*(AI179='Processed Non-zero TRI Data'!$U:$U),0)),"N/A - Facility Does Not Report to TRI")))</f>
        <v>N/A - Facility Does Not Report to TRI</v>
      </c>
      <c r="AL179" s="109" cm="1">
        <f t="array" ref="AL179">IFERROR(_xlfn.XLOOKUP(1,  (MAX(IF(H179 = 'Processed Non-zero TRI Data'!$I$2:$I$23,'Processed Non-zero TRI Data'!$A$2:$A$23)) = 'Processed Non-zero TRI Data'!$A$2:$A$23)*('Processed Non-zero TRI Data'!$I$2:$I$23 = H179), 'Processed Non-zero TRI Data'!$W$2:$W$23), "N/A- Facility Does Not Report to TRI")</f>
        <v>0</v>
      </c>
      <c r="AM179" s="33">
        <f t="shared" si="36"/>
        <v>0</v>
      </c>
      <c r="AN179" s="33" t="str" cm="1">
        <f t="array" ref="AN179">IF(COUNTIF('Processed Non-zero TRI Data'!$I:$I,$H179)&gt;0,MEDIAN(IF('Processed Non-zero TRI Data'!$I:$I=H179,'Processed Non-zero TRI Data'!$W:$W)), "N/A - Facility Does Not Report to TRI")</f>
        <v>N/A - Facility Does Not Report to TRI</v>
      </c>
      <c r="AO179" s="33" t="str">
        <f t="shared" si="37"/>
        <v>N/A - Facility Does Not Report to TRI</v>
      </c>
      <c r="AP179" s="33" t="str">
        <f>IF(COUNTIF('Processed Non-zero TRI Data'!$I:$I,$H179)&gt;0,_xlfn.MAXIFS('Processed Non-zero TRI Data'!$W:$W,'Processed Non-zero TRI Data'!$I:$I,$H179), "N/A - Facility Does Not Report to TRI")</f>
        <v>N/A - Facility Does Not Report to TRI</v>
      </c>
      <c r="AQ179" s="33" t="str">
        <f t="shared" si="38"/>
        <v>N/A - Facility Does Not Report to TRI</v>
      </c>
      <c r="AR179" s="110" t="str" cm="1">
        <f t="array" ref="AR179">IF(B179="TRI Form A",AD179,IF(AP179=0,"Facility has no transfers to non-POTWs between 2019-2023.",IF(COUNTIF('Processed Non-zero TRI Data'!$I:$I,$H179)&gt;0,INDEX('Processed Non-zero TRI Data'!$A:$A,MATCH(1,($H179='Processed Non-zero TRI Data'!$I:$I)*(AP179='Processed Non-zero TRI Data'!$W:$W),0)),"N/A - Facility Does Not Report to TRI")))</f>
        <v>N/A - Facility Does Not Report to TRI</v>
      </c>
    </row>
    <row r="180" spans="1:44" ht="29" x14ac:dyDescent="0.35">
      <c r="A180" s="34">
        <v>177</v>
      </c>
      <c r="B180" s="33" t="str">
        <f>IFERROR("TRI Form "&amp;VLOOKUP(H180,'Processed Non-zero TRI Data'!$I$2:$K$23,3,FALSE),"DMR")</f>
        <v>DMR</v>
      </c>
      <c r="C180" s="33" t="str">
        <f>VLOOKUP($D180, 'COU.OES Summary'!C:D, 2, FALSE)</f>
        <v> </v>
      </c>
      <c r="D180" s="33" t="str">
        <f>IFERROR(VLOOKUP($H180, 'Processed Non-zero TRI Data'!$I:$O, 7, FALSE), VLOOKUP($I180, 'Processed Non-zero DMR Data'!$K:$R, 8, FALSE))</f>
        <v>Waste handling, treatment, and disposal - Remediation or Monitoring</v>
      </c>
      <c r="E180" s="34" t="s">
        <v>441</v>
      </c>
      <c r="F180" s="34" t="s">
        <v>357</v>
      </c>
      <c r="G180" s="34" t="s">
        <v>181</v>
      </c>
      <c r="H180" s="34"/>
      <c r="I180" s="105">
        <v>110001301074</v>
      </c>
      <c r="J180" s="33" t="str">
        <f>IFERROR(VLOOKUP($I180, 'Processed Non-zero DMR Data'!$K:$U, 11, FALSE),"")</f>
        <v>MI0047104</v>
      </c>
      <c r="K180" s="33" t="str">
        <f>IFERROR(VLOOKUP($I180, 'Processed Non-zero DMR Data'!$K:$V, 12, FALSE),"Not Reported")</f>
        <v>Pleasant Lake-Clam River</v>
      </c>
      <c r="L180" s="106">
        <f>IFERROR(VLOOKUP($I180, 'Processed Non-zero DMR Data'!$K:$W, 13, FALSE),"No Reach Code Reported")</f>
        <v>40601020303</v>
      </c>
      <c r="M180" s="107" t="str">
        <f>IFERROR(IFERROR(VLOOKUP(H180, 'Off-site Locations'!$K$3:$O$5, 5, FALSE), VLOOKUP(H180, 'Off-site Locations'!$B$3:$E$4, 4, FALSE)), "No Offsite Transfers")</f>
        <v>No Offsite Transfers</v>
      </c>
      <c r="N180" s="33">
        <f>VLOOKUP($D180, 'COU.OES Summary'!C:E, 3, FALSE)</f>
        <v>365</v>
      </c>
      <c r="O180" s="108">
        <f t="shared" si="28"/>
        <v>0</v>
      </c>
      <c r="P180" s="108">
        <f t="shared" si="29"/>
        <v>0.1338281375</v>
      </c>
      <c r="Q180" s="109" cm="1">
        <f t="array" ref="Q180">IFERROR(_xlfn.XLOOKUP(1,  (MAX(IF(I180 = 'Processed Non-zero DMR Data'!$K:$K,'Processed Non-zero DMR Data'!$A:$A)) = 'Processed Non-zero DMR Data'!$A:$A)*('Processed Non-zero DMR Data'!$K:$K = I180),'Processed Non-zero DMR Data'!$T:$T), "N/A- Facility Does Not Report DMRs")</f>
        <v>0.1338281375</v>
      </c>
      <c r="R180" s="33">
        <f t="shared" si="39"/>
        <v>3.6665243150684932E-4</v>
      </c>
      <c r="S180" s="33" cm="1">
        <f t="array" ref="S180">IF(COUNTIF('Processed Non-zero DMR Data'!$K:$K,$I180)&gt;0,MEDIAN(IF('Processed Non-zero DMR Data'!$K:$K=I180,'Processed Non-zero DMR Data'!$T:$T)),"N/A - Facility Does Not Report DMRs")</f>
        <v>5.4623743636363603E-2</v>
      </c>
      <c r="T180" s="33">
        <f t="shared" si="40"/>
        <v>1.4965409215442083E-4</v>
      </c>
      <c r="U180" s="33">
        <f>IF(COUNTIF('Processed Non-zero DMR Data'!$K:$K,$I180)&gt;0,_xlfn.MAXIFS('Processed Non-zero DMR Data'!$T:$T,'Processed Non-zero DMR Data'!$K:$K,$I180), "N/A - Facility Does Not Report DMRs")</f>
        <v>0.1338281375</v>
      </c>
      <c r="V180" s="33">
        <f t="shared" si="41"/>
        <v>3.6665243150684932E-4</v>
      </c>
      <c r="W180" s="110" cm="1">
        <f t="array" ref="W180">IF(COUNTIF('Processed Non-zero DMR Data'!$K:$K,$I180)&gt;0,INDEX('Processed Non-zero DMR Data'!$A:$A,MATCH(1,($I180='Processed Non-zero DMR Data'!$K:$K)*($U180='Processed Non-zero DMR Data'!$T:$T),0)), "N/A - Facility Does Not Report DMRs")</f>
        <v>2023</v>
      </c>
      <c r="X180" s="109" cm="1">
        <f t="array" ref="X180">IFERROR(_xlfn.XLOOKUP(1,  (MAX(IF(H180 = 'Processed Non-zero TRI Data'!$I:$I,'Processed Non-zero TRI Data'!$A:$A)) = 'Processed Non-zero TRI Data'!$A:$A)*('Processed Non-zero TRI Data'!$I:$I = H180), 'Processed Non-zero TRI Data'!$S:$S), "N/A- Facility Does Not Report to TRI")</f>
        <v>0</v>
      </c>
      <c r="Y180" s="33">
        <f t="shared" si="30"/>
        <v>0</v>
      </c>
      <c r="Z180" s="33" t="str" cm="1">
        <f t="array" ref="Z180">IF(COUNTIF('Processed Non-zero TRI Data'!$I:$I,$H180)&gt;0,MEDIAN(IF('Processed Non-zero TRI Data'!$I:$I=H180,'Processed Non-zero TRI Data'!$S:$S)), "N/A - Facility Does Not Report to TRI")</f>
        <v>N/A - Facility Does Not Report to TRI</v>
      </c>
      <c r="AA180" s="33" t="str">
        <f t="shared" si="31"/>
        <v>N/A - Facility Does Not Report to TRI</v>
      </c>
      <c r="AB180" s="33" t="str">
        <f>IF(COUNTIF('Processed Non-zero TRI Data'!$I:$I,$H180)&gt;0,_xlfn.MAXIFS('Processed Non-zero TRI Data'!$S:$S,'Processed Non-zero TRI Data'!$I:$I,$H180), "N/A - Facility Does Not Report to TRI")</f>
        <v>N/A - Facility Does Not Report to TRI</v>
      </c>
      <c r="AC180" s="33" t="str">
        <f t="shared" si="32"/>
        <v>N/A - Facility Does Not Report to TRI</v>
      </c>
      <c r="AD180" s="110" t="str" cm="1">
        <f t="array" ref="AD180">IFERROR(IF(B180 = "TRI Form R", IF(AB180 = 0, "Facility has no on-site water discharges between 2019-2023.",  IF(COUNTIF('Processed Non-zero TRI Data'!$I:$I,$H180)&gt;0,INDEX('Processed Non-zero TRI Data'!$A:$A,MATCH(1,($H180='Processed Non-zero TRI Data'!$I:$I)*(AB180='Processed Non-zero TRI Data'!$S:$S),0)))), VLOOKUP(H180, 'Form A Recent Reporting'!$L:$M, 2, FALSE)), ("N/A - Facility Does Not Report to TRI"))</f>
        <v>N/A - Facility Does Not Report to TRI</v>
      </c>
      <c r="AE180" s="109" cm="1">
        <f t="array" ref="AE180">IFERROR(_xlfn.XLOOKUP(1,  (MAX(IF(H180 = 'Processed Non-zero TRI Data'!$I:$I,'Processed Non-zero TRI Data'!$A:$A)) = 'Processed Non-zero TRI Data'!$A:$A)*('Processed Non-zero TRI Data'!$I:$I = H180), 'Processed Non-zero TRI Data'!$U:$U), "N/A- Facility Does Not Report to TRI")</f>
        <v>0</v>
      </c>
      <c r="AF180" s="33">
        <f t="shared" si="33"/>
        <v>0</v>
      </c>
      <c r="AG180" s="33" t="str" cm="1">
        <f t="array" ref="AG180">IF(COUNTIF('Processed Non-zero TRI Data'!$I:$I,$H180)&gt;0,MEDIAN(IF('Processed Non-zero TRI Data'!$I:$I=H180,'Processed Non-zero TRI Data'!$U:$U)), "N/A - Facility Does Not Report to TRI")</f>
        <v>N/A - Facility Does Not Report to TRI</v>
      </c>
      <c r="AH180" s="33" t="str">
        <f t="shared" si="34"/>
        <v>N/A - Facility Does Not Report to TRI</v>
      </c>
      <c r="AI180" s="33" t="str">
        <f>IF(COUNTIF('Processed Non-zero TRI Data'!$I:$I,$H180)&gt;0,_xlfn.MAXIFS('Processed Non-zero TRI Data'!$U:$U,'Processed Non-zero TRI Data'!$I:$I,$H180), "N/A - Facility Does Not Report to TRI")</f>
        <v>N/A - Facility Does Not Report to TRI</v>
      </c>
      <c r="AJ180" s="33" t="str">
        <f t="shared" si="35"/>
        <v>N/A - Facility Does Not Report to TRI</v>
      </c>
      <c r="AK180" s="110" t="str" cm="1">
        <f t="array" ref="AK180">IF(B180="TRI Form A",AD180,IF(AI180=0,"Facility has no transfers to POTWs between 2019-2023.",IF(COUNTIF('Processed Non-zero TRI Data'!$I:$I,$H180)&gt;0,INDEX('Processed Non-zero TRI Data'!$A:$A,MATCH(1,($H180='Processed Non-zero TRI Data'!$I:$I)*(AI180='Processed Non-zero TRI Data'!$U:$U),0)),"N/A - Facility Does Not Report to TRI")))</f>
        <v>N/A - Facility Does Not Report to TRI</v>
      </c>
      <c r="AL180" s="109" cm="1">
        <f t="array" ref="AL180">IFERROR(_xlfn.XLOOKUP(1,  (MAX(IF(H180 = 'Processed Non-zero TRI Data'!$I$2:$I$23,'Processed Non-zero TRI Data'!$A$2:$A$23)) = 'Processed Non-zero TRI Data'!$A$2:$A$23)*('Processed Non-zero TRI Data'!$I$2:$I$23 = H180), 'Processed Non-zero TRI Data'!$W$2:$W$23), "N/A- Facility Does Not Report to TRI")</f>
        <v>0</v>
      </c>
      <c r="AM180" s="33">
        <f t="shared" si="36"/>
        <v>0</v>
      </c>
      <c r="AN180" s="33" t="str" cm="1">
        <f t="array" ref="AN180">IF(COUNTIF('Processed Non-zero TRI Data'!$I:$I,$H180)&gt;0,MEDIAN(IF('Processed Non-zero TRI Data'!$I:$I=H180,'Processed Non-zero TRI Data'!$W:$W)), "N/A - Facility Does Not Report to TRI")</f>
        <v>N/A - Facility Does Not Report to TRI</v>
      </c>
      <c r="AO180" s="33" t="str">
        <f t="shared" si="37"/>
        <v>N/A - Facility Does Not Report to TRI</v>
      </c>
      <c r="AP180" s="33" t="str">
        <f>IF(COUNTIF('Processed Non-zero TRI Data'!$I:$I,$H180)&gt;0,_xlfn.MAXIFS('Processed Non-zero TRI Data'!$W:$W,'Processed Non-zero TRI Data'!$I:$I,$H180), "N/A - Facility Does Not Report to TRI")</f>
        <v>N/A - Facility Does Not Report to TRI</v>
      </c>
      <c r="AQ180" s="33" t="str">
        <f t="shared" si="38"/>
        <v>N/A - Facility Does Not Report to TRI</v>
      </c>
      <c r="AR180" s="110" t="str" cm="1">
        <f t="array" ref="AR180">IF(B180="TRI Form A",AD180,IF(AP180=0,"Facility has no transfers to non-POTWs between 2019-2023.",IF(COUNTIF('Processed Non-zero TRI Data'!$I:$I,$H180)&gt;0,INDEX('Processed Non-zero TRI Data'!$A:$A,MATCH(1,($H180='Processed Non-zero TRI Data'!$I:$I)*(AP180='Processed Non-zero TRI Data'!$W:$W),0)),"N/A - Facility Does Not Report to TRI")))</f>
        <v>N/A - Facility Does Not Report to TRI</v>
      </c>
    </row>
    <row r="181" spans="1:44" ht="29" x14ac:dyDescent="0.35">
      <c r="A181" s="34">
        <v>178</v>
      </c>
      <c r="B181" s="33" t="str">
        <f>IFERROR("TRI Form "&amp;VLOOKUP(H181,'Processed Non-zero TRI Data'!$I$2:$K$23,3,FALSE),"DMR")</f>
        <v>DMR</v>
      </c>
      <c r="C181" s="33" t="str">
        <f>VLOOKUP($D181, 'COU.OES Summary'!C:D, 2, FALSE)</f>
        <v> </v>
      </c>
      <c r="D181" s="33" t="str">
        <f>IFERROR(VLOOKUP($H181, 'Processed Non-zero TRI Data'!$I:$O, 7, FALSE), VLOOKUP($I181, 'Processed Non-zero DMR Data'!$K:$R, 8, FALSE))</f>
        <v>Waste handling, treatment, and disposal - POTW</v>
      </c>
      <c r="E181" s="34" t="s">
        <v>442</v>
      </c>
      <c r="F181" s="34" t="s">
        <v>443</v>
      </c>
      <c r="G181" s="34" t="s">
        <v>102</v>
      </c>
      <c r="H181" s="34"/>
      <c r="I181" s="105">
        <v>110070619860</v>
      </c>
      <c r="J181" s="33" t="str">
        <f>IFERROR(VLOOKUP($I181, 'Processed Non-zero DMR Data'!$K:$U, 11, FALSE),"")</f>
        <v>CAC433255</v>
      </c>
      <c r="K181" s="33" t="str">
        <f>IFERROR(VLOOKUP($I181, 'Processed Non-zero DMR Data'!$K:$V, 12, FALSE),"Not Reported")</f>
        <v>Upper Deer Creek</v>
      </c>
      <c r="L181" s="106">
        <f>IFERROR(VLOOKUP($I181, 'Processed Non-zero DMR Data'!$K:$W, 13, FALSE),"No Reach Code Reported")</f>
        <v>180400130502</v>
      </c>
      <c r="M181" s="107" t="str">
        <f>IFERROR(IFERROR(VLOOKUP(H181, 'Off-site Locations'!$K$3:$O$5, 5, FALSE), VLOOKUP(H181, 'Off-site Locations'!$B$3:$E$4, 4, FALSE)), "No Offsite Transfers")</f>
        <v>No Offsite Transfers</v>
      </c>
      <c r="N181" s="33">
        <f>VLOOKUP($D181, 'COU.OES Summary'!C:E, 3, FALSE)</f>
        <v>365</v>
      </c>
      <c r="O181" s="108">
        <f t="shared" si="28"/>
        <v>0</v>
      </c>
      <c r="P181" s="108">
        <f t="shared" si="29"/>
        <v>0.12769038150000001</v>
      </c>
      <c r="Q181" s="109" cm="1">
        <f t="array" ref="Q181">IFERROR(_xlfn.XLOOKUP(1,  (MAX(IF(I181 = 'Processed Non-zero DMR Data'!$K:$K,'Processed Non-zero DMR Data'!$A:$A)) = 'Processed Non-zero DMR Data'!$A:$A)*('Processed Non-zero DMR Data'!$K:$K = I181),'Processed Non-zero DMR Data'!$T:$T), "N/A- Facility Does Not Report DMRs")</f>
        <v>0.12769038150000001</v>
      </c>
      <c r="R181" s="33">
        <f t="shared" si="39"/>
        <v>3.4983666164383566E-4</v>
      </c>
      <c r="S181" s="33" cm="1">
        <f t="array" ref="S181">IF(COUNTIF('Processed Non-zero DMR Data'!$K:$K,$I181)&gt;0,MEDIAN(IF('Processed Non-zero DMR Data'!$K:$K=I181,'Processed Non-zero DMR Data'!$T:$T)),"N/A - Facility Does Not Report DMRs")</f>
        <v>9.0179328249999996E-2</v>
      </c>
      <c r="T181" s="33">
        <f t="shared" si="40"/>
        <v>2.4706665273972604E-4</v>
      </c>
      <c r="U181" s="33">
        <f>IF(COUNTIF('Processed Non-zero DMR Data'!$K:$K,$I181)&gt;0,_xlfn.MAXIFS('Processed Non-zero DMR Data'!$T:$T,'Processed Non-zero DMR Data'!$K:$K,$I181), "N/A - Facility Does Not Report DMRs")</f>
        <v>0.12769038150000001</v>
      </c>
      <c r="V181" s="33">
        <f t="shared" si="41"/>
        <v>3.4983666164383566E-4</v>
      </c>
      <c r="W181" s="110" cm="1">
        <f t="array" ref="W181">IF(COUNTIF('Processed Non-zero DMR Data'!$K:$K,$I181)&gt;0,INDEX('Processed Non-zero DMR Data'!$A:$A,MATCH(1,($I181='Processed Non-zero DMR Data'!$K:$K)*($U181='Processed Non-zero DMR Data'!$T:$T),0)), "N/A - Facility Does Not Report DMRs")</f>
        <v>2021</v>
      </c>
      <c r="X181" s="109" cm="1">
        <f t="array" ref="X181">IFERROR(_xlfn.XLOOKUP(1,  (MAX(IF(H181 = 'Processed Non-zero TRI Data'!$I:$I,'Processed Non-zero TRI Data'!$A:$A)) = 'Processed Non-zero TRI Data'!$A:$A)*('Processed Non-zero TRI Data'!$I:$I = H181), 'Processed Non-zero TRI Data'!$S:$S), "N/A- Facility Does Not Report to TRI")</f>
        <v>0</v>
      </c>
      <c r="Y181" s="33">
        <f t="shared" si="30"/>
        <v>0</v>
      </c>
      <c r="Z181" s="33" t="str" cm="1">
        <f t="array" ref="Z181">IF(COUNTIF('Processed Non-zero TRI Data'!$I:$I,$H181)&gt;0,MEDIAN(IF('Processed Non-zero TRI Data'!$I:$I=H181,'Processed Non-zero TRI Data'!$S:$S)), "N/A - Facility Does Not Report to TRI")</f>
        <v>N/A - Facility Does Not Report to TRI</v>
      </c>
      <c r="AA181" s="33" t="str">
        <f t="shared" si="31"/>
        <v>N/A - Facility Does Not Report to TRI</v>
      </c>
      <c r="AB181" s="33" t="str">
        <f>IF(COUNTIF('Processed Non-zero TRI Data'!$I:$I,$H181)&gt;0,_xlfn.MAXIFS('Processed Non-zero TRI Data'!$S:$S,'Processed Non-zero TRI Data'!$I:$I,$H181), "N/A - Facility Does Not Report to TRI")</f>
        <v>N/A - Facility Does Not Report to TRI</v>
      </c>
      <c r="AC181" s="33" t="str">
        <f t="shared" si="32"/>
        <v>N/A - Facility Does Not Report to TRI</v>
      </c>
      <c r="AD181" s="110" t="str" cm="1">
        <f t="array" ref="AD181">IFERROR(IF(B181 = "TRI Form R", IF(AB181 = 0, "Facility has no on-site water discharges between 2019-2023.",  IF(COUNTIF('Processed Non-zero TRI Data'!$I:$I,$H181)&gt;0,INDEX('Processed Non-zero TRI Data'!$A:$A,MATCH(1,($H181='Processed Non-zero TRI Data'!$I:$I)*(AB181='Processed Non-zero TRI Data'!$S:$S),0)))), VLOOKUP(H181, 'Form A Recent Reporting'!$L:$M, 2, FALSE)), ("N/A - Facility Does Not Report to TRI"))</f>
        <v>N/A - Facility Does Not Report to TRI</v>
      </c>
      <c r="AE181" s="109" cm="1">
        <f t="array" ref="AE181">IFERROR(_xlfn.XLOOKUP(1,  (MAX(IF(H181 = 'Processed Non-zero TRI Data'!$I:$I,'Processed Non-zero TRI Data'!$A:$A)) = 'Processed Non-zero TRI Data'!$A:$A)*('Processed Non-zero TRI Data'!$I:$I = H181), 'Processed Non-zero TRI Data'!$U:$U), "N/A- Facility Does Not Report to TRI")</f>
        <v>0</v>
      </c>
      <c r="AF181" s="33">
        <f t="shared" si="33"/>
        <v>0</v>
      </c>
      <c r="AG181" s="33" t="str" cm="1">
        <f t="array" ref="AG181">IF(COUNTIF('Processed Non-zero TRI Data'!$I:$I,$H181)&gt;0,MEDIAN(IF('Processed Non-zero TRI Data'!$I:$I=H181,'Processed Non-zero TRI Data'!$U:$U)), "N/A - Facility Does Not Report to TRI")</f>
        <v>N/A - Facility Does Not Report to TRI</v>
      </c>
      <c r="AH181" s="33" t="str">
        <f t="shared" si="34"/>
        <v>N/A - Facility Does Not Report to TRI</v>
      </c>
      <c r="AI181" s="33" t="str">
        <f>IF(COUNTIF('Processed Non-zero TRI Data'!$I:$I,$H181)&gt;0,_xlfn.MAXIFS('Processed Non-zero TRI Data'!$U:$U,'Processed Non-zero TRI Data'!$I:$I,$H181), "N/A - Facility Does Not Report to TRI")</f>
        <v>N/A - Facility Does Not Report to TRI</v>
      </c>
      <c r="AJ181" s="33" t="str">
        <f t="shared" si="35"/>
        <v>N/A - Facility Does Not Report to TRI</v>
      </c>
      <c r="AK181" s="110" t="str" cm="1">
        <f t="array" ref="AK181">IF(B181="TRI Form A",AD181,IF(AI181=0,"Facility has no transfers to POTWs between 2019-2023.",IF(COUNTIF('Processed Non-zero TRI Data'!$I:$I,$H181)&gt;0,INDEX('Processed Non-zero TRI Data'!$A:$A,MATCH(1,($H181='Processed Non-zero TRI Data'!$I:$I)*(AI181='Processed Non-zero TRI Data'!$U:$U),0)),"N/A - Facility Does Not Report to TRI")))</f>
        <v>N/A - Facility Does Not Report to TRI</v>
      </c>
      <c r="AL181" s="109" cm="1">
        <f t="array" ref="AL181">IFERROR(_xlfn.XLOOKUP(1,  (MAX(IF(H181 = 'Processed Non-zero TRI Data'!$I$2:$I$23,'Processed Non-zero TRI Data'!$A$2:$A$23)) = 'Processed Non-zero TRI Data'!$A$2:$A$23)*('Processed Non-zero TRI Data'!$I$2:$I$23 = H181), 'Processed Non-zero TRI Data'!$W$2:$W$23), "N/A- Facility Does Not Report to TRI")</f>
        <v>0</v>
      </c>
      <c r="AM181" s="33">
        <f t="shared" si="36"/>
        <v>0</v>
      </c>
      <c r="AN181" s="33" t="str" cm="1">
        <f t="array" ref="AN181">IF(COUNTIF('Processed Non-zero TRI Data'!$I:$I,$H181)&gt;0,MEDIAN(IF('Processed Non-zero TRI Data'!$I:$I=H181,'Processed Non-zero TRI Data'!$W:$W)), "N/A - Facility Does Not Report to TRI")</f>
        <v>N/A - Facility Does Not Report to TRI</v>
      </c>
      <c r="AO181" s="33" t="str">
        <f t="shared" si="37"/>
        <v>N/A - Facility Does Not Report to TRI</v>
      </c>
      <c r="AP181" s="33" t="str">
        <f>IF(COUNTIF('Processed Non-zero TRI Data'!$I:$I,$H181)&gt;0,_xlfn.MAXIFS('Processed Non-zero TRI Data'!$W:$W,'Processed Non-zero TRI Data'!$I:$I,$H181), "N/A - Facility Does Not Report to TRI")</f>
        <v>N/A - Facility Does Not Report to TRI</v>
      </c>
      <c r="AQ181" s="33" t="str">
        <f t="shared" si="38"/>
        <v>N/A - Facility Does Not Report to TRI</v>
      </c>
      <c r="AR181" s="110" t="str" cm="1">
        <f t="array" ref="AR181">IF(B181="TRI Form A",AD181,IF(AP181=0,"Facility has no transfers to non-POTWs between 2019-2023.",IF(COUNTIF('Processed Non-zero TRI Data'!$I:$I,$H181)&gt;0,INDEX('Processed Non-zero TRI Data'!$A:$A,MATCH(1,($H181='Processed Non-zero TRI Data'!$I:$I)*(AP181='Processed Non-zero TRI Data'!$W:$W),0)),"N/A - Facility Does Not Report to TRI")))</f>
        <v>N/A - Facility Does Not Report to TRI</v>
      </c>
    </row>
    <row r="182" spans="1:44" ht="29" x14ac:dyDescent="0.35">
      <c r="A182" s="34">
        <v>179</v>
      </c>
      <c r="B182" s="33" t="str">
        <f>IFERROR("TRI Form "&amp;VLOOKUP(H182,'Processed Non-zero TRI Data'!$I$2:$K$23,3,FALSE),"DMR")</f>
        <v>DMR</v>
      </c>
      <c r="C182" s="33" t="str">
        <f>VLOOKUP($D182, 'COU.OES Summary'!C:D, 2, FALSE)</f>
        <v> </v>
      </c>
      <c r="D182" s="33" t="str">
        <f>IFERROR(VLOOKUP($H182, 'Processed Non-zero TRI Data'!$I:$O, 7, FALSE), VLOOKUP($I182, 'Processed Non-zero DMR Data'!$K:$R, 8, FALSE))</f>
        <v>Waste handling, treatment, and disposal - Remediation or Monitoring</v>
      </c>
      <c r="E182" s="34" t="s">
        <v>444</v>
      </c>
      <c r="F182" s="34" t="s">
        <v>337</v>
      </c>
      <c r="G182" s="34" t="s">
        <v>221</v>
      </c>
      <c r="H182" s="34"/>
      <c r="I182" s="105">
        <v>110041253256</v>
      </c>
      <c r="J182" s="33" t="str">
        <f>IFERROR(VLOOKUP($I182, 'Processed Non-zero DMR Data'!$K:$U, 11, FALSE),"")</f>
        <v>NV0023621</v>
      </c>
      <c r="K182" s="33" t="str">
        <f>IFERROR(VLOOKUP($I182, 'Processed Non-zero DMR Data'!$K:$V, 12, FALSE),"Not Reported")</f>
        <v>City of Las Vegas-Las Vegas Wash</v>
      </c>
      <c r="L182" s="106">
        <f>IFERROR(VLOOKUP($I182, 'Processed Non-zero DMR Data'!$K:$W, 13, FALSE),"No Reach Code Reported")</f>
        <v>150100150604</v>
      </c>
      <c r="M182" s="107" t="str">
        <f>IFERROR(IFERROR(VLOOKUP(H182, 'Off-site Locations'!$K$3:$O$5, 5, FALSE), VLOOKUP(H182, 'Off-site Locations'!$B$3:$E$4, 4, FALSE)), "No Offsite Transfers")</f>
        <v>No Offsite Transfers</v>
      </c>
      <c r="N182" s="33">
        <f>VLOOKUP($D182, 'COU.OES Summary'!C:E, 3, FALSE)</f>
        <v>365</v>
      </c>
      <c r="O182" s="108">
        <f t="shared" si="28"/>
        <v>0</v>
      </c>
      <c r="P182" s="108">
        <f t="shared" si="29"/>
        <v>0.1271003</v>
      </c>
      <c r="Q182" s="109" cm="1">
        <f t="array" ref="Q182">IFERROR(_xlfn.XLOOKUP(1,  (MAX(IF(I182 = 'Processed Non-zero DMR Data'!$K:$K,'Processed Non-zero DMR Data'!$A:$A)) = 'Processed Non-zero DMR Data'!$A:$A)*('Processed Non-zero DMR Data'!$K:$K = I182),'Processed Non-zero DMR Data'!$T:$T), "N/A- Facility Does Not Report DMRs")</f>
        <v>0.1271003</v>
      </c>
      <c r="R182" s="33">
        <f t="shared" si="39"/>
        <v>3.4822E-4</v>
      </c>
      <c r="S182" s="33" cm="1">
        <f t="array" ref="S182">IF(COUNTIF('Processed Non-zero DMR Data'!$K:$K,$I182)&gt;0,MEDIAN(IF('Processed Non-zero DMR Data'!$K:$K=I182,'Processed Non-zero DMR Data'!$T:$T)),"N/A - Facility Does Not Report DMRs")</f>
        <v>0.10361437499999999</v>
      </c>
      <c r="T182" s="33">
        <f t="shared" si="40"/>
        <v>2.83875E-4</v>
      </c>
      <c r="U182" s="33">
        <f>IF(COUNTIF('Processed Non-zero DMR Data'!$K:$K,$I182)&gt;0,_xlfn.MAXIFS('Processed Non-zero DMR Data'!$T:$T,'Processed Non-zero DMR Data'!$K:$K,$I182), "N/A - Facility Does Not Report DMRs")</f>
        <v>0.1271003</v>
      </c>
      <c r="V182" s="33">
        <f t="shared" si="41"/>
        <v>3.4822E-4</v>
      </c>
      <c r="W182" s="110" cm="1">
        <f t="array" ref="W182">IF(COUNTIF('Processed Non-zero DMR Data'!$K:$K,$I182)&gt;0,INDEX('Processed Non-zero DMR Data'!$A:$A,MATCH(1,($I182='Processed Non-zero DMR Data'!$K:$K)*($U182='Processed Non-zero DMR Data'!$T:$T),0)), "N/A - Facility Does Not Report DMRs")</f>
        <v>2023</v>
      </c>
      <c r="X182" s="109" cm="1">
        <f t="array" ref="X182">IFERROR(_xlfn.XLOOKUP(1,  (MAX(IF(H182 = 'Processed Non-zero TRI Data'!$I:$I,'Processed Non-zero TRI Data'!$A:$A)) = 'Processed Non-zero TRI Data'!$A:$A)*('Processed Non-zero TRI Data'!$I:$I = H182), 'Processed Non-zero TRI Data'!$S:$S), "N/A- Facility Does Not Report to TRI")</f>
        <v>0</v>
      </c>
      <c r="Y182" s="33">
        <f t="shared" si="30"/>
        <v>0</v>
      </c>
      <c r="Z182" s="33" t="str" cm="1">
        <f t="array" ref="Z182">IF(COUNTIF('Processed Non-zero TRI Data'!$I:$I,$H182)&gt;0,MEDIAN(IF('Processed Non-zero TRI Data'!$I:$I=H182,'Processed Non-zero TRI Data'!$S:$S)), "N/A - Facility Does Not Report to TRI")</f>
        <v>N/A - Facility Does Not Report to TRI</v>
      </c>
      <c r="AA182" s="33" t="str">
        <f t="shared" si="31"/>
        <v>N/A - Facility Does Not Report to TRI</v>
      </c>
      <c r="AB182" s="33" t="str">
        <f>IF(COUNTIF('Processed Non-zero TRI Data'!$I:$I,$H182)&gt;0,_xlfn.MAXIFS('Processed Non-zero TRI Data'!$S:$S,'Processed Non-zero TRI Data'!$I:$I,$H182), "N/A - Facility Does Not Report to TRI")</f>
        <v>N/A - Facility Does Not Report to TRI</v>
      </c>
      <c r="AC182" s="33" t="str">
        <f t="shared" si="32"/>
        <v>N/A - Facility Does Not Report to TRI</v>
      </c>
      <c r="AD182" s="110" t="str" cm="1">
        <f t="array" ref="AD182">IFERROR(IF(B182 = "TRI Form R", IF(AB182 = 0, "Facility has no on-site water discharges between 2019-2023.",  IF(COUNTIF('Processed Non-zero TRI Data'!$I:$I,$H182)&gt;0,INDEX('Processed Non-zero TRI Data'!$A:$A,MATCH(1,($H182='Processed Non-zero TRI Data'!$I:$I)*(AB182='Processed Non-zero TRI Data'!$S:$S),0)))), VLOOKUP(H182, 'Form A Recent Reporting'!$L:$M, 2, FALSE)), ("N/A - Facility Does Not Report to TRI"))</f>
        <v>N/A - Facility Does Not Report to TRI</v>
      </c>
      <c r="AE182" s="109" cm="1">
        <f t="array" ref="AE182">IFERROR(_xlfn.XLOOKUP(1,  (MAX(IF(H182 = 'Processed Non-zero TRI Data'!$I:$I,'Processed Non-zero TRI Data'!$A:$A)) = 'Processed Non-zero TRI Data'!$A:$A)*('Processed Non-zero TRI Data'!$I:$I = H182), 'Processed Non-zero TRI Data'!$U:$U), "N/A- Facility Does Not Report to TRI")</f>
        <v>0</v>
      </c>
      <c r="AF182" s="33">
        <f t="shared" si="33"/>
        <v>0</v>
      </c>
      <c r="AG182" s="33" t="str" cm="1">
        <f t="array" ref="AG182">IF(COUNTIF('Processed Non-zero TRI Data'!$I:$I,$H182)&gt;0,MEDIAN(IF('Processed Non-zero TRI Data'!$I:$I=H182,'Processed Non-zero TRI Data'!$U:$U)), "N/A - Facility Does Not Report to TRI")</f>
        <v>N/A - Facility Does Not Report to TRI</v>
      </c>
      <c r="AH182" s="33" t="str">
        <f t="shared" si="34"/>
        <v>N/A - Facility Does Not Report to TRI</v>
      </c>
      <c r="AI182" s="33" t="str">
        <f>IF(COUNTIF('Processed Non-zero TRI Data'!$I:$I,$H182)&gt;0,_xlfn.MAXIFS('Processed Non-zero TRI Data'!$U:$U,'Processed Non-zero TRI Data'!$I:$I,$H182), "N/A - Facility Does Not Report to TRI")</f>
        <v>N/A - Facility Does Not Report to TRI</v>
      </c>
      <c r="AJ182" s="33" t="str">
        <f t="shared" si="35"/>
        <v>N/A - Facility Does Not Report to TRI</v>
      </c>
      <c r="AK182" s="110" t="str" cm="1">
        <f t="array" ref="AK182">IF(B182="TRI Form A",AD182,IF(AI182=0,"Facility has no transfers to POTWs between 2019-2023.",IF(COUNTIF('Processed Non-zero TRI Data'!$I:$I,$H182)&gt;0,INDEX('Processed Non-zero TRI Data'!$A:$A,MATCH(1,($H182='Processed Non-zero TRI Data'!$I:$I)*(AI182='Processed Non-zero TRI Data'!$U:$U),0)),"N/A - Facility Does Not Report to TRI")))</f>
        <v>N/A - Facility Does Not Report to TRI</v>
      </c>
      <c r="AL182" s="109" cm="1">
        <f t="array" ref="AL182">IFERROR(_xlfn.XLOOKUP(1,  (MAX(IF(H182 = 'Processed Non-zero TRI Data'!$I$2:$I$23,'Processed Non-zero TRI Data'!$A$2:$A$23)) = 'Processed Non-zero TRI Data'!$A$2:$A$23)*('Processed Non-zero TRI Data'!$I$2:$I$23 = H182), 'Processed Non-zero TRI Data'!$W$2:$W$23), "N/A- Facility Does Not Report to TRI")</f>
        <v>0</v>
      </c>
      <c r="AM182" s="33">
        <f t="shared" si="36"/>
        <v>0</v>
      </c>
      <c r="AN182" s="33" t="str" cm="1">
        <f t="array" ref="AN182">IF(COUNTIF('Processed Non-zero TRI Data'!$I:$I,$H182)&gt;0,MEDIAN(IF('Processed Non-zero TRI Data'!$I:$I=H182,'Processed Non-zero TRI Data'!$W:$W)), "N/A - Facility Does Not Report to TRI")</f>
        <v>N/A - Facility Does Not Report to TRI</v>
      </c>
      <c r="AO182" s="33" t="str">
        <f t="shared" si="37"/>
        <v>N/A - Facility Does Not Report to TRI</v>
      </c>
      <c r="AP182" s="33" t="str">
        <f>IF(COUNTIF('Processed Non-zero TRI Data'!$I:$I,$H182)&gt;0,_xlfn.MAXIFS('Processed Non-zero TRI Data'!$W:$W,'Processed Non-zero TRI Data'!$I:$I,$H182), "N/A - Facility Does Not Report to TRI")</f>
        <v>N/A - Facility Does Not Report to TRI</v>
      </c>
      <c r="AQ182" s="33" t="str">
        <f t="shared" si="38"/>
        <v>N/A - Facility Does Not Report to TRI</v>
      </c>
      <c r="AR182" s="110" t="str" cm="1">
        <f t="array" ref="AR182">IF(B182="TRI Form A",AD182,IF(AP182=0,"Facility has no transfers to non-POTWs between 2019-2023.",IF(COUNTIF('Processed Non-zero TRI Data'!$I:$I,$H182)&gt;0,INDEX('Processed Non-zero TRI Data'!$A:$A,MATCH(1,($H182='Processed Non-zero TRI Data'!$I:$I)*(AP182='Processed Non-zero TRI Data'!$W:$W),0)),"N/A - Facility Does Not Report to TRI")))</f>
        <v>N/A - Facility Does Not Report to TRI</v>
      </c>
    </row>
    <row r="183" spans="1:44" ht="29" x14ac:dyDescent="0.35">
      <c r="A183" s="34">
        <v>180</v>
      </c>
      <c r="B183" s="33" t="str">
        <f>IFERROR("TRI Form "&amp;VLOOKUP(H183,'Processed Non-zero TRI Data'!$I$2:$K$23,3,FALSE),"DMR")</f>
        <v>DMR</v>
      </c>
      <c r="C183" s="33" t="str">
        <f>VLOOKUP($D183, 'COU.OES Summary'!C:D, 2, FALSE)</f>
        <v> </v>
      </c>
      <c r="D183" s="33" t="str">
        <f>IFERROR(VLOOKUP($H183, 'Processed Non-zero TRI Data'!$I:$O, 7, FALSE), VLOOKUP($I183, 'Processed Non-zero DMR Data'!$K:$R, 8, FALSE))</f>
        <v>Waste handling, treatment, and disposal - Remediation or Monitoring</v>
      </c>
      <c r="E183" s="34" t="s">
        <v>445</v>
      </c>
      <c r="F183" s="34" t="s">
        <v>446</v>
      </c>
      <c r="G183" s="34" t="s">
        <v>126</v>
      </c>
      <c r="H183" s="34"/>
      <c r="I183" s="105">
        <v>110008011490</v>
      </c>
      <c r="J183" s="33" t="str">
        <f>IFERROR(VLOOKUP($I183, 'Processed Non-zero DMR Data'!$K:$U, 11, FALSE),"")</f>
        <v>NY0090191</v>
      </c>
      <c r="K183" s="33" t="str">
        <f>IFERROR(VLOOKUP($I183, 'Processed Non-zero DMR Data'!$K:$V, 12, FALSE),"Not Reported")</f>
        <v>Buffalo Creek</v>
      </c>
      <c r="L183" s="106">
        <f>IFERROR(VLOOKUP($I183, 'Processed Non-zero DMR Data'!$K:$W, 13, FALSE),"No Reach Code Reported")</f>
        <v>41201030206</v>
      </c>
      <c r="M183" s="107" t="str">
        <f>IFERROR(IFERROR(VLOOKUP(H183, 'Off-site Locations'!$K$3:$O$5, 5, FALSE), VLOOKUP(H183, 'Off-site Locations'!$B$3:$E$4, 4, FALSE)), "No Offsite Transfers")</f>
        <v>No Offsite Transfers</v>
      </c>
      <c r="N183" s="33">
        <f>VLOOKUP($D183, 'COU.OES Summary'!C:E, 3, FALSE)</f>
        <v>365</v>
      </c>
      <c r="O183" s="108">
        <f t="shared" si="28"/>
        <v>0</v>
      </c>
      <c r="P183" s="108">
        <f t="shared" si="29"/>
        <v>0.15570028990000001</v>
      </c>
      <c r="Q183" s="109" cm="1">
        <f t="array" ref="Q183">IFERROR(_xlfn.XLOOKUP(1,  (MAX(IF(I183 = 'Processed Non-zero DMR Data'!$K:$K,'Processed Non-zero DMR Data'!$A:$A)) = 'Processed Non-zero DMR Data'!$A:$A)*('Processed Non-zero DMR Data'!$K:$K = I183),'Processed Non-zero DMR Data'!$T:$T), "N/A- Facility Does Not Report DMRs")</f>
        <v>9.6938467700000003E-2</v>
      </c>
      <c r="R183" s="33">
        <f t="shared" si="39"/>
        <v>2.6558484301369864E-4</v>
      </c>
      <c r="S183" s="33" cm="1">
        <f t="array" ref="S183">IF(COUNTIF('Processed Non-zero DMR Data'!$K:$K,$I183)&gt;0,MEDIAN(IF('Processed Non-zero DMR Data'!$K:$K=I183,'Processed Non-zero DMR Data'!$T:$T)),"N/A - Facility Does Not Report DMRs")</f>
        <v>7.7245188399999998E-2</v>
      </c>
      <c r="T183" s="33">
        <f t="shared" si="40"/>
        <v>2.1163065315068494E-4</v>
      </c>
      <c r="U183" s="33">
        <f>IF(COUNTIF('Processed Non-zero DMR Data'!$K:$K,$I183)&gt;0,_xlfn.MAXIFS('Processed Non-zero DMR Data'!$T:$T,'Processed Non-zero DMR Data'!$K:$K,$I183), "N/A - Facility Does Not Report DMRs")</f>
        <v>0.15570028990000001</v>
      </c>
      <c r="V183" s="33">
        <f t="shared" si="41"/>
        <v>4.2657613671232881E-4</v>
      </c>
      <c r="W183" s="110" cm="1">
        <f t="array" ref="W183">IF(COUNTIF('Processed Non-zero DMR Data'!$K:$K,$I183)&gt;0,INDEX('Processed Non-zero DMR Data'!$A:$A,MATCH(1,($I183='Processed Non-zero DMR Data'!$K:$K)*($U183='Processed Non-zero DMR Data'!$T:$T),0)), "N/A - Facility Does Not Report DMRs")</f>
        <v>2019</v>
      </c>
      <c r="X183" s="109" cm="1">
        <f t="array" ref="X183">IFERROR(_xlfn.XLOOKUP(1,  (MAX(IF(H183 = 'Processed Non-zero TRI Data'!$I:$I,'Processed Non-zero TRI Data'!$A:$A)) = 'Processed Non-zero TRI Data'!$A:$A)*('Processed Non-zero TRI Data'!$I:$I = H183), 'Processed Non-zero TRI Data'!$S:$S), "N/A- Facility Does Not Report to TRI")</f>
        <v>0</v>
      </c>
      <c r="Y183" s="33">
        <f t="shared" si="30"/>
        <v>0</v>
      </c>
      <c r="Z183" s="33" t="str" cm="1">
        <f t="array" ref="Z183">IF(COUNTIF('Processed Non-zero TRI Data'!$I:$I,$H183)&gt;0,MEDIAN(IF('Processed Non-zero TRI Data'!$I:$I=H183,'Processed Non-zero TRI Data'!$S:$S)), "N/A - Facility Does Not Report to TRI")</f>
        <v>N/A - Facility Does Not Report to TRI</v>
      </c>
      <c r="AA183" s="33" t="str">
        <f t="shared" si="31"/>
        <v>N/A - Facility Does Not Report to TRI</v>
      </c>
      <c r="AB183" s="33" t="str">
        <f>IF(COUNTIF('Processed Non-zero TRI Data'!$I:$I,$H183)&gt;0,_xlfn.MAXIFS('Processed Non-zero TRI Data'!$S:$S,'Processed Non-zero TRI Data'!$I:$I,$H183), "N/A - Facility Does Not Report to TRI")</f>
        <v>N/A - Facility Does Not Report to TRI</v>
      </c>
      <c r="AC183" s="33" t="str">
        <f t="shared" si="32"/>
        <v>N/A - Facility Does Not Report to TRI</v>
      </c>
      <c r="AD183" s="110" t="str" cm="1">
        <f t="array" ref="AD183">IFERROR(IF(B183 = "TRI Form R", IF(AB183 = 0, "Facility has no on-site water discharges between 2019-2023.",  IF(COUNTIF('Processed Non-zero TRI Data'!$I:$I,$H183)&gt;0,INDEX('Processed Non-zero TRI Data'!$A:$A,MATCH(1,($H183='Processed Non-zero TRI Data'!$I:$I)*(AB183='Processed Non-zero TRI Data'!$S:$S),0)))), VLOOKUP(H183, 'Form A Recent Reporting'!$L:$M, 2, FALSE)), ("N/A - Facility Does Not Report to TRI"))</f>
        <v>N/A - Facility Does Not Report to TRI</v>
      </c>
      <c r="AE183" s="109" cm="1">
        <f t="array" ref="AE183">IFERROR(_xlfn.XLOOKUP(1,  (MAX(IF(H183 = 'Processed Non-zero TRI Data'!$I:$I,'Processed Non-zero TRI Data'!$A:$A)) = 'Processed Non-zero TRI Data'!$A:$A)*('Processed Non-zero TRI Data'!$I:$I = H183), 'Processed Non-zero TRI Data'!$U:$U), "N/A- Facility Does Not Report to TRI")</f>
        <v>0</v>
      </c>
      <c r="AF183" s="33">
        <f t="shared" si="33"/>
        <v>0</v>
      </c>
      <c r="AG183" s="33" t="str" cm="1">
        <f t="array" ref="AG183">IF(COUNTIF('Processed Non-zero TRI Data'!$I:$I,$H183)&gt;0,MEDIAN(IF('Processed Non-zero TRI Data'!$I:$I=H183,'Processed Non-zero TRI Data'!$U:$U)), "N/A - Facility Does Not Report to TRI")</f>
        <v>N/A - Facility Does Not Report to TRI</v>
      </c>
      <c r="AH183" s="33" t="str">
        <f t="shared" si="34"/>
        <v>N/A - Facility Does Not Report to TRI</v>
      </c>
      <c r="AI183" s="33" t="str">
        <f>IF(COUNTIF('Processed Non-zero TRI Data'!$I:$I,$H183)&gt;0,_xlfn.MAXIFS('Processed Non-zero TRI Data'!$U:$U,'Processed Non-zero TRI Data'!$I:$I,$H183), "N/A - Facility Does Not Report to TRI")</f>
        <v>N/A - Facility Does Not Report to TRI</v>
      </c>
      <c r="AJ183" s="33" t="str">
        <f t="shared" si="35"/>
        <v>N/A - Facility Does Not Report to TRI</v>
      </c>
      <c r="AK183" s="110" t="str" cm="1">
        <f t="array" ref="AK183">IF(B183="TRI Form A",AD183,IF(AI183=0,"Facility has no transfers to POTWs between 2019-2023.",IF(COUNTIF('Processed Non-zero TRI Data'!$I:$I,$H183)&gt;0,INDEX('Processed Non-zero TRI Data'!$A:$A,MATCH(1,($H183='Processed Non-zero TRI Data'!$I:$I)*(AI183='Processed Non-zero TRI Data'!$U:$U),0)),"N/A - Facility Does Not Report to TRI")))</f>
        <v>N/A - Facility Does Not Report to TRI</v>
      </c>
      <c r="AL183" s="109" cm="1">
        <f t="array" ref="AL183">IFERROR(_xlfn.XLOOKUP(1,  (MAX(IF(H183 = 'Processed Non-zero TRI Data'!$I$2:$I$23,'Processed Non-zero TRI Data'!$A$2:$A$23)) = 'Processed Non-zero TRI Data'!$A$2:$A$23)*('Processed Non-zero TRI Data'!$I$2:$I$23 = H183), 'Processed Non-zero TRI Data'!$W$2:$W$23), "N/A- Facility Does Not Report to TRI")</f>
        <v>0</v>
      </c>
      <c r="AM183" s="33">
        <f t="shared" si="36"/>
        <v>0</v>
      </c>
      <c r="AN183" s="33" t="str" cm="1">
        <f t="array" ref="AN183">IF(COUNTIF('Processed Non-zero TRI Data'!$I:$I,$H183)&gt;0,MEDIAN(IF('Processed Non-zero TRI Data'!$I:$I=H183,'Processed Non-zero TRI Data'!$W:$W)), "N/A - Facility Does Not Report to TRI")</f>
        <v>N/A - Facility Does Not Report to TRI</v>
      </c>
      <c r="AO183" s="33" t="str">
        <f t="shared" si="37"/>
        <v>N/A - Facility Does Not Report to TRI</v>
      </c>
      <c r="AP183" s="33" t="str">
        <f>IF(COUNTIF('Processed Non-zero TRI Data'!$I:$I,$H183)&gt;0,_xlfn.MAXIFS('Processed Non-zero TRI Data'!$W:$W,'Processed Non-zero TRI Data'!$I:$I,$H183), "N/A - Facility Does Not Report to TRI")</f>
        <v>N/A - Facility Does Not Report to TRI</v>
      </c>
      <c r="AQ183" s="33" t="str">
        <f t="shared" si="38"/>
        <v>N/A - Facility Does Not Report to TRI</v>
      </c>
      <c r="AR183" s="110" t="str" cm="1">
        <f t="array" ref="AR183">IF(B183="TRI Form A",AD183,IF(AP183=0,"Facility has no transfers to non-POTWs between 2019-2023.",IF(COUNTIF('Processed Non-zero TRI Data'!$I:$I,$H183)&gt;0,INDEX('Processed Non-zero TRI Data'!$A:$A,MATCH(1,($H183='Processed Non-zero TRI Data'!$I:$I)*(AP183='Processed Non-zero TRI Data'!$W:$W),0)),"N/A - Facility Does Not Report to TRI")))</f>
        <v>N/A - Facility Does Not Report to TRI</v>
      </c>
    </row>
    <row r="184" spans="1:44" ht="29" x14ac:dyDescent="0.35">
      <c r="A184" s="34">
        <v>181</v>
      </c>
      <c r="B184" s="33" t="str">
        <f>IFERROR("TRI Form "&amp;VLOOKUP(H184,'Processed Non-zero TRI Data'!$I$2:$K$23,3,FALSE),"DMR")</f>
        <v>DMR</v>
      </c>
      <c r="C184" s="33" t="str">
        <f>VLOOKUP($D184, 'COU.OES Summary'!C:D, 2, FALSE)</f>
        <v> </v>
      </c>
      <c r="D184" s="33" t="str">
        <f>IFERROR(VLOOKUP($H184, 'Processed Non-zero TRI Data'!$I:$O, 7, FALSE), VLOOKUP($I184, 'Processed Non-zero DMR Data'!$K:$R, 8, FALSE))</f>
        <v>Waste handling, treatment, and disposal - POTW</v>
      </c>
      <c r="E184" s="34" t="s">
        <v>447</v>
      </c>
      <c r="F184" s="34" t="s">
        <v>448</v>
      </c>
      <c r="G184" s="34" t="s">
        <v>102</v>
      </c>
      <c r="H184" s="34"/>
      <c r="I184" s="105">
        <v>110039757992</v>
      </c>
      <c r="J184" s="33" t="str">
        <f>IFERROR(VLOOKUP($I184, 'Processed Non-zero DMR Data'!$K:$U, 11, FALSE),"")</f>
        <v>CAC439621</v>
      </c>
      <c r="K184" s="33" t="str">
        <f>IFERROR(VLOOKUP($I184, 'Processed Non-zero DMR Data'!$K:$V, 12, FALSE),"Not Reported")</f>
        <v>Indian Creek-Weber Creek</v>
      </c>
      <c r="L184" s="106">
        <f>IFERROR(VLOOKUP($I184, 'Processed Non-zero DMR Data'!$K:$W, 13, FALSE),"No Reach Code Reported")</f>
        <v>180201290603</v>
      </c>
      <c r="M184" s="107" t="str">
        <f>IFERROR(IFERROR(VLOOKUP(H184, 'Off-site Locations'!$K$3:$O$5, 5, FALSE), VLOOKUP(H184, 'Off-site Locations'!$B$3:$E$4, 4, FALSE)), "No Offsite Transfers")</f>
        <v>No Offsite Transfers</v>
      </c>
      <c r="N184" s="33">
        <f>VLOOKUP($D184, 'COU.OES Summary'!C:E, 3, FALSE)</f>
        <v>365</v>
      </c>
      <c r="O184" s="108">
        <f t="shared" si="28"/>
        <v>0</v>
      </c>
      <c r="P184" s="108">
        <f t="shared" si="29"/>
        <v>0.119509104</v>
      </c>
      <c r="Q184" s="109" cm="1">
        <f t="array" ref="Q184">IFERROR(_xlfn.XLOOKUP(1,  (MAX(IF(I184 = 'Processed Non-zero DMR Data'!$K:$K,'Processed Non-zero DMR Data'!$A:$A)) = 'Processed Non-zero DMR Data'!$A:$A)*('Processed Non-zero DMR Data'!$K:$K = I184),'Processed Non-zero DMR Data'!$T:$T), "N/A- Facility Does Not Report DMRs")</f>
        <v>4.8473548749999998E-2</v>
      </c>
      <c r="R184" s="33">
        <f t="shared" si="39"/>
        <v>1.3280424315068493E-4</v>
      </c>
      <c r="S184" s="33" cm="1">
        <f t="array" ref="S184">IF(COUNTIF('Processed Non-zero DMR Data'!$K:$K,$I184)&gt;0,MEDIAN(IF('Processed Non-zero DMR Data'!$K:$K=I184,'Processed Non-zero DMR Data'!$T:$T)),"N/A - Facility Does Not Report DMRs")</f>
        <v>8.3991326375000008E-2</v>
      </c>
      <c r="T184" s="33">
        <f t="shared" si="40"/>
        <v>2.3011322294520551E-4</v>
      </c>
      <c r="U184" s="33">
        <f>IF(COUNTIF('Processed Non-zero DMR Data'!$K:$K,$I184)&gt;0,_xlfn.MAXIFS('Processed Non-zero DMR Data'!$T:$T,'Processed Non-zero DMR Data'!$K:$K,$I184), "N/A - Facility Does Not Report DMRs")</f>
        <v>0.119509104</v>
      </c>
      <c r="V184" s="33">
        <f t="shared" si="41"/>
        <v>3.2742220273972606E-4</v>
      </c>
      <c r="W184" s="110" cm="1">
        <f t="array" ref="W184">IF(COUNTIF('Processed Non-zero DMR Data'!$K:$K,$I184)&gt;0,INDEX('Processed Non-zero DMR Data'!$A:$A,MATCH(1,($I184='Processed Non-zero DMR Data'!$K:$K)*($U184='Processed Non-zero DMR Data'!$T:$T),0)), "N/A - Facility Does Not Report DMRs")</f>
        <v>2021</v>
      </c>
      <c r="X184" s="109" cm="1">
        <f t="array" ref="X184">IFERROR(_xlfn.XLOOKUP(1,  (MAX(IF(H184 = 'Processed Non-zero TRI Data'!$I:$I,'Processed Non-zero TRI Data'!$A:$A)) = 'Processed Non-zero TRI Data'!$A:$A)*('Processed Non-zero TRI Data'!$I:$I = H184), 'Processed Non-zero TRI Data'!$S:$S), "N/A- Facility Does Not Report to TRI")</f>
        <v>0</v>
      </c>
      <c r="Y184" s="33">
        <f t="shared" si="30"/>
        <v>0</v>
      </c>
      <c r="Z184" s="33" t="str" cm="1">
        <f t="array" ref="Z184">IF(COUNTIF('Processed Non-zero TRI Data'!$I:$I,$H184)&gt;0,MEDIAN(IF('Processed Non-zero TRI Data'!$I:$I=H184,'Processed Non-zero TRI Data'!$S:$S)), "N/A - Facility Does Not Report to TRI")</f>
        <v>N/A - Facility Does Not Report to TRI</v>
      </c>
      <c r="AA184" s="33" t="str">
        <f t="shared" si="31"/>
        <v>N/A - Facility Does Not Report to TRI</v>
      </c>
      <c r="AB184" s="33" t="str">
        <f>IF(COUNTIF('Processed Non-zero TRI Data'!$I:$I,$H184)&gt;0,_xlfn.MAXIFS('Processed Non-zero TRI Data'!$S:$S,'Processed Non-zero TRI Data'!$I:$I,$H184), "N/A - Facility Does Not Report to TRI")</f>
        <v>N/A - Facility Does Not Report to TRI</v>
      </c>
      <c r="AC184" s="33" t="str">
        <f t="shared" si="32"/>
        <v>N/A - Facility Does Not Report to TRI</v>
      </c>
      <c r="AD184" s="110" t="str" cm="1">
        <f t="array" ref="AD184">IFERROR(IF(B184 = "TRI Form R", IF(AB184 = 0, "Facility has no on-site water discharges between 2019-2023.",  IF(COUNTIF('Processed Non-zero TRI Data'!$I:$I,$H184)&gt;0,INDEX('Processed Non-zero TRI Data'!$A:$A,MATCH(1,($H184='Processed Non-zero TRI Data'!$I:$I)*(AB184='Processed Non-zero TRI Data'!$S:$S),0)))), VLOOKUP(H184, 'Form A Recent Reporting'!$L:$M, 2, FALSE)), ("N/A - Facility Does Not Report to TRI"))</f>
        <v>N/A - Facility Does Not Report to TRI</v>
      </c>
      <c r="AE184" s="109" cm="1">
        <f t="array" ref="AE184">IFERROR(_xlfn.XLOOKUP(1,  (MAX(IF(H184 = 'Processed Non-zero TRI Data'!$I:$I,'Processed Non-zero TRI Data'!$A:$A)) = 'Processed Non-zero TRI Data'!$A:$A)*('Processed Non-zero TRI Data'!$I:$I = H184), 'Processed Non-zero TRI Data'!$U:$U), "N/A- Facility Does Not Report to TRI")</f>
        <v>0</v>
      </c>
      <c r="AF184" s="33">
        <f t="shared" si="33"/>
        <v>0</v>
      </c>
      <c r="AG184" s="33" t="str" cm="1">
        <f t="array" ref="AG184">IF(COUNTIF('Processed Non-zero TRI Data'!$I:$I,$H184)&gt;0,MEDIAN(IF('Processed Non-zero TRI Data'!$I:$I=H184,'Processed Non-zero TRI Data'!$U:$U)), "N/A - Facility Does Not Report to TRI")</f>
        <v>N/A - Facility Does Not Report to TRI</v>
      </c>
      <c r="AH184" s="33" t="str">
        <f t="shared" si="34"/>
        <v>N/A - Facility Does Not Report to TRI</v>
      </c>
      <c r="AI184" s="33" t="str">
        <f>IF(COUNTIF('Processed Non-zero TRI Data'!$I:$I,$H184)&gt;0,_xlfn.MAXIFS('Processed Non-zero TRI Data'!$U:$U,'Processed Non-zero TRI Data'!$I:$I,$H184), "N/A - Facility Does Not Report to TRI")</f>
        <v>N/A - Facility Does Not Report to TRI</v>
      </c>
      <c r="AJ184" s="33" t="str">
        <f t="shared" si="35"/>
        <v>N/A - Facility Does Not Report to TRI</v>
      </c>
      <c r="AK184" s="110" t="str" cm="1">
        <f t="array" ref="AK184">IF(B184="TRI Form A",AD184,IF(AI184=0,"Facility has no transfers to POTWs between 2019-2023.",IF(COUNTIF('Processed Non-zero TRI Data'!$I:$I,$H184)&gt;0,INDEX('Processed Non-zero TRI Data'!$A:$A,MATCH(1,($H184='Processed Non-zero TRI Data'!$I:$I)*(AI184='Processed Non-zero TRI Data'!$U:$U),0)),"N/A - Facility Does Not Report to TRI")))</f>
        <v>N/A - Facility Does Not Report to TRI</v>
      </c>
      <c r="AL184" s="109" cm="1">
        <f t="array" ref="AL184">IFERROR(_xlfn.XLOOKUP(1,  (MAX(IF(H184 = 'Processed Non-zero TRI Data'!$I$2:$I$23,'Processed Non-zero TRI Data'!$A$2:$A$23)) = 'Processed Non-zero TRI Data'!$A$2:$A$23)*('Processed Non-zero TRI Data'!$I$2:$I$23 = H184), 'Processed Non-zero TRI Data'!$W$2:$W$23), "N/A- Facility Does Not Report to TRI")</f>
        <v>0</v>
      </c>
      <c r="AM184" s="33">
        <f t="shared" si="36"/>
        <v>0</v>
      </c>
      <c r="AN184" s="33" t="str" cm="1">
        <f t="array" ref="AN184">IF(COUNTIF('Processed Non-zero TRI Data'!$I:$I,$H184)&gt;0,MEDIAN(IF('Processed Non-zero TRI Data'!$I:$I=H184,'Processed Non-zero TRI Data'!$W:$W)), "N/A - Facility Does Not Report to TRI")</f>
        <v>N/A - Facility Does Not Report to TRI</v>
      </c>
      <c r="AO184" s="33" t="str">
        <f t="shared" si="37"/>
        <v>N/A - Facility Does Not Report to TRI</v>
      </c>
      <c r="AP184" s="33" t="str">
        <f>IF(COUNTIF('Processed Non-zero TRI Data'!$I:$I,$H184)&gt;0,_xlfn.MAXIFS('Processed Non-zero TRI Data'!$W:$W,'Processed Non-zero TRI Data'!$I:$I,$H184), "N/A - Facility Does Not Report to TRI")</f>
        <v>N/A - Facility Does Not Report to TRI</v>
      </c>
      <c r="AQ184" s="33" t="str">
        <f t="shared" si="38"/>
        <v>N/A - Facility Does Not Report to TRI</v>
      </c>
      <c r="AR184" s="110" t="str" cm="1">
        <f t="array" ref="AR184">IF(B184="TRI Form A",AD184,IF(AP184=0,"Facility has no transfers to non-POTWs between 2019-2023.",IF(COUNTIF('Processed Non-zero TRI Data'!$I:$I,$H184)&gt;0,INDEX('Processed Non-zero TRI Data'!$A:$A,MATCH(1,($H184='Processed Non-zero TRI Data'!$I:$I)*(AP184='Processed Non-zero TRI Data'!$W:$W),0)),"N/A - Facility Does Not Report to TRI")))</f>
        <v>N/A - Facility Does Not Report to TRI</v>
      </c>
    </row>
    <row r="185" spans="1:44" ht="29" x14ac:dyDescent="0.35">
      <c r="A185" s="34">
        <v>182</v>
      </c>
      <c r="B185" s="33" t="str">
        <f>IFERROR("TRI Form "&amp;VLOOKUP(H185,'Processed Non-zero TRI Data'!$I$2:$K$23,3,FALSE),"DMR")</f>
        <v>DMR</v>
      </c>
      <c r="C185" s="33" t="str">
        <f>VLOOKUP($D185, 'COU.OES Summary'!C:D, 2, FALSE)</f>
        <v> </v>
      </c>
      <c r="D185" s="33" t="str">
        <f>IFERROR(VLOOKUP($H185, 'Processed Non-zero TRI Data'!$I:$O, 7, FALSE), VLOOKUP($I185, 'Processed Non-zero DMR Data'!$K:$R, 8, FALSE))</f>
        <v>Waste handling, treatment, and disposal - Remediation or Monitoring</v>
      </c>
      <c r="E185" s="34" t="s">
        <v>449</v>
      </c>
      <c r="F185" s="34" t="s">
        <v>450</v>
      </c>
      <c r="G185" s="34" t="s">
        <v>451</v>
      </c>
      <c r="H185" s="34"/>
      <c r="I185" s="105">
        <v>110064621805</v>
      </c>
      <c r="J185" s="33" t="str">
        <f>IFERROR(VLOOKUP($I185, 'Processed Non-zero DMR Data'!$K:$U, 11, FALSE),"")</f>
        <v>MA0001791</v>
      </c>
      <c r="K185" s="33" t="str">
        <f>IFERROR(VLOOKUP($I185, 'Processed Non-zero DMR Data'!$K:$V, 12, FALSE),"Not Reported")</f>
        <v>Ten Mile River</v>
      </c>
      <c r="L185" s="106">
        <f>IFERROR(VLOOKUP($I185, 'Processed Non-zero DMR Data'!$K:$W, 13, FALSE),"No Reach Code Reported")</f>
        <v>10900040401</v>
      </c>
      <c r="M185" s="107" t="str">
        <f>IFERROR(IFERROR(VLOOKUP(H185, 'Off-site Locations'!$K$3:$O$5, 5, FALSE), VLOOKUP(H185, 'Off-site Locations'!$B$3:$E$4, 4, FALSE)), "No Offsite Transfers")</f>
        <v>No Offsite Transfers</v>
      </c>
      <c r="N185" s="33">
        <f>VLOOKUP($D185, 'COU.OES Summary'!C:E, 3, FALSE)</f>
        <v>365</v>
      </c>
      <c r="O185" s="108">
        <f t="shared" si="28"/>
        <v>0</v>
      </c>
      <c r="P185" s="108">
        <f t="shared" si="29"/>
        <v>0.11421404607750001</v>
      </c>
      <c r="Q185" s="109" cm="1">
        <f t="array" ref="Q185">IFERROR(_xlfn.XLOOKUP(1,  (MAX(IF(I185 = 'Processed Non-zero DMR Data'!$K:$K,'Processed Non-zero DMR Data'!$A:$A)) = 'Processed Non-zero DMR Data'!$A:$A)*('Processed Non-zero DMR Data'!$K:$K = I185),'Processed Non-zero DMR Data'!$T:$T), "N/A- Facility Does Not Report DMRs")</f>
        <v>0.11421404607750001</v>
      </c>
      <c r="R185" s="33">
        <f t="shared" si="39"/>
        <v>3.1291519473287672E-4</v>
      </c>
      <c r="S185" s="33" cm="1">
        <f t="array" ref="S185">IF(COUNTIF('Processed Non-zero DMR Data'!$K:$K,$I185)&gt;0,MEDIAN(IF('Processed Non-zero DMR Data'!$K:$K=I185,'Processed Non-zero DMR Data'!$T:$T)),"N/A - Facility Does Not Report DMRs")</f>
        <v>0.10537091117625</v>
      </c>
      <c r="T185" s="33">
        <f t="shared" si="40"/>
        <v>2.8868742788013696E-4</v>
      </c>
      <c r="U185" s="33">
        <f>IF(COUNTIF('Processed Non-zero DMR Data'!$K:$K,$I185)&gt;0,_xlfn.MAXIFS('Processed Non-zero DMR Data'!$T:$T,'Processed Non-zero DMR Data'!$K:$K,$I185), "N/A - Facility Does Not Report DMRs")</f>
        <v>0.11421404607750001</v>
      </c>
      <c r="V185" s="33">
        <f t="shared" si="41"/>
        <v>3.1291519473287672E-4</v>
      </c>
      <c r="W185" s="110" cm="1">
        <f t="array" ref="W185">IF(COUNTIF('Processed Non-zero DMR Data'!$K:$K,$I185)&gt;0,INDEX('Processed Non-zero DMR Data'!$A:$A,MATCH(1,($I185='Processed Non-zero DMR Data'!$K:$K)*($U185='Processed Non-zero DMR Data'!$T:$T),0)), "N/A - Facility Does Not Report DMRs")</f>
        <v>2023</v>
      </c>
      <c r="X185" s="109" cm="1">
        <f t="array" ref="X185">IFERROR(_xlfn.XLOOKUP(1,  (MAX(IF(H185 = 'Processed Non-zero TRI Data'!$I:$I,'Processed Non-zero TRI Data'!$A:$A)) = 'Processed Non-zero TRI Data'!$A:$A)*('Processed Non-zero TRI Data'!$I:$I = H185), 'Processed Non-zero TRI Data'!$S:$S), "N/A- Facility Does Not Report to TRI")</f>
        <v>0</v>
      </c>
      <c r="Y185" s="33">
        <f t="shared" si="30"/>
        <v>0</v>
      </c>
      <c r="Z185" s="33" t="str" cm="1">
        <f t="array" ref="Z185">IF(COUNTIF('Processed Non-zero TRI Data'!$I:$I,$H185)&gt;0,MEDIAN(IF('Processed Non-zero TRI Data'!$I:$I=H185,'Processed Non-zero TRI Data'!$S:$S)), "N/A - Facility Does Not Report to TRI")</f>
        <v>N/A - Facility Does Not Report to TRI</v>
      </c>
      <c r="AA185" s="33" t="str">
        <f t="shared" si="31"/>
        <v>N/A - Facility Does Not Report to TRI</v>
      </c>
      <c r="AB185" s="33" t="str">
        <f>IF(COUNTIF('Processed Non-zero TRI Data'!$I:$I,$H185)&gt;0,_xlfn.MAXIFS('Processed Non-zero TRI Data'!$S:$S,'Processed Non-zero TRI Data'!$I:$I,$H185), "N/A - Facility Does Not Report to TRI")</f>
        <v>N/A - Facility Does Not Report to TRI</v>
      </c>
      <c r="AC185" s="33" t="str">
        <f t="shared" si="32"/>
        <v>N/A - Facility Does Not Report to TRI</v>
      </c>
      <c r="AD185" s="110" t="str" cm="1">
        <f t="array" ref="AD185">IFERROR(IF(B185 = "TRI Form R", IF(AB185 = 0, "Facility has no on-site water discharges between 2019-2023.",  IF(COUNTIF('Processed Non-zero TRI Data'!$I:$I,$H185)&gt;0,INDEX('Processed Non-zero TRI Data'!$A:$A,MATCH(1,($H185='Processed Non-zero TRI Data'!$I:$I)*(AB185='Processed Non-zero TRI Data'!$S:$S),0)))), VLOOKUP(H185, 'Form A Recent Reporting'!$L:$M, 2, FALSE)), ("N/A - Facility Does Not Report to TRI"))</f>
        <v>N/A - Facility Does Not Report to TRI</v>
      </c>
      <c r="AE185" s="109" cm="1">
        <f t="array" ref="AE185">IFERROR(_xlfn.XLOOKUP(1,  (MAX(IF(H185 = 'Processed Non-zero TRI Data'!$I:$I,'Processed Non-zero TRI Data'!$A:$A)) = 'Processed Non-zero TRI Data'!$A:$A)*('Processed Non-zero TRI Data'!$I:$I = H185), 'Processed Non-zero TRI Data'!$U:$U), "N/A- Facility Does Not Report to TRI")</f>
        <v>0</v>
      </c>
      <c r="AF185" s="33">
        <f t="shared" si="33"/>
        <v>0</v>
      </c>
      <c r="AG185" s="33" t="str" cm="1">
        <f t="array" ref="AG185">IF(COUNTIF('Processed Non-zero TRI Data'!$I:$I,$H185)&gt;0,MEDIAN(IF('Processed Non-zero TRI Data'!$I:$I=H185,'Processed Non-zero TRI Data'!$U:$U)), "N/A - Facility Does Not Report to TRI")</f>
        <v>N/A - Facility Does Not Report to TRI</v>
      </c>
      <c r="AH185" s="33" t="str">
        <f t="shared" si="34"/>
        <v>N/A - Facility Does Not Report to TRI</v>
      </c>
      <c r="AI185" s="33" t="str">
        <f>IF(COUNTIF('Processed Non-zero TRI Data'!$I:$I,$H185)&gt;0,_xlfn.MAXIFS('Processed Non-zero TRI Data'!$U:$U,'Processed Non-zero TRI Data'!$I:$I,$H185), "N/A - Facility Does Not Report to TRI")</f>
        <v>N/A - Facility Does Not Report to TRI</v>
      </c>
      <c r="AJ185" s="33" t="str">
        <f t="shared" si="35"/>
        <v>N/A - Facility Does Not Report to TRI</v>
      </c>
      <c r="AK185" s="110" t="str" cm="1">
        <f t="array" ref="AK185">IF(B185="TRI Form A",AD185,IF(AI185=0,"Facility has no transfers to POTWs between 2019-2023.",IF(COUNTIF('Processed Non-zero TRI Data'!$I:$I,$H185)&gt;0,INDEX('Processed Non-zero TRI Data'!$A:$A,MATCH(1,($H185='Processed Non-zero TRI Data'!$I:$I)*(AI185='Processed Non-zero TRI Data'!$U:$U),0)),"N/A - Facility Does Not Report to TRI")))</f>
        <v>N/A - Facility Does Not Report to TRI</v>
      </c>
      <c r="AL185" s="109" cm="1">
        <f t="array" ref="AL185">IFERROR(_xlfn.XLOOKUP(1,  (MAX(IF(H185 = 'Processed Non-zero TRI Data'!$I$2:$I$23,'Processed Non-zero TRI Data'!$A$2:$A$23)) = 'Processed Non-zero TRI Data'!$A$2:$A$23)*('Processed Non-zero TRI Data'!$I$2:$I$23 = H185), 'Processed Non-zero TRI Data'!$W$2:$W$23), "N/A- Facility Does Not Report to TRI")</f>
        <v>0</v>
      </c>
      <c r="AM185" s="33">
        <f t="shared" si="36"/>
        <v>0</v>
      </c>
      <c r="AN185" s="33" t="str" cm="1">
        <f t="array" ref="AN185">IF(COUNTIF('Processed Non-zero TRI Data'!$I:$I,$H185)&gt;0,MEDIAN(IF('Processed Non-zero TRI Data'!$I:$I=H185,'Processed Non-zero TRI Data'!$W:$W)), "N/A - Facility Does Not Report to TRI")</f>
        <v>N/A - Facility Does Not Report to TRI</v>
      </c>
      <c r="AO185" s="33" t="str">
        <f t="shared" si="37"/>
        <v>N/A - Facility Does Not Report to TRI</v>
      </c>
      <c r="AP185" s="33" t="str">
        <f>IF(COUNTIF('Processed Non-zero TRI Data'!$I:$I,$H185)&gt;0,_xlfn.MAXIFS('Processed Non-zero TRI Data'!$W:$W,'Processed Non-zero TRI Data'!$I:$I,$H185), "N/A - Facility Does Not Report to TRI")</f>
        <v>N/A - Facility Does Not Report to TRI</v>
      </c>
      <c r="AQ185" s="33" t="str">
        <f t="shared" si="38"/>
        <v>N/A - Facility Does Not Report to TRI</v>
      </c>
      <c r="AR185" s="110" t="str" cm="1">
        <f t="array" ref="AR185">IF(B185="TRI Form A",AD185,IF(AP185=0,"Facility has no transfers to non-POTWs between 2019-2023.",IF(COUNTIF('Processed Non-zero TRI Data'!$I:$I,$H185)&gt;0,INDEX('Processed Non-zero TRI Data'!$A:$A,MATCH(1,($H185='Processed Non-zero TRI Data'!$I:$I)*(AP185='Processed Non-zero TRI Data'!$W:$W),0)),"N/A - Facility Does Not Report to TRI")))</f>
        <v>N/A - Facility Does Not Report to TRI</v>
      </c>
    </row>
    <row r="186" spans="1:44" ht="29" x14ac:dyDescent="0.35">
      <c r="A186" s="34">
        <v>183</v>
      </c>
      <c r="B186" s="33" t="str">
        <f>IFERROR("TRI Form "&amp;VLOOKUP(H186,'Processed Non-zero TRI Data'!$I$2:$K$23,3,FALSE),"DMR")</f>
        <v>DMR</v>
      </c>
      <c r="C186" s="33" t="str">
        <f>VLOOKUP($D186, 'COU.OES Summary'!C:D, 2, FALSE)</f>
        <v> </v>
      </c>
      <c r="D186" s="33" t="str">
        <f>IFERROR(VLOOKUP($H186, 'Processed Non-zero TRI Data'!$I:$O, 7, FALSE), VLOOKUP($I186, 'Processed Non-zero DMR Data'!$K:$R, 8, FALSE))</f>
        <v>Waste handling, treatment, and disposal - POTW</v>
      </c>
      <c r="E186" s="34" t="s">
        <v>452</v>
      </c>
      <c r="F186" s="34" t="s">
        <v>272</v>
      </c>
      <c r="G186" s="34" t="s">
        <v>273</v>
      </c>
      <c r="H186" s="34"/>
      <c r="I186" s="105">
        <v>110064631457</v>
      </c>
      <c r="J186" s="33" t="str">
        <f>IFERROR(VLOOKUP($I186, 'Processed Non-zero DMR Data'!$K:$U, 11, FALSE),"")</f>
        <v>NN0030343</v>
      </c>
      <c r="K186" s="33" t="str">
        <f>IFERROR(VLOOKUP($I186, 'Processed Non-zero DMR Data'!$K:$V, 12, FALSE),"Not Reported")</f>
        <v>Ojo Amarillo Canyon-San Juan River</v>
      </c>
      <c r="L186" s="106">
        <f>IFERROR(VLOOKUP($I186, 'Processed Non-zero DMR Data'!$K:$W, 13, FALSE),"No Reach Code Reported")</f>
        <v>140801050505</v>
      </c>
      <c r="M186" s="107" t="str">
        <f>IFERROR(IFERROR(VLOOKUP(H186, 'Off-site Locations'!$K$3:$O$5, 5, FALSE), VLOOKUP(H186, 'Off-site Locations'!$B$3:$E$4, 4, FALSE)), "No Offsite Transfers")</f>
        <v>No Offsite Transfers</v>
      </c>
      <c r="N186" s="33">
        <f>VLOOKUP($D186, 'COU.OES Summary'!C:E, 3, FALSE)</f>
        <v>365</v>
      </c>
      <c r="O186" s="108">
        <f t="shared" si="28"/>
        <v>0</v>
      </c>
      <c r="P186" s="108">
        <f t="shared" si="29"/>
        <v>0.1114304</v>
      </c>
      <c r="Q186" s="109" cm="1">
        <f t="array" ref="Q186">IFERROR(_xlfn.XLOOKUP(1,  (MAX(IF(I186 = 'Processed Non-zero DMR Data'!$K:$K,'Processed Non-zero DMR Data'!$A:$A)) = 'Processed Non-zero DMR Data'!$A:$A)*('Processed Non-zero DMR Data'!$K:$K = I186),'Processed Non-zero DMR Data'!$T:$T), "N/A- Facility Does Not Report DMRs")</f>
        <v>0.1114304</v>
      </c>
      <c r="R186" s="33">
        <f t="shared" si="39"/>
        <v>3.0528876712328766E-4</v>
      </c>
      <c r="S186" s="33" cm="1">
        <f t="array" ref="S186">IF(COUNTIF('Processed Non-zero DMR Data'!$K:$K,$I186)&gt;0,MEDIAN(IF('Processed Non-zero DMR Data'!$K:$K=I186,'Processed Non-zero DMR Data'!$T:$T)),"N/A - Facility Does Not Report DMRs")</f>
        <v>0.1114304</v>
      </c>
      <c r="T186" s="33">
        <f t="shared" si="40"/>
        <v>3.0528876712328766E-4</v>
      </c>
      <c r="U186" s="33">
        <f>IF(COUNTIF('Processed Non-zero DMR Data'!$K:$K,$I186)&gt;0,_xlfn.MAXIFS('Processed Non-zero DMR Data'!$T:$T,'Processed Non-zero DMR Data'!$K:$K,$I186), "N/A - Facility Does Not Report DMRs")</f>
        <v>0.1114304</v>
      </c>
      <c r="V186" s="33">
        <f t="shared" si="41"/>
        <v>3.0528876712328766E-4</v>
      </c>
      <c r="W186" s="110" cm="1">
        <f t="array" ref="W186">IF(COUNTIF('Processed Non-zero DMR Data'!$K:$K,$I186)&gt;0,INDEX('Processed Non-zero DMR Data'!$A:$A,MATCH(1,($I186='Processed Non-zero DMR Data'!$K:$K)*($U186='Processed Non-zero DMR Data'!$T:$T),0)), "N/A - Facility Does Not Report DMRs")</f>
        <v>2021</v>
      </c>
      <c r="X186" s="109" cm="1">
        <f t="array" ref="X186">IFERROR(_xlfn.XLOOKUP(1,  (MAX(IF(H186 = 'Processed Non-zero TRI Data'!$I:$I,'Processed Non-zero TRI Data'!$A:$A)) = 'Processed Non-zero TRI Data'!$A:$A)*('Processed Non-zero TRI Data'!$I:$I = H186), 'Processed Non-zero TRI Data'!$S:$S), "N/A- Facility Does Not Report to TRI")</f>
        <v>0</v>
      </c>
      <c r="Y186" s="33">
        <f t="shared" si="30"/>
        <v>0</v>
      </c>
      <c r="Z186" s="33" t="str" cm="1">
        <f t="array" ref="Z186">IF(COUNTIF('Processed Non-zero TRI Data'!$I:$I,$H186)&gt;0,MEDIAN(IF('Processed Non-zero TRI Data'!$I:$I=H186,'Processed Non-zero TRI Data'!$S:$S)), "N/A - Facility Does Not Report to TRI")</f>
        <v>N/A - Facility Does Not Report to TRI</v>
      </c>
      <c r="AA186" s="33" t="str">
        <f t="shared" si="31"/>
        <v>N/A - Facility Does Not Report to TRI</v>
      </c>
      <c r="AB186" s="33" t="str">
        <f>IF(COUNTIF('Processed Non-zero TRI Data'!$I:$I,$H186)&gt;0,_xlfn.MAXIFS('Processed Non-zero TRI Data'!$S:$S,'Processed Non-zero TRI Data'!$I:$I,$H186), "N/A - Facility Does Not Report to TRI")</f>
        <v>N/A - Facility Does Not Report to TRI</v>
      </c>
      <c r="AC186" s="33" t="str">
        <f t="shared" si="32"/>
        <v>N/A - Facility Does Not Report to TRI</v>
      </c>
      <c r="AD186" s="110" t="str" cm="1">
        <f t="array" ref="AD186">IFERROR(IF(B186 = "TRI Form R", IF(AB186 = 0, "Facility has no on-site water discharges between 2019-2023.",  IF(COUNTIF('Processed Non-zero TRI Data'!$I:$I,$H186)&gt;0,INDEX('Processed Non-zero TRI Data'!$A:$A,MATCH(1,($H186='Processed Non-zero TRI Data'!$I:$I)*(AB186='Processed Non-zero TRI Data'!$S:$S),0)))), VLOOKUP(H186, 'Form A Recent Reporting'!$L:$M, 2, FALSE)), ("N/A - Facility Does Not Report to TRI"))</f>
        <v>N/A - Facility Does Not Report to TRI</v>
      </c>
      <c r="AE186" s="109" cm="1">
        <f t="array" ref="AE186">IFERROR(_xlfn.XLOOKUP(1,  (MAX(IF(H186 = 'Processed Non-zero TRI Data'!$I:$I,'Processed Non-zero TRI Data'!$A:$A)) = 'Processed Non-zero TRI Data'!$A:$A)*('Processed Non-zero TRI Data'!$I:$I = H186), 'Processed Non-zero TRI Data'!$U:$U), "N/A- Facility Does Not Report to TRI")</f>
        <v>0</v>
      </c>
      <c r="AF186" s="33">
        <f t="shared" si="33"/>
        <v>0</v>
      </c>
      <c r="AG186" s="33" t="str" cm="1">
        <f t="array" ref="AG186">IF(COUNTIF('Processed Non-zero TRI Data'!$I:$I,$H186)&gt;0,MEDIAN(IF('Processed Non-zero TRI Data'!$I:$I=H186,'Processed Non-zero TRI Data'!$U:$U)), "N/A - Facility Does Not Report to TRI")</f>
        <v>N/A - Facility Does Not Report to TRI</v>
      </c>
      <c r="AH186" s="33" t="str">
        <f t="shared" si="34"/>
        <v>N/A - Facility Does Not Report to TRI</v>
      </c>
      <c r="AI186" s="33" t="str">
        <f>IF(COUNTIF('Processed Non-zero TRI Data'!$I:$I,$H186)&gt;0,_xlfn.MAXIFS('Processed Non-zero TRI Data'!$U:$U,'Processed Non-zero TRI Data'!$I:$I,$H186), "N/A - Facility Does Not Report to TRI")</f>
        <v>N/A - Facility Does Not Report to TRI</v>
      </c>
      <c r="AJ186" s="33" t="str">
        <f t="shared" si="35"/>
        <v>N/A - Facility Does Not Report to TRI</v>
      </c>
      <c r="AK186" s="110" t="str" cm="1">
        <f t="array" ref="AK186">IF(B186="TRI Form A",AD186,IF(AI186=0,"Facility has no transfers to POTWs between 2019-2023.",IF(COUNTIF('Processed Non-zero TRI Data'!$I:$I,$H186)&gt;0,INDEX('Processed Non-zero TRI Data'!$A:$A,MATCH(1,($H186='Processed Non-zero TRI Data'!$I:$I)*(AI186='Processed Non-zero TRI Data'!$U:$U),0)),"N/A - Facility Does Not Report to TRI")))</f>
        <v>N/A - Facility Does Not Report to TRI</v>
      </c>
      <c r="AL186" s="109" cm="1">
        <f t="array" ref="AL186">IFERROR(_xlfn.XLOOKUP(1,  (MAX(IF(H186 = 'Processed Non-zero TRI Data'!$I$2:$I$23,'Processed Non-zero TRI Data'!$A$2:$A$23)) = 'Processed Non-zero TRI Data'!$A$2:$A$23)*('Processed Non-zero TRI Data'!$I$2:$I$23 = H186), 'Processed Non-zero TRI Data'!$W$2:$W$23), "N/A- Facility Does Not Report to TRI")</f>
        <v>0</v>
      </c>
      <c r="AM186" s="33">
        <f t="shared" si="36"/>
        <v>0</v>
      </c>
      <c r="AN186" s="33" t="str" cm="1">
        <f t="array" ref="AN186">IF(COUNTIF('Processed Non-zero TRI Data'!$I:$I,$H186)&gt;0,MEDIAN(IF('Processed Non-zero TRI Data'!$I:$I=H186,'Processed Non-zero TRI Data'!$W:$W)), "N/A - Facility Does Not Report to TRI")</f>
        <v>N/A - Facility Does Not Report to TRI</v>
      </c>
      <c r="AO186" s="33" t="str">
        <f t="shared" si="37"/>
        <v>N/A - Facility Does Not Report to TRI</v>
      </c>
      <c r="AP186" s="33" t="str">
        <f>IF(COUNTIF('Processed Non-zero TRI Data'!$I:$I,$H186)&gt;0,_xlfn.MAXIFS('Processed Non-zero TRI Data'!$W:$W,'Processed Non-zero TRI Data'!$I:$I,$H186), "N/A - Facility Does Not Report to TRI")</f>
        <v>N/A - Facility Does Not Report to TRI</v>
      </c>
      <c r="AQ186" s="33" t="str">
        <f t="shared" si="38"/>
        <v>N/A - Facility Does Not Report to TRI</v>
      </c>
      <c r="AR186" s="110" t="str" cm="1">
        <f t="array" ref="AR186">IF(B186="TRI Form A",AD186,IF(AP186=0,"Facility has no transfers to non-POTWs between 2019-2023.",IF(COUNTIF('Processed Non-zero TRI Data'!$I:$I,$H186)&gt;0,INDEX('Processed Non-zero TRI Data'!$A:$A,MATCH(1,($H186='Processed Non-zero TRI Data'!$I:$I)*(AP186='Processed Non-zero TRI Data'!$W:$W),0)),"N/A - Facility Does Not Report to TRI")))</f>
        <v>N/A - Facility Does Not Report to TRI</v>
      </c>
    </row>
    <row r="187" spans="1:44" ht="29" x14ac:dyDescent="0.35">
      <c r="A187" s="34">
        <v>184</v>
      </c>
      <c r="B187" s="33" t="str">
        <f>IFERROR("TRI Form "&amp;VLOOKUP(H187,'Processed Non-zero TRI Data'!$I$2:$K$23,3,FALSE),"DMR")</f>
        <v>DMR</v>
      </c>
      <c r="C187" s="33" t="str">
        <f>VLOOKUP($D187, 'COU.OES Summary'!C:D, 2, FALSE)</f>
        <v> </v>
      </c>
      <c r="D187" s="33" t="str">
        <f>IFERROR(VLOOKUP($H187, 'Processed Non-zero TRI Data'!$I:$O, 7, FALSE), VLOOKUP($I187, 'Processed Non-zero DMR Data'!$K:$R, 8, FALSE))</f>
        <v>Waste handling, treatment, and disposal - Remediation or Monitoring</v>
      </c>
      <c r="E187" s="34" t="s">
        <v>453</v>
      </c>
      <c r="F187" s="34" t="s">
        <v>421</v>
      </c>
      <c r="G187" s="34" t="s">
        <v>95</v>
      </c>
      <c r="H187" s="34"/>
      <c r="I187" s="105">
        <v>110000463631</v>
      </c>
      <c r="J187" s="33" t="str">
        <f>IFERROR(VLOOKUP($I187, 'Processed Non-zero DMR Data'!$K:$U, 11, FALSE),"")</f>
        <v>TX0074276</v>
      </c>
      <c r="K187" s="33" t="str">
        <f>IFERROR(VLOOKUP($I187, 'Processed Non-zero DMR Data'!$K:$V, 12, FALSE),"Not Reported")</f>
        <v>Goose Creek-Frontal Galveston Bay</v>
      </c>
      <c r="L187" s="106">
        <f>IFERROR(VLOOKUP($I187, 'Processed Non-zero DMR Data'!$K:$W, 13, FALSE),"No Reach Code Reported")</f>
        <v>120401040706</v>
      </c>
      <c r="M187" s="107" t="str">
        <f>IFERROR(IFERROR(VLOOKUP(H187, 'Off-site Locations'!$K$3:$O$5, 5, FALSE), VLOOKUP(H187, 'Off-site Locations'!$B$3:$E$4, 4, FALSE)), "No Offsite Transfers")</f>
        <v>No Offsite Transfers</v>
      </c>
      <c r="N187" s="33">
        <f>VLOOKUP($D187, 'COU.OES Summary'!C:E, 3, FALSE)</f>
        <v>365</v>
      </c>
      <c r="O187" s="108">
        <f t="shared" si="28"/>
        <v>0</v>
      </c>
      <c r="P187" s="108">
        <f t="shared" si="29"/>
        <v>0.1110257</v>
      </c>
      <c r="Q187" s="109" cm="1">
        <f t="array" ref="Q187">IFERROR(_xlfn.XLOOKUP(1,  (MAX(IF(I187 = 'Processed Non-zero DMR Data'!$K:$K,'Processed Non-zero DMR Data'!$A:$A)) = 'Processed Non-zero DMR Data'!$A:$A)*('Processed Non-zero DMR Data'!$K:$K = I187),'Processed Non-zero DMR Data'!$T:$T), "N/A- Facility Does Not Report DMRs")</f>
        <v>0.1110257</v>
      </c>
      <c r="R187" s="33">
        <f t="shared" si="39"/>
        <v>3.0418000000000003E-4</v>
      </c>
      <c r="S187" s="33" cm="1">
        <f t="array" ref="S187">IF(COUNTIF('Processed Non-zero DMR Data'!$K:$K,$I187)&gt;0,MEDIAN(IF('Processed Non-zero DMR Data'!$K:$K=I187,'Processed Non-zero DMR Data'!$T:$T)),"N/A - Facility Does Not Report DMRs")</f>
        <v>0.1110257</v>
      </c>
      <c r="T187" s="33">
        <f t="shared" si="40"/>
        <v>3.0418000000000003E-4</v>
      </c>
      <c r="U187" s="33">
        <f>IF(COUNTIF('Processed Non-zero DMR Data'!$K:$K,$I187)&gt;0,_xlfn.MAXIFS('Processed Non-zero DMR Data'!$T:$T,'Processed Non-zero DMR Data'!$K:$K,$I187), "N/A - Facility Does Not Report DMRs")</f>
        <v>0.1110257</v>
      </c>
      <c r="V187" s="33">
        <f t="shared" si="41"/>
        <v>3.0418000000000003E-4</v>
      </c>
      <c r="W187" s="110" cm="1">
        <f t="array" ref="W187">IF(COUNTIF('Processed Non-zero DMR Data'!$K:$K,$I187)&gt;0,INDEX('Processed Non-zero DMR Data'!$A:$A,MATCH(1,($I187='Processed Non-zero DMR Data'!$K:$K)*($U187='Processed Non-zero DMR Data'!$T:$T),0)), "N/A - Facility Does Not Report DMRs")</f>
        <v>2020</v>
      </c>
      <c r="X187" s="109" cm="1">
        <f t="array" ref="X187">IFERROR(_xlfn.XLOOKUP(1,  (MAX(IF(H187 = 'Processed Non-zero TRI Data'!$I:$I,'Processed Non-zero TRI Data'!$A:$A)) = 'Processed Non-zero TRI Data'!$A:$A)*('Processed Non-zero TRI Data'!$I:$I = H187), 'Processed Non-zero TRI Data'!$S:$S), "N/A- Facility Does Not Report to TRI")</f>
        <v>0</v>
      </c>
      <c r="Y187" s="33">
        <f t="shared" si="30"/>
        <v>0</v>
      </c>
      <c r="Z187" s="33" t="str" cm="1">
        <f t="array" ref="Z187">IF(COUNTIF('Processed Non-zero TRI Data'!$I:$I,$H187)&gt;0,MEDIAN(IF('Processed Non-zero TRI Data'!$I:$I=H187,'Processed Non-zero TRI Data'!$S:$S)), "N/A - Facility Does Not Report to TRI")</f>
        <v>N/A - Facility Does Not Report to TRI</v>
      </c>
      <c r="AA187" s="33" t="str">
        <f t="shared" si="31"/>
        <v>N/A - Facility Does Not Report to TRI</v>
      </c>
      <c r="AB187" s="33" t="str">
        <f>IF(COUNTIF('Processed Non-zero TRI Data'!$I:$I,$H187)&gt;0,_xlfn.MAXIFS('Processed Non-zero TRI Data'!$S:$S,'Processed Non-zero TRI Data'!$I:$I,$H187), "N/A - Facility Does Not Report to TRI")</f>
        <v>N/A - Facility Does Not Report to TRI</v>
      </c>
      <c r="AC187" s="33" t="str">
        <f t="shared" si="32"/>
        <v>N/A - Facility Does Not Report to TRI</v>
      </c>
      <c r="AD187" s="110" t="str" cm="1">
        <f t="array" ref="AD187">IFERROR(IF(B187 = "TRI Form R", IF(AB187 = 0, "Facility has no on-site water discharges between 2019-2023.",  IF(COUNTIF('Processed Non-zero TRI Data'!$I:$I,$H187)&gt;0,INDEX('Processed Non-zero TRI Data'!$A:$A,MATCH(1,($H187='Processed Non-zero TRI Data'!$I:$I)*(AB187='Processed Non-zero TRI Data'!$S:$S),0)))), VLOOKUP(H187, 'Form A Recent Reporting'!$L:$M, 2, FALSE)), ("N/A - Facility Does Not Report to TRI"))</f>
        <v>N/A - Facility Does Not Report to TRI</v>
      </c>
      <c r="AE187" s="109" cm="1">
        <f t="array" ref="AE187">IFERROR(_xlfn.XLOOKUP(1,  (MAX(IF(H187 = 'Processed Non-zero TRI Data'!$I:$I,'Processed Non-zero TRI Data'!$A:$A)) = 'Processed Non-zero TRI Data'!$A:$A)*('Processed Non-zero TRI Data'!$I:$I = H187), 'Processed Non-zero TRI Data'!$U:$U), "N/A- Facility Does Not Report to TRI")</f>
        <v>0</v>
      </c>
      <c r="AF187" s="33">
        <f t="shared" si="33"/>
        <v>0</v>
      </c>
      <c r="AG187" s="33" t="str" cm="1">
        <f t="array" ref="AG187">IF(COUNTIF('Processed Non-zero TRI Data'!$I:$I,$H187)&gt;0,MEDIAN(IF('Processed Non-zero TRI Data'!$I:$I=H187,'Processed Non-zero TRI Data'!$U:$U)), "N/A - Facility Does Not Report to TRI")</f>
        <v>N/A - Facility Does Not Report to TRI</v>
      </c>
      <c r="AH187" s="33" t="str">
        <f t="shared" si="34"/>
        <v>N/A - Facility Does Not Report to TRI</v>
      </c>
      <c r="AI187" s="33" t="str">
        <f>IF(COUNTIF('Processed Non-zero TRI Data'!$I:$I,$H187)&gt;0,_xlfn.MAXIFS('Processed Non-zero TRI Data'!$U:$U,'Processed Non-zero TRI Data'!$I:$I,$H187), "N/A - Facility Does Not Report to TRI")</f>
        <v>N/A - Facility Does Not Report to TRI</v>
      </c>
      <c r="AJ187" s="33" t="str">
        <f t="shared" si="35"/>
        <v>N/A - Facility Does Not Report to TRI</v>
      </c>
      <c r="AK187" s="110" t="str" cm="1">
        <f t="array" ref="AK187">IF(B187="TRI Form A",AD187,IF(AI187=0,"Facility has no transfers to POTWs between 2019-2023.",IF(COUNTIF('Processed Non-zero TRI Data'!$I:$I,$H187)&gt;0,INDEX('Processed Non-zero TRI Data'!$A:$A,MATCH(1,($H187='Processed Non-zero TRI Data'!$I:$I)*(AI187='Processed Non-zero TRI Data'!$U:$U),0)),"N/A - Facility Does Not Report to TRI")))</f>
        <v>N/A - Facility Does Not Report to TRI</v>
      </c>
      <c r="AL187" s="109" cm="1">
        <f t="array" ref="AL187">IFERROR(_xlfn.XLOOKUP(1,  (MAX(IF(H187 = 'Processed Non-zero TRI Data'!$I$2:$I$23,'Processed Non-zero TRI Data'!$A$2:$A$23)) = 'Processed Non-zero TRI Data'!$A$2:$A$23)*('Processed Non-zero TRI Data'!$I$2:$I$23 = H187), 'Processed Non-zero TRI Data'!$W$2:$W$23), "N/A- Facility Does Not Report to TRI")</f>
        <v>0</v>
      </c>
      <c r="AM187" s="33">
        <f t="shared" si="36"/>
        <v>0</v>
      </c>
      <c r="AN187" s="33" t="str" cm="1">
        <f t="array" ref="AN187">IF(COUNTIF('Processed Non-zero TRI Data'!$I:$I,$H187)&gt;0,MEDIAN(IF('Processed Non-zero TRI Data'!$I:$I=H187,'Processed Non-zero TRI Data'!$W:$W)), "N/A - Facility Does Not Report to TRI")</f>
        <v>N/A - Facility Does Not Report to TRI</v>
      </c>
      <c r="AO187" s="33" t="str">
        <f t="shared" si="37"/>
        <v>N/A - Facility Does Not Report to TRI</v>
      </c>
      <c r="AP187" s="33" t="str">
        <f>IF(COUNTIF('Processed Non-zero TRI Data'!$I:$I,$H187)&gt;0,_xlfn.MAXIFS('Processed Non-zero TRI Data'!$W:$W,'Processed Non-zero TRI Data'!$I:$I,$H187), "N/A - Facility Does Not Report to TRI")</f>
        <v>N/A - Facility Does Not Report to TRI</v>
      </c>
      <c r="AQ187" s="33" t="str">
        <f t="shared" si="38"/>
        <v>N/A - Facility Does Not Report to TRI</v>
      </c>
      <c r="AR187" s="110" t="str" cm="1">
        <f t="array" ref="AR187">IF(B187="TRI Form A",AD187,IF(AP187=0,"Facility has no transfers to non-POTWs between 2019-2023.",IF(COUNTIF('Processed Non-zero TRI Data'!$I:$I,$H187)&gt;0,INDEX('Processed Non-zero TRI Data'!$A:$A,MATCH(1,($H187='Processed Non-zero TRI Data'!$I:$I)*(AP187='Processed Non-zero TRI Data'!$W:$W),0)),"N/A - Facility Does Not Report to TRI")))</f>
        <v>N/A - Facility Does Not Report to TRI</v>
      </c>
    </row>
    <row r="188" spans="1:44" ht="29" x14ac:dyDescent="0.35">
      <c r="A188" s="34">
        <v>185</v>
      </c>
      <c r="B188" s="33" t="str">
        <f>IFERROR("TRI Form "&amp;VLOOKUP(H188,'Processed Non-zero TRI Data'!$I$2:$K$23,3,FALSE),"DMR")</f>
        <v>DMR</v>
      </c>
      <c r="C188" s="33" t="str">
        <f>VLOOKUP($D188, 'COU.OES Summary'!C:D, 2, FALSE)</f>
        <v> </v>
      </c>
      <c r="D188" s="33" t="str">
        <f>IFERROR(VLOOKUP($H188, 'Processed Non-zero TRI Data'!$I:$O, 7, FALSE), VLOOKUP($I188, 'Processed Non-zero DMR Data'!$K:$R, 8, FALSE))</f>
        <v>Waste handling, treatment, and disposal - Remediation or Monitoring</v>
      </c>
      <c r="E188" s="34" t="s">
        <v>454</v>
      </c>
      <c r="F188" s="34" t="s">
        <v>455</v>
      </c>
      <c r="G188" s="34" t="s">
        <v>111</v>
      </c>
      <c r="H188" s="34"/>
      <c r="I188" s="105">
        <v>110000500459</v>
      </c>
      <c r="J188" s="33" t="str">
        <f>IFERROR(VLOOKUP($I188, 'Processed Non-zero DMR Data'!$K:$U, 11, FALSE),"")</f>
        <v>IL0064564</v>
      </c>
      <c r="K188" s="33" t="str">
        <f>IFERROR(VLOOKUP($I188, 'Processed Non-zero DMR Data'!$K:$V, 12, FALSE),"Not Reported")</f>
        <v>City of Beloit-Lower Rock River</v>
      </c>
      <c r="L188" s="106">
        <f>IFERROR(VLOOKUP($I188, 'Processed Non-zero DMR Data'!$K:$W, 13, FALSE),"No Reach Code Reported")</f>
        <v>70900021502</v>
      </c>
      <c r="M188" s="107" t="str">
        <f>IFERROR(IFERROR(VLOOKUP(H188, 'Off-site Locations'!$K$3:$O$5, 5, FALSE), VLOOKUP(H188, 'Off-site Locations'!$B$3:$E$4, 4, FALSE)), "No Offsite Transfers")</f>
        <v>No Offsite Transfers</v>
      </c>
      <c r="N188" s="33">
        <f>VLOOKUP($D188, 'COU.OES Summary'!C:E, 3, FALSE)</f>
        <v>365</v>
      </c>
      <c r="O188" s="108">
        <f t="shared" si="28"/>
        <v>0</v>
      </c>
      <c r="P188" s="108">
        <f t="shared" si="29"/>
        <v>0.1101226825</v>
      </c>
      <c r="Q188" s="109" cm="1">
        <f t="array" ref="Q188">IFERROR(_xlfn.XLOOKUP(1,  (MAX(IF(I188 = 'Processed Non-zero DMR Data'!$K:$K,'Processed Non-zero DMR Data'!$A:$A)) = 'Processed Non-zero DMR Data'!$A:$A)*('Processed Non-zero DMR Data'!$K:$K = I188),'Processed Non-zero DMR Data'!$T:$T), "N/A- Facility Does Not Report DMRs")</f>
        <v>0.1101226825</v>
      </c>
      <c r="R188" s="33">
        <f t="shared" si="39"/>
        <v>3.0170597945205477E-4</v>
      </c>
      <c r="S188" s="33" cm="1">
        <f t="array" ref="S188">IF(COUNTIF('Processed Non-zero DMR Data'!$K:$K,$I188)&gt;0,MEDIAN(IF('Processed Non-zero DMR Data'!$K:$K=I188,'Processed Non-zero DMR Data'!$T:$T)),"N/A - Facility Does Not Report DMRs")</f>
        <v>0.10504794375</v>
      </c>
      <c r="T188" s="33">
        <f t="shared" si="40"/>
        <v>2.8780258561643835E-4</v>
      </c>
      <c r="U188" s="33">
        <f>IF(COUNTIF('Processed Non-zero DMR Data'!$K:$K,$I188)&gt;0,_xlfn.MAXIFS('Processed Non-zero DMR Data'!$T:$T,'Processed Non-zero DMR Data'!$K:$K,$I188), "N/A - Facility Does Not Report DMRs")</f>
        <v>0.1101226825</v>
      </c>
      <c r="V188" s="33">
        <f t="shared" si="41"/>
        <v>3.0170597945205477E-4</v>
      </c>
      <c r="W188" s="110" cm="1">
        <f t="array" ref="W188">IF(COUNTIF('Processed Non-zero DMR Data'!$K:$K,$I188)&gt;0,INDEX('Processed Non-zero DMR Data'!$A:$A,MATCH(1,($I188='Processed Non-zero DMR Data'!$K:$K)*($U188='Processed Non-zero DMR Data'!$T:$T),0)), "N/A - Facility Does Not Report DMRs")</f>
        <v>2020</v>
      </c>
      <c r="X188" s="109" cm="1">
        <f t="array" ref="X188">IFERROR(_xlfn.XLOOKUP(1,  (MAX(IF(H188 = 'Processed Non-zero TRI Data'!$I:$I,'Processed Non-zero TRI Data'!$A:$A)) = 'Processed Non-zero TRI Data'!$A:$A)*('Processed Non-zero TRI Data'!$I:$I = H188), 'Processed Non-zero TRI Data'!$S:$S), "N/A- Facility Does Not Report to TRI")</f>
        <v>0</v>
      </c>
      <c r="Y188" s="33">
        <f t="shared" si="30"/>
        <v>0</v>
      </c>
      <c r="Z188" s="33" t="str" cm="1">
        <f t="array" ref="Z188">IF(COUNTIF('Processed Non-zero TRI Data'!$I:$I,$H188)&gt;0,MEDIAN(IF('Processed Non-zero TRI Data'!$I:$I=H188,'Processed Non-zero TRI Data'!$S:$S)), "N/A - Facility Does Not Report to TRI")</f>
        <v>N/A - Facility Does Not Report to TRI</v>
      </c>
      <c r="AA188" s="33" t="str">
        <f t="shared" si="31"/>
        <v>N/A - Facility Does Not Report to TRI</v>
      </c>
      <c r="AB188" s="33" t="str">
        <f>IF(COUNTIF('Processed Non-zero TRI Data'!$I:$I,$H188)&gt;0,_xlfn.MAXIFS('Processed Non-zero TRI Data'!$S:$S,'Processed Non-zero TRI Data'!$I:$I,$H188), "N/A - Facility Does Not Report to TRI")</f>
        <v>N/A - Facility Does Not Report to TRI</v>
      </c>
      <c r="AC188" s="33" t="str">
        <f t="shared" si="32"/>
        <v>N/A - Facility Does Not Report to TRI</v>
      </c>
      <c r="AD188" s="110" t="str" cm="1">
        <f t="array" ref="AD188">IFERROR(IF(B188 = "TRI Form R", IF(AB188 = 0, "Facility has no on-site water discharges between 2019-2023.",  IF(COUNTIF('Processed Non-zero TRI Data'!$I:$I,$H188)&gt;0,INDEX('Processed Non-zero TRI Data'!$A:$A,MATCH(1,($H188='Processed Non-zero TRI Data'!$I:$I)*(AB188='Processed Non-zero TRI Data'!$S:$S),0)))), VLOOKUP(H188, 'Form A Recent Reporting'!$L:$M, 2, FALSE)), ("N/A - Facility Does Not Report to TRI"))</f>
        <v>N/A - Facility Does Not Report to TRI</v>
      </c>
      <c r="AE188" s="109" cm="1">
        <f t="array" ref="AE188">IFERROR(_xlfn.XLOOKUP(1,  (MAX(IF(H188 = 'Processed Non-zero TRI Data'!$I:$I,'Processed Non-zero TRI Data'!$A:$A)) = 'Processed Non-zero TRI Data'!$A:$A)*('Processed Non-zero TRI Data'!$I:$I = H188), 'Processed Non-zero TRI Data'!$U:$U), "N/A- Facility Does Not Report to TRI")</f>
        <v>0</v>
      </c>
      <c r="AF188" s="33">
        <f t="shared" si="33"/>
        <v>0</v>
      </c>
      <c r="AG188" s="33" t="str" cm="1">
        <f t="array" ref="AG188">IF(COUNTIF('Processed Non-zero TRI Data'!$I:$I,$H188)&gt;0,MEDIAN(IF('Processed Non-zero TRI Data'!$I:$I=H188,'Processed Non-zero TRI Data'!$U:$U)), "N/A - Facility Does Not Report to TRI")</f>
        <v>N/A - Facility Does Not Report to TRI</v>
      </c>
      <c r="AH188" s="33" t="str">
        <f t="shared" si="34"/>
        <v>N/A - Facility Does Not Report to TRI</v>
      </c>
      <c r="AI188" s="33" t="str">
        <f>IF(COUNTIF('Processed Non-zero TRI Data'!$I:$I,$H188)&gt;0,_xlfn.MAXIFS('Processed Non-zero TRI Data'!$U:$U,'Processed Non-zero TRI Data'!$I:$I,$H188), "N/A - Facility Does Not Report to TRI")</f>
        <v>N/A - Facility Does Not Report to TRI</v>
      </c>
      <c r="AJ188" s="33" t="str">
        <f t="shared" si="35"/>
        <v>N/A - Facility Does Not Report to TRI</v>
      </c>
      <c r="AK188" s="110" t="str" cm="1">
        <f t="array" ref="AK188">IF(B188="TRI Form A",AD188,IF(AI188=0,"Facility has no transfers to POTWs between 2019-2023.",IF(COUNTIF('Processed Non-zero TRI Data'!$I:$I,$H188)&gt;0,INDEX('Processed Non-zero TRI Data'!$A:$A,MATCH(1,($H188='Processed Non-zero TRI Data'!$I:$I)*(AI188='Processed Non-zero TRI Data'!$U:$U),0)),"N/A - Facility Does Not Report to TRI")))</f>
        <v>N/A - Facility Does Not Report to TRI</v>
      </c>
      <c r="AL188" s="109" cm="1">
        <f t="array" ref="AL188">IFERROR(_xlfn.XLOOKUP(1,  (MAX(IF(H188 = 'Processed Non-zero TRI Data'!$I$2:$I$23,'Processed Non-zero TRI Data'!$A$2:$A$23)) = 'Processed Non-zero TRI Data'!$A$2:$A$23)*('Processed Non-zero TRI Data'!$I$2:$I$23 = H188), 'Processed Non-zero TRI Data'!$W$2:$W$23), "N/A- Facility Does Not Report to TRI")</f>
        <v>0</v>
      </c>
      <c r="AM188" s="33">
        <f t="shared" si="36"/>
        <v>0</v>
      </c>
      <c r="AN188" s="33" t="str" cm="1">
        <f t="array" ref="AN188">IF(COUNTIF('Processed Non-zero TRI Data'!$I:$I,$H188)&gt;0,MEDIAN(IF('Processed Non-zero TRI Data'!$I:$I=H188,'Processed Non-zero TRI Data'!$W:$W)), "N/A - Facility Does Not Report to TRI")</f>
        <v>N/A - Facility Does Not Report to TRI</v>
      </c>
      <c r="AO188" s="33" t="str">
        <f t="shared" si="37"/>
        <v>N/A - Facility Does Not Report to TRI</v>
      </c>
      <c r="AP188" s="33" t="str">
        <f>IF(COUNTIF('Processed Non-zero TRI Data'!$I:$I,$H188)&gt;0,_xlfn.MAXIFS('Processed Non-zero TRI Data'!$W:$W,'Processed Non-zero TRI Data'!$I:$I,$H188), "N/A - Facility Does Not Report to TRI")</f>
        <v>N/A - Facility Does Not Report to TRI</v>
      </c>
      <c r="AQ188" s="33" t="str">
        <f t="shared" si="38"/>
        <v>N/A - Facility Does Not Report to TRI</v>
      </c>
      <c r="AR188" s="110" t="str" cm="1">
        <f t="array" ref="AR188">IF(B188="TRI Form A",AD188,IF(AP188=0,"Facility has no transfers to non-POTWs between 2019-2023.",IF(COUNTIF('Processed Non-zero TRI Data'!$I:$I,$H188)&gt;0,INDEX('Processed Non-zero TRI Data'!$A:$A,MATCH(1,($H188='Processed Non-zero TRI Data'!$I:$I)*(AP188='Processed Non-zero TRI Data'!$W:$W),0)),"N/A - Facility Does Not Report to TRI")))</f>
        <v>N/A - Facility Does Not Report to TRI</v>
      </c>
    </row>
    <row r="189" spans="1:44" ht="29" x14ac:dyDescent="0.35">
      <c r="A189" s="34">
        <v>186</v>
      </c>
      <c r="B189" s="33" t="str">
        <f>IFERROR("TRI Form "&amp;VLOOKUP(H189,'Processed Non-zero TRI Data'!$I$2:$K$23,3,FALSE),"DMR")</f>
        <v>DMR</v>
      </c>
      <c r="C189" s="33" t="str">
        <f>VLOOKUP($D189, 'COU.OES Summary'!C:D, 2, FALSE)</f>
        <v> </v>
      </c>
      <c r="D189" s="33" t="str">
        <f>IFERROR(VLOOKUP($H189, 'Processed Non-zero TRI Data'!$I:$O, 7, FALSE), VLOOKUP($I189, 'Processed Non-zero DMR Data'!$K:$R, 8, FALSE))</f>
        <v>Waste handling, treatment, and disposal - Remediation or Monitoring</v>
      </c>
      <c r="E189" s="34" t="s">
        <v>456</v>
      </c>
      <c r="F189" s="34" t="s">
        <v>457</v>
      </c>
      <c r="G189" s="34" t="s">
        <v>458</v>
      </c>
      <c r="H189" s="34"/>
      <c r="I189" s="105">
        <v>110058286331</v>
      </c>
      <c r="J189" s="33" t="str">
        <f>IFERROR(VLOOKUP($I189, 'Processed Non-zero DMR Data'!$K:$U, 11, FALSE),"")</f>
        <v>OH0143880</v>
      </c>
      <c r="K189" s="33" t="str">
        <f>IFERROR(VLOOKUP($I189, 'Processed Non-zero DMR Data'!$K:$V, 12, FALSE),"Not Reported")</f>
        <v>Deer Creek-Bean Creek</v>
      </c>
      <c r="L189" s="106">
        <f>IFERROR(VLOOKUP($I189, 'Processed Non-zero DMR Data'!$K:$W, 13, FALSE),"No Reach Code Reported")</f>
        <v>41000060202</v>
      </c>
      <c r="M189" s="107" t="str">
        <f>IFERROR(IFERROR(VLOOKUP(H189, 'Off-site Locations'!$K$3:$O$5, 5, FALSE), VLOOKUP(H189, 'Off-site Locations'!$B$3:$E$4, 4, FALSE)), "No Offsite Transfers")</f>
        <v>No Offsite Transfers</v>
      </c>
      <c r="N189" s="33">
        <f>VLOOKUP($D189, 'COU.OES Summary'!C:E, 3, FALSE)</f>
        <v>365</v>
      </c>
      <c r="O189" s="108">
        <f t="shared" si="28"/>
        <v>0</v>
      </c>
      <c r="P189" s="108">
        <f t="shared" si="29"/>
        <v>0.106970801721</v>
      </c>
      <c r="Q189" s="109" cm="1">
        <f t="array" ref="Q189">IFERROR(_xlfn.XLOOKUP(1,  (MAX(IF(I189 = 'Processed Non-zero DMR Data'!$K:$K,'Processed Non-zero DMR Data'!$A:$A)) = 'Processed Non-zero DMR Data'!$A:$A)*('Processed Non-zero DMR Data'!$K:$K = I189),'Processed Non-zero DMR Data'!$T:$T), "N/A- Facility Does Not Report DMRs")</f>
        <v>0.106970801721</v>
      </c>
      <c r="R189" s="33">
        <f t="shared" si="39"/>
        <v>2.9307068964657535E-4</v>
      </c>
      <c r="S189" s="33" cm="1">
        <f t="array" ref="S189">IF(COUNTIF('Processed Non-zero DMR Data'!$K:$K,$I189)&gt;0,MEDIAN(IF('Processed Non-zero DMR Data'!$K:$K=I189,'Processed Non-zero DMR Data'!$T:$T)),"N/A - Facility Does Not Report DMRs")</f>
        <v>0.106970801721</v>
      </c>
      <c r="T189" s="33">
        <f t="shared" si="40"/>
        <v>2.9307068964657535E-4</v>
      </c>
      <c r="U189" s="33">
        <f>IF(COUNTIF('Processed Non-zero DMR Data'!$K:$K,$I189)&gt;0,_xlfn.MAXIFS('Processed Non-zero DMR Data'!$T:$T,'Processed Non-zero DMR Data'!$K:$K,$I189), "N/A - Facility Does Not Report DMRs")</f>
        <v>0.106970801721</v>
      </c>
      <c r="V189" s="33">
        <f t="shared" si="41"/>
        <v>2.9307068964657535E-4</v>
      </c>
      <c r="W189" s="110" cm="1">
        <f t="array" ref="W189">IF(COUNTIF('Processed Non-zero DMR Data'!$K:$K,$I189)&gt;0,INDEX('Processed Non-zero DMR Data'!$A:$A,MATCH(1,($I189='Processed Non-zero DMR Data'!$K:$K)*($U189='Processed Non-zero DMR Data'!$T:$T),0)), "N/A - Facility Does Not Report DMRs")</f>
        <v>2019</v>
      </c>
      <c r="X189" s="109" cm="1">
        <f t="array" ref="X189">IFERROR(_xlfn.XLOOKUP(1,  (MAX(IF(H189 = 'Processed Non-zero TRI Data'!$I:$I,'Processed Non-zero TRI Data'!$A:$A)) = 'Processed Non-zero TRI Data'!$A:$A)*('Processed Non-zero TRI Data'!$I:$I = H189), 'Processed Non-zero TRI Data'!$S:$S), "N/A- Facility Does Not Report to TRI")</f>
        <v>0</v>
      </c>
      <c r="Y189" s="33">
        <f t="shared" si="30"/>
        <v>0</v>
      </c>
      <c r="Z189" s="33" t="str" cm="1">
        <f t="array" ref="Z189">IF(COUNTIF('Processed Non-zero TRI Data'!$I:$I,$H189)&gt;0,MEDIAN(IF('Processed Non-zero TRI Data'!$I:$I=H189,'Processed Non-zero TRI Data'!$S:$S)), "N/A - Facility Does Not Report to TRI")</f>
        <v>N/A - Facility Does Not Report to TRI</v>
      </c>
      <c r="AA189" s="33" t="str">
        <f t="shared" si="31"/>
        <v>N/A - Facility Does Not Report to TRI</v>
      </c>
      <c r="AB189" s="33" t="str">
        <f>IF(COUNTIF('Processed Non-zero TRI Data'!$I:$I,$H189)&gt;0,_xlfn.MAXIFS('Processed Non-zero TRI Data'!$S:$S,'Processed Non-zero TRI Data'!$I:$I,$H189), "N/A - Facility Does Not Report to TRI")</f>
        <v>N/A - Facility Does Not Report to TRI</v>
      </c>
      <c r="AC189" s="33" t="str">
        <f t="shared" si="32"/>
        <v>N/A - Facility Does Not Report to TRI</v>
      </c>
      <c r="AD189" s="110" t="str" cm="1">
        <f t="array" ref="AD189">IFERROR(IF(B189 = "TRI Form R", IF(AB189 = 0, "Facility has no on-site water discharges between 2019-2023.",  IF(COUNTIF('Processed Non-zero TRI Data'!$I:$I,$H189)&gt;0,INDEX('Processed Non-zero TRI Data'!$A:$A,MATCH(1,($H189='Processed Non-zero TRI Data'!$I:$I)*(AB189='Processed Non-zero TRI Data'!$S:$S),0)))), VLOOKUP(H189, 'Form A Recent Reporting'!$L:$M, 2, FALSE)), ("N/A - Facility Does Not Report to TRI"))</f>
        <v>N/A - Facility Does Not Report to TRI</v>
      </c>
      <c r="AE189" s="109" cm="1">
        <f t="array" ref="AE189">IFERROR(_xlfn.XLOOKUP(1,  (MAX(IF(H189 = 'Processed Non-zero TRI Data'!$I:$I,'Processed Non-zero TRI Data'!$A:$A)) = 'Processed Non-zero TRI Data'!$A:$A)*('Processed Non-zero TRI Data'!$I:$I = H189), 'Processed Non-zero TRI Data'!$U:$U), "N/A- Facility Does Not Report to TRI")</f>
        <v>0</v>
      </c>
      <c r="AF189" s="33">
        <f t="shared" si="33"/>
        <v>0</v>
      </c>
      <c r="AG189" s="33" t="str" cm="1">
        <f t="array" ref="AG189">IF(COUNTIF('Processed Non-zero TRI Data'!$I:$I,$H189)&gt;0,MEDIAN(IF('Processed Non-zero TRI Data'!$I:$I=H189,'Processed Non-zero TRI Data'!$U:$U)), "N/A - Facility Does Not Report to TRI")</f>
        <v>N/A - Facility Does Not Report to TRI</v>
      </c>
      <c r="AH189" s="33" t="str">
        <f t="shared" si="34"/>
        <v>N/A - Facility Does Not Report to TRI</v>
      </c>
      <c r="AI189" s="33" t="str">
        <f>IF(COUNTIF('Processed Non-zero TRI Data'!$I:$I,$H189)&gt;0,_xlfn.MAXIFS('Processed Non-zero TRI Data'!$U:$U,'Processed Non-zero TRI Data'!$I:$I,$H189), "N/A - Facility Does Not Report to TRI")</f>
        <v>N/A - Facility Does Not Report to TRI</v>
      </c>
      <c r="AJ189" s="33" t="str">
        <f t="shared" si="35"/>
        <v>N/A - Facility Does Not Report to TRI</v>
      </c>
      <c r="AK189" s="110" t="str" cm="1">
        <f t="array" ref="AK189">IF(B189="TRI Form A",AD189,IF(AI189=0,"Facility has no transfers to POTWs between 2019-2023.",IF(COUNTIF('Processed Non-zero TRI Data'!$I:$I,$H189)&gt;0,INDEX('Processed Non-zero TRI Data'!$A:$A,MATCH(1,($H189='Processed Non-zero TRI Data'!$I:$I)*(AI189='Processed Non-zero TRI Data'!$U:$U),0)),"N/A - Facility Does Not Report to TRI")))</f>
        <v>N/A - Facility Does Not Report to TRI</v>
      </c>
      <c r="AL189" s="109" cm="1">
        <f t="array" ref="AL189">IFERROR(_xlfn.XLOOKUP(1,  (MAX(IF(H189 = 'Processed Non-zero TRI Data'!$I$2:$I$23,'Processed Non-zero TRI Data'!$A$2:$A$23)) = 'Processed Non-zero TRI Data'!$A$2:$A$23)*('Processed Non-zero TRI Data'!$I$2:$I$23 = H189), 'Processed Non-zero TRI Data'!$W$2:$W$23), "N/A- Facility Does Not Report to TRI")</f>
        <v>0</v>
      </c>
      <c r="AM189" s="33">
        <f t="shared" si="36"/>
        <v>0</v>
      </c>
      <c r="AN189" s="33" t="str" cm="1">
        <f t="array" ref="AN189">IF(COUNTIF('Processed Non-zero TRI Data'!$I:$I,$H189)&gt;0,MEDIAN(IF('Processed Non-zero TRI Data'!$I:$I=H189,'Processed Non-zero TRI Data'!$W:$W)), "N/A - Facility Does Not Report to TRI")</f>
        <v>N/A - Facility Does Not Report to TRI</v>
      </c>
      <c r="AO189" s="33" t="str">
        <f t="shared" si="37"/>
        <v>N/A - Facility Does Not Report to TRI</v>
      </c>
      <c r="AP189" s="33" t="str">
        <f>IF(COUNTIF('Processed Non-zero TRI Data'!$I:$I,$H189)&gt;0,_xlfn.MAXIFS('Processed Non-zero TRI Data'!$W:$W,'Processed Non-zero TRI Data'!$I:$I,$H189), "N/A - Facility Does Not Report to TRI")</f>
        <v>N/A - Facility Does Not Report to TRI</v>
      </c>
      <c r="AQ189" s="33" t="str">
        <f t="shared" si="38"/>
        <v>N/A - Facility Does Not Report to TRI</v>
      </c>
      <c r="AR189" s="110" t="str" cm="1">
        <f t="array" ref="AR189">IF(B189="TRI Form A",AD189,IF(AP189=0,"Facility has no transfers to non-POTWs between 2019-2023.",IF(COUNTIF('Processed Non-zero TRI Data'!$I:$I,$H189)&gt;0,INDEX('Processed Non-zero TRI Data'!$A:$A,MATCH(1,($H189='Processed Non-zero TRI Data'!$I:$I)*(AP189='Processed Non-zero TRI Data'!$W:$W),0)),"N/A - Facility Does Not Report to TRI")))</f>
        <v>N/A - Facility Does Not Report to TRI</v>
      </c>
    </row>
    <row r="190" spans="1:44" ht="29" x14ac:dyDescent="0.35">
      <c r="A190" s="34">
        <v>187</v>
      </c>
      <c r="B190" s="33" t="str">
        <f>IFERROR("TRI Form "&amp;VLOOKUP(H190,'Processed Non-zero TRI Data'!$I$2:$K$23,3,FALSE),"DMR")</f>
        <v>DMR</v>
      </c>
      <c r="C190" s="33" t="str">
        <f>VLOOKUP($D190, 'COU.OES Summary'!C:D, 2, FALSE)</f>
        <v> </v>
      </c>
      <c r="D190" s="33" t="str">
        <f>IFERROR(VLOOKUP($H190, 'Processed Non-zero TRI Data'!$I:$O, 7, FALSE), VLOOKUP($I190, 'Processed Non-zero DMR Data'!$K:$R, 8, FALSE))</f>
        <v>Waste handling, treatment, and disposal - Remediation or Monitoring</v>
      </c>
      <c r="E190" s="34" t="s">
        <v>459</v>
      </c>
      <c r="F190" s="34" t="s">
        <v>460</v>
      </c>
      <c r="G190" s="34" t="s">
        <v>126</v>
      </c>
      <c r="H190" s="34"/>
      <c r="I190" s="105">
        <v>110000326193</v>
      </c>
      <c r="J190" s="33" t="str">
        <f>IFERROR(VLOOKUP($I190, 'Processed Non-zero DMR Data'!$K:$U, 11, FALSE),"")</f>
        <v>NY0003824</v>
      </c>
      <c r="K190" s="33" t="str">
        <f>IFERROR(VLOOKUP($I190, 'Processed Non-zero DMR Data'!$K:$V, 12, FALSE),"Not Reported")</f>
        <v>Martin Brook-Susquehanna River</v>
      </c>
      <c r="L190" s="106">
        <f>IFERROR(VLOOKUP($I190, 'Processed Non-zero DMR Data'!$K:$W, 13, FALSE),"No Reach Code Reported")</f>
        <v>20501011105</v>
      </c>
      <c r="M190" s="107" t="str">
        <f>IFERROR(IFERROR(VLOOKUP(H190, 'Off-site Locations'!$K$3:$O$5, 5, FALSE), VLOOKUP(H190, 'Off-site Locations'!$B$3:$E$4, 4, FALSE)), "No Offsite Transfers")</f>
        <v>No Offsite Transfers</v>
      </c>
      <c r="N190" s="33">
        <f>VLOOKUP($D190, 'COU.OES Summary'!C:E, 3, FALSE)</f>
        <v>365</v>
      </c>
      <c r="O190" s="108">
        <f t="shared" si="28"/>
        <v>0</v>
      </c>
      <c r="P190" s="108">
        <f t="shared" si="29"/>
        <v>0.106831946725</v>
      </c>
      <c r="Q190" s="109" cm="1">
        <f t="array" ref="Q190">IFERROR(_xlfn.XLOOKUP(1,  (MAX(IF(I190 = 'Processed Non-zero DMR Data'!$K:$K,'Processed Non-zero DMR Data'!$A:$A)) = 'Processed Non-zero DMR Data'!$A:$A)*('Processed Non-zero DMR Data'!$K:$K = I190),'Processed Non-zero DMR Data'!$T:$T), "N/A- Facility Does Not Report DMRs")</f>
        <v>4.4775851667499998E-2</v>
      </c>
      <c r="R190" s="33">
        <f t="shared" si="39"/>
        <v>1.2267356621232877E-4</v>
      </c>
      <c r="S190" s="33" cm="1">
        <f t="array" ref="S190">IF(COUNTIF('Processed Non-zero DMR Data'!$K:$K,$I190)&gt;0,MEDIAN(IF('Processed Non-zero DMR Data'!$K:$K=I190,'Processed Non-zero DMR Data'!$T:$T)),"N/A - Facility Does Not Report DMRs")</f>
        <v>5.3623041250000003E-2</v>
      </c>
      <c r="T190" s="33">
        <f t="shared" si="40"/>
        <v>1.4691244178082193E-4</v>
      </c>
      <c r="U190" s="33">
        <f>IF(COUNTIF('Processed Non-zero DMR Data'!$K:$K,$I190)&gt;0,_xlfn.MAXIFS('Processed Non-zero DMR Data'!$T:$T,'Processed Non-zero DMR Data'!$K:$K,$I190), "N/A - Facility Does Not Report DMRs")</f>
        <v>0.106831946725</v>
      </c>
      <c r="V190" s="33">
        <f t="shared" si="41"/>
        <v>2.9269026499999999E-4</v>
      </c>
      <c r="W190" s="110" cm="1">
        <f t="array" ref="W190">IF(COUNTIF('Processed Non-zero DMR Data'!$K:$K,$I190)&gt;0,INDEX('Processed Non-zero DMR Data'!$A:$A,MATCH(1,($I190='Processed Non-zero DMR Data'!$K:$K)*($U190='Processed Non-zero DMR Data'!$T:$T),0)), "N/A - Facility Does Not Report DMRs")</f>
        <v>2019</v>
      </c>
      <c r="X190" s="109" cm="1">
        <f t="array" ref="X190">IFERROR(_xlfn.XLOOKUP(1,  (MAX(IF(H190 = 'Processed Non-zero TRI Data'!$I:$I,'Processed Non-zero TRI Data'!$A:$A)) = 'Processed Non-zero TRI Data'!$A:$A)*('Processed Non-zero TRI Data'!$I:$I = H190), 'Processed Non-zero TRI Data'!$S:$S), "N/A- Facility Does Not Report to TRI")</f>
        <v>0</v>
      </c>
      <c r="Y190" s="33">
        <f t="shared" si="30"/>
        <v>0</v>
      </c>
      <c r="Z190" s="33" t="str" cm="1">
        <f t="array" ref="Z190">IF(COUNTIF('Processed Non-zero TRI Data'!$I:$I,$H190)&gt;0,MEDIAN(IF('Processed Non-zero TRI Data'!$I:$I=H190,'Processed Non-zero TRI Data'!$S:$S)), "N/A - Facility Does Not Report to TRI")</f>
        <v>N/A - Facility Does Not Report to TRI</v>
      </c>
      <c r="AA190" s="33" t="str">
        <f t="shared" si="31"/>
        <v>N/A - Facility Does Not Report to TRI</v>
      </c>
      <c r="AB190" s="33" t="str">
        <f>IF(COUNTIF('Processed Non-zero TRI Data'!$I:$I,$H190)&gt;0,_xlfn.MAXIFS('Processed Non-zero TRI Data'!$S:$S,'Processed Non-zero TRI Data'!$I:$I,$H190), "N/A - Facility Does Not Report to TRI")</f>
        <v>N/A - Facility Does Not Report to TRI</v>
      </c>
      <c r="AC190" s="33" t="str">
        <f t="shared" si="32"/>
        <v>N/A - Facility Does Not Report to TRI</v>
      </c>
      <c r="AD190" s="110" t="str" cm="1">
        <f t="array" ref="AD190">IFERROR(IF(B190 = "TRI Form R", IF(AB190 = 0, "Facility has no on-site water discharges between 2019-2023.",  IF(COUNTIF('Processed Non-zero TRI Data'!$I:$I,$H190)&gt;0,INDEX('Processed Non-zero TRI Data'!$A:$A,MATCH(1,($H190='Processed Non-zero TRI Data'!$I:$I)*(AB190='Processed Non-zero TRI Data'!$S:$S),0)))), VLOOKUP(H190, 'Form A Recent Reporting'!$L:$M, 2, FALSE)), ("N/A - Facility Does Not Report to TRI"))</f>
        <v>N/A - Facility Does Not Report to TRI</v>
      </c>
      <c r="AE190" s="109" cm="1">
        <f t="array" ref="AE190">IFERROR(_xlfn.XLOOKUP(1,  (MAX(IF(H190 = 'Processed Non-zero TRI Data'!$I:$I,'Processed Non-zero TRI Data'!$A:$A)) = 'Processed Non-zero TRI Data'!$A:$A)*('Processed Non-zero TRI Data'!$I:$I = H190), 'Processed Non-zero TRI Data'!$U:$U), "N/A- Facility Does Not Report to TRI")</f>
        <v>0</v>
      </c>
      <c r="AF190" s="33">
        <f t="shared" si="33"/>
        <v>0</v>
      </c>
      <c r="AG190" s="33" t="str" cm="1">
        <f t="array" ref="AG190">IF(COUNTIF('Processed Non-zero TRI Data'!$I:$I,$H190)&gt;0,MEDIAN(IF('Processed Non-zero TRI Data'!$I:$I=H190,'Processed Non-zero TRI Data'!$U:$U)), "N/A - Facility Does Not Report to TRI")</f>
        <v>N/A - Facility Does Not Report to TRI</v>
      </c>
      <c r="AH190" s="33" t="str">
        <f t="shared" si="34"/>
        <v>N/A - Facility Does Not Report to TRI</v>
      </c>
      <c r="AI190" s="33" t="str">
        <f>IF(COUNTIF('Processed Non-zero TRI Data'!$I:$I,$H190)&gt;0,_xlfn.MAXIFS('Processed Non-zero TRI Data'!$U:$U,'Processed Non-zero TRI Data'!$I:$I,$H190), "N/A - Facility Does Not Report to TRI")</f>
        <v>N/A - Facility Does Not Report to TRI</v>
      </c>
      <c r="AJ190" s="33" t="str">
        <f t="shared" si="35"/>
        <v>N/A - Facility Does Not Report to TRI</v>
      </c>
      <c r="AK190" s="110" t="str" cm="1">
        <f t="array" ref="AK190">IF(B190="TRI Form A",AD190,IF(AI190=0,"Facility has no transfers to POTWs between 2019-2023.",IF(COUNTIF('Processed Non-zero TRI Data'!$I:$I,$H190)&gt;0,INDEX('Processed Non-zero TRI Data'!$A:$A,MATCH(1,($H190='Processed Non-zero TRI Data'!$I:$I)*(AI190='Processed Non-zero TRI Data'!$U:$U),0)),"N/A - Facility Does Not Report to TRI")))</f>
        <v>N/A - Facility Does Not Report to TRI</v>
      </c>
      <c r="AL190" s="109" cm="1">
        <f t="array" ref="AL190">IFERROR(_xlfn.XLOOKUP(1,  (MAX(IF(H190 = 'Processed Non-zero TRI Data'!$I$2:$I$23,'Processed Non-zero TRI Data'!$A$2:$A$23)) = 'Processed Non-zero TRI Data'!$A$2:$A$23)*('Processed Non-zero TRI Data'!$I$2:$I$23 = H190), 'Processed Non-zero TRI Data'!$W$2:$W$23), "N/A- Facility Does Not Report to TRI")</f>
        <v>0</v>
      </c>
      <c r="AM190" s="33">
        <f t="shared" si="36"/>
        <v>0</v>
      </c>
      <c r="AN190" s="33" t="str" cm="1">
        <f t="array" ref="AN190">IF(COUNTIF('Processed Non-zero TRI Data'!$I:$I,$H190)&gt;0,MEDIAN(IF('Processed Non-zero TRI Data'!$I:$I=H190,'Processed Non-zero TRI Data'!$W:$W)), "N/A - Facility Does Not Report to TRI")</f>
        <v>N/A - Facility Does Not Report to TRI</v>
      </c>
      <c r="AO190" s="33" t="str">
        <f t="shared" si="37"/>
        <v>N/A - Facility Does Not Report to TRI</v>
      </c>
      <c r="AP190" s="33" t="str">
        <f>IF(COUNTIF('Processed Non-zero TRI Data'!$I:$I,$H190)&gt;0,_xlfn.MAXIFS('Processed Non-zero TRI Data'!$W:$W,'Processed Non-zero TRI Data'!$I:$I,$H190), "N/A - Facility Does Not Report to TRI")</f>
        <v>N/A - Facility Does Not Report to TRI</v>
      </c>
      <c r="AQ190" s="33" t="str">
        <f t="shared" si="38"/>
        <v>N/A - Facility Does Not Report to TRI</v>
      </c>
      <c r="AR190" s="110" t="str" cm="1">
        <f t="array" ref="AR190">IF(B190="TRI Form A",AD190,IF(AP190=0,"Facility has no transfers to non-POTWs between 2019-2023.",IF(COUNTIF('Processed Non-zero TRI Data'!$I:$I,$H190)&gt;0,INDEX('Processed Non-zero TRI Data'!$A:$A,MATCH(1,($H190='Processed Non-zero TRI Data'!$I:$I)*(AP190='Processed Non-zero TRI Data'!$W:$W),0)),"N/A - Facility Does Not Report to TRI")))</f>
        <v>N/A - Facility Does Not Report to TRI</v>
      </c>
    </row>
    <row r="191" spans="1:44" ht="29" x14ac:dyDescent="0.35">
      <c r="A191" s="34">
        <v>188</v>
      </c>
      <c r="B191" s="33" t="str">
        <f>IFERROR("TRI Form "&amp;VLOOKUP(H191,'Processed Non-zero TRI Data'!$I$2:$K$23,3,FALSE),"DMR")</f>
        <v>DMR</v>
      </c>
      <c r="C191" s="33" t="str">
        <f>VLOOKUP($D191, 'COU.OES Summary'!C:D, 2, FALSE)</f>
        <v> </v>
      </c>
      <c r="D191" s="33" t="str">
        <f>IFERROR(VLOOKUP($H191, 'Processed Non-zero TRI Data'!$I:$O, 7, FALSE), VLOOKUP($I191, 'Processed Non-zero DMR Data'!$K:$R, 8, FALSE))</f>
        <v>Waste handling, treatment, and disposal - Remediation or Monitoring</v>
      </c>
      <c r="E191" s="34" t="s">
        <v>461</v>
      </c>
      <c r="F191" s="34" t="s">
        <v>462</v>
      </c>
      <c r="G191" s="34" t="s">
        <v>340</v>
      </c>
      <c r="H191" s="34"/>
      <c r="I191" s="105">
        <v>110064634686</v>
      </c>
      <c r="J191" s="33" t="str">
        <f>IFERROR(VLOOKUP($I191, 'Processed Non-zero DMR Data'!$K:$U, 11, FALSE),"")</f>
        <v>PA0012769</v>
      </c>
      <c r="K191" s="33" t="str">
        <f>IFERROR(VLOOKUP($I191, 'Processed Non-zero DMR Data'!$K:$V, 12, FALSE),"Not Reported")</f>
        <v>Mill Creek-Silver Lake</v>
      </c>
      <c r="L191" s="106">
        <f>IFERROR(VLOOKUP($I191, 'Processed Non-zero DMR Data'!$K:$W, 13, FALSE),"No Reach Code Reported")</f>
        <v>20402010405</v>
      </c>
      <c r="M191" s="107" t="str">
        <f>IFERROR(IFERROR(VLOOKUP(H191, 'Off-site Locations'!$K$3:$O$5, 5, FALSE), VLOOKUP(H191, 'Off-site Locations'!$B$3:$E$4, 4, FALSE)), "No Offsite Transfers")</f>
        <v>No Offsite Transfers</v>
      </c>
      <c r="N191" s="33">
        <f>VLOOKUP($D191, 'COU.OES Summary'!C:E, 3, FALSE)</f>
        <v>365</v>
      </c>
      <c r="O191" s="108">
        <f t="shared" si="28"/>
        <v>0</v>
      </c>
      <c r="P191" s="108">
        <f t="shared" si="29"/>
        <v>0.1045108</v>
      </c>
      <c r="Q191" s="109" cm="1">
        <f t="array" ref="Q191">IFERROR(_xlfn.XLOOKUP(1,  (MAX(IF(I191 = 'Processed Non-zero DMR Data'!$K:$K,'Processed Non-zero DMR Data'!$A:$A)) = 'Processed Non-zero DMR Data'!$A:$A)*('Processed Non-zero DMR Data'!$K:$K = I191),'Processed Non-zero DMR Data'!$T:$T), "N/A- Facility Does Not Report DMRs")</f>
        <v>0.1045108</v>
      </c>
      <c r="R191" s="33">
        <f t="shared" si="39"/>
        <v>2.863309589041096E-4</v>
      </c>
      <c r="S191" s="33" cm="1">
        <f t="array" ref="S191">IF(COUNTIF('Processed Non-zero DMR Data'!$K:$K,$I191)&gt;0,MEDIAN(IF('Processed Non-zero DMR Data'!$K:$K=I191,'Processed Non-zero DMR Data'!$T:$T)),"N/A - Facility Does Not Report DMRs")</f>
        <v>8.4943400000000002E-2</v>
      </c>
      <c r="T191" s="33">
        <f t="shared" si="40"/>
        <v>2.3272164383561644E-4</v>
      </c>
      <c r="U191" s="33">
        <f>IF(COUNTIF('Processed Non-zero DMR Data'!$K:$K,$I191)&gt;0,_xlfn.MAXIFS('Processed Non-zero DMR Data'!$T:$T,'Processed Non-zero DMR Data'!$K:$K,$I191), "N/A - Facility Does Not Report DMRs")</f>
        <v>0.1045108</v>
      </c>
      <c r="V191" s="33">
        <f t="shared" si="41"/>
        <v>2.863309589041096E-4</v>
      </c>
      <c r="W191" s="110" cm="1">
        <f t="array" ref="W191">IF(COUNTIF('Processed Non-zero DMR Data'!$K:$K,$I191)&gt;0,INDEX('Processed Non-zero DMR Data'!$A:$A,MATCH(1,($I191='Processed Non-zero DMR Data'!$K:$K)*($U191='Processed Non-zero DMR Data'!$T:$T),0)), "N/A - Facility Does Not Report DMRs")</f>
        <v>2023</v>
      </c>
      <c r="X191" s="109" cm="1">
        <f t="array" ref="X191">IFERROR(_xlfn.XLOOKUP(1,  (MAX(IF(H191 = 'Processed Non-zero TRI Data'!$I:$I,'Processed Non-zero TRI Data'!$A:$A)) = 'Processed Non-zero TRI Data'!$A:$A)*('Processed Non-zero TRI Data'!$I:$I = H191), 'Processed Non-zero TRI Data'!$S:$S), "N/A- Facility Does Not Report to TRI")</f>
        <v>0</v>
      </c>
      <c r="Y191" s="33">
        <f t="shared" si="30"/>
        <v>0</v>
      </c>
      <c r="Z191" s="33" t="str" cm="1">
        <f t="array" ref="Z191">IF(COUNTIF('Processed Non-zero TRI Data'!$I:$I,$H191)&gt;0,MEDIAN(IF('Processed Non-zero TRI Data'!$I:$I=H191,'Processed Non-zero TRI Data'!$S:$S)), "N/A - Facility Does Not Report to TRI")</f>
        <v>N/A - Facility Does Not Report to TRI</v>
      </c>
      <c r="AA191" s="33" t="str">
        <f t="shared" si="31"/>
        <v>N/A - Facility Does Not Report to TRI</v>
      </c>
      <c r="AB191" s="33" t="str">
        <f>IF(COUNTIF('Processed Non-zero TRI Data'!$I:$I,$H191)&gt;0,_xlfn.MAXIFS('Processed Non-zero TRI Data'!$S:$S,'Processed Non-zero TRI Data'!$I:$I,$H191), "N/A - Facility Does Not Report to TRI")</f>
        <v>N/A - Facility Does Not Report to TRI</v>
      </c>
      <c r="AC191" s="33" t="str">
        <f t="shared" si="32"/>
        <v>N/A - Facility Does Not Report to TRI</v>
      </c>
      <c r="AD191" s="110" t="str" cm="1">
        <f t="array" ref="AD191">IFERROR(IF(B191 = "TRI Form R", IF(AB191 = 0, "Facility has no on-site water discharges between 2019-2023.",  IF(COUNTIF('Processed Non-zero TRI Data'!$I:$I,$H191)&gt;0,INDEX('Processed Non-zero TRI Data'!$A:$A,MATCH(1,($H191='Processed Non-zero TRI Data'!$I:$I)*(AB191='Processed Non-zero TRI Data'!$S:$S),0)))), VLOOKUP(H191, 'Form A Recent Reporting'!$L:$M, 2, FALSE)), ("N/A - Facility Does Not Report to TRI"))</f>
        <v>N/A - Facility Does Not Report to TRI</v>
      </c>
      <c r="AE191" s="109" cm="1">
        <f t="array" ref="AE191">IFERROR(_xlfn.XLOOKUP(1,  (MAX(IF(H191 = 'Processed Non-zero TRI Data'!$I:$I,'Processed Non-zero TRI Data'!$A:$A)) = 'Processed Non-zero TRI Data'!$A:$A)*('Processed Non-zero TRI Data'!$I:$I = H191), 'Processed Non-zero TRI Data'!$U:$U), "N/A- Facility Does Not Report to TRI")</f>
        <v>0</v>
      </c>
      <c r="AF191" s="33">
        <f t="shared" si="33"/>
        <v>0</v>
      </c>
      <c r="AG191" s="33" t="str" cm="1">
        <f t="array" ref="AG191">IF(COUNTIF('Processed Non-zero TRI Data'!$I:$I,$H191)&gt;0,MEDIAN(IF('Processed Non-zero TRI Data'!$I:$I=H191,'Processed Non-zero TRI Data'!$U:$U)), "N/A - Facility Does Not Report to TRI")</f>
        <v>N/A - Facility Does Not Report to TRI</v>
      </c>
      <c r="AH191" s="33" t="str">
        <f t="shared" si="34"/>
        <v>N/A - Facility Does Not Report to TRI</v>
      </c>
      <c r="AI191" s="33" t="str">
        <f>IF(COUNTIF('Processed Non-zero TRI Data'!$I:$I,$H191)&gt;0,_xlfn.MAXIFS('Processed Non-zero TRI Data'!$U:$U,'Processed Non-zero TRI Data'!$I:$I,$H191), "N/A - Facility Does Not Report to TRI")</f>
        <v>N/A - Facility Does Not Report to TRI</v>
      </c>
      <c r="AJ191" s="33" t="str">
        <f t="shared" si="35"/>
        <v>N/A - Facility Does Not Report to TRI</v>
      </c>
      <c r="AK191" s="110" t="str" cm="1">
        <f t="array" ref="AK191">IF(B191="TRI Form A",AD191,IF(AI191=0,"Facility has no transfers to POTWs between 2019-2023.",IF(COUNTIF('Processed Non-zero TRI Data'!$I:$I,$H191)&gt;0,INDEX('Processed Non-zero TRI Data'!$A:$A,MATCH(1,($H191='Processed Non-zero TRI Data'!$I:$I)*(AI191='Processed Non-zero TRI Data'!$U:$U),0)),"N/A - Facility Does Not Report to TRI")))</f>
        <v>N/A - Facility Does Not Report to TRI</v>
      </c>
      <c r="AL191" s="109" cm="1">
        <f t="array" ref="AL191">IFERROR(_xlfn.XLOOKUP(1,  (MAX(IF(H191 = 'Processed Non-zero TRI Data'!$I$2:$I$23,'Processed Non-zero TRI Data'!$A$2:$A$23)) = 'Processed Non-zero TRI Data'!$A$2:$A$23)*('Processed Non-zero TRI Data'!$I$2:$I$23 = H191), 'Processed Non-zero TRI Data'!$W$2:$W$23), "N/A- Facility Does Not Report to TRI")</f>
        <v>0</v>
      </c>
      <c r="AM191" s="33">
        <f t="shared" si="36"/>
        <v>0</v>
      </c>
      <c r="AN191" s="33" t="str" cm="1">
        <f t="array" ref="AN191">IF(COUNTIF('Processed Non-zero TRI Data'!$I:$I,$H191)&gt;0,MEDIAN(IF('Processed Non-zero TRI Data'!$I:$I=H191,'Processed Non-zero TRI Data'!$W:$W)), "N/A - Facility Does Not Report to TRI")</f>
        <v>N/A - Facility Does Not Report to TRI</v>
      </c>
      <c r="AO191" s="33" t="str">
        <f t="shared" si="37"/>
        <v>N/A - Facility Does Not Report to TRI</v>
      </c>
      <c r="AP191" s="33" t="str">
        <f>IF(COUNTIF('Processed Non-zero TRI Data'!$I:$I,$H191)&gt;0,_xlfn.MAXIFS('Processed Non-zero TRI Data'!$W:$W,'Processed Non-zero TRI Data'!$I:$I,$H191), "N/A - Facility Does Not Report to TRI")</f>
        <v>N/A - Facility Does Not Report to TRI</v>
      </c>
      <c r="AQ191" s="33" t="str">
        <f t="shared" si="38"/>
        <v>N/A - Facility Does Not Report to TRI</v>
      </c>
      <c r="AR191" s="110" t="str" cm="1">
        <f t="array" ref="AR191">IF(B191="TRI Form A",AD191,IF(AP191=0,"Facility has no transfers to non-POTWs between 2019-2023.",IF(COUNTIF('Processed Non-zero TRI Data'!$I:$I,$H191)&gt;0,INDEX('Processed Non-zero TRI Data'!$A:$A,MATCH(1,($H191='Processed Non-zero TRI Data'!$I:$I)*(AP191='Processed Non-zero TRI Data'!$W:$W),0)),"N/A - Facility Does Not Report to TRI")))</f>
        <v>N/A - Facility Does Not Report to TRI</v>
      </c>
    </row>
    <row r="192" spans="1:44" ht="29" x14ac:dyDescent="0.35">
      <c r="A192" s="34">
        <v>189</v>
      </c>
      <c r="B192" s="33" t="str">
        <f>IFERROR("TRI Form "&amp;VLOOKUP(H192,'Processed Non-zero TRI Data'!$I$2:$K$23,3,FALSE),"DMR")</f>
        <v>DMR</v>
      </c>
      <c r="C192" s="33" t="str">
        <f>VLOOKUP($D192, 'COU.OES Summary'!C:D, 2, FALSE)</f>
        <v> </v>
      </c>
      <c r="D192" s="33" t="str">
        <f>IFERROR(VLOOKUP($H192, 'Processed Non-zero TRI Data'!$I:$O, 7, FALSE), VLOOKUP($I192, 'Processed Non-zero DMR Data'!$K:$R, 8, FALSE))</f>
        <v>Waste handling, treatment, and disposal - POTW</v>
      </c>
      <c r="E192" s="34" t="s">
        <v>463</v>
      </c>
      <c r="F192" s="34" t="s">
        <v>464</v>
      </c>
      <c r="G192" s="34" t="s">
        <v>102</v>
      </c>
      <c r="H192" s="34"/>
      <c r="I192" s="105">
        <v>110001103911</v>
      </c>
      <c r="J192" s="33" t="str">
        <f>IFERROR(VLOOKUP($I192, 'Processed Non-zero DMR Data'!$K:$U, 11, FALSE),"")</f>
        <v>CA0078590</v>
      </c>
      <c r="K192" s="33" t="str">
        <f>IFERROR(VLOOKUP($I192, 'Processed Non-zero DMR Data'!$K:$V, 12, FALSE),"Not Reported")</f>
        <v>Lower Kellogg Creek</v>
      </c>
      <c r="L192" s="106">
        <f>IFERROR(VLOOKUP($I192, 'Processed Non-zero DMR Data'!$K:$W, 13, FALSE),"No Reach Code Reported")</f>
        <v>180400030802</v>
      </c>
      <c r="M192" s="107" t="str">
        <f>IFERROR(IFERROR(VLOOKUP(H192, 'Off-site Locations'!$K$3:$O$5, 5, FALSE), VLOOKUP(H192, 'Off-site Locations'!$B$3:$E$4, 4, FALSE)), "No Offsite Transfers")</f>
        <v>No Offsite Transfers</v>
      </c>
      <c r="N192" s="33">
        <f>VLOOKUP($D192, 'COU.OES Summary'!C:E, 3, FALSE)</f>
        <v>365</v>
      </c>
      <c r="O192" s="108">
        <f t="shared" si="28"/>
        <v>0</v>
      </c>
      <c r="P192" s="108">
        <f t="shared" si="29"/>
        <v>0.103630272</v>
      </c>
      <c r="Q192" s="109" cm="1">
        <f t="array" ref="Q192">IFERROR(_xlfn.XLOOKUP(1,  (MAX(IF(I192 = 'Processed Non-zero DMR Data'!$K:$K,'Processed Non-zero DMR Data'!$A:$A)) = 'Processed Non-zero DMR Data'!$A:$A)*('Processed Non-zero DMR Data'!$K:$K = I192),'Processed Non-zero DMR Data'!$T:$T), "N/A- Facility Does Not Report DMRs")</f>
        <v>0.103630272</v>
      </c>
      <c r="R192" s="33">
        <f t="shared" si="39"/>
        <v>2.8391855342465753E-4</v>
      </c>
      <c r="S192" s="33" cm="1">
        <f t="array" ref="S192">IF(COUNTIF('Processed Non-zero DMR Data'!$K:$K,$I192)&gt;0,MEDIAN(IF('Processed Non-zero DMR Data'!$K:$K=I192,'Processed Non-zero DMR Data'!$T:$T)),"N/A - Facility Does Not Report DMRs")</f>
        <v>0.103630272</v>
      </c>
      <c r="T192" s="33">
        <f t="shared" si="40"/>
        <v>2.8391855342465753E-4</v>
      </c>
      <c r="U192" s="33">
        <f>IF(COUNTIF('Processed Non-zero DMR Data'!$K:$K,$I192)&gt;0,_xlfn.MAXIFS('Processed Non-zero DMR Data'!$T:$T,'Processed Non-zero DMR Data'!$K:$K,$I192), "N/A - Facility Does Not Report DMRs")</f>
        <v>0.103630272</v>
      </c>
      <c r="V192" s="33">
        <f t="shared" si="41"/>
        <v>2.8391855342465753E-4</v>
      </c>
      <c r="W192" s="110" cm="1">
        <f t="array" ref="W192">IF(COUNTIF('Processed Non-zero DMR Data'!$K:$K,$I192)&gt;0,INDEX('Processed Non-zero DMR Data'!$A:$A,MATCH(1,($I192='Processed Non-zero DMR Data'!$K:$K)*($U192='Processed Non-zero DMR Data'!$T:$T),0)), "N/A - Facility Does Not Report DMRs")</f>
        <v>2021</v>
      </c>
      <c r="X192" s="109" cm="1">
        <f t="array" ref="X192">IFERROR(_xlfn.XLOOKUP(1,  (MAX(IF(H192 = 'Processed Non-zero TRI Data'!$I:$I,'Processed Non-zero TRI Data'!$A:$A)) = 'Processed Non-zero TRI Data'!$A:$A)*('Processed Non-zero TRI Data'!$I:$I = H192), 'Processed Non-zero TRI Data'!$S:$S), "N/A- Facility Does Not Report to TRI")</f>
        <v>0</v>
      </c>
      <c r="Y192" s="33">
        <f t="shared" si="30"/>
        <v>0</v>
      </c>
      <c r="Z192" s="33" t="str" cm="1">
        <f t="array" ref="Z192">IF(COUNTIF('Processed Non-zero TRI Data'!$I:$I,$H192)&gt;0,MEDIAN(IF('Processed Non-zero TRI Data'!$I:$I=H192,'Processed Non-zero TRI Data'!$S:$S)), "N/A - Facility Does Not Report to TRI")</f>
        <v>N/A - Facility Does Not Report to TRI</v>
      </c>
      <c r="AA192" s="33" t="str">
        <f t="shared" si="31"/>
        <v>N/A - Facility Does Not Report to TRI</v>
      </c>
      <c r="AB192" s="33" t="str">
        <f>IF(COUNTIF('Processed Non-zero TRI Data'!$I:$I,$H192)&gt;0,_xlfn.MAXIFS('Processed Non-zero TRI Data'!$S:$S,'Processed Non-zero TRI Data'!$I:$I,$H192), "N/A - Facility Does Not Report to TRI")</f>
        <v>N/A - Facility Does Not Report to TRI</v>
      </c>
      <c r="AC192" s="33" t="str">
        <f t="shared" si="32"/>
        <v>N/A - Facility Does Not Report to TRI</v>
      </c>
      <c r="AD192" s="110" t="str" cm="1">
        <f t="array" ref="AD192">IFERROR(IF(B192 = "TRI Form R", IF(AB192 = 0, "Facility has no on-site water discharges between 2019-2023.",  IF(COUNTIF('Processed Non-zero TRI Data'!$I:$I,$H192)&gt;0,INDEX('Processed Non-zero TRI Data'!$A:$A,MATCH(1,($H192='Processed Non-zero TRI Data'!$I:$I)*(AB192='Processed Non-zero TRI Data'!$S:$S),0)))), VLOOKUP(H192, 'Form A Recent Reporting'!$L:$M, 2, FALSE)), ("N/A - Facility Does Not Report to TRI"))</f>
        <v>N/A - Facility Does Not Report to TRI</v>
      </c>
      <c r="AE192" s="109" cm="1">
        <f t="array" ref="AE192">IFERROR(_xlfn.XLOOKUP(1,  (MAX(IF(H192 = 'Processed Non-zero TRI Data'!$I:$I,'Processed Non-zero TRI Data'!$A:$A)) = 'Processed Non-zero TRI Data'!$A:$A)*('Processed Non-zero TRI Data'!$I:$I = H192), 'Processed Non-zero TRI Data'!$U:$U), "N/A- Facility Does Not Report to TRI")</f>
        <v>0</v>
      </c>
      <c r="AF192" s="33">
        <f t="shared" si="33"/>
        <v>0</v>
      </c>
      <c r="AG192" s="33" t="str" cm="1">
        <f t="array" ref="AG192">IF(COUNTIF('Processed Non-zero TRI Data'!$I:$I,$H192)&gt;0,MEDIAN(IF('Processed Non-zero TRI Data'!$I:$I=H192,'Processed Non-zero TRI Data'!$U:$U)), "N/A - Facility Does Not Report to TRI")</f>
        <v>N/A - Facility Does Not Report to TRI</v>
      </c>
      <c r="AH192" s="33" t="str">
        <f t="shared" si="34"/>
        <v>N/A - Facility Does Not Report to TRI</v>
      </c>
      <c r="AI192" s="33" t="str">
        <f>IF(COUNTIF('Processed Non-zero TRI Data'!$I:$I,$H192)&gt;0,_xlfn.MAXIFS('Processed Non-zero TRI Data'!$U:$U,'Processed Non-zero TRI Data'!$I:$I,$H192), "N/A - Facility Does Not Report to TRI")</f>
        <v>N/A - Facility Does Not Report to TRI</v>
      </c>
      <c r="AJ192" s="33" t="str">
        <f t="shared" si="35"/>
        <v>N/A - Facility Does Not Report to TRI</v>
      </c>
      <c r="AK192" s="110" t="str" cm="1">
        <f t="array" ref="AK192">IF(B192="TRI Form A",AD192,IF(AI192=0,"Facility has no transfers to POTWs between 2019-2023.",IF(COUNTIF('Processed Non-zero TRI Data'!$I:$I,$H192)&gt;0,INDEX('Processed Non-zero TRI Data'!$A:$A,MATCH(1,($H192='Processed Non-zero TRI Data'!$I:$I)*(AI192='Processed Non-zero TRI Data'!$U:$U),0)),"N/A - Facility Does Not Report to TRI")))</f>
        <v>N/A - Facility Does Not Report to TRI</v>
      </c>
      <c r="AL192" s="109" cm="1">
        <f t="array" ref="AL192">IFERROR(_xlfn.XLOOKUP(1,  (MAX(IF(H192 = 'Processed Non-zero TRI Data'!$I$2:$I$23,'Processed Non-zero TRI Data'!$A$2:$A$23)) = 'Processed Non-zero TRI Data'!$A$2:$A$23)*('Processed Non-zero TRI Data'!$I$2:$I$23 = H192), 'Processed Non-zero TRI Data'!$W$2:$W$23), "N/A- Facility Does Not Report to TRI")</f>
        <v>0</v>
      </c>
      <c r="AM192" s="33">
        <f t="shared" si="36"/>
        <v>0</v>
      </c>
      <c r="AN192" s="33" t="str" cm="1">
        <f t="array" ref="AN192">IF(COUNTIF('Processed Non-zero TRI Data'!$I:$I,$H192)&gt;0,MEDIAN(IF('Processed Non-zero TRI Data'!$I:$I=H192,'Processed Non-zero TRI Data'!$W:$W)), "N/A - Facility Does Not Report to TRI")</f>
        <v>N/A - Facility Does Not Report to TRI</v>
      </c>
      <c r="AO192" s="33" t="str">
        <f t="shared" si="37"/>
        <v>N/A - Facility Does Not Report to TRI</v>
      </c>
      <c r="AP192" s="33" t="str">
        <f>IF(COUNTIF('Processed Non-zero TRI Data'!$I:$I,$H192)&gt;0,_xlfn.MAXIFS('Processed Non-zero TRI Data'!$W:$W,'Processed Non-zero TRI Data'!$I:$I,$H192), "N/A - Facility Does Not Report to TRI")</f>
        <v>N/A - Facility Does Not Report to TRI</v>
      </c>
      <c r="AQ192" s="33" t="str">
        <f t="shared" si="38"/>
        <v>N/A - Facility Does Not Report to TRI</v>
      </c>
      <c r="AR192" s="110" t="str" cm="1">
        <f t="array" ref="AR192">IF(B192="TRI Form A",AD192,IF(AP192=0,"Facility has no transfers to non-POTWs between 2019-2023.",IF(COUNTIF('Processed Non-zero TRI Data'!$I:$I,$H192)&gt;0,INDEX('Processed Non-zero TRI Data'!$A:$A,MATCH(1,($H192='Processed Non-zero TRI Data'!$I:$I)*(AP192='Processed Non-zero TRI Data'!$W:$W),0)),"N/A - Facility Does Not Report to TRI")))</f>
        <v>N/A - Facility Does Not Report to TRI</v>
      </c>
    </row>
    <row r="193" spans="1:44" ht="29" x14ac:dyDescent="0.35">
      <c r="A193" s="34">
        <v>190</v>
      </c>
      <c r="B193" s="33" t="str">
        <f>IFERROR("TRI Form "&amp;VLOOKUP(H193,'Processed Non-zero TRI Data'!$I$2:$K$23,3,FALSE),"DMR")</f>
        <v>DMR</v>
      </c>
      <c r="C193" s="33" t="str">
        <f>VLOOKUP($D193, 'COU.OES Summary'!C:D, 2, FALSE)</f>
        <v> </v>
      </c>
      <c r="D193" s="33" t="str">
        <f>IFERROR(VLOOKUP($H193, 'Processed Non-zero TRI Data'!$I:$O, 7, FALSE), VLOOKUP($I193, 'Processed Non-zero DMR Data'!$K:$R, 8, FALSE))</f>
        <v>Waste handling, treatment, and disposal - POTW</v>
      </c>
      <c r="E193" s="34" t="s">
        <v>465</v>
      </c>
      <c r="F193" s="34" t="s">
        <v>466</v>
      </c>
      <c r="G193" s="34" t="s">
        <v>102</v>
      </c>
      <c r="H193" s="34"/>
      <c r="I193" s="105">
        <v>110055984957</v>
      </c>
      <c r="J193" s="33" t="str">
        <f>IFERROR(VLOOKUP($I193, 'Processed Non-zero DMR Data'!$K:$U, 11, FALSE),"")</f>
        <v>CA0078999</v>
      </c>
      <c r="K193" s="33" t="str">
        <f>IFERROR(VLOOKUP($I193, 'Processed Non-zero DMR Data'!$K:$V, 12, FALSE),"Not Reported")</f>
        <v>Powell Slough-Colusa Trough</v>
      </c>
      <c r="L193" s="106">
        <f>IFERROR(VLOOKUP($I193, 'Processed Non-zero DMR Data'!$K:$W, 13, FALSE),"No Reach Code Reported")</f>
        <v>180201040807</v>
      </c>
      <c r="M193" s="107" t="str">
        <f>IFERROR(IFERROR(VLOOKUP(H193, 'Off-site Locations'!$K$3:$O$5, 5, FALSE), VLOOKUP(H193, 'Off-site Locations'!$B$3:$E$4, 4, FALSE)), "No Offsite Transfers")</f>
        <v>No Offsite Transfers</v>
      </c>
      <c r="N193" s="33">
        <f>VLOOKUP($D193, 'COU.OES Summary'!C:E, 3, FALSE)</f>
        <v>365</v>
      </c>
      <c r="O193" s="108">
        <f t="shared" si="28"/>
        <v>0</v>
      </c>
      <c r="P193" s="108">
        <f t="shared" si="29"/>
        <v>0.100571992</v>
      </c>
      <c r="Q193" s="109" cm="1">
        <f t="array" ref="Q193">IFERROR(_xlfn.XLOOKUP(1,  (MAX(IF(I193 = 'Processed Non-zero DMR Data'!$K:$K,'Processed Non-zero DMR Data'!$A:$A)) = 'Processed Non-zero DMR Data'!$A:$A)*('Processed Non-zero DMR Data'!$K:$K = I193),'Processed Non-zero DMR Data'!$T:$T), "N/A- Facility Does Not Report DMRs")</f>
        <v>0.100571992</v>
      </c>
      <c r="R193" s="33">
        <f t="shared" si="39"/>
        <v>2.7553970410958904E-4</v>
      </c>
      <c r="S193" s="33" cm="1">
        <f t="array" ref="S193">IF(COUNTIF('Processed Non-zero DMR Data'!$K:$K,$I193)&gt;0,MEDIAN(IF('Processed Non-zero DMR Data'!$K:$K=I193,'Processed Non-zero DMR Data'!$T:$T)),"N/A - Facility Does Not Report DMRs")</f>
        <v>0.100571992</v>
      </c>
      <c r="T193" s="33">
        <f t="shared" si="40"/>
        <v>2.7553970410958904E-4</v>
      </c>
      <c r="U193" s="33">
        <f>IF(COUNTIF('Processed Non-zero DMR Data'!$K:$K,$I193)&gt;0,_xlfn.MAXIFS('Processed Non-zero DMR Data'!$T:$T,'Processed Non-zero DMR Data'!$K:$K,$I193), "N/A - Facility Does Not Report DMRs")</f>
        <v>0.100571992</v>
      </c>
      <c r="V193" s="33">
        <f t="shared" si="41"/>
        <v>2.7553970410958904E-4</v>
      </c>
      <c r="W193" s="110" cm="1">
        <f t="array" ref="W193">IF(COUNTIF('Processed Non-zero DMR Data'!$K:$K,$I193)&gt;0,INDEX('Processed Non-zero DMR Data'!$A:$A,MATCH(1,($I193='Processed Non-zero DMR Data'!$K:$K)*($U193='Processed Non-zero DMR Data'!$T:$T),0)), "N/A - Facility Does Not Report DMRs")</f>
        <v>2019</v>
      </c>
      <c r="X193" s="109" cm="1">
        <f t="array" ref="X193">IFERROR(_xlfn.XLOOKUP(1,  (MAX(IF(H193 = 'Processed Non-zero TRI Data'!$I:$I,'Processed Non-zero TRI Data'!$A:$A)) = 'Processed Non-zero TRI Data'!$A:$A)*('Processed Non-zero TRI Data'!$I:$I = H193), 'Processed Non-zero TRI Data'!$S:$S), "N/A- Facility Does Not Report to TRI")</f>
        <v>0</v>
      </c>
      <c r="Y193" s="33">
        <f t="shared" si="30"/>
        <v>0</v>
      </c>
      <c r="Z193" s="33" t="str" cm="1">
        <f t="array" ref="Z193">IF(COUNTIF('Processed Non-zero TRI Data'!$I:$I,$H193)&gt;0,MEDIAN(IF('Processed Non-zero TRI Data'!$I:$I=H193,'Processed Non-zero TRI Data'!$S:$S)), "N/A - Facility Does Not Report to TRI")</f>
        <v>N/A - Facility Does Not Report to TRI</v>
      </c>
      <c r="AA193" s="33" t="str">
        <f t="shared" si="31"/>
        <v>N/A - Facility Does Not Report to TRI</v>
      </c>
      <c r="AB193" s="33" t="str">
        <f>IF(COUNTIF('Processed Non-zero TRI Data'!$I:$I,$H193)&gt;0,_xlfn.MAXIFS('Processed Non-zero TRI Data'!$S:$S,'Processed Non-zero TRI Data'!$I:$I,$H193), "N/A - Facility Does Not Report to TRI")</f>
        <v>N/A - Facility Does Not Report to TRI</v>
      </c>
      <c r="AC193" s="33" t="str">
        <f t="shared" si="32"/>
        <v>N/A - Facility Does Not Report to TRI</v>
      </c>
      <c r="AD193" s="110" t="str" cm="1">
        <f t="array" ref="AD193">IFERROR(IF(B193 = "TRI Form R", IF(AB193 = 0, "Facility has no on-site water discharges between 2019-2023.",  IF(COUNTIF('Processed Non-zero TRI Data'!$I:$I,$H193)&gt;0,INDEX('Processed Non-zero TRI Data'!$A:$A,MATCH(1,($H193='Processed Non-zero TRI Data'!$I:$I)*(AB193='Processed Non-zero TRI Data'!$S:$S),0)))), VLOOKUP(H193, 'Form A Recent Reporting'!$L:$M, 2, FALSE)), ("N/A - Facility Does Not Report to TRI"))</f>
        <v>N/A - Facility Does Not Report to TRI</v>
      </c>
      <c r="AE193" s="109" cm="1">
        <f t="array" ref="AE193">IFERROR(_xlfn.XLOOKUP(1,  (MAX(IF(H193 = 'Processed Non-zero TRI Data'!$I:$I,'Processed Non-zero TRI Data'!$A:$A)) = 'Processed Non-zero TRI Data'!$A:$A)*('Processed Non-zero TRI Data'!$I:$I = H193), 'Processed Non-zero TRI Data'!$U:$U), "N/A- Facility Does Not Report to TRI")</f>
        <v>0</v>
      </c>
      <c r="AF193" s="33">
        <f t="shared" si="33"/>
        <v>0</v>
      </c>
      <c r="AG193" s="33" t="str" cm="1">
        <f t="array" ref="AG193">IF(COUNTIF('Processed Non-zero TRI Data'!$I:$I,$H193)&gt;0,MEDIAN(IF('Processed Non-zero TRI Data'!$I:$I=H193,'Processed Non-zero TRI Data'!$U:$U)), "N/A - Facility Does Not Report to TRI")</f>
        <v>N/A - Facility Does Not Report to TRI</v>
      </c>
      <c r="AH193" s="33" t="str">
        <f t="shared" si="34"/>
        <v>N/A - Facility Does Not Report to TRI</v>
      </c>
      <c r="AI193" s="33" t="str">
        <f>IF(COUNTIF('Processed Non-zero TRI Data'!$I:$I,$H193)&gt;0,_xlfn.MAXIFS('Processed Non-zero TRI Data'!$U:$U,'Processed Non-zero TRI Data'!$I:$I,$H193), "N/A - Facility Does Not Report to TRI")</f>
        <v>N/A - Facility Does Not Report to TRI</v>
      </c>
      <c r="AJ193" s="33" t="str">
        <f t="shared" si="35"/>
        <v>N/A - Facility Does Not Report to TRI</v>
      </c>
      <c r="AK193" s="110" t="str" cm="1">
        <f t="array" ref="AK193">IF(B193="TRI Form A",AD193,IF(AI193=0,"Facility has no transfers to POTWs between 2019-2023.",IF(COUNTIF('Processed Non-zero TRI Data'!$I:$I,$H193)&gt;0,INDEX('Processed Non-zero TRI Data'!$A:$A,MATCH(1,($H193='Processed Non-zero TRI Data'!$I:$I)*(AI193='Processed Non-zero TRI Data'!$U:$U),0)),"N/A - Facility Does Not Report to TRI")))</f>
        <v>N/A - Facility Does Not Report to TRI</v>
      </c>
      <c r="AL193" s="109" cm="1">
        <f t="array" ref="AL193">IFERROR(_xlfn.XLOOKUP(1,  (MAX(IF(H193 = 'Processed Non-zero TRI Data'!$I$2:$I$23,'Processed Non-zero TRI Data'!$A$2:$A$23)) = 'Processed Non-zero TRI Data'!$A$2:$A$23)*('Processed Non-zero TRI Data'!$I$2:$I$23 = H193), 'Processed Non-zero TRI Data'!$W$2:$W$23), "N/A- Facility Does Not Report to TRI")</f>
        <v>0</v>
      </c>
      <c r="AM193" s="33">
        <f t="shared" si="36"/>
        <v>0</v>
      </c>
      <c r="AN193" s="33" t="str" cm="1">
        <f t="array" ref="AN193">IF(COUNTIF('Processed Non-zero TRI Data'!$I:$I,$H193)&gt;0,MEDIAN(IF('Processed Non-zero TRI Data'!$I:$I=H193,'Processed Non-zero TRI Data'!$W:$W)), "N/A - Facility Does Not Report to TRI")</f>
        <v>N/A - Facility Does Not Report to TRI</v>
      </c>
      <c r="AO193" s="33" t="str">
        <f t="shared" si="37"/>
        <v>N/A - Facility Does Not Report to TRI</v>
      </c>
      <c r="AP193" s="33" t="str">
        <f>IF(COUNTIF('Processed Non-zero TRI Data'!$I:$I,$H193)&gt;0,_xlfn.MAXIFS('Processed Non-zero TRI Data'!$W:$W,'Processed Non-zero TRI Data'!$I:$I,$H193), "N/A - Facility Does Not Report to TRI")</f>
        <v>N/A - Facility Does Not Report to TRI</v>
      </c>
      <c r="AQ193" s="33" t="str">
        <f t="shared" si="38"/>
        <v>N/A - Facility Does Not Report to TRI</v>
      </c>
      <c r="AR193" s="110" t="str" cm="1">
        <f t="array" ref="AR193">IF(B193="TRI Form A",AD193,IF(AP193=0,"Facility has no transfers to non-POTWs between 2019-2023.",IF(COUNTIF('Processed Non-zero TRI Data'!$I:$I,$H193)&gt;0,INDEX('Processed Non-zero TRI Data'!$A:$A,MATCH(1,($H193='Processed Non-zero TRI Data'!$I:$I)*(AP193='Processed Non-zero TRI Data'!$W:$W),0)),"N/A - Facility Does Not Report to TRI")))</f>
        <v>N/A - Facility Does Not Report to TRI</v>
      </c>
    </row>
    <row r="194" spans="1:44" ht="29" x14ac:dyDescent="0.35">
      <c r="A194" s="34">
        <v>191</v>
      </c>
      <c r="B194" s="33" t="str">
        <f>IFERROR("TRI Form "&amp;VLOOKUP(H194,'Processed Non-zero TRI Data'!$I$2:$K$23,3,FALSE),"DMR")</f>
        <v>DMR</v>
      </c>
      <c r="C194" s="33" t="str">
        <f>VLOOKUP($D194, 'COU.OES Summary'!C:D, 2, FALSE)</f>
        <v> </v>
      </c>
      <c r="D194" s="33" t="str">
        <f>IFERROR(VLOOKUP($H194, 'Processed Non-zero TRI Data'!$I:$O, 7, FALSE), VLOOKUP($I194, 'Processed Non-zero DMR Data'!$K:$R, 8, FALSE))</f>
        <v>Waste handling, treatment, and disposal - Remediation or Monitoring</v>
      </c>
      <c r="E194" s="34" t="s">
        <v>467</v>
      </c>
      <c r="F194" s="34" t="s">
        <v>308</v>
      </c>
      <c r="G194" s="34" t="s">
        <v>181</v>
      </c>
      <c r="H194" s="34"/>
      <c r="I194" s="105">
        <v>110009900884</v>
      </c>
      <c r="J194" s="33" t="str">
        <f>IFERROR(VLOOKUP($I194, 'Processed Non-zero DMR Data'!$K:$U, 11, FALSE),"")</f>
        <v>MI0003859</v>
      </c>
      <c r="K194" s="33" t="str">
        <f>IFERROR(VLOOKUP($I194, 'Processed Non-zero DMR Data'!$K:$V, 12, FALSE),"Not Reported")</f>
        <v>Minges Brook</v>
      </c>
      <c r="L194" s="106">
        <f>IFERROR(VLOOKUP($I194, 'Processed Non-zero DMR Data'!$K:$W, 13, FALSE),"No Reach Code Reported")</f>
        <v>40500030410</v>
      </c>
      <c r="M194" s="107" t="str">
        <f>IFERROR(IFERROR(VLOOKUP(H194, 'Off-site Locations'!$K$3:$O$5, 5, FALSE), VLOOKUP(H194, 'Off-site Locations'!$B$3:$E$4, 4, FALSE)), "No Offsite Transfers")</f>
        <v>No Offsite Transfers</v>
      </c>
      <c r="N194" s="33">
        <f>VLOOKUP($D194, 'COU.OES Summary'!C:E, 3, FALSE)</f>
        <v>365</v>
      </c>
      <c r="O194" s="108">
        <f t="shared" si="28"/>
        <v>0</v>
      </c>
      <c r="P194" s="108">
        <f t="shared" si="29"/>
        <v>9.8874798E-2</v>
      </c>
      <c r="Q194" s="109" cm="1">
        <f t="array" ref="Q194">IFERROR(_xlfn.XLOOKUP(1,  (MAX(IF(I194 = 'Processed Non-zero DMR Data'!$K:$K,'Processed Non-zero DMR Data'!$A:$A)) = 'Processed Non-zero DMR Data'!$A:$A)*('Processed Non-zero DMR Data'!$K:$K = I194),'Processed Non-zero DMR Data'!$T:$T), "N/A- Facility Does Not Report DMRs")</f>
        <v>8.8866122500000005E-2</v>
      </c>
      <c r="R194" s="33">
        <f t="shared" si="39"/>
        <v>2.4346882876712331E-4</v>
      </c>
      <c r="S194" s="33" cm="1">
        <f t="array" ref="S194">IF(COUNTIF('Processed Non-zero DMR Data'!$K:$K,$I194)&gt;0,MEDIAN(IF('Processed Non-zero DMR Data'!$K:$K=I194,'Processed Non-zero DMR Data'!$T:$T)),"N/A - Facility Does Not Report DMRs")</f>
        <v>8.8866122500000005E-2</v>
      </c>
      <c r="T194" s="33">
        <f t="shared" si="40"/>
        <v>2.4346882876712331E-4</v>
      </c>
      <c r="U194" s="33">
        <f>IF(COUNTIF('Processed Non-zero DMR Data'!$K:$K,$I194)&gt;0,_xlfn.MAXIFS('Processed Non-zero DMR Data'!$T:$T,'Processed Non-zero DMR Data'!$K:$K,$I194), "N/A - Facility Does Not Report DMRs")</f>
        <v>9.8874798E-2</v>
      </c>
      <c r="V194" s="33">
        <f t="shared" si="41"/>
        <v>2.7088985753424659E-4</v>
      </c>
      <c r="W194" s="110" cm="1">
        <f t="array" ref="W194">IF(COUNTIF('Processed Non-zero DMR Data'!$K:$K,$I194)&gt;0,INDEX('Processed Non-zero DMR Data'!$A:$A,MATCH(1,($I194='Processed Non-zero DMR Data'!$K:$K)*($U194='Processed Non-zero DMR Data'!$T:$T),0)), "N/A - Facility Does Not Report DMRs")</f>
        <v>2022</v>
      </c>
      <c r="X194" s="109" cm="1">
        <f t="array" ref="X194">IFERROR(_xlfn.XLOOKUP(1,  (MAX(IF(H194 = 'Processed Non-zero TRI Data'!$I:$I,'Processed Non-zero TRI Data'!$A:$A)) = 'Processed Non-zero TRI Data'!$A:$A)*('Processed Non-zero TRI Data'!$I:$I = H194), 'Processed Non-zero TRI Data'!$S:$S), "N/A- Facility Does Not Report to TRI")</f>
        <v>0</v>
      </c>
      <c r="Y194" s="33">
        <f t="shared" si="30"/>
        <v>0</v>
      </c>
      <c r="Z194" s="33" t="str" cm="1">
        <f t="array" ref="Z194">IF(COUNTIF('Processed Non-zero TRI Data'!$I:$I,$H194)&gt;0,MEDIAN(IF('Processed Non-zero TRI Data'!$I:$I=H194,'Processed Non-zero TRI Data'!$S:$S)), "N/A - Facility Does Not Report to TRI")</f>
        <v>N/A - Facility Does Not Report to TRI</v>
      </c>
      <c r="AA194" s="33" t="str">
        <f t="shared" si="31"/>
        <v>N/A - Facility Does Not Report to TRI</v>
      </c>
      <c r="AB194" s="33" t="str">
        <f>IF(COUNTIF('Processed Non-zero TRI Data'!$I:$I,$H194)&gt;0,_xlfn.MAXIFS('Processed Non-zero TRI Data'!$S:$S,'Processed Non-zero TRI Data'!$I:$I,$H194), "N/A - Facility Does Not Report to TRI")</f>
        <v>N/A - Facility Does Not Report to TRI</v>
      </c>
      <c r="AC194" s="33" t="str">
        <f t="shared" si="32"/>
        <v>N/A - Facility Does Not Report to TRI</v>
      </c>
      <c r="AD194" s="110" t="str" cm="1">
        <f t="array" ref="AD194">IFERROR(IF(B194 = "TRI Form R", IF(AB194 = 0, "Facility has no on-site water discharges between 2019-2023.",  IF(COUNTIF('Processed Non-zero TRI Data'!$I:$I,$H194)&gt;0,INDEX('Processed Non-zero TRI Data'!$A:$A,MATCH(1,($H194='Processed Non-zero TRI Data'!$I:$I)*(AB194='Processed Non-zero TRI Data'!$S:$S),0)))), VLOOKUP(H194, 'Form A Recent Reporting'!$L:$M, 2, FALSE)), ("N/A - Facility Does Not Report to TRI"))</f>
        <v>N/A - Facility Does Not Report to TRI</v>
      </c>
      <c r="AE194" s="109" cm="1">
        <f t="array" ref="AE194">IFERROR(_xlfn.XLOOKUP(1,  (MAX(IF(H194 = 'Processed Non-zero TRI Data'!$I:$I,'Processed Non-zero TRI Data'!$A:$A)) = 'Processed Non-zero TRI Data'!$A:$A)*('Processed Non-zero TRI Data'!$I:$I = H194), 'Processed Non-zero TRI Data'!$U:$U), "N/A- Facility Does Not Report to TRI")</f>
        <v>0</v>
      </c>
      <c r="AF194" s="33">
        <f t="shared" si="33"/>
        <v>0</v>
      </c>
      <c r="AG194" s="33" t="str" cm="1">
        <f t="array" ref="AG194">IF(COUNTIF('Processed Non-zero TRI Data'!$I:$I,$H194)&gt;0,MEDIAN(IF('Processed Non-zero TRI Data'!$I:$I=H194,'Processed Non-zero TRI Data'!$U:$U)), "N/A - Facility Does Not Report to TRI")</f>
        <v>N/A - Facility Does Not Report to TRI</v>
      </c>
      <c r="AH194" s="33" t="str">
        <f t="shared" si="34"/>
        <v>N/A - Facility Does Not Report to TRI</v>
      </c>
      <c r="AI194" s="33" t="str">
        <f>IF(COUNTIF('Processed Non-zero TRI Data'!$I:$I,$H194)&gt;0,_xlfn.MAXIFS('Processed Non-zero TRI Data'!$U:$U,'Processed Non-zero TRI Data'!$I:$I,$H194), "N/A - Facility Does Not Report to TRI")</f>
        <v>N/A - Facility Does Not Report to TRI</v>
      </c>
      <c r="AJ194" s="33" t="str">
        <f t="shared" si="35"/>
        <v>N/A - Facility Does Not Report to TRI</v>
      </c>
      <c r="AK194" s="110" t="str" cm="1">
        <f t="array" ref="AK194">IF(B194="TRI Form A",AD194,IF(AI194=0,"Facility has no transfers to POTWs between 2019-2023.",IF(COUNTIF('Processed Non-zero TRI Data'!$I:$I,$H194)&gt;0,INDEX('Processed Non-zero TRI Data'!$A:$A,MATCH(1,($H194='Processed Non-zero TRI Data'!$I:$I)*(AI194='Processed Non-zero TRI Data'!$U:$U),0)),"N/A - Facility Does Not Report to TRI")))</f>
        <v>N/A - Facility Does Not Report to TRI</v>
      </c>
      <c r="AL194" s="109" cm="1">
        <f t="array" ref="AL194">IFERROR(_xlfn.XLOOKUP(1,  (MAX(IF(H194 = 'Processed Non-zero TRI Data'!$I$2:$I$23,'Processed Non-zero TRI Data'!$A$2:$A$23)) = 'Processed Non-zero TRI Data'!$A$2:$A$23)*('Processed Non-zero TRI Data'!$I$2:$I$23 = H194), 'Processed Non-zero TRI Data'!$W$2:$W$23), "N/A- Facility Does Not Report to TRI")</f>
        <v>0</v>
      </c>
      <c r="AM194" s="33">
        <f t="shared" si="36"/>
        <v>0</v>
      </c>
      <c r="AN194" s="33" t="str" cm="1">
        <f t="array" ref="AN194">IF(COUNTIF('Processed Non-zero TRI Data'!$I:$I,$H194)&gt;0,MEDIAN(IF('Processed Non-zero TRI Data'!$I:$I=H194,'Processed Non-zero TRI Data'!$W:$W)), "N/A - Facility Does Not Report to TRI")</f>
        <v>N/A - Facility Does Not Report to TRI</v>
      </c>
      <c r="AO194" s="33" t="str">
        <f t="shared" si="37"/>
        <v>N/A - Facility Does Not Report to TRI</v>
      </c>
      <c r="AP194" s="33" t="str">
        <f>IF(COUNTIF('Processed Non-zero TRI Data'!$I:$I,$H194)&gt;0,_xlfn.MAXIFS('Processed Non-zero TRI Data'!$W:$W,'Processed Non-zero TRI Data'!$I:$I,$H194), "N/A - Facility Does Not Report to TRI")</f>
        <v>N/A - Facility Does Not Report to TRI</v>
      </c>
      <c r="AQ194" s="33" t="str">
        <f t="shared" si="38"/>
        <v>N/A - Facility Does Not Report to TRI</v>
      </c>
      <c r="AR194" s="110" t="str" cm="1">
        <f t="array" ref="AR194">IF(B194="TRI Form A",AD194,IF(AP194=0,"Facility has no transfers to non-POTWs between 2019-2023.",IF(COUNTIF('Processed Non-zero TRI Data'!$I:$I,$H194)&gt;0,INDEX('Processed Non-zero TRI Data'!$A:$A,MATCH(1,($H194='Processed Non-zero TRI Data'!$I:$I)*(AP194='Processed Non-zero TRI Data'!$W:$W),0)),"N/A - Facility Does Not Report to TRI")))</f>
        <v>N/A - Facility Does Not Report to TRI</v>
      </c>
    </row>
    <row r="195" spans="1:44" ht="29" x14ac:dyDescent="0.35">
      <c r="A195" s="34">
        <v>192</v>
      </c>
      <c r="B195" s="33" t="str">
        <f>IFERROR("TRI Form "&amp;VLOOKUP(H195,'Processed Non-zero TRI Data'!$I$2:$K$23,3,FALSE),"DMR")</f>
        <v>DMR</v>
      </c>
      <c r="C195" s="33" t="str">
        <f>VLOOKUP($D195, 'COU.OES Summary'!C:D, 2, FALSE)</f>
        <v> </v>
      </c>
      <c r="D195" s="33" t="str">
        <f>IFERROR(VLOOKUP($H195, 'Processed Non-zero TRI Data'!$I:$O, 7, FALSE), VLOOKUP($I195, 'Processed Non-zero DMR Data'!$K:$R, 8, FALSE))</f>
        <v>Waste handling, treatment, and disposal - Remediation or Monitoring</v>
      </c>
      <c r="E195" s="34" t="s">
        <v>468</v>
      </c>
      <c r="F195" s="34" t="s">
        <v>260</v>
      </c>
      <c r="G195" s="34" t="s">
        <v>111</v>
      </c>
      <c r="H195" s="34"/>
      <c r="I195" s="105">
        <v>110000547196</v>
      </c>
      <c r="J195" s="33" t="str">
        <f>IFERROR(VLOOKUP($I195, 'Processed Non-zero DMR Data'!$K:$U, 11, FALSE),"")</f>
        <v>IL0026069</v>
      </c>
      <c r="K195" s="33" t="str">
        <f>IFERROR(VLOOKUP($I195, 'Processed Non-zero DMR Data'!$K:$V, 12, FALSE),"Not Reported")</f>
        <v>Walley Run-Aux Sable Creek</v>
      </c>
      <c r="L195" s="106">
        <f>IFERROR(VLOOKUP($I195, 'Processed Non-zero DMR Data'!$K:$W, 13, FALSE),"No Reach Code Reported")</f>
        <v>71200050106</v>
      </c>
      <c r="M195" s="107" t="str">
        <f>IFERROR(IFERROR(VLOOKUP(H195, 'Off-site Locations'!$K$3:$O$5, 5, FALSE), VLOOKUP(H195, 'Off-site Locations'!$B$3:$E$4, 4, FALSE)), "No Offsite Transfers")</f>
        <v>No Offsite Transfers</v>
      </c>
      <c r="N195" s="33">
        <f>VLOOKUP($D195, 'COU.OES Summary'!C:E, 3, FALSE)</f>
        <v>365</v>
      </c>
      <c r="O195" s="108">
        <f t="shared" si="28"/>
        <v>0</v>
      </c>
      <c r="P195" s="108">
        <f t="shared" si="29"/>
        <v>9.6620280000000003E-2</v>
      </c>
      <c r="Q195" s="109" cm="1">
        <f t="array" ref="Q195">IFERROR(_xlfn.XLOOKUP(1,  (MAX(IF(I195 = 'Processed Non-zero DMR Data'!$K:$K,'Processed Non-zero DMR Data'!$A:$A)) = 'Processed Non-zero DMR Data'!$A:$A)*('Processed Non-zero DMR Data'!$K:$K = I195),'Processed Non-zero DMR Data'!$T:$T), "N/A- Facility Does Not Report DMRs")</f>
        <v>4.451016E-2</v>
      </c>
      <c r="R195" s="33">
        <f t="shared" si="39"/>
        <v>1.2194564383561644E-4</v>
      </c>
      <c r="S195" s="33" cm="1">
        <f t="array" ref="S195">IF(COUNTIF('Processed Non-zero DMR Data'!$K:$K,$I195)&gt;0,MEDIAN(IF('Processed Non-zero DMR Data'!$K:$K=I195,'Processed Non-zero DMR Data'!$T:$T)),"N/A - Facility Does Not Report DMRs")</f>
        <v>6.2107200000000001E-2</v>
      </c>
      <c r="T195" s="33">
        <f t="shared" si="40"/>
        <v>1.7015671232876713E-4</v>
      </c>
      <c r="U195" s="33">
        <f>IF(COUNTIF('Processed Non-zero DMR Data'!$K:$K,$I195)&gt;0,_xlfn.MAXIFS('Processed Non-zero DMR Data'!$T:$T,'Processed Non-zero DMR Data'!$K:$K,$I195), "N/A - Facility Does Not Report DMRs")</f>
        <v>9.6620280000000003E-2</v>
      </c>
      <c r="V195" s="33">
        <f t="shared" si="41"/>
        <v>2.6471309589041098E-4</v>
      </c>
      <c r="W195" s="110" cm="1">
        <f t="array" ref="W195">IF(COUNTIF('Processed Non-zero DMR Data'!$K:$K,$I195)&gt;0,INDEX('Processed Non-zero DMR Data'!$A:$A,MATCH(1,($I195='Processed Non-zero DMR Data'!$K:$K)*($U195='Processed Non-zero DMR Data'!$T:$T),0)), "N/A - Facility Does Not Report DMRs")</f>
        <v>2021</v>
      </c>
      <c r="X195" s="109" cm="1">
        <f t="array" ref="X195">IFERROR(_xlfn.XLOOKUP(1,  (MAX(IF(H195 = 'Processed Non-zero TRI Data'!$I:$I,'Processed Non-zero TRI Data'!$A:$A)) = 'Processed Non-zero TRI Data'!$A:$A)*('Processed Non-zero TRI Data'!$I:$I = H195), 'Processed Non-zero TRI Data'!$S:$S), "N/A- Facility Does Not Report to TRI")</f>
        <v>0</v>
      </c>
      <c r="Y195" s="33">
        <f t="shared" si="30"/>
        <v>0</v>
      </c>
      <c r="Z195" s="33" t="str" cm="1">
        <f t="array" ref="Z195">IF(COUNTIF('Processed Non-zero TRI Data'!$I:$I,$H195)&gt;0,MEDIAN(IF('Processed Non-zero TRI Data'!$I:$I=H195,'Processed Non-zero TRI Data'!$S:$S)), "N/A - Facility Does Not Report to TRI")</f>
        <v>N/A - Facility Does Not Report to TRI</v>
      </c>
      <c r="AA195" s="33" t="str">
        <f t="shared" si="31"/>
        <v>N/A - Facility Does Not Report to TRI</v>
      </c>
      <c r="AB195" s="33" t="str">
        <f>IF(COUNTIF('Processed Non-zero TRI Data'!$I:$I,$H195)&gt;0,_xlfn.MAXIFS('Processed Non-zero TRI Data'!$S:$S,'Processed Non-zero TRI Data'!$I:$I,$H195), "N/A - Facility Does Not Report to TRI")</f>
        <v>N/A - Facility Does Not Report to TRI</v>
      </c>
      <c r="AC195" s="33" t="str">
        <f t="shared" si="32"/>
        <v>N/A - Facility Does Not Report to TRI</v>
      </c>
      <c r="AD195" s="110" t="str" cm="1">
        <f t="array" ref="AD195">IFERROR(IF(B195 = "TRI Form R", IF(AB195 = 0, "Facility has no on-site water discharges between 2019-2023.",  IF(COUNTIF('Processed Non-zero TRI Data'!$I:$I,$H195)&gt;0,INDEX('Processed Non-zero TRI Data'!$A:$A,MATCH(1,($H195='Processed Non-zero TRI Data'!$I:$I)*(AB195='Processed Non-zero TRI Data'!$S:$S),0)))), VLOOKUP(H195, 'Form A Recent Reporting'!$L:$M, 2, FALSE)), ("N/A - Facility Does Not Report to TRI"))</f>
        <v>N/A - Facility Does Not Report to TRI</v>
      </c>
      <c r="AE195" s="109" cm="1">
        <f t="array" ref="AE195">IFERROR(_xlfn.XLOOKUP(1,  (MAX(IF(H195 = 'Processed Non-zero TRI Data'!$I:$I,'Processed Non-zero TRI Data'!$A:$A)) = 'Processed Non-zero TRI Data'!$A:$A)*('Processed Non-zero TRI Data'!$I:$I = H195), 'Processed Non-zero TRI Data'!$U:$U), "N/A- Facility Does Not Report to TRI")</f>
        <v>0</v>
      </c>
      <c r="AF195" s="33">
        <f t="shared" si="33"/>
        <v>0</v>
      </c>
      <c r="AG195" s="33" t="str" cm="1">
        <f t="array" ref="AG195">IF(COUNTIF('Processed Non-zero TRI Data'!$I:$I,$H195)&gt;0,MEDIAN(IF('Processed Non-zero TRI Data'!$I:$I=H195,'Processed Non-zero TRI Data'!$U:$U)), "N/A - Facility Does Not Report to TRI")</f>
        <v>N/A - Facility Does Not Report to TRI</v>
      </c>
      <c r="AH195" s="33" t="str">
        <f t="shared" si="34"/>
        <v>N/A - Facility Does Not Report to TRI</v>
      </c>
      <c r="AI195" s="33" t="str">
        <f>IF(COUNTIF('Processed Non-zero TRI Data'!$I:$I,$H195)&gt;0,_xlfn.MAXIFS('Processed Non-zero TRI Data'!$U:$U,'Processed Non-zero TRI Data'!$I:$I,$H195), "N/A - Facility Does Not Report to TRI")</f>
        <v>N/A - Facility Does Not Report to TRI</v>
      </c>
      <c r="AJ195" s="33" t="str">
        <f t="shared" si="35"/>
        <v>N/A - Facility Does Not Report to TRI</v>
      </c>
      <c r="AK195" s="110" t="str" cm="1">
        <f t="array" ref="AK195">IF(B195="TRI Form A",AD195,IF(AI195=0,"Facility has no transfers to POTWs between 2019-2023.",IF(COUNTIF('Processed Non-zero TRI Data'!$I:$I,$H195)&gt;0,INDEX('Processed Non-zero TRI Data'!$A:$A,MATCH(1,($H195='Processed Non-zero TRI Data'!$I:$I)*(AI195='Processed Non-zero TRI Data'!$U:$U),0)),"N/A - Facility Does Not Report to TRI")))</f>
        <v>N/A - Facility Does Not Report to TRI</v>
      </c>
      <c r="AL195" s="109" cm="1">
        <f t="array" ref="AL195">IFERROR(_xlfn.XLOOKUP(1,  (MAX(IF(H195 = 'Processed Non-zero TRI Data'!$I$2:$I$23,'Processed Non-zero TRI Data'!$A$2:$A$23)) = 'Processed Non-zero TRI Data'!$A$2:$A$23)*('Processed Non-zero TRI Data'!$I$2:$I$23 = H195), 'Processed Non-zero TRI Data'!$W$2:$W$23), "N/A- Facility Does Not Report to TRI")</f>
        <v>0</v>
      </c>
      <c r="AM195" s="33">
        <f t="shared" si="36"/>
        <v>0</v>
      </c>
      <c r="AN195" s="33" t="str" cm="1">
        <f t="array" ref="AN195">IF(COUNTIF('Processed Non-zero TRI Data'!$I:$I,$H195)&gt;0,MEDIAN(IF('Processed Non-zero TRI Data'!$I:$I=H195,'Processed Non-zero TRI Data'!$W:$W)), "N/A - Facility Does Not Report to TRI")</f>
        <v>N/A - Facility Does Not Report to TRI</v>
      </c>
      <c r="AO195" s="33" t="str">
        <f t="shared" si="37"/>
        <v>N/A - Facility Does Not Report to TRI</v>
      </c>
      <c r="AP195" s="33" t="str">
        <f>IF(COUNTIF('Processed Non-zero TRI Data'!$I:$I,$H195)&gt;0,_xlfn.MAXIFS('Processed Non-zero TRI Data'!$W:$W,'Processed Non-zero TRI Data'!$I:$I,$H195), "N/A - Facility Does Not Report to TRI")</f>
        <v>N/A - Facility Does Not Report to TRI</v>
      </c>
      <c r="AQ195" s="33" t="str">
        <f t="shared" si="38"/>
        <v>N/A - Facility Does Not Report to TRI</v>
      </c>
      <c r="AR195" s="110" t="str" cm="1">
        <f t="array" ref="AR195">IF(B195="TRI Form A",AD195,IF(AP195=0,"Facility has no transfers to non-POTWs between 2019-2023.",IF(COUNTIF('Processed Non-zero TRI Data'!$I:$I,$H195)&gt;0,INDEX('Processed Non-zero TRI Data'!$A:$A,MATCH(1,($H195='Processed Non-zero TRI Data'!$I:$I)*(AP195='Processed Non-zero TRI Data'!$W:$W),0)),"N/A - Facility Does Not Report to TRI")))</f>
        <v>N/A - Facility Does Not Report to TRI</v>
      </c>
    </row>
    <row r="196" spans="1:44" ht="29" x14ac:dyDescent="0.35">
      <c r="A196" s="34">
        <v>193</v>
      </c>
      <c r="B196" s="33" t="str">
        <f>IFERROR("TRI Form "&amp;VLOOKUP(H196,'Processed Non-zero TRI Data'!$I$2:$K$23,3,FALSE),"DMR")</f>
        <v>DMR</v>
      </c>
      <c r="C196" s="33" t="str">
        <f>VLOOKUP($D196, 'COU.OES Summary'!C:D, 2, FALSE)</f>
        <v> </v>
      </c>
      <c r="D196" s="33" t="str">
        <f>IFERROR(VLOOKUP($H196, 'Processed Non-zero TRI Data'!$I:$O, 7, FALSE), VLOOKUP($I196, 'Processed Non-zero DMR Data'!$K:$R, 8, FALSE))</f>
        <v>Waste handling, treatment, and disposal - Remediation or Monitoring</v>
      </c>
      <c r="E196" s="34" t="s">
        <v>469</v>
      </c>
      <c r="F196" s="34" t="s">
        <v>470</v>
      </c>
      <c r="G196" s="34" t="s">
        <v>126</v>
      </c>
      <c r="H196" s="34"/>
      <c r="I196" s="105">
        <v>110015744024</v>
      </c>
      <c r="J196" s="33" t="str">
        <f>IFERROR(VLOOKUP($I196, 'Processed Non-zero DMR Data'!$K:$U, 11, FALSE),"")</f>
        <v>NY0270491</v>
      </c>
      <c r="K196" s="33" t="str">
        <f>IFERROR(VLOOKUP($I196, 'Processed Non-zero DMR Data'!$K:$V, 12, FALSE),"Not Reported")</f>
        <v>Saw Kill</v>
      </c>
      <c r="L196" s="106">
        <f>IFERROR(VLOOKUP($I196, 'Processed Non-zero DMR Data'!$K:$W, 13, FALSE),"No Reach Code Reported")</f>
        <v>20200060907</v>
      </c>
      <c r="M196" s="107" t="str">
        <f>IFERROR(IFERROR(VLOOKUP(H196, 'Off-site Locations'!$K$3:$O$5, 5, FALSE), VLOOKUP(H196, 'Off-site Locations'!$B$3:$E$4, 4, FALSE)), "No Offsite Transfers")</f>
        <v>No Offsite Transfers</v>
      </c>
      <c r="N196" s="33">
        <f>VLOOKUP($D196, 'COU.OES Summary'!C:E, 3, FALSE)</f>
        <v>365</v>
      </c>
      <c r="O196" s="108">
        <f t="shared" ref="O196:O259" si="42">MAX(AB196,AI196,AP196)</f>
        <v>0</v>
      </c>
      <c r="P196" s="108">
        <f t="shared" ref="P196:P259" si="43">MAX(U196)</f>
        <v>9.6208795400000005E-2</v>
      </c>
      <c r="Q196" s="109" cm="1">
        <f t="array" ref="Q196">IFERROR(_xlfn.XLOOKUP(1,  (MAX(IF(I196 = 'Processed Non-zero DMR Data'!$K:$K,'Processed Non-zero DMR Data'!$A:$A)) = 'Processed Non-zero DMR Data'!$A:$A)*('Processed Non-zero DMR Data'!$K:$K = I196),'Processed Non-zero DMR Data'!$T:$T), "N/A- Facility Does Not Report DMRs")</f>
        <v>9.6208795400000005E-2</v>
      </c>
      <c r="R196" s="33">
        <f t="shared" si="39"/>
        <v>2.635857408219178E-4</v>
      </c>
      <c r="S196" s="33" cm="1">
        <f t="array" ref="S196">IF(COUNTIF('Processed Non-zero DMR Data'!$K:$K,$I196)&gt;0,MEDIAN(IF('Processed Non-zero DMR Data'!$K:$K=I196,'Processed Non-zero DMR Data'!$T:$T)),"N/A - Facility Does Not Report DMRs")</f>
        <v>8.7018947875000002E-2</v>
      </c>
      <c r="T196" s="33">
        <f t="shared" si="40"/>
        <v>2.3840807636986303E-4</v>
      </c>
      <c r="U196" s="33">
        <f>IF(COUNTIF('Processed Non-zero DMR Data'!$K:$K,$I196)&gt;0,_xlfn.MAXIFS('Processed Non-zero DMR Data'!$T:$T,'Processed Non-zero DMR Data'!$K:$K,$I196), "N/A - Facility Does Not Report DMRs")</f>
        <v>9.6208795400000005E-2</v>
      </c>
      <c r="V196" s="33">
        <f t="shared" si="41"/>
        <v>2.635857408219178E-4</v>
      </c>
      <c r="W196" s="110" cm="1">
        <f t="array" ref="W196">IF(COUNTIF('Processed Non-zero DMR Data'!$K:$K,$I196)&gt;0,INDEX('Processed Non-zero DMR Data'!$A:$A,MATCH(1,($I196='Processed Non-zero DMR Data'!$K:$K)*($U196='Processed Non-zero DMR Data'!$T:$T),0)), "N/A - Facility Does Not Report DMRs")</f>
        <v>2023</v>
      </c>
      <c r="X196" s="109" cm="1">
        <f t="array" ref="X196">IFERROR(_xlfn.XLOOKUP(1,  (MAX(IF(H196 = 'Processed Non-zero TRI Data'!$I:$I,'Processed Non-zero TRI Data'!$A:$A)) = 'Processed Non-zero TRI Data'!$A:$A)*('Processed Non-zero TRI Data'!$I:$I = H196), 'Processed Non-zero TRI Data'!$S:$S), "N/A- Facility Does Not Report to TRI")</f>
        <v>0</v>
      </c>
      <c r="Y196" s="33">
        <f t="shared" ref="Y196:Y259" si="44">IFERROR(X196/$N196, "N/A - Facility Does Not Report to TRI")</f>
        <v>0</v>
      </c>
      <c r="Z196" s="33" t="str" cm="1">
        <f t="array" ref="Z196">IF(COUNTIF('Processed Non-zero TRI Data'!$I:$I,$H196)&gt;0,MEDIAN(IF('Processed Non-zero TRI Data'!$I:$I=H196,'Processed Non-zero TRI Data'!$S:$S)), "N/A - Facility Does Not Report to TRI")</f>
        <v>N/A - Facility Does Not Report to TRI</v>
      </c>
      <c r="AA196" s="33" t="str">
        <f t="shared" ref="AA196:AA259" si="45">IFERROR(Z196/$N196, "N/A - Facility Does Not Report to TRI")</f>
        <v>N/A - Facility Does Not Report to TRI</v>
      </c>
      <c r="AB196" s="33" t="str">
        <f>IF(COUNTIF('Processed Non-zero TRI Data'!$I:$I,$H196)&gt;0,_xlfn.MAXIFS('Processed Non-zero TRI Data'!$S:$S,'Processed Non-zero TRI Data'!$I:$I,$H196), "N/A - Facility Does Not Report to TRI")</f>
        <v>N/A - Facility Does Not Report to TRI</v>
      </c>
      <c r="AC196" s="33" t="str">
        <f t="shared" ref="AC196:AC259" si="46">IFERROR(AB196/$N196, "N/A - Facility Does Not Report to TRI")</f>
        <v>N/A - Facility Does Not Report to TRI</v>
      </c>
      <c r="AD196" s="110" t="str" cm="1">
        <f t="array" ref="AD196">IFERROR(IF(B196 = "TRI Form R", IF(AB196 = 0, "Facility has no on-site water discharges between 2019-2023.",  IF(COUNTIF('Processed Non-zero TRI Data'!$I:$I,$H196)&gt;0,INDEX('Processed Non-zero TRI Data'!$A:$A,MATCH(1,($H196='Processed Non-zero TRI Data'!$I:$I)*(AB196='Processed Non-zero TRI Data'!$S:$S),0)))), VLOOKUP(H196, 'Form A Recent Reporting'!$L:$M, 2, FALSE)), ("N/A - Facility Does Not Report to TRI"))</f>
        <v>N/A - Facility Does Not Report to TRI</v>
      </c>
      <c r="AE196" s="109" cm="1">
        <f t="array" ref="AE196">IFERROR(_xlfn.XLOOKUP(1,  (MAX(IF(H196 = 'Processed Non-zero TRI Data'!$I:$I,'Processed Non-zero TRI Data'!$A:$A)) = 'Processed Non-zero TRI Data'!$A:$A)*('Processed Non-zero TRI Data'!$I:$I = H196), 'Processed Non-zero TRI Data'!$U:$U), "N/A- Facility Does Not Report to TRI")</f>
        <v>0</v>
      </c>
      <c r="AF196" s="33">
        <f t="shared" ref="AF196:AF259" si="47">IFERROR(AE196/$N196, "N/A - Facility Does Not Report to TRI")</f>
        <v>0</v>
      </c>
      <c r="AG196" s="33" t="str" cm="1">
        <f t="array" ref="AG196">IF(COUNTIF('Processed Non-zero TRI Data'!$I:$I,$H196)&gt;0,MEDIAN(IF('Processed Non-zero TRI Data'!$I:$I=H196,'Processed Non-zero TRI Data'!$U:$U)), "N/A - Facility Does Not Report to TRI")</f>
        <v>N/A - Facility Does Not Report to TRI</v>
      </c>
      <c r="AH196" s="33" t="str">
        <f t="shared" ref="AH196:AH259" si="48">IFERROR(AG196/$N196, "N/A - Facility Does Not Report to TRI")</f>
        <v>N/A - Facility Does Not Report to TRI</v>
      </c>
      <c r="AI196" s="33" t="str">
        <f>IF(COUNTIF('Processed Non-zero TRI Data'!$I:$I,$H196)&gt;0,_xlfn.MAXIFS('Processed Non-zero TRI Data'!$U:$U,'Processed Non-zero TRI Data'!$I:$I,$H196), "N/A - Facility Does Not Report to TRI")</f>
        <v>N/A - Facility Does Not Report to TRI</v>
      </c>
      <c r="AJ196" s="33" t="str">
        <f t="shared" ref="AJ196:AJ259" si="49">IFERROR(AI196/$N196, "N/A - Facility Does Not Report to TRI")</f>
        <v>N/A - Facility Does Not Report to TRI</v>
      </c>
      <c r="AK196" s="110" t="str" cm="1">
        <f t="array" ref="AK196">IF(B196="TRI Form A",AD196,IF(AI196=0,"Facility has no transfers to POTWs between 2019-2023.",IF(COUNTIF('Processed Non-zero TRI Data'!$I:$I,$H196)&gt;0,INDEX('Processed Non-zero TRI Data'!$A:$A,MATCH(1,($H196='Processed Non-zero TRI Data'!$I:$I)*(AI196='Processed Non-zero TRI Data'!$U:$U),0)),"N/A - Facility Does Not Report to TRI")))</f>
        <v>N/A - Facility Does Not Report to TRI</v>
      </c>
      <c r="AL196" s="109" cm="1">
        <f t="array" ref="AL196">IFERROR(_xlfn.XLOOKUP(1,  (MAX(IF(H196 = 'Processed Non-zero TRI Data'!$I$2:$I$23,'Processed Non-zero TRI Data'!$A$2:$A$23)) = 'Processed Non-zero TRI Data'!$A$2:$A$23)*('Processed Non-zero TRI Data'!$I$2:$I$23 = H196), 'Processed Non-zero TRI Data'!$W$2:$W$23), "N/A- Facility Does Not Report to TRI")</f>
        <v>0</v>
      </c>
      <c r="AM196" s="33">
        <f t="shared" ref="AM196:AM259" si="50">IFERROR(AL196/$N196, "N/A - Facility Does Not Report to TRI")</f>
        <v>0</v>
      </c>
      <c r="AN196" s="33" t="str" cm="1">
        <f t="array" ref="AN196">IF(COUNTIF('Processed Non-zero TRI Data'!$I:$I,$H196)&gt;0,MEDIAN(IF('Processed Non-zero TRI Data'!$I:$I=H196,'Processed Non-zero TRI Data'!$W:$W)), "N/A - Facility Does Not Report to TRI")</f>
        <v>N/A - Facility Does Not Report to TRI</v>
      </c>
      <c r="AO196" s="33" t="str">
        <f t="shared" ref="AO196:AO259" si="51">IFERROR(AN196/$N196, "N/A - Facility Does Not Report to TRI")</f>
        <v>N/A - Facility Does Not Report to TRI</v>
      </c>
      <c r="AP196" s="33" t="str">
        <f>IF(COUNTIF('Processed Non-zero TRI Data'!$I:$I,$H196)&gt;0,_xlfn.MAXIFS('Processed Non-zero TRI Data'!$W:$W,'Processed Non-zero TRI Data'!$I:$I,$H196), "N/A - Facility Does Not Report to TRI")</f>
        <v>N/A - Facility Does Not Report to TRI</v>
      </c>
      <c r="AQ196" s="33" t="str">
        <f t="shared" ref="AQ196:AQ259" si="52">IFERROR(AP196/$N196, "N/A - Facility Does Not Report to TRI")</f>
        <v>N/A - Facility Does Not Report to TRI</v>
      </c>
      <c r="AR196" s="110" t="str" cm="1">
        <f t="array" ref="AR196">IF(B196="TRI Form A",AD196,IF(AP196=0,"Facility has no transfers to non-POTWs between 2019-2023.",IF(COUNTIF('Processed Non-zero TRI Data'!$I:$I,$H196)&gt;0,INDEX('Processed Non-zero TRI Data'!$A:$A,MATCH(1,($H196='Processed Non-zero TRI Data'!$I:$I)*(AP196='Processed Non-zero TRI Data'!$W:$W),0)),"N/A - Facility Does Not Report to TRI")))</f>
        <v>N/A - Facility Does Not Report to TRI</v>
      </c>
    </row>
    <row r="197" spans="1:44" ht="29" x14ac:dyDescent="0.35">
      <c r="A197" s="34">
        <v>194</v>
      </c>
      <c r="B197" s="33" t="str">
        <f>IFERROR("TRI Form "&amp;VLOOKUP(H197,'Processed Non-zero TRI Data'!$I$2:$K$23,3,FALSE),"DMR")</f>
        <v>DMR</v>
      </c>
      <c r="C197" s="33" t="str">
        <f>VLOOKUP($D197, 'COU.OES Summary'!C:D, 2, FALSE)</f>
        <v> </v>
      </c>
      <c r="D197" s="33" t="str">
        <f>IFERROR(VLOOKUP($H197, 'Processed Non-zero TRI Data'!$I:$O, 7, FALSE), VLOOKUP($I197, 'Processed Non-zero DMR Data'!$K:$R, 8, FALSE))</f>
        <v>Waste handling, treatment, and disposal - Remediation or Monitoring</v>
      </c>
      <c r="E197" s="34" t="s">
        <v>471</v>
      </c>
      <c r="F197" s="34" t="s">
        <v>472</v>
      </c>
      <c r="G197" s="34" t="s">
        <v>254</v>
      </c>
      <c r="H197" s="34"/>
      <c r="I197" s="105">
        <v>110070219521</v>
      </c>
      <c r="J197" s="33" t="str">
        <f>IFERROR(VLOOKUP($I197, 'Processed Non-zero DMR Data'!$K:$U, 11, FALSE),"")</f>
        <v>NJG167916</v>
      </c>
      <c r="K197" s="33" t="str">
        <f>IFERROR(VLOOKUP($I197, 'Processed Non-zero DMR Data'!$K:$V, 12, FALSE),"Not Reported")</f>
        <v>Beden Brook</v>
      </c>
      <c r="L197" s="106">
        <f>IFERROR(VLOOKUP($I197, 'Processed Non-zero DMR Data'!$K:$W, 13, FALSE),"No Reach Code Reported")</f>
        <v>20301050309</v>
      </c>
      <c r="M197" s="107" t="str">
        <f>IFERROR(IFERROR(VLOOKUP(H197, 'Off-site Locations'!$K$3:$O$5, 5, FALSE), VLOOKUP(H197, 'Off-site Locations'!$B$3:$E$4, 4, FALSE)), "No Offsite Transfers")</f>
        <v>No Offsite Transfers</v>
      </c>
      <c r="N197" s="33">
        <f>VLOOKUP($D197, 'COU.OES Summary'!C:E, 3, FALSE)</f>
        <v>365</v>
      </c>
      <c r="O197" s="108">
        <f t="shared" si="42"/>
        <v>0</v>
      </c>
      <c r="P197" s="108">
        <f t="shared" si="43"/>
        <v>9.6145983325000003E-2</v>
      </c>
      <c r="Q197" s="109" cm="1">
        <f t="array" ref="Q197">IFERROR(_xlfn.XLOOKUP(1,  (MAX(IF(I197 = 'Processed Non-zero DMR Data'!$K:$K,'Processed Non-zero DMR Data'!$A:$A)) = 'Processed Non-zero DMR Data'!$A:$A)*('Processed Non-zero DMR Data'!$K:$K = I197),'Processed Non-zero DMR Data'!$T:$T), "N/A- Facility Does Not Report DMRs")</f>
        <v>4.6839289837499999E-2</v>
      </c>
      <c r="R197" s="33">
        <f t="shared" ref="R197:R260" si="53">IFERROR(Q197/$N197, "N/A - Facility Does Not Report DMRs")</f>
        <v>1.2832682147260273E-4</v>
      </c>
      <c r="S197" s="33" cm="1">
        <f t="array" ref="S197">IF(COUNTIF('Processed Non-zero DMR Data'!$K:$K,$I197)&gt;0,MEDIAN(IF('Processed Non-zero DMR Data'!$K:$K=I197,'Processed Non-zero DMR Data'!$T:$T)),"N/A - Facility Does Not Report DMRs")</f>
        <v>4.6839289837499999E-2</v>
      </c>
      <c r="T197" s="33">
        <f t="shared" ref="T197:T260" si="54">IFERROR(S197/$N197, "N/A - Facility Does Not Report DMRs")</f>
        <v>1.2832682147260273E-4</v>
      </c>
      <c r="U197" s="33">
        <f>IF(COUNTIF('Processed Non-zero DMR Data'!$K:$K,$I197)&gt;0,_xlfn.MAXIFS('Processed Non-zero DMR Data'!$T:$T,'Processed Non-zero DMR Data'!$K:$K,$I197), "N/A - Facility Does Not Report DMRs")</f>
        <v>9.6145983325000003E-2</v>
      </c>
      <c r="V197" s="33">
        <f t="shared" ref="V197:V260" si="55">IFERROR(U197/$N197, "N/A - Facility Does Not Report DMRs")</f>
        <v>2.6341365294520549E-4</v>
      </c>
      <c r="W197" s="110" cm="1">
        <f t="array" ref="W197">IF(COUNTIF('Processed Non-zero DMR Data'!$K:$K,$I197)&gt;0,INDEX('Processed Non-zero DMR Data'!$A:$A,MATCH(1,($I197='Processed Non-zero DMR Data'!$K:$K)*($U197='Processed Non-zero DMR Data'!$T:$T),0)), "N/A - Facility Does Not Report DMRs")</f>
        <v>2020</v>
      </c>
      <c r="X197" s="109" cm="1">
        <f t="array" ref="X197">IFERROR(_xlfn.XLOOKUP(1,  (MAX(IF(H197 = 'Processed Non-zero TRI Data'!$I:$I,'Processed Non-zero TRI Data'!$A:$A)) = 'Processed Non-zero TRI Data'!$A:$A)*('Processed Non-zero TRI Data'!$I:$I = H197), 'Processed Non-zero TRI Data'!$S:$S), "N/A- Facility Does Not Report to TRI")</f>
        <v>0</v>
      </c>
      <c r="Y197" s="33">
        <f t="shared" si="44"/>
        <v>0</v>
      </c>
      <c r="Z197" s="33" t="str" cm="1">
        <f t="array" ref="Z197">IF(COUNTIF('Processed Non-zero TRI Data'!$I:$I,$H197)&gt;0,MEDIAN(IF('Processed Non-zero TRI Data'!$I:$I=H197,'Processed Non-zero TRI Data'!$S:$S)), "N/A - Facility Does Not Report to TRI")</f>
        <v>N/A - Facility Does Not Report to TRI</v>
      </c>
      <c r="AA197" s="33" t="str">
        <f t="shared" si="45"/>
        <v>N/A - Facility Does Not Report to TRI</v>
      </c>
      <c r="AB197" s="33" t="str">
        <f>IF(COUNTIF('Processed Non-zero TRI Data'!$I:$I,$H197)&gt;0,_xlfn.MAXIFS('Processed Non-zero TRI Data'!$S:$S,'Processed Non-zero TRI Data'!$I:$I,$H197), "N/A - Facility Does Not Report to TRI")</f>
        <v>N/A - Facility Does Not Report to TRI</v>
      </c>
      <c r="AC197" s="33" t="str">
        <f t="shared" si="46"/>
        <v>N/A - Facility Does Not Report to TRI</v>
      </c>
      <c r="AD197" s="110" t="str" cm="1">
        <f t="array" ref="AD197">IFERROR(IF(B197 = "TRI Form R", IF(AB197 = 0, "Facility has no on-site water discharges between 2019-2023.",  IF(COUNTIF('Processed Non-zero TRI Data'!$I:$I,$H197)&gt;0,INDEX('Processed Non-zero TRI Data'!$A:$A,MATCH(1,($H197='Processed Non-zero TRI Data'!$I:$I)*(AB197='Processed Non-zero TRI Data'!$S:$S),0)))), VLOOKUP(H197, 'Form A Recent Reporting'!$L:$M, 2, FALSE)), ("N/A - Facility Does Not Report to TRI"))</f>
        <v>N/A - Facility Does Not Report to TRI</v>
      </c>
      <c r="AE197" s="109" cm="1">
        <f t="array" ref="AE197">IFERROR(_xlfn.XLOOKUP(1,  (MAX(IF(H197 = 'Processed Non-zero TRI Data'!$I:$I,'Processed Non-zero TRI Data'!$A:$A)) = 'Processed Non-zero TRI Data'!$A:$A)*('Processed Non-zero TRI Data'!$I:$I = H197), 'Processed Non-zero TRI Data'!$U:$U), "N/A- Facility Does Not Report to TRI")</f>
        <v>0</v>
      </c>
      <c r="AF197" s="33">
        <f t="shared" si="47"/>
        <v>0</v>
      </c>
      <c r="AG197" s="33" t="str" cm="1">
        <f t="array" ref="AG197">IF(COUNTIF('Processed Non-zero TRI Data'!$I:$I,$H197)&gt;0,MEDIAN(IF('Processed Non-zero TRI Data'!$I:$I=H197,'Processed Non-zero TRI Data'!$U:$U)), "N/A - Facility Does Not Report to TRI")</f>
        <v>N/A - Facility Does Not Report to TRI</v>
      </c>
      <c r="AH197" s="33" t="str">
        <f t="shared" si="48"/>
        <v>N/A - Facility Does Not Report to TRI</v>
      </c>
      <c r="AI197" s="33" t="str">
        <f>IF(COUNTIF('Processed Non-zero TRI Data'!$I:$I,$H197)&gt;0,_xlfn.MAXIFS('Processed Non-zero TRI Data'!$U:$U,'Processed Non-zero TRI Data'!$I:$I,$H197), "N/A - Facility Does Not Report to TRI")</f>
        <v>N/A - Facility Does Not Report to TRI</v>
      </c>
      <c r="AJ197" s="33" t="str">
        <f t="shared" si="49"/>
        <v>N/A - Facility Does Not Report to TRI</v>
      </c>
      <c r="AK197" s="110" t="str" cm="1">
        <f t="array" ref="AK197">IF(B197="TRI Form A",AD197,IF(AI197=0,"Facility has no transfers to POTWs between 2019-2023.",IF(COUNTIF('Processed Non-zero TRI Data'!$I:$I,$H197)&gt;0,INDEX('Processed Non-zero TRI Data'!$A:$A,MATCH(1,($H197='Processed Non-zero TRI Data'!$I:$I)*(AI197='Processed Non-zero TRI Data'!$U:$U),0)),"N/A - Facility Does Not Report to TRI")))</f>
        <v>N/A - Facility Does Not Report to TRI</v>
      </c>
      <c r="AL197" s="109" cm="1">
        <f t="array" ref="AL197">IFERROR(_xlfn.XLOOKUP(1,  (MAX(IF(H197 = 'Processed Non-zero TRI Data'!$I$2:$I$23,'Processed Non-zero TRI Data'!$A$2:$A$23)) = 'Processed Non-zero TRI Data'!$A$2:$A$23)*('Processed Non-zero TRI Data'!$I$2:$I$23 = H197), 'Processed Non-zero TRI Data'!$W$2:$W$23), "N/A- Facility Does Not Report to TRI")</f>
        <v>0</v>
      </c>
      <c r="AM197" s="33">
        <f t="shared" si="50"/>
        <v>0</v>
      </c>
      <c r="AN197" s="33" t="str" cm="1">
        <f t="array" ref="AN197">IF(COUNTIF('Processed Non-zero TRI Data'!$I:$I,$H197)&gt;0,MEDIAN(IF('Processed Non-zero TRI Data'!$I:$I=H197,'Processed Non-zero TRI Data'!$W:$W)), "N/A - Facility Does Not Report to TRI")</f>
        <v>N/A - Facility Does Not Report to TRI</v>
      </c>
      <c r="AO197" s="33" t="str">
        <f t="shared" si="51"/>
        <v>N/A - Facility Does Not Report to TRI</v>
      </c>
      <c r="AP197" s="33" t="str">
        <f>IF(COUNTIF('Processed Non-zero TRI Data'!$I:$I,$H197)&gt;0,_xlfn.MAXIFS('Processed Non-zero TRI Data'!$W:$W,'Processed Non-zero TRI Data'!$I:$I,$H197), "N/A - Facility Does Not Report to TRI")</f>
        <v>N/A - Facility Does Not Report to TRI</v>
      </c>
      <c r="AQ197" s="33" t="str">
        <f t="shared" si="52"/>
        <v>N/A - Facility Does Not Report to TRI</v>
      </c>
      <c r="AR197" s="110" t="str" cm="1">
        <f t="array" ref="AR197">IF(B197="TRI Form A",AD197,IF(AP197=0,"Facility has no transfers to non-POTWs between 2019-2023.",IF(COUNTIF('Processed Non-zero TRI Data'!$I:$I,$H197)&gt;0,INDEX('Processed Non-zero TRI Data'!$A:$A,MATCH(1,($H197='Processed Non-zero TRI Data'!$I:$I)*(AP197='Processed Non-zero TRI Data'!$W:$W),0)),"N/A - Facility Does Not Report to TRI")))</f>
        <v>N/A - Facility Does Not Report to TRI</v>
      </c>
    </row>
    <row r="198" spans="1:44" ht="29" x14ac:dyDescent="0.35">
      <c r="A198" s="34">
        <v>195</v>
      </c>
      <c r="B198" s="33" t="str">
        <f>IFERROR("TRI Form "&amp;VLOOKUP(H198,'Processed Non-zero TRI Data'!$I$2:$K$23,3,FALSE),"DMR")</f>
        <v>DMR</v>
      </c>
      <c r="C198" s="33" t="str">
        <f>VLOOKUP($D198, 'COU.OES Summary'!C:D, 2, FALSE)</f>
        <v> </v>
      </c>
      <c r="D198" s="33" t="str">
        <f>IFERROR(VLOOKUP($H198, 'Processed Non-zero TRI Data'!$I:$O, 7, FALSE), VLOOKUP($I198, 'Processed Non-zero DMR Data'!$K:$R, 8, FALSE))</f>
        <v>Waste handling, treatment, and disposal - POTW</v>
      </c>
      <c r="E198" s="34" t="s">
        <v>473</v>
      </c>
      <c r="F198" s="34" t="s">
        <v>474</v>
      </c>
      <c r="G198" s="34" t="s">
        <v>108</v>
      </c>
      <c r="H198" s="34"/>
      <c r="I198" s="105">
        <v>110030443544</v>
      </c>
      <c r="J198" s="33" t="str">
        <f>IFERROR(VLOOKUP($I198, 'Processed Non-zero DMR Data'!$K:$U, 11, FALSE),"")</f>
        <v>KY0106887</v>
      </c>
      <c r="K198" s="33" t="str">
        <f>IFERROR(VLOOKUP($I198, 'Processed Non-zero DMR Data'!$K:$V, 12, FALSE),"Not Reported")</f>
        <v>Mill Creek-Slate Creek</v>
      </c>
      <c r="L198" s="106">
        <f>IFERROR(VLOOKUP($I198, 'Processed Non-zero DMR Data'!$K:$W, 13, FALSE),"No Reach Code Reported")</f>
        <v>51001010704</v>
      </c>
      <c r="M198" s="107" t="str">
        <f>IFERROR(IFERROR(VLOOKUP(H198, 'Off-site Locations'!$K$3:$O$5, 5, FALSE), VLOOKUP(H198, 'Off-site Locations'!$B$3:$E$4, 4, FALSE)), "No Offsite Transfers")</f>
        <v>No Offsite Transfers</v>
      </c>
      <c r="N198" s="33">
        <f>VLOOKUP($D198, 'COU.OES Summary'!C:E, 3, FALSE)</f>
        <v>365</v>
      </c>
      <c r="O198" s="108">
        <f t="shared" si="42"/>
        <v>0</v>
      </c>
      <c r="P198" s="108">
        <f t="shared" si="43"/>
        <v>8.6345312499999993E-2</v>
      </c>
      <c r="Q198" s="109" cm="1">
        <f t="array" ref="Q198">IFERROR(_xlfn.XLOOKUP(1,  (MAX(IF(I198 = 'Processed Non-zero DMR Data'!$K:$K,'Processed Non-zero DMR Data'!$A:$A)) = 'Processed Non-zero DMR Data'!$A:$A)*('Processed Non-zero DMR Data'!$K:$K = I198),'Processed Non-zero DMR Data'!$T:$T), "N/A- Facility Does Not Report DMRs")</f>
        <v>8.6345312499999993E-2</v>
      </c>
      <c r="R198" s="33">
        <f t="shared" si="53"/>
        <v>2.3656249999999998E-4</v>
      </c>
      <c r="S198" s="33" cm="1">
        <f t="array" ref="S198">IF(COUNTIF('Processed Non-zero DMR Data'!$K:$K,$I198)&gt;0,MEDIAN(IF('Processed Non-zero DMR Data'!$K:$K=I198,'Processed Non-zero DMR Data'!$T:$T)),"N/A - Facility Does Not Report DMRs")</f>
        <v>8.6345312499999993E-2</v>
      </c>
      <c r="T198" s="33">
        <f t="shared" si="54"/>
        <v>2.3656249999999998E-4</v>
      </c>
      <c r="U198" s="33">
        <f>IF(COUNTIF('Processed Non-zero DMR Data'!$K:$K,$I198)&gt;0,_xlfn.MAXIFS('Processed Non-zero DMR Data'!$T:$T,'Processed Non-zero DMR Data'!$K:$K,$I198), "N/A - Facility Does Not Report DMRs")</f>
        <v>8.6345312499999993E-2</v>
      </c>
      <c r="V198" s="33">
        <f t="shared" si="55"/>
        <v>2.3656249999999998E-4</v>
      </c>
      <c r="W198" s="110" cm="1">
        <f t="array" ref="W198">IF(COUNTIF('Processed Non-zero DMR Data'!$K:$K,$I198)&gt;0,INDEX('Processed Non-zero DMR Data'!$A:$A,MATCH(1,($I198='Processed Non-zero DMR Data'!$K:$K)*($U198='Processed Non-zero DMR Data'!$T:$T),0)), "N/A - Facility Does Not Report DMRs")</f>
        <v>2020</v>
      </c>
      <c r="X198" s="109" cm="1">
        <f t="array" ref="X198">IFERROR(_xlfn.XLOOKUP(1,  (MAX(IF(H198 = 'Processed Non-zero TRI Data'!$I:$I,'Processed Non-zero TRI Data'!$A:$A)) = 'Processed Non-zero TRI Data'!$A:$A)*('Processed Non-zero TRI Data'!$I:$I = H198), 'Processed Non-zero TRI Data'!$S:$S), "N/A- Facility Does Not Report to TRI")</f>
        <v>0</v>
      </c>
      <c r="Y198" s="33">
        <f t="shared" si="44"/>
        <v>0</v>
      </c>
      <c r="Z198" s="33" t="str" cm="1">
        <f t="array" ref="Z198">IF(COUNTIF('Processed Non-zero TRI Data'!$I:$I,$H198)&gt;0,MEDIAN(IF('Processed Non-zero TRI Data'!$I:$I=H198,'Processed Non-zero TRI Data'!$S:$S)), "N/A - Facility Does Not Report to TRI")</f>
        <v>N/A - Facility Does Not Report to TRI</v>
      </c>
      <c r="AA198" s="33" t="str">
        <f t="shared" si="45"/>
        <v>N/A - Facility Does Not Report to TRI</v>
      </c>
      <c r="AB198" s="33" t="str">
        <f>IF(COUNTIF('Processed Non-zero TRI Data'!$I:$I,$H198)&gt;0,_xlfn.MAXIFS('Processed Non-zero TRI Data'!$S:$S,'Processed Non-zero TRI Data'!$I:$I,$H198), "N/A - Facility Does Not Report to TRI")</f>
        <v>N/A - Facility Does Not Report to TRI</v>
      </c>
      <c r="AC198" s="33" t="str">
        <f t="shared" si="46"/>
        <v>N/A - Facility Does Not Report to TRI</v>
      </c>
      <c r="AD198" s="110" t="str" cm="1">
        <f t="array" ref="AD198">IFERROR(IF(B198 = "TRI Form R", IF(AB198 = 0, "Facility has no on-site water discharges between 2019-2023.",  IF(COUNTIF('Processed Non-zero TRI Data'!$I:$I,$H198)&gt;0,INDEX('Processed Non-zero TRI Data'!$A:$A,MATCH(1,($H198='Processed Non-zero TRI Data'!$I:$I)*(AB198='Processed Non-zero TRI Data'!$S:$S),0)))), VLOOKUP(H198, 'Form A Recent Reporting'!$L:$M, 2, FALSE)), ("N/A - Facility Does Not Report to TRI"))</f>
        <v>N/A - Facility Does Not Report to TRI</v>
      </c>
      <c r="AE198" s="109" cm="1">
        <f t="array" ref="AE198">IFERROR(_xlfn.XLOOKUP(1,  (MAX(IF(H198 = 'Processed Non-zero TRI Data'!$I:$I,'Processed Non-zero TRI Data'!$A:$A)) = 'Processed Non-zero TRI Data'!$A:$A)*('Processed Non-zero TRI Data'!$I:$I = H198), 'Processed Non-zero TRI Data'!$U:$U), "N/A- Facility Does Not Report to TRI")</f>
        <v>0</v>
      </c>
      <c r="AF198" s="33">
        <f t="shared" si="47"/>
        <v>0</v>
      </c>
      <c r="AG198" s="33" t="str" cm="1">
        <f t="array" ref="AG198">IF(COUNTIF('Processed Non-zero TRI Data'!$I:$I,$H198)&gt;0,MEDIAN(IF('Processed Non-zero TRI Data'!$I:$I=H198,'Processed Non-zero TRI Data'!$U:$U)), "N/A - Facility Does Not Report to TRI")</f>
        <v>N/A - Facility Does Not Report to TRI</v>
      </c>
      <c r="AH198" s="33" t="str">
        <f t="shared" si="48"/>
        <v>N/A - Facility Does Not Report to TRI</v>
      </c>
      <c r="AI198" s="33" t="str">
        <f>IF(COUNTIF('Processed Non-zero TRI Data'!$I:$I,$H198)&gt;0,_xlfn.MAXIFS('Processed Non-zero TRI Data'!$U:$U,'Processed Non-zero TRI Data'!$I:$I,$H198), "N/A - Facility Does Not Report to TRI")</f>
        <v>N/A - Facility Does Not Report to TRI</v>
      </c>
      <c r="AJ198" s="33" t="str">
        <f t="shared" si="49"/>
        <v>N/A - Facility Does Not Report to TRI</v>
      </c>
      <c r="AK198" s="110" t="str" cm="1">
        <f t="array" ref="AK198">IF(B198="TRI Form A",AD198,IF(AI198=0,"Facility has no transfers to POTWs between 2019-2023.",IF(COUNTIF('Processed Non-zero TRI Data'!$I:$I,$H198)&gt;0,INDEX('Processed Non-zero TRI Data'!$A:$A,MATCH(1,($H198='Processed Non-zero TRI Data'!$I:$I)*(AI198='Processed Non-zero TRI Data'!$U:$U),0)),"N/A - Facility Does Not Report to TRI")))</f>
        <v>N/A - Facility Does Not Report to TRI</v>
      </c>
      <c r="AL198" s="109" cm="1">
        <f t="array" ref="AL198">IFERROR(_xlfn.XLOOKUP(1,  (MAX(IF(H198 = 'Processed Non-zero TRI Data'!$I$2:$I$23,'Processed Non-zero TRI Data'!$A$2:$A$23)) = 'Processed Non-zero TRI Data'!$A$2:$A$23)*('Processed Non-zero TRI Data'!$I$2:$I$23 = H198), 'Processed Non-zero TRI Data'!$W$2:$W$23), "N/A- Facility Does Not Report to TRI")</f>
        <v>0</v>
      </c>
      <c r="AM198" s="33">
        <f t="shared" si="50"/>
        <v>0</v>
      </c>
      <c r="AN198" s="33" t="str" cm="1">
        <f t="array" ref="AN198">IF(COUNTIF('Processed Non-zero TRI Data'!$I:$I,$H198)&gt;0,MEDIAN(IF('Processed Non-zero TRI Data'!$I:$I=H198,'Processed Non-zero TRI Data'!$W:$W)), "N/A - Facility Does Not Report to TRI")</f>
        <v>N/A - Facility Does Not Report to TRI</v>
      </c>
      <c r="AO198" s="33" t="str">
        <f t="shared" si="51"/>
        <v>N/A - Facility Does Not Report to TRI</v>
      </c>
      <c r="AP198" s="33" t="str">
        <f>IF(COUNTIF('Processed Non-zero TRI Data'!$I:$I,$H198)&gt;0,_xlfn.MAXIFS('Processed Non-zero TRI Data'!$W:$W,'Processed Non-zero TRI Data'!$I:$I,$H198), "N/A - Facility Does Not Report to TRI")</f>
        <v>N/A - Facility Does Not Report to TRI</v>
      </c>
      <c r="AQ198" s="33" t="str">
        <f t="shared" si="52"/>
        <v>N/A - Facility Does Not Report to TRI</v>
      </c>
      <c r="AR198" s="110" t="str" cm="1">
        <f t="array" ref="AR198">IF(B198="TRI Form A",AD198,IF(AP198=0,"Facility has no transfers to non-POTWs between 2019-2023.",IF(COUNTIF('Processed Non-zero TRI Data'!$I:$I,$H198)&gt;0,INDEX('Processed Non-zero TRI Data'!$A:$A,MATCH(1,($H198='Processed Non-zero TRI Data'!$I:$I)*(AP198='Processed Non-zero TRI Data'!$W:$W),0)),"N/A - Facility Does Not Report to TRI")))</f>
        <v>N/A - Facility Does Not Report to TRI</v>
      </c>
    </row>
    <row r="199" spans="1:44" ht="29" x14ac:dyDescent="0.35">
      <c r="A199" s="34">
        <v>196</v>
      </c>
      <c r="B199" s="33" t="str">
        <f>IFERROR("TRI Form "&amp;VLOOKUP(H199,'Processed Non-zero TRI Data'!$I$2:$K$23,3,FALSE),"DMR")</f>
        <v>DMR</v>
      </c>
      <c r="C199" s="33" t="str">
        <f>VLOOKUP($D199, 'COU.OES Summary'!C:D, 2, FALSE)</f>
        <v> </v>
      </c>
      <c r="D199" s="33" t="str">
        <f>IFERROR(VLOOKUP($H199, 'Processed Non-zero TRI Data'!$I:$O, 7, FALSE), VLOOKUP($I199, 'Processed Non-zero DMR Data'!$K:$R, 8, FALSE))</f>
        <v>Waste handling, treatment, and disposal - Remediation or Monitoring</v>
      </c>
      <c r="E199" s="34" t="s">
        <v>475</v>
      </c>
      <c r="F199" s="34" t="s">
        <v>476</v>
      </c>
      <c r="G199" s="34" t="s">
        <v>181</v>
      </c>
      <c r="H199" s="34"/>
      <c r="I199" s="105">
        <v>110009900679</v>
      </c>
      <c r="J199" s="33" t="str">
        <f>IFERROR(VLOOKUP($I199, 'Processed Non-zero DMR Data'!$K:$U, 11, FALSE),"")</f>
        <v>MI0025321</v>
      </c>
      <c r="K199" s="33" t="str">
        <f>IFERROR(VLOOKUP($I199, 'Processed Non-zero DMR Data'!$K:$V, 12, FALSE),"Not Reported")</f>
        <v>Montcalm Lake-Kalamazoo River</v>
      </c>
      <c r="L199" s="106">
        <f>IFERROR(VLOOKUP($I199, 'Processed Non-zero DMR Data'!$K:$W, 13, FALSE),"No Reach Code Reported")</f>
        <v>40500030406</v>
      </c>
      <c r="M199" s="107" t="str">
        <f>IFERROR(IFERROR(VLOOKUP(H199, 'Off-site Locations'!$K$3:$O$5, 5, FALSE), VLOOKUP(H199, 'Off-site Locations'!$B$3:$E$4, 4, FALSE)), "No Offsite Transfers")</f>
        <v>No Offsite Transfers</v>
      </c>
      <c r="N199" s="33">
        <f>VLOOKUP($D199, 'COU.OES Summary'!C:E, 3, FALSE)</f>
        <v>365</v>
      </c>
      <c r="O199" s="108">
        <f t="shared" si="42"/>
        <v>0</v>
      </c>
      <c r="P199" s="108">
        <f t="shared" si="43"/>
        <v>7.8614450000000002E-2</v>
      </c>
      <c r="Q199" s="109" cm="1">
        <f t="array" ref="Q199">IFERROR(_xlfn.XLOOKUP(1,  (MAX(IF(I199 = 'Processed Non-zero DMR Data'!$K:$K,'Processed Non-zero DMR Data'!$A:$A)) = 'Processed Non-zero DMR Data'!$A:$A)*('Processed Non-zero DMR Data'!$K:$K = I199),'Processed Non-zero DMR Data'!$T:$T), "N/A- Facility Does Not Report DMRs")</f>
        <v>7.8614450000000002E-2</v>
      </c>
      <c r="R199" s="33">
        <f t="shared" si="53"/>
        <v>2.1538205479452056E-4</v>
      </c>
      <c r="S199" s="33" cm="1">
        <f t="array" ref="S199">IF(COUNTIF('Processed Non-zero DMR Data'!$K:$K,$I199)&gt;0,MEDIAN(IF('Processed Non-zero DMR Data'!$K:$K=I199,'Processed Non-zero DMR Data'!$T:$T)),"N/A - Facility Does Not Report DMRs")</f>
        <v>7.4280625000000003E-2</v>
      </c>
      <c r="T199" s="33">
        <f t="shared" si="54"/>
        <v>2.0350856164383564E-4</v>
      </c>
      <c r="U199" s="33">
        <f>IF(COUNTIF('Processed Non-zero DMR Data'!$K:$K,$I199)&gt;0,_xlfn.MAXIFS('Processed Non-zero DMR Data'!$T:$T,'Processed Non-zero DMR Data'!$K:$K,$I199), "N/A - Facility Does Not Report DMRs")</f>
        <v>7.8614450000000002E-2</v>
      </c>
      <c r="V199" s="33">
        <f t="shared" si="55"/>
        <v>2.1538205479452056E-4</v>
      </c>
      <c r="W199" s="110" cm="1">
        <f t="array" ref="W199">IF(COUNTIF('Processed Non-zero DMR Data'!$K:$K,$I199)&gt;0,INDEX('Processed Non-zero DMR Data'!$A:$A,MATCH(1,($I199='Processed Non-zero DMR Data'!$K:$K)*($U199='Processed Non-zero DMR Data'!$T:$T),0)), "N/A - Facility Does Not Report DMRs")</f>
        <v>2023</v>
      </c>
      <c r="X199" s="109" cm="1">
        <f t="array" ref="X199">IFERROR(_xlfn.XLOOKUP(1,  (MAX(IF(H199 = 'Processed Non-zero TRI Data'!$I:$I,'Processed Non-zero TRI Data'!$A:$A)) = 'Processed Non-zero TRI Data'!$A:$A)*('Processed Non-zero TRI Data'!$I:$I = H199), 'Processed Non-zero TRI Data'!$S:$S), "N/A- Facility Does Not Report to TRI")</f>
        <v>0</v>
      </c>
      <c r="Y199" s="33">
        <f t="shared" si="44"/>
        <v>0</v>
      </c>
      <c r="Z199" s="33" t="str" cm="1">
        <f t="array" ref="Z199">IF(COUNTIF('Processed Non-zero TRI Data'!$I:$I,$H199)&gt;0,MEDIAN(IF('Processed Non-zero TRI Data'!$I:$I=H199,'Processed Non-zero TRI Data'!$S:$S)), "N/A - Facility Does Not Report to TRI")</f>
        <v>N/A - Facility Does Not Report to TRI</v>
      </c>
      <c r="AA199" s="33" t="str">
        <f t="shared" si="45"/>
        <v>N/A - Facility Does Not Report to TRI</v>
      </c>
      <c r="AB199" s="33" t="str">
        <f>IF(COUNTIF('Processed Non-zero TRI Data'!$I:$I,$H199)&gt;0,_xlfn.MAXIFS('Processed Non-zero TRI Data'!$S:$S,'Processed Non-zero TRI Data'!$I:$I,$H199), "N/A - Facility Does Not Report to TRI")</f>
        <v>N/A - Facility Does Not Report to TRI</v>
      </c>
      <c r="AC199" s="33" t="str">
        <f t="shared" si="46"/>
        <v>N/A - Facility Does Not Report to TRI</v>
      </c>
      <c r="AD199" s="110" t="str" cm="1">
        <f t="array" ref="AD199">IFERROR(IF(B199 = "TRI Form R", IF(AB199 = 0, "Facility has no on-site water discharges between 2019-2023.",  IF(COUNTIF('Processed Non-zero TRI Data'!$I:$I,$H199)&gt;0,INDEX('Processed Non-zero TRI Data'!$A:$A,MATCH(1,($H199='Processed Non-zero TRI Data'!$I:$I)*(AB199='Processed Non-zero TRI Data'!$S:$S),0)))), VLOOKUP(H199, 'Form A Recent Reporting'!$L:$M, 2, FALSE)), ("N/A - Facility Does Not Report to TRI"))</f>
        <v>N/A - Facility Does Not Report to TRI</v>
      </c>
      <c r="AE199" s="109" cm="1">
        <f t="array" ref="AE199">IFERROR(_xlfn.XLOOKUP(1,  (MAX(IF(H199 = 'Processed Non-zero TRI Data'!$I:$I,'Processed Non-zero TRI Data'!$A:$A)) = 'Processed Non-zero TRI Data'!$A:$A)*('Processed Non-zero TRI Data'!$I:$I = H199), 'Processed Non-zero TRI Data'!$U:$U), "N/A- Facility Does Not Report to TRI")</f>
        <v>0</v>
      </c>
      <c r="AF199" s="33">
        <f t="shared" si="47"/>
        <v>0</v>
      </c>
      <c r="AG199" s="33" t="str" cm="1">
        <f t="array" ref="AG199">IF(COUNTIF('Processed Non-zero TRI Data'!$I:$I,$H199)&gt;0,MEDIAN(IF('Processed Non-zero TRI Data'!$I:$I=H199,'Processed Non-zero TRI Data'!$U:$U)), "N/A - Facility Does Not Report to TRI")</f>
        <v>N/A - Facility Does Not Report to TRI</v>
      </c>
      <c r="AH199" s="33" t="str">
        <f t="shared" si="48"/>
        <v>N/A - Facility Does Not Report to TRI</v>
      </c>
      <c r="AI199" s="33" t="str">
        <f>IF(COUNTIF('Processed Non-zero TRI Data'!$I:$I,$H199)&gt;0,_xlfn.MAXIFS('Processed Non-zero TRI Data'!$U:$U,'Processed Non-zero TRI Data'!$I:$I,$H199), "N/A - Facility Does Not Report to TRI")</f>
        <v>N/A - Facility Does Not Report to TRI</v>
      </c>
      <c r="AJ199" s="33" t="str">
        <f t="shared" si="49"/>
        <v>N/A - Facility Does Not Report to TRI</v>
      </c>
      <c r="AK199" s="110" t="str" cm="1">
        <f t="array" ref="AK199">IF(B199="TRI Form A",AD199,IF(AI199=0,"Facility has no transfers to POTWs between 2019-2023.",IF(COUNTIF('Processed Non-zero TRI Data'!$I:$I,$H199)&gt;0,INDEX('Processed Non-zero TRI Data'!$A:$A,MATCH(1,($H199='Processed Non-zero TRI Data'!$I:$I)*(AI199='Processed Non-zero TRI Data'!$U:$U),0)),"N/A - Facility Does Not Report to TRI")))</f>
        <v>N/A - Facility Does Not Report to TRI</v>
      </c>
      <c r="AL199" s="109" cm="1">
        <f t="array" ref="AL199">IFERROR(_xlfn.XLOOKUP(1,  (MAX(IF(H199 = 'Processed Non-zero TRI Data'!$I$2:$I$23,'Processed Non-zero TRI Data'!$A$2:$A$23)) = 'Processed Non-zero TRI Data'!$A$2:$A$23)*('Processed Non-zero TRI Data'!$I$2:$I$23 = H199), 'Processed Non-zero TRI Data'!$W$2:$W$23), "N/A- Facility Does Not Report to TRI")</f>
        <v>0</v>
      </c>
      <c r="AM199" s="33">
        <f t="shared" si="50"/>
        <v>0</v>
      </c>
      <c r="AN199" s="33" t="str" cm="1">
        <f t="array" ref="AN199">IF(COUNTIF('Processed Non-zero TRI Data'!$I:$I,$H199)&gt;0,MEDIAN(IF('Processed Non-zero TRI Data'!$I:$I=H199,'Processed Non-zero TRI Data'!$W:$W)), "N/A - Facility Does Not Report to TRI")</f>
        <v>N/A - Facility Does Not Report to TRI</v>
      </c>
      <c r="AO199" s="33" t="str">
        <f t="shared" si="51"/>
        <v>N/A - Facility Does Not Report to TRI</v>
      </c>
      <c r="AP199" s="33" t="str">
        <f>IF(COUNTIF('Processed Non-zero TRI Data'!$I:$I,$H199)&gt;0,_xlfn.MAXIFS('Processed Non-zero TRI Data'!$W:$W,'Processed Non-zero TRI Data'!$I:$I,$H199), "N/A - Facility Does Not Report to TRI")</f>
        <v>N/A - Facility Does Not Report to TRI</v>
      </c>
      <c r="AQ199" s="33" t="str">
        <f t="shared" si="52"/>
        <v>N/A - Facility Does Not Report to TRI</v>
      </c>
      <c r="AR199" s="110" t="str" cm="1">
        <f t="array" ref="AR199">IF(B199="TRI Form A",AD199,IF(AP199=0,"Facility has no transfers to non-POTWs between 2019-2023.",IF(COUNTIF('Processed Non-zero TRI Data'!$I:$I,$H199)&gt;0,INDEX('Processed Non-zero TRI Data'!$A:$A,MATCH(1,($H199='Processed Non-zero TRI Data'!$I:$I)*(AP199='Processed Non-zero TRI Data'!$W:$W),0)),"N/A - Facility Does Not Report to TRI")))</f>
        <v>N/A - Facility Does Not Report to TRI</v>
      </c>
    </row>
    <row r="200" spans="1:44" ht="29" x14ac:dyDescent="0.35">
      <c r="A200" s="34">
        <v>197</v>
      </c>
      <c r="B200" s="33" t="str">
        <f>IFERROR("TRI Form "&amp;VLOOKUP(H200,'Processed Non-zero TRI Data'!$I$2:$K$23,3,FALSE),"DMR")</f>
        <v>DMR</v>
      </c>
      <c r="C200" s="33" t="str">
        <f>VLOOKUP($D200, 'COU.OES Summary'!C:D, 2, FALSE)</f>
        <v> </v>
      </c>
      <c r="D200" s="33" t="str">
        <f>IFERROR(VLOOKUP($H200, 'Processed Non-zero TRI Data'!$I:$O, 7, FALSE), VLOOKUP($I200, 'Processed Non-zero DMR Data'!$K:$R, 8, FALSE))</f>
        <v>Waste handling, treatment, and disposal - Remediation or Monitoring</v>
      </c>
      <c r="E200" s="34" t="s">
        <v>477</v>
      </c>
      <c r="F200" s="34" t="s">
        <v>478</v>
      </c>
      <c r="G200" s="34" t="s">
        <v>95</v>
      </c>
      <c r="H200" s="34"/>
      <c r="I200" s="105">
        <v>110071710882</v>
      </c>
      <c r="J200" s="33" t="str">
        <f>IFERROR(VLOOKUP($I200, 'Processed Non-zero DMR Data'!$K:$U, 11, FALSE),"")</f>
        <v>TX0004669</v>
      </c>
      <c r="K200" s="33" t="str">
        <f>IFERROR(VLOOKUP($I200, 'Processed Non-zero DMR Data'!$K:$V, 12, FALSE),"Not Reported")</f>
        <v>Grays Bayou-Neches River</v>
      </c>
      <c r="L200" s="106">
        <f>IFERROR(VLOOKUP($I200, 'Processed Non-zero DMR Data'!$K:$W, 13, FALSE),"No Reach Code Reported")</f>
        <v>120200030407</v>
      </c>
      <c r="M200" s="107" t="str">
        <f>IFERROR(IFERROR(VLOOKUP(H200, 'Off-site Locations'!$K$3:$O$5, 5, FALSE), VLOOKUP(H200, 'Off-site Locations'!$B$3:$E$4, 4, FALSE)), "No Offsite Transfers")</f>
        <v>No Offsite Transfers</v>
      </c>
      <c r="N200" s="33">
        <f>VLOOKUP($D200, 'COU.OES Summary'!C:E, 3, FALSE)</f>
        <v>365</v>
      </c>
      <c r="O200" s="108">
        <f t="shared" si="42"/>
        <v>0</v>
      </c>
      <c r="P200" s="108">
        <f t="shared" si="43"/>
        <v>7.5969492E-2</v>
      </c>
      <c r="Q200" s="109" cm="1">
        <f t="array" ref="Q200">IFERROR(_xlfn.XLOOKUP(1,  (MAX(IF(I200 = 'Processed Non-zero DMR Data'!$K:$K,'Processed Non-zero DMR Data'!$A:$A)) = 'Processed Non-zero DMR Data'!$A:$A)*('Processed Non-zero DMR Data'!$K:$K = I200),'Processed Non-zero DMR Data'!$T:$T), "N/A- Facility Does Not Report DMRs")</f>
        <v>7.5969492E-2</v>
      </c>
      <c r="R200" s="33">
        <f t="shared" si="53"/>
        <v>2.0813559452054794E-4</v>
      </c>
      <c r="S200" s="33" cm="1">
        <f t="array" ref="S200">IF(COUNTIF('Processed Non-zero DMR Data'!$K:$K,$I200)&gt;0,MEDIAN(IF('Processed Non-zero DMR Data'!$K:$K=I200,'Processed Non-zero DMR Data'!$T:$T)),"N/A - Facility Does Not Report DMRs")</f>
        <v>7.5969492E-2</v>
      </c>
      <c r="T200" s="33">
        <f t="shared" si="54"/>
        <v>2.0813559452054794E-4</v>
      </c>
      <c r="U200" s="33">
        <f>IF(COUNTIF('Processed Non-zero DMR Data'!$K:$K,$I200)&gt;0,_xlfn.MAXIFS('Processed Non-zero DMR Data'!$T:$T,'Processed Non-zero DMR Data'!$K:$K,$I200), "N/A - Facility Does Not Report DMRs")</f>
        <v>7.5969492E-2</v>
      </c>
      <c r="V200" s="33">
        <f t="shared" si="55"/>
        <v>2.0813559452054794E-4</v>
      </c>
      <c r="W200" s="110" cm="1">
        <f t="array" ref="W200">IF(COUNTIF('Processed Non-zero DMR Data'!$K:$K,$I200)&gt;0,INDEX('Processed Non-zero DMR Data'!$A:$A,MATCH(1,($I200='Processed Non-zero DMR Data'!$K:$K)*($U200='Processed Non-zero DMR Data'!$T:$T),0)), "N/A - Facility Does Not Report DMRs")</f>
        <v>2023</v>
      </c>
      <c r="X200" s="109" cm="1">
        <f t="array" ref="X200">IFERROR(_xlfn.XLOOKUP(1,  (MAX(IF(H200 = 'Processed Non-zero TRI Data'!$I:$I,'Processed Non-zero TRI Data'!$A:$A)) = 'Processed Non-zero TRI Data'!$A:$A)*('Processed Non-zero TRI Data'!$I:$I = H200), 'Processed Non-zero TRI Data'!$S:$S), "N/A- Facility Does Not Report to TRI")</f>
        <v>0</v>
      </c>
      <c r="Y200" s="33">
        <f t="shared" si="44"/>
        <v>0</v>
      </c>
      <c r="Z200" s="33" t="str" cm="1">
        <f t="array" ref="Z200">IF(COUNTIF('Processed Non-zero TRI Data'!$I:$I,$H200)&gt;0,MEDIAN(IF('Processed Non-zero TRI Data'!$I:$I=H200,'Processed Non-zero TRI Data'!$S:$S)), "N/A - Facility Does Not Report to TRI")</f>
        <v>N/A - Facility Does Not Report to TRI</v>
      </c>
      <c r="AA200" s="33" t="str">
        <f t="shared" si="45"/>
        <v>N/A - Facility Does Not Report to TRI</v>
      </c>
      <c r="AB200" s="33" t="str">
        <f>IF(COUNTIF('Processed Non-zero TRI Data'!$I:$I,$H200)&gt;0,_xlfn.MAXIFS('Processed Non-zero TRI Data'!$S:$S,'Processed Non-zero TRI Data'!$I:$I,$H200), "N/A - Facility Does Not Report to TRI")</f>
        <v>N/A - Facility Does Not Report to TRI</v>
      </c>
      <c r="AC200" s="33" t="str">
        <f t="shared" si="46"/>
        <v>N/A - Facility Does Not Report to TRI</v>
      </c>
      <c r="AD200" s="110" t="str" cm="1">
        <f t="array" ref="AD200">IFERROR(IF(B200 = "TRI Form R", IF(AB200 = 0, "Facility has no on-site water discharges between 2019-2023.",  IF(COUNTIF('Processed Non-zero TRI Data'!$I:$I,$H200)&gt;0,INDEX('Processed Non-zero TRI Data'!$A:$A,MATCH(1,($H200='Processed Non-zero TRI Data'!$I:$I)*(AB200='Processed Non-zero TRI Data'!$S:$S),0)))), VLOOKUP(H200, 'Form A Recent Reporting'!$L:$M, 2, FALSE)), ("N/A - Facility Does Not Report to TRI"))</f>
        <v>N/A - Facility Does Not Report to TRI</v>
      </c>
      <c r="AE200" s="109" cm="1">
        <f t="array" ref="AE200">IFERROR(_xlfn.XLOOKUP(1,  (MAX(IF(H200 = 'Processed Non-zero TRI Data'!$I:$I,'Processed Non-zero TRI Data'!$A:$A)) = 'Processed Non-zero TRI Data'!$A:$A)*('Processed Non-zero TRI Data'!$I:$I = H200), 'Processed Non-zero TRI Data'!$U:$U), "N/A- Facility Does Not Report to TRI")</f>
        <v>0</v>
      </c>
      <c r="AF200" s="33">
        <f t="shared" si="47"/>
        <v>0</v>
      </c>
      <c r="AG200" s="33" t="str" cm="1">
        <f t="array" ref="AG200">IF(COUNTIF('Processed Non-zero TRI Data'!$I:$I,$H200)&gt;0,MEDIAN(IF('Processed Non-zero TRI Data'!$I:$I=H200,'Processed Non-zero TRI Data'!$U:$U)), "N/A - Facility Does Not Report to TRI")</f>
        <v>N/A - Facility Does Not Report to TRI</v>
      </c>
      <c r="AH200" s="33" t="str">
        <f t="shared" si="48"/>
        <v>N/A - Facility Does Not Report to TRI</v>
      </c>
      <c r="AI200" s="33" t="str">
        <f>IF(COUNTIF('Processed Non-zero TRI Data'!$I:$I,$H200)&gt;0,_xlfn.MAXIFS('Processed Non-zero TRI Data'!$U:$U,'Processed Non-zero TRI Data'!$I:$I,$H200), "N/A - Facility Does Not Report to TRI")</f>
        <v>N/A - Facility Does Not Report to TRI</v>
      </c>
      <c r="AJ200" s="33" t="str">
        <f t="shared" si="49"/>
        <v>N/A - Facility Does Not Report to TRI</v>
      </c>
      <c r="AK200" s="110" t="str" cm="1">
        <f t="array" ref="AK200">IF(B200="TRI Form A",AD200,IF(AI200=0,"Facility has no transfers to POTWs between 2019-2023.",IF(COUNTIF('Processed Non-zero TRI Data'!$I:$I,$H200)&gt;0,INDEX('Processed Non-zero TRI Data'!$A:$A,MATCH(1,($H200='Processed Non-zero TRI Data'!$I:$I)*(AI200='Processed Non-zero TRI Data'!$U:$U),0)),"N/A - Facility Does Not Report to TRI")))</f>
        <v>N/A - Facility Does Not Report to TRI</v>
      </c>
      <c r="AL200" s="109" cm="1">
        <f t="array" ref="AL200">IFERROR(_xlfn.XLOOKUP(1,  (MAX(IF(H200 = 'Processed Non-zero TRI Data'!$I$2:$I$23,'Processed Non-zero TRI Data'!$A$2:$A$23)) = 'Processed Non-zero TRI Data'!$A$2:$A$23)*('Processed Non-zero TRI Data'!$I$2:$I$23 = H200), 'Processed Non-zero TRI Data'!$W$2:$W$23), "N/A- Facility Does Not Report to TRI")</f>
        <v>0</v>
      </c>
      <c r="AM200" s="33">
        <f t="shared" si="50"/>
        <v>0</v>
      </c>
      <c r="AN200" s="33" t="str" cm="1">
        <f t="array" ref="AN200">IF(COUNTIF('Processed Non-zero TRI Data'!$I:$I,$H200)&gt;0,MEDIAN(IF('Processed Non-zero TRI Data'!$I:$I=H200,'Processed Non-zero TRI Data'!$W:$W)), "N/A - Facility Does Not Report to TRI")</f>
        <v>N/A - Facility Does Not Report to TRI</v>
      </c>
      <c r="AO200" s="33" t="str">
        <f t="shared" si="51"/>
        <v>N/A - Facility Does Not Report to TRI</v>
      </c>
      <c r="AP200" s="33" t="str">
        <f>IF(COUNTIF('Processed Non-zero TRI Data'!$I:$I,$H200)&gt;0,_xlfn.MAXIFS('Processed Non-zero TRI Data'!$W:$W,'Processed Non-zero TRI Data'!$I:$I,$H200), "N/A - Facility Does Not Report to TRI")</f>
        <v>N/A - Facility Does Not Report to TRI</v>
      </c>
      <c r="AQ200" s="33" t="str">
        <f t="shared" si="52"/>
        <v>N/A - Facility Does Not Report to TRI</v>
      </c>
      <c r="AR200" s="110" t="str" cm="1">
        <f t="array" ref="AR200">IF(B200="TRI Form A",AD200,IF(AP200=0,"Facility has no transfers to non-POTWs between 2019-2023.",IF(COUNTIF('Processed Non-zero TRI Data'!$I:$I,$H200)&gt;0,INDEX('Processed Non-zero TRI Data'!$A:$A,MATCH(1,($H200='Processed Non-zero TRI Data'!$I:$I)*(AP200='Processed Non-zero TRI Data'!$W:$W),0)),"N/A - Facility Does Not Report to TRI")))</f>
        <v>N/A - Facility Does Not Report to TRI</v>
      </c>
    </row>
    <row r="201" spans="1:44" ht="29" x14ac:dyDescent="0.35">
      <c r="A201" s="34">
        <v>198</v>
      </c>
      <c r="B201" s="33" t="str">
        <f>IFERROR("TRI Form "&amp;VLOOKUP(H201,'Processed Non-zero TRI Data'!$I$2:$K$23,3,FALSE),"DMR")</f>
        <v>DMR</v>
      </c>
      <c r="C201" s="33" t="str">
        <f>VLOOKUP($D201, 'COU.OES Summary'!C:D, 2, FALSE)</f>
        <v> </v>
      </c>
      <c r="D201" s="33" t="str">
        <f>IFERROR(VLOOKUP($H201, 'Processed Non-zero TRI Data'!$I:$O, 7, FALSE), VLOOKUP($I201, 'Processed Non-zero DMR Data'!$K:$R, 8, FALSE))</f>
        <v>Waste handling, treatment, and disposal - Remediation or Monitoring</v>
      </c>
      <c r="E201" s="34" t="s">
        <v>479</v>
      </c>
      <c r="F201" s="34" t="s">
        <v>480</v>
      </c>
      <c r="G201" s="34" t="s">
        <v>481</v>
      </c>
      <c r="H201" s="34"/>
      <c r="I201" s="105">
        <v>110037096674</v>
      </c>
      <c r="J201" s="33" t="str">
        <f>IFERROR(VLOOKUP($I201, 'Processed Non-zero DMR Data'!$K:$U, 11, FALSE),"")</f>
        <v>MD0071790</v>
      </c>
      <c r="K201" s="33" t="str">
        <f>IFERROR(VLOOKUP($I201, 'Processed Non-zero DMR Data'!$K:$V, 12, FALSE),"Not Reported")</f>
        <v>Lower Rock Creek</v>
      </c>
      <c r="L201" s="106">
        <f>IFERROR(VLOOKUP($I201, 'Processed Non-zero DMR Data'!$K:$W, 13, FALSE),"No Reach Code Reported")</f>
        <v>20700100102</v>
      </c>
      <c r="M201" s="107" t="str">
        <f>IFERROR(IFERROR(VLOOKUP(H201, 'Off-site Locations'!$K$3:$O$5, 5, FALSE), VLOOKUP(H201, 'Off-site Locations'!$B$3:$E$4, 4, FALSE)), "No Offsite Transfers")</f>
        <v>No Offsite Transfers</v>
      </c>
      <c r="N201" s="33">
        <f>VLOOKUP($D201, 'COU.OES Summary'!C:E, 3, FALSE)</f>
        <v>365</v>
      </c>
      <c r="O201" s="108">
        <f t="shared" si="42"/>
        <v>0</v>
      </c>
      <c r="P201" s="108">
        <f t="shared" si="43"/>
        <v>6.9468385462500004E-2</v>
      </c>
      <c r="Q201" s="109" cm="1">
        <f t="array" ref="Q201">IFERROR(_xlfn.XLOOKUP(1,  (MAX(IF(I201 = 'Processed Non-zero DMR Data'!$K:$K,'Processed Non-zero DMR Data'!$A:$A)) = 'Processed Non-zero DMR Data'!$A:$A)*('Processed Non-zero DMR Data'!$K:$K = I201),'Processed Non-zero DMR Data'!$T:$T), "N/A- Facility Does Not Report DMRs")</f>
        <v>6.9468385462500004E-2</v>
      </c>
      <c r="R201" s="33">
        <f t="shared" si="53"/>
        <v>1.9032434373287673E-4</v>
      </c>
      <c r="S201" s="33" cm="1">
        <f t="array" ref="S201">IF(COUNTIF('Processed Non-zero DMR Data'!$K:$K,$I201)&gt;0,MEDIAN(IF('Processed Non-zero DMR Data'!$K:$K=I201,'Processed Non-zero DMR Data'!$T:$T)),"N/A - Facility Does Not Report DMRs")</f>
        <v>4.8390162361250003E-2</v>
      </c>
      <c r="T201" s="33">
        <f t="shared" si="54"/>
        <v>1.3257578729109591E-4</v>
      </c>
      <c r="U201" s="33">
        <f>IF(COUNTIF('Processed Non-zero DMR Data'!$K:$K,$I201)&gt;0,_xlfn.MAXIFS('Processed Non-zero DMR Data'!$T:$T,'Processed Non-zero DMR Data'!$K:$K,$I201), "N/A - Facility Does Not Report DMRs")</f>
        <v>6.9468385462500004E-2</v>
      </c>
      <c r="V201" s="33">
        <f t="shared" si="55"/>
        <v>1.9032434373287673E-4</v>
      </c>
      <c r="W201" s="110" cm="1">
        <f t="array" ref="W201">IF(COUNTIF('Processed Non-zero DMR Data'!$K:$K,$I201)&gt;0,INDEX('Processed Non-zero DMR Data'!$A:$A,MATCH(1,($I201='Processed Non-zero DMR Data'!$K:$K)*($U201='Processed Non-zero DMR Data'!$T:$T),0)), "N/A - Facility Does Not Report DMRs")</f>
        <v>2021</v>
      </c>
      <c r="X201" s="109" cm="1">
        <f t="array" ref="X201">IFERROR(_xlfn.XLOOKUP(1,  (MAX(IF(H201 = 'Processed Non-zero TRI Data'!$I:$I,'Processed Non-zero TRI Data'!$A:$A)) = 'Processed Non-zero TRI Data'!$A:$A)*('Processed Non-zero TRI Data'!$I:$I = H201), 'Processed Non-zero TRI Data'!$S:$S), "N/A- Facility Does Not Report to TRI")</f>
        <v>0</v>
      </c>
      <c r="Y201" s="33">
        <f t="shared" si="44"/>
        <v>0</v>
      </c>
      <c r="Z201" s="33" t="str" cm="1">
        <f t="array" ref="Z201">IF(COUNTIF('Processed Non-zero TRI Data'!$I:$I,$H201)&gt;0,MEDIAN(IF('Processed Non-zero TRI Data'!$I:$I=H201,'Processed Non-zero TRI Data'!$S:$S)), "N/A - Facility Does Not Report to TRI")</f>
        <v>N/A - Facility Does Not Report to TRI</v>
      </c>
      <c r="AA201" s="33" t="str">
        <f t="shared" si="45"/>
        <v>N/A - Facility Does Not Report to TRI</v>
      </c>
      <c r="AB201" s="33" t="str">
        <f>IF(COUNTIF('Processed Non-zero TRI Data'!$I:$I,$H201)&gt;0,_xlfn.MAXIFS('Processed Non-zero TRI Data'!$S:$S,'Processed Non-zero TRI Data'!$I:$I,$H201), "N/A - Facility Does Not Report to TRI")</f>
        <v>N/A - Facility Does Not Report to TRI</v>
      </c>
      <c r="AC201" s="33" t="str">
        <f t="shared" si="46"/>
        <v>N/A - Facility Does Not Report to TRI</v>
      </c>
      <c r="AD201" s="110" t="str" cm="1">
        <f t="array" ref="AD201">IFERROR(IF(B201 = "TRI Form R", IF(AB201 = 0, "Facility has no on-site water discharges between 2019-2023.",  IF(COUNTIF('Processed Non-zero TRI Data'!$I:$I,$H201)&gt;0,INDEX('Processed Non-zero TRI Data'!$A:$A,MATCH(1,($H201='Processed Non-zero TRI Data'!$I:$I)*(AB201='Processed Non-zero TRI Data'!$S:$S),0)))), VLOOKUP(H201, 'Form A Recent Reporting'!$L:$M, 2, FALSE)), ("N/A - Facility Does Not Report to TRI"))</f>
        <v>N/A - Facility Does Not Report to TRI</v>
      </c>
      <c r="AE201" s="109" cm="1">
        <f t="array" ref="AE201">IFERROR(_xlfn.XLOOKUP(1,  (MAX(IF(H201 = 'Processed Non-zero TRI Data'!$I:$I,'Processed Non-zero TRI Data'!$A:$A)) = 'Processed Non-zero TRI Data'!$A:$A)*('Processed Non-zero TRI Data'!$I:$I = H201), 'Processed Non-zero TRI Data'!$U:$U), "N/A- Facility Does Not Report to TRI")</f>
        <v>0</v>
      </c>
      <c r="AF201" s="33">
        <f t="shared" si="47"/>
        <v>0</v>
      </c>
      <c r="AG201" s="33" t="str" cm="1">
        <f t="array" ref="AG201">IF(COUNTIF('Processed Non-zero TRI Data'!$I:$I,$H201)&gt;0,MEDIAN(IF('Processed Non-zero TRI Data'!$I:$I=H201,'Processed Non-zero TRI Data'!$U:$U)), "N/A - Facility Does Not Report to TRI")</f>
        <v>N/A - Facility Does Not Report to TRI</v>
      </c>
      <c r="AH201" s="33" t="str">
        <f t="shared" si="48"/>
        <v>N/A - Facility Does Not Report to TRI</v>
      </c>
      <c r="AI201" s="33" t="str">
        <f>IF(COUNTIF('Processed Non-zero TRI Data'!$I:$I,$H201)&gt;0,_xlfn.MAXIFS('Processed Non-zero TRI Data'!$U:$U,'Processed Non-zero TRI Data'!$I:$I,$H201), "N/A - Facility Does Not Report to TRI")</f>
        <v>N/A - Facility Does Not Report to TRI</v>
      </c>
      <c r="AJ201" s="33" t="str">
        <f t="shared" si="49"/>
        <v>N/A - Facility Does Not Report to TRI</v>
      </c>
      <c r="AK201" s="110" t="str" cm="1">
        <f t="array" ref="AK201">IF(B201="TRI Form A",AD201,IF(AI201=0,"Facility has no transfers to POTWs between 2019-2023.",IF(COUNTIF('Processed Non-zero TRI Data'!$I:$I,$H201)&gt;0,INDEX('Processed Non-zero TRI Data'!$A:$A,MATCH(1,($H201='Processed Non-zero TRI Data'!$I:$I)*(AI201='Processed Non-zero TRI Data'!$U:$U),0)),"N/A - Facility Does Not Report to TRI")))</f>
        <v>N/A - Facility Does Not Report to TRI</v>
      </c>
      <c r="AL201" s="109" cm="1">
        <f t="array" ref="AL201">IFERROR(_xlfn.XLOOKUP(1,  (MAX(IF(H201 = 'Processed Non-zero TRI Data'!$I$2:$I$23,'Processed Non-zero TRI Data'!$A$2:$A$23)) = 'Processed Non-zero TRI Data'!$A$2:$A$23)*('Processed Non-zero TRI Data'!$I$2:$I$23 = H201), 'Processed Non-zero TRI Data'!$W$2:$W$23), "N/A- Facility Does Not Report to TRI")</f>
        <v>0</v>
      </c>
      <c r="AM201" s="33">
        <f t="shared" si="50"/>
        <v>0</v>
      </c>
      <c r="AN201" s="33" t="str" cm="1">
        <f t="array" ref="AN201">IF(COUNTIF('Processed Non-zero TRI Data'!$I:$I,$H201)&gt;0,MEDIAN(IF('Processed Non-zero TRI Data'!$I:$I=H201,'Processed Non-zero TRI Data'!$W:$W)), "N/A - Facility Does Not Report to TRI")</f>
        <v>N/A - Facility Does Not Report to TRI</v>
      </c>
      <c r="AO201" s="33" t="str">
        <f t="shared" si="51"/>
        <v>N/A - Facility Does Not Report to TRI</v>
      </c>
      <c r="AP201" s="33" t="str">
        <f>IF(COUNTIF('Processed Non-zero TRI Data'!$I:$I,$H201)&gt;0,_xlfn.MAXIFS('Processed Non-zero TRI Data'!$W:$W,'Processed Non-zero TRI Data'!$I:$I,$H201), "N/A - Facility Does Not Report to TRI")</f>
        <v>N/A - Facility Does Not Report to TRI</v>
      </c>
      <c r="AQ201" s="33" t="str">
        <f t="shared" si="52"/>
        <v>N/A - Facility Does Not Report to TRI</v>
      </c>
      <c r="AR201" s="110" t="str" cm="1">
        <f t="array" ref="AR201">IF(B201="TRI Form A",AD201,IF(AP201=0,"Facility has no transfers to non-POTWs between 2019-2023.",IF(COUNTIF('Processed Non-zero TRI Data'!$I:$I,$H201)&gt;0,INDEX('Processed Non-zero TRI Data'!$A:$A,MATCH(1,($H201='Processed Non-zero TRI Data'!$I:$I)*(AP201='Processed Non-zero TRI Data'!$W:$W),0)),"N/A - Facility Does Not Report to TRI")))</f>
        <v>N/A - Facility Does Not Report to TRI</v>
      </c>
    </row>
    <row r="202" spans="1:44" ht="29" x14ac:dyDescent="0.35">
      <c r="A202" s="34">
        <v>199</v>
      </c>
      <c r="B202" s="33" t="str">
        <f>IFERROR("TRI Form "&amp;VLOOKUP(H202,'Processed Non-zero TRI Data'!$I$2:$K$23,3,FALSE),"DMR")</f>
        <v>DMR</v>
      </c>
      <c r="C202" s="33" t="str">
        <f>VLOOKUP($D202, 'COU.OES Summary'!C:D, 2, FALSE)</f>
        <v> </v>
      </c>
      <c r="D202" s="33" t="str">
        <f>IFERROR(VLOOKUP($H202, 'Processed Non-zero TRI Data'!$I:$O, 7, FALSE), VLOOKUP($I202, 'Processed Non-zero DMR Data'!$K:$R, 8, FALSE))</f>
        <v>Waste handling, treatment, and disposal - POTW</v>
      </c>
      <c r="E202" s="34" t="s">
        <v>482</v>
      </c>
      <c r="F202" s="34" t="s">
        <v>483</v>
      </c>
      <c r="G202" s="34" t="s">
        <v>102</v>
      </c>
      <c r="H202" s="34"/>
      <c r="I202" s="105">
        <v>110000519920</v>
      </c>
      <c r="J202" s="33" t="str">
        <f>IFERROR(VLOOKUP($I202, 'Processed Non-zero DMR Data'!$K:$U, 11, FALSE),"")</f>
        <v>CA0079901</v>
      </c>
      <c r="K202" s="33" t="str">
        <f>IFERROR(VLOOKUP($I202, 'Processed Non-zero DMR Data'!$K:$V, 12, FALSE),"Not Reported")</f>
        <v>Little Deer Creek-Deer Creek</v>
      </c>
      <c r="L202" s="106">
        <f>IFERROR(VLOOKUP($I202, 'Processed Non-zero DMR Data'!$K:$W, 13, FALSE),"No Reach Code Reported")</f>
        <v>180201250802</v>
      </c>
      <c r="M202" s="107" t="str">
        <f>IFERROR(IFERROR(VLOOKUP(H202, 'Off-site Locations'!$K$3:$O$5, 5, FALSE), VLOOKUP(H202, 'Off-site Locations'!$B$3:$E$4, 4, FALSE)), "No Offsite Transfers")</f>
        <v>No Offsite Transfers</v>
      </c>
      <c r="N202" s="33">
        <f>VLOOKUP($D202, 'COU.OES Summary'!C:E, 3, FALSE)</f>
        <v>365</v>
      </c>
      <c r="O202" s="108">
        <f t="shared" si="42"/>
        <v>0</v>
      </c>
      <c r="P202" s="108">
        <f t="shared" si="43"/>
        <v>6.8742110199999998E-2</v>
      </c>
      <c r="Q202" s="109" cm="1">
        <f t="array" ref="Q202">IFERROR(_xlfn.XLOOKUP(1,  (MAX(IF(I202 = 'Processed Non-zero DMR Data'!$K:$K,'Processed Non-zero DMR Data'!$A:$A)) = 'Processed Non-zero DMR Data'!$A:$A)*('Processed Non-zero DMR Data'!$K:$K = I202),'Processed Non-zero DMR Data'!$T:$T), "N/A- Facility Does Not Report DMRs")</f>
        <v>6.8742110199999998E-2</v>
      </c>
      <c r="R202" s="33">
        <f t="shared" si="53"/>
        <v>1.8833454849315068E-4</v>
      </c>
      <c r="S202" s="33" cm="1">
        <f t="array" ref="S202">IF(COUNTIF('Processed Non-zero DMR Data'!$K:$K,$I202)&gt;0,MEDIAN(IF('Processed Non-zero DMR Data'!$K:$K=I202,'Processed Non-zero DMR Data'!$T:$T)),"N/A - Facility Does Not Report DMRs")</f>
        <v>4.0134096100000002E-2</v>
      </c>
      <c r="T202" s="33">
        <f t="shared" si="54"/>
        <v>1.0995642767123289E-4</v>
      </c>
      <c r="U202" s="33">
        <f>IF(COUNTIF('Processed Non-zero DMR Data'!$K:$K,$I202)&gt;0,_xlfn.MAXIFS('Processed Non-zero DMR Data'!$T:$T,'Processed Non-zero DMR Data'!$K:$K,$I202), "N/A - Facility Does Not Report DMRs")</f>
        <v>6.8742110199999998E-2</v>
      </c>
      <c r="V202" s="33">
        <f t="shared" si="55"/>
        <v>1.8833454849315068E-4</v>
      </c>
      <c r="W202" s="110" cm="1">
        <f t="array" ref="W202">IF(COUNTIF('Processed Non-zero DMR Data'!$K:$K,$I202)&gt;0,INDEX('Processed Non-zero DMR Data'!$A:$A,MATCH(1,($I202='Processed Non-zero DMR Data'!$K:$K)*($U202='Processed Non-zero DMR Data'!$T:$T),0)), "N/A - Facility Does Not Report DMRs")</f>
        <v>2023</v>
      </c>
      <c r="X202" s="109" cm="1">
        <f t="array" ref="X202">IFERROR(_xlfn.XLOOKUP(1,  (MAX(IF(H202 = 'Processed Non-zero TRI Data'!$I:$I,'Processed Non-zero TRI Data'!$A:$A)) = 'Processed Non-zero TRI Data'!$A:$A)*('Processed Non-zero TRI Data'!$I:$I = H202), 'Processed Non-zero TRI Data'!$S:$S), "N/A- Facility Does Not Report to TRI")</f>
        <v>0</v>
      </c>
      <c r="Y202" s="33">
        <f t="shared" si="44"/>
        <v>0</v>
      </c>
      <c r="Z202" s="33" t="str" cm="1">
        <f t="array" ref="Z202">IF(COUNTIF('Processed Non-zero TRI Data'!$I:$I,$H202)&gt;0,MEDIAN(IF('Processed Non-zero TRI Data'!$I:$I=H202,'Processed Non-zero TRI Data'!$S:$S)), "N/A - Facility Does Not Report to TRI")</f>
        <v>N/A - Facility Does Not Report to TRI</v>
      </c>
      <c r="AA202" s="33" t="str">
        <f t="shared" si="45"/>
        <v>N/A - Facility Does Not Report to TRI</v>
      </c>
      <c r="AB202" s="33" t="str">
        <f>IF(COUNTIF('Processed Non-zero TRI Data'!$I:$I,$H202)&gt;0,_xlfn.MAXIFS('Processed Non-zero TRI Data'!$S:$S,'Processed Non-zero TRI Data'!$I:$I,$H202), "N/A - Facility Does Not Report to TRI")</f>
        <v>N/A - Facility Does Not Report to TRI</v>
      </c>
      <c r="AC202" s="33" t="str">
        <f t="shared" si="46"/>
        <v>N/A - Facility Does Not Report to TRI</v>
      </c>
      <c r="AD202" s="110" t="str" cm="1">
        <f t="array" ref="AD202">IFERROR(IF(B202 = "TRI Form R", IF(AB202 = 0, "Facility has no on-site water discharges between 2019-2023.",  IF(COUNTIF('Processed Non-zero TRI Data'!$I:$I,$H202)&gt;0,INDEX('Processed Non-zero TRI Data'!$A:$A,MATCH(1,($H202='Processed Non-zero TRI Data'!$I:$I)*(AB202='Processed Non-zero TRI Data'!$S:$S),0)))), VLOOKUP(H202, 'Form A Recent Reporting'!$L:$M, 2, FALSE)), ("N/A - Facility Does Not Report to TRI"))</f>
        <v>N/A - Facility Does Not Report to TRI</v>
      </c>
      <c r="AE202" s="109" cm="1">
        <f t="array" ref="AE202">IFERROR(_xlfn.XLOOKUP(1,  (MAX(IF(H202 = 'Processed Non-zero TRI Data'!$I:$I,'Processed Non-zero TRI Data'!$A:$A)) = 'Processed Non-zero TRI Data'!$A:$A)*('Processed Non-zero TRI Data'!$I:$I = H202), 'Processed Non-zero TRI Data'!$U:$U), "N/A- Facility Does Not Report to TRI")</f>
        <v>0</v>
      </c>
      <c r="AF202" s="33">
        <f t="shared" si="47"/>
        <v>0</v>
      </c>
      <c r="AG202" s="33" t="str" cm="1">
        <f t="array" ref="AG202">IF(COUNTIF('Processed Non-zero TRI Data'!$I:$I,$H202)&gt;0,MEDIAN(IF('Processed Non-zero TRI Data'!$I:$I=H202,'Processed Non-zero TRI Data'!$U:$U)), "N/A - Facility Does Not Report to TRI")</f>
        <v>N/A - Facility Does Not Report to TRI</v>
      </c>
      <c r="AH202" s="33" t="str">
        <f t="shared" si="48"/>
        <v>N/A - Facility Does Not Report to TRI</v>
      </c>
      <c r="AI202" s="33" t="str">
        <f>IF(COUNTIF('Processed Non-zero TRI Data'!$I:$I,$H202)&gt;0,_xlfn.MAXIFS('Processed Non-zero TRI Data'!$U:$U,'Processed Non-zero TRI Data'!$I:$I,$H202), "N/A - Facility Does Not Report to TRI")</f>
        <v>N/A - Facility Does Not Report to TRI</v>
      </c>
      <c r="AJ202" s="33" t="str">
        <f t="shared" si="49"/>
        <v>N/A - Facility Does Not Report to TRI</v>
      </c>
      <c r="AK202" s="110" t="str" cm="1">
        <f t="array" ref="AK202">IF(B202="TRI Form A",AD202,IF(AI202=0,"Facility has no transfers to POTWs between 2019-2023.",IF(COUNTIF('Processed Non-zero TRI Data'!$I:$I,$H202)&gt;0,INDEX('Processed Non-zero TRI Data'!$A:$A,MATCH(1,($H202='Processed Non-zero TRI Data'!$I:$I)*(AI202='Processed Non-zero TRI Data'!$U:$U),0)),"N/A - Facility Does Not Report to TRI")))</f>
        <v>N/A - Facility Does Not Report to TRI</v>
      </c>
      <c r="AL202" s="109" cm="1">
        <f t="array" ref="AL202">IFERROR(_xlfn.XLOOKUP(1,  (MAX(IF(H202 = 'Processed Non-zero TRI Data'!$I$2:$I$23,'Processed Non-zero TRI Data'!$A$2:$A$23)) = 'Processed Non-zero TRI Data'!$A$2:$A$23)*('Processed Non-zero TRI Data'!$I$2:$I$23 = H202), 'Processed Non-zero TRI Data'!$W$2:$W$23), "N/A- Facility Does Not Report to TRI")</f>
        <v>0</v>
      </c>
      <c r="AM202" s="33">
        <f t="shared" si="50"/>
        <v>0</v>
      </c>
      <c r="AN202" s="33" t="str" cm="1">
        <f t="array" ref="AN202">IF(COUNTIF('Processed Non-zero TRI Data'!$I:$I,$H202)&gt;0,MEDIAN(IF('Processed Non-zero TRI Data'!$I:$I=H202,'Processed Non-zero TRI Data'!$W:$W)), "N/A - Facility Does Not Report to TRI")</f>
        <v>N/A - Facility Does Not Report to TRI</v>
      </c>
      <c r="AO202" s="33" t="str">
        <f t="shared" si="51"/>
        <v>N/A - Facility Does Not Report to TRI</v>
      </c>
      <c r="AP202" s="33" t="str">
        <f>IF(COUNTIF('Processed Non-zero TRI Data'!$I:$I,$H202)&gt;0,_xlfn.MAXIFS('Processed Non-zero TRI Data'!$W:$W,'Processed Non-zero TRI Data'!$I:$I,$H202), "N/A - Facility Does Not Report to TRI")</f>
        <v>N/A - Facility Does Not Report to TRI</v>
      </c>
      <c r="AQ202" s="33" t="str">
        <f t="shared" si="52"/>
        <v>N/A - Facility Does Not Report to TRI</v>
      </c>
      <c r="AR202" s="110" t="str" cm="1">
        <f t="array" ref="AR202">IF(B202="TRI Form A",AD202,IF(AP202=0,"Facility has no transfers to non-POTWs between 2019-2023.",IF(COUNTIF('Processed Non-zero TRI Data'!$I:$I,$H202)&gt;0,INDEX('Processed Non-zero TRI Data'!$A:$A,MATCH(1,($H202='Processed Non-zero TRI Data'!$I:$I)*(AP202='Processed Non-zero TRI Data'!$W:$W),0)),"N/A - Facility Does Not Report to TRI")))</f>
        <v>N/A - Facility Does Not Report to TRI</v>
      </c>
    </row>
    <row r="203" spans="1:44" ht="29" x14ac:dyDescent="0.35">
      <c r="A203" s="34">
        <v>200</v>
      </c>
      <c r="B203" s="33" t="str">
        <f>IFERROR("TRI Form "&amp;VLOOKUP(H203,'Processed Non-zero TRI Data'!$I$2:$K$23,3,FALSE),"DMR")</f>
        <v>DMR</v>
      </c>
      <c r="C203" s="33" t="str">
        <f>VLOOKUP($D203, 'COU.OES Summary'!C:D, 2, FALSE)</f>
        <v> </v>
      </c>
      <c r="D203" s="33" t="str">
        <f>IFERROR(VLOOKUP($H203, 'Processed Non-zero TRI Data'!$I:$O, 7, FALSE), VLOOKUP($I203, 'Processed Non-zero DMR Data'!$K:$R, 8, FALSE))</f>
        <v>Waste handling, treatment, and disposal - POTW</v>
      </c>
      <c r="E203" s="34" t="s">
        <v>484</v>
      </c>
      <c r="F203" s="34" t="s">
        <v>485</v>
      </c>
      <c r="G203" s="34" t="s">
        <v>102</v>
      </c>
      <c r="H203" s="34"/>
      <c r="I203" s="105">
        <v>110010059649</v>
      </c>
      <c r="J203" s="33" t="str">
        <f>IFERROR(VLOOKUP($I203, 'Processed Non-zero DMR Data'!$K:$U, 11, FALSE),"")</f>
        <v>CA0023671</v>
      </c>
      <c r="K203" s="33" t="str">
        <f>IFERROR(VLOOKUP($I203, 'Processed Non-zero DMR Data'!$K:$V, 12, FALSE),"Not Reported")</f>
        <v>Strongs Creek-Eel River</v>
      </c>
      <c r="L203" s="106">
        <f>IFERROR(VLOOKUP($I203, 'Processed Non-zero DMR Data'!$K:$W, 13, FALSE),"No Reach Code Reported")</f>
        <v>180101051102</v>
      </c>
      <c r="M203" s="107" t="str">
        <f>IFERROR(IFERROR(VLOOKUP(H203, 'Off-site Locations'!$K$3:$O$5, 5, FALSE), VLOOKUP(H203, 'Off-site Locations'!$B$3:$E$4, 4, FALSE)), "No Offsite Transfers")</f>
        <v>No Offsite Transfers</v>
      </c>
      <c r="N203" s="33">
        <f>VLOOKUP($D203, 'COU.OES Summary'!C:E, 3, FALSE)</f>
        <v>365</v>
      </c>
      <c r="O203" s="108">
        <f t="shared" si="42"/>
        <v>0</v>
      </c>
      <c r="P203" s="108">
        <f t="shared" si="43"/>
        <v>6.8385487499999995E-2</v>
      </c>
      <c r="Q203" s="109" cm="1">
        <f t="array" ref="Q203">IFERROR(_xlfn.XLOOKUP(1,  (MAX(IF(I203 = 'Processed Non-zero DMR Data'!$K:$K,'Processed Non-zero DMR Data'!$A:$A)) = 'Processed Non-zero DMR Data'!$A:$A)*('Processed Non-zero DMR Data'!$K:$K = I203),'Processed Non-zero DMR Data'!$T:$T), "N/A- Facility Does Not Report DMRs")</f>
        <v>1.6301995E-2</v>
      </c>
      <c r="R203" s="33">
        <f t="shared" si="53"/>
        <v>4.4663000000000003E-5</v>
      </c>
      <c r="S203" s="33" cm="1">
        <f t="array" ref="S203">IF(COUNTIF('Processed Non-zero DMR Data'!$K:$K,$I203)&gt;0,MEDIAN(IF('Processed Non-zero DMR Data'!$K:$K=I203,'Processed Non-zero DMR Data'!$T:$T)),"N/A - Facility Does Not Report DMRs")</f>
        <v>4.2343741249999997E-2</v>
      </c>
      <c r="T203" s="33">
        <f t="shared" si="54"/>
        <v>1.1601024999999999E-4</v>
      </c>
      <c r="U203" s="33">
        <f>IF(COUNTIF('Processed Non-zero DMR Data'!$K:$K,$I203)&gt;0,_xlfn.MAXIFS('Processed Non-zero DMR Data'!$T:$T,'Processed Non-zero DMR Data'!$K:$K,$I203), "N/A - Facility Does Not Report DMRs")</f>
        <v>6.8385487499999995E-2</v>
      </c>
      <c r="V203" s="33">
        <f t="shared" si="55"/>
        <v>1.8735749999999998E-4</v>
      </c>
      <c r="W203" s="110" cm="1">
        <f t="array" ref="W203">IF(COUNTIF('Processed Non-zero DMR Data'!$K:$K,$I203)&gt;0,INDEX('Processed Non-zero DMR Data'!$A:$A,MATCH(1,($I203='Processed Non-zero DMR Data'!$K:$K)*($U203='Processed Non-zero DMR Data'!$T:$T),0)), "N/A - Facility Does Not Report DMRs")</f>
        <v>2022</v>
      </c>
      <c r="X203" s="109" cm="1">
        <f t="array" ref="X203">IFERROR(_xlfn.XLOOKUP(1,  (MAX(IF(H203 = 'Processed Non-zero TRI Data'!$I:$I,'Processed Non-zero TRI Data'!$A:$A)) = 'Processed Non-zero TRI Data'!$A:$A)*('Processed Non-zero TRI Data'!$I:$I = H203), 'Processed Non-zero TRI Data'!$S:$S), "N/A- Facility Does Not Report to TRI")</f>
        <v>0</v>
      </c>
      <c r="Y203" s="33">
        <f t="shared" si="44"/>
        <v>0</v>
      </c>
      <c r="Z203" s="33" t="str" cm="1">
        <f t="array" ref="Z203">IF(COUNTIF('Processed Non-zero TRI Data'!$I:$I,$H203)&gt;0,MEDIAN(IF('Processed Non-zero TRI Data'!$I:$I=H203,'Processed Non-zero TRI Data'!$S:$S)), "N/A - Facility Does Not Report to TRI")</f>
        <v>N/A - Facility Does Not Report to TRI</v>
      </c>
      <c r="AA203" s="33" t="str">
        <f t="shared" si="45"/>
        <v>N/A - Facility Does Not Report to TRI</v>
      </c>
      <c r="AB203" s="33" t="str">
        <f>IF(COUNTIF('Processed Non-zero TRI Data'!$I:$I,$H203)&gt;0,_xlfn.MAXIFS('Processed Non-zero TRI Data'!$S:$S,'Processed Non-zero TRI Data'!$I:$I,$H203), "N/A - Facility Does Not Report to TRI")</f>
        <v>N/A - Facility Does Not Report to TRI</v>
      </c>
      <c r="AC203" s="33" t="str">
        <f t="shared" si="46"/>
        <v>N/A - Facility Does Not Report to TRI</v>
      </c>
      <c r="AD203" s="110" t="str" cm="1">
        <f t="array" ref="AD203">IFERROR(IF(B203 = "TRI Form R", IF(AB203 = 0, "Facility has no on-site water discharges between 2019-2023.",  IF(COUNTIF('Processed Non-zero TRI Data'!$I:$I,$H203)&gt;0,INDEX('Processed Non-zero TRI Data'!$A:$A,MATCH(1,($H203='Processed Non-zero TRI Data'!$I:$I)*(AB203='Processed Non-zero TRI Data'!$S:$S),0)))), VLOOKUP(H203, 'Form A Recent Reporting'!$L:$M, 2, FALSE)), ("N/A - Facility Does Not Report to TRI"))</f>
        <v>N/A - Facility Does Not Report to TRI</v>
      </c>
      <c r="AE203" s="109" cm="1">
        <f t="array" ref="AE203">IFERROR(_xlfn.XLOOKUP(1,  (MAX(IF(H203 = 'Processed Non-zero TRI Data'!$I:$I,'Processed Non-zero TRI Data'!$A:$A)) = 'Processed Non-zero TRI Data'!$A:$A)*('Processed Non-zero TRI Data'!$I:$I = H203), 'Processed Non-zero TRI Data'!$U:$U), "N/A- Facility Does Not Report to TRI")</f>
        <v>0</v>
      </c>
      <c r="AF203" s="33">
        <f t="shared" si="47"/>
        <v>0</v>
      </c>
      <c r="AG203" s="33" t="str" cm="1">
        <f t="array" ref="AG203">IF(COUNTIF('Processed Non-zero TRI Data'!$I:$I,$H203)&gt;0,MEDIAN(IF('Processed Non-zero TRI Data'!$I:$I=H203,'Processed Non-zero TRI Data'!$U:$U)), "N/A - Facility Does Not Report to TRI")</f>
        <v>N/A - Facility Does Not Report to TRI</v>
      </c>
      <c r="AH203" s="33" t="str">
        <f t="shared" si="48"/>
        <v>N/A - Facility Does Not Report to TRI</v>
      </c>
      <c r="AI203" s="33" t="str">
        <f>IF(COUNTIF('Processed Non-zero TRI Data'!$I:$I,$H203)&gt;0,_xlfn.MAXIFS('Processed Non-zero TRI Data'!$U:$U,'Processed Non-zero TRI Data'!$I:$I,$H203), "N/A - Facility Does Not Report to TRI")</f>
        <v>N/A - Facility Does Not Report to TRI</v>
      </c>
      <c r="AJ203" s="33" t="str">
        <f t="shared" si="49"/>
        <v>N/A - Facility Does Not Report to TRI</v>
      </c>
      <c r="AK203" s="110" t="str" cm="1">
        <f t="array" ref="AK203">IF(B203="TRI Form A",AD203,IF(AI203=0,"Facility has no transfers to POTWs between 2019-2023.",IF(COUNTIF('Processed Non-zero TRI Data'!$I:$I,$H203)&gt;0,INDEX('Processed Non-zero TRI Data'!$A:$A,MATCH(1,($H203='Processed Non-zero TRI Data'!$I:$I)*(AI203='Processed Non-zero TRI Data'!$U:$U),0)),"N/A - Facility Does Not Report to TRI")))</f>
        <v>N/A - Facility Does Not Report to TRI</v>
      </c>
      <c r="AL203" s="109" cm="1">
        <f t="array" ref="AL203">IFERROR(_xlfn.XLOOKUP(1,  (MAX(IF(H203 = 'Processed Non-zero TRI Data'!$I$2:$I$23,'Processed Non-zero TRI Data'!$A$2:$A$23)) = 'Processed Non-zero TRI Data'!$A$2:$A$23)*('Processed Non-zero TRI Data'!$I$2:$I$23 = H203), 'Processed Non-zero TRI Data'!$W$2:$W$23), "N/A- Facility Does Not Report to TRI")</f>
        <v>0</v>
      </c>
      <c r="AM203" s="33">
        <f t="shared" si="50"/>
        <v>0</v>
      </c>
      <c r="AN203" s="33" t="str" cm="1">
        <f t="array" ref="AN203">IF(COUNTIF('Processed Non-zero TRI Data'!$I:$I,$H203)&gt;0,MEDIAN(IF('Processed Non-zero TRI Data'!$I:$I=H203,'Processed Non-zero TRI Data'!$W:$W)), "N/A - Facility Does Not Report to TRI")</f>
        <v>N/A - Facility Does Not Report to TRI</v>
      </c>
      <c r="AO203" s="33" t="str">
        <f t="shared" si="51"/>
        <v>N/A - Facility Does Not Report to TRI</v>
      </c>
      <c r="AP203" s="33" t="str">
        <f>IF(COUNTIF('Processed Non-zero TRI Data'!$I:$I,$H203)&gt;0,_xlfn.MAXIFS('Processed Non-zero TRI Data'!$W:$W,'Processed Non-zero TRI Data'!$I:$I,$H203), "N/A - Facility Does Not Report to TRI")</f>
        <v>N/A - Facility Does Not Report to TRI</v>
      </c>
      <c r="AQ203" s="33" t="str">
        <f t="shared" si="52"/>
        <v>N/A - Facility Does Not Report to TRI</v>
      </c>
      <c r="AR203" s="110" t="str" cm="1">
        <f t="array" ref="AR203">IF(B203="TRI Form A",AD203,IF(AP203=0,"Facility has no transfers to non-POTWs between 2019-2023.",IF(COUNTIF('Processed Non-zero TRI Data'!$I:$I,$H203)&gt;0,INDEX('Processed Non-zero TRI Data'!$A:$A,MATCH(1,($H203='Processed Non-zero TRI Data'!$I:$I)*(AP203='Processed Non-zero TRI Data'!$W:$W),0)),"N/A - Facility Does Not Report to TRI")))</f>
        <v>N/A - Facility Does Not Report to TRI</v>
      </c>
    </row>
    <row r="204" spans="1:44" ht="29" x14ac:dyDescent="0.35">
      <c r="A204" s="34">
        <v>201</v>
      </c>
      <c r="B204" s="33" t="str">
        <f>IFERROR("TRI Form "&amp;VLOOKUP(H204,'Processed Non-zero TRI Data'!$I$2:$K$23,3,FALSE),"DMR")</f>
        <v>DMR</v>
      </c>
      <c r="C204" s="33" t="str">
        <f>VLOOKUP($D204, 'COU.OES Summary'!C:D, 2, FALSE)</f>
        <v> </v>
      </c>
      <c r="D204" s="33" t="str">
        <f>IFERROR(VLOOKUP($H204, 'Processed Non-zero TRI Data'!$I:$O, 7, FALSE), VLOOKUP($I204, 'Processed Non-zero DMR Data'!$K:$R, 8, FALSE))</f>
        <v>Waste handling, treatment, and disposal - POTW</v>
      </c>
      <c r="E204" s="34" t="s">
        <v>486</v>
      </c>
      <c r="F204" s="34" t="s">
        <v>415</v>
      </c>
      <c r="G204" s="34" t="s">
        <v>102</v>
      </c>
      <c r="H204" s="34"/>
      <c r="I204" s="105">
        <v>110000730451</v>
      </c>
      <c r="J204" s="33" t="str">
        <f>IFERROR(VLOOKUP($I204, 'Processed Non-zero DMR Data'!$K:$U, 11, FALSE),"")</f>
        <v>CA0004995</v>
      </c>
      <c r="K204" s="33" t="str">
        <f>IFERROR(VLOOKUP($I204, 'Processed Non-zero DMR Data'!$K:$V, 12, FALSE),"Not Reported")</f>
        <v>Kopta Slough</v>
      </c>
      <c r="L204" s="106">
        <f>IFERROR(VLOOKUP($I204, 'Processed Non-zero DMR Data'!$K:$W, 13, FALSE),"No Reach Code Reported")</f>
        <v>180201570701</v>
      </c>
      <c r="M204" s="107" t="str">
        <f>IFERROR(IFERROR(VLOOKUP(H204, 'Off-site Locations'!$K$3:$O$5, 5, FALSE), VLOOKUP(H204, 'Off-site Locations'!$B$3:$E$4, 4, FALSE)), "No Offsite Transfers")</f>
        <v>No Offsite Transfers</v>
      </c>
      <c r="N204" s="33">
        <f>VLOOKUP($D204, 'COU.OES Summary'!C:E, 3, FALSE)</f>
        <v>365</v>
      </c>
      <c r="O204" s="108">
        <f t="shared" si="42"/>
        <v>0</v>
      </c>
      <c r="P204" s="108">
        <f t="shared" si="43"/>
        <v>6.7778701533333305E-2</v>
      </c>
      <c r="Q204" s="109" cm="1">
        <f t="array" ref="Q204">IFERROR(_xlfn.XLOOKUP(1,  (MAX(IF(I204 = 'Processed Non-zero DMR Data'!$K:$K,'Processed Non-zero DMR Data'!$A:$A)) = 'Processed Non-zero DMR Data'!$A:$A)*('Processed Non-zero DMR Data'!$K:$K = I204),'Processed Non-zero DMR Data'!$T:$T), "N/A- Facility Does Not Report DMRs")</f>
        <v>1.63941168533333E-2</v>
      </c>
      <c r="R204" s="33">
        <f t="shared" si="53"/>
        <v>4.4915388639269319E-5</v>
      </c>
      <c r="S204" s="33" cm="1">
        <f t="array" ref="S204">IF(COUNTIF('Processed Non-zero DMR Data'!$K:$K,$I204)&gt;0,MEDIAN(IF('Processed Non-zero DMR Data'!$K:$K=I204,'Processed Non-zero DMR Data'!$T:$T)),"N/A - Facility Does Not Report DMRs")</f>
        <v>4.2086409193333299E-2</v>
      </c>
      <c r="T204" s="33">
        <f t="shared" si="54"/>
        <v>1.1530523066666658E-4</v>
      </c>
      <c r="U204" s="33">
        <f>IF(COUNTIF('Processed Non-zero DMR Data'!$K:$K,$I204)&gt;0,_xlfn.MAXIFS('Processed Non-zero DMR Data'!$T:$T,'Processed Non-zero DMR Data'!$K:$K,$I204), "N/A - Facility Does Not Report DMRs")</f>
        <v>6.7778701533333305E-2</v>
      </c>
      <c r="V204" s="33">
        <f t="shared" si="55"/>
        <v>1.8569507269406384E-4</v>
      </c>
      <c r="W204" s="110" cm="1">
        <f t="array" ref="W204">IF(COUNTIF('Processed Non-zero DMR Data'!$K:$K,$I204)&gt;0,INDEX('Processed Non-zero DMR Data'!$A:$A,MATCH(1,($I204='Processed Non-zero DMR Data'!$K:$K)*($U204='Processed Non-zero DMR Data'!$T:$T),0)), "N/A - Facility Does Not Report DMRs")</f>
        <v>2019</v>
      </c>
      <c r="X204" s="109" cm="1">
        <f t="array" ref="X204">IFERROR(_xlfn.XLOOKUP(1,  (MAX(IF(H204 = 'Processed Non-zero TRI Data'!$I:$I,'Processed Non-zero TRI Data'!$A:$A)) = 'Processed Non-zero TRI Data'!$A:$A)*('Processed Non-zero TRI Data'!$I:$I = H204), 'Processed Non-zero TRI Data'!$S:$S), "N/A- Facility Does Not Report to TRI")</f>
        <v>0</v>
      </c>
      <c r="Y204" s="33">
        <f t="shared" si="44"/>
        <v>0</v>
      </c>
      <c r="Z204" s="33" t="str" cm="1">
        <f t="array" ref="Z204">IF(COUNTIF('Processed Non-zero TRI Data'!$I:$I,$H204)&gt;0,MEDIAN(IF('Processed Non-zero TRI Data'!$I:$I=H204,'Processed Non-zero TRI Data'!$S:$S)), "N/A - Facility Does Not Report to TRI")</f>
        <v>N/A - Facility Does Not Report to TRI</v>
      </c>
      <c r="AA204" s="33" t="str">
        <f t="shared" si="45"/>
        <v>N/A - Facility Does Not Report to TRI</v>
      </c>
      <c r="AB204" s="33" t="str">
        <f>IF(COUNTIF('Processed Non-zero TRI Data'!$I:$I,$H204)&gt;0,_xlfn.MAXIFS('Processed Non-zero TRI Data'!$S:$S,'Processed Non-zero TRI Data'!$I:$I,$H204), "N/A - Facility Does Not Report to TRI")</f>
        <v>N/A - Facility Does Not Report to TRI</v>
      </c>
      <c r="AC204" s="33" t="str">
        <f t="shared" si="46"/>
        <v>N/A - Facility Does Not Report to TRI</v>
      </c>
      <c r="AD204" s="110" t="str" cm="1">
        <f t="array" ref="AD204">IFERROR(IF(B204 = "TRI Form R", IF(AB204 = 0, "Facility has no on-site water discharges between 2019-2023.",  IF(COUNTIF('Processed Non-zero TRI Data'!$I:$I,$H204)&gt;0,INDEX('Processed Non-zero TRI Data'!$A:$A,MATCH(1,($H204='Processed Non-zero TRI Data'!$I:$I)*(AB204='Processed Non-zero TRI Data'!$S:$S),0)))), VLOOKUP(H204, 'Form A Recent Reporting'!$L:$M, 2, FALSE)), ("N/A - Facility Does Not Report to TRI"))</f>
        <v>N/A - Facility Does Not Report to TRI</v>
      </c>
      <c r="AE204" s="109" cm="1">
        <f t="array" ref="AE204">IFERROR(_xlfn.XLOOKUP(1,  (MAX(IF(H204 = 'Processed Non-zero TRI Data'!$I:$I,'Processed Non-zero TRI Data'!$A:$A)) = 'Processed Non-zero TRI Data'!$A:$A)*('Processed Non-zero TRI Data'!$I:$I = H204), 'Processed Non-zero TRI Data'!$U:$U), "N/A- Facility Does Not Report to TRI")</f>
        <v>0</v>
      </c>
      <c r="AF204" s="33">
        <f t="shared" si="47"/>
        <v>0</v>
      </c>
      <c r="AG204" s="33" t="str" cm="1">
        <f t="array" ref="AG204">IF(COUNTIF('Processed Non-zero TRI Data'!$I:$I,$H204)&gt;0,MEDIAN(IF('Processed Non-zero TRI Data'!$I:$I=H204,'Processed Non-zero TRI Data'!$U:$U)), "N/A - Facility Does Not Report to TRI")</f>
        <v>N/A - Facility Does Not Report to TRI</v>
      </c>
      <c r="AH204" s="33" t="str">
        <f t="shared" si="48"/>
        <v>N/A - Facility Does Not Report to TRI</v>
      </c>
      <c r="AI204" s="33" t="str">
        <f>IF(COUNTIF('Processed Non-zero TRI Data'!$I:$I,$H204)&gt;0,_xlfn.MAXIFS('Processed Non-zero TRI Data'!$U:$U,'Processed Non-zero TRI Data'!$I:$I,$H204), "N/A - Facility Does Not Report to TRI")</f>
        <v>N/A - Facility Does Not Report to TRI</v>
      </c>
      <c r="AJ204" s="33" t="str">
        <f t="shared" si="49"/>
        <v>N/A - Facility Does Not Report to TRI</v>
      </c>
      <c r="AK204" s="110" t="str" cm="1">
        <f t="array" ref="AK204">IF(B204="TRI Form A",AD204,IF(AI204=0,"Facility has no transfers to POTWs between 2019-2023.",IF(COUNTIF('Processed Non-zero TRI Data'!$I:$I,$H204)&gt;0,INDEX('Processed Non-zero TRI Data'!$A:$A,MATCH(1,($H204='Processed Non-zero TRI Data'!$I:$I)*(AI204='Processed Non-zero TRI Data'!$U:$U),0)),"N/A - Facility Does Not Report to TRI")))</f>
        <v>N/A - Facility Does Not Report to TRI</v>
      </c>
      <c r="AL204" s="109" cm="1">
        <f t="array" ref="AL204">IFERROR(_xlfn.XLOOKUP(1,  (MAX(IF(H204 = 'Processed Non-zero TRI Data'!$I$2:$I$23,'Processed Non-zero TRI Data'!$A$2:$A$23)) = 'Processed Non-zero TRI Data'!$A$2:$A$23)*('Processed Non-zero TRI Data'!$I$2:$I$23 = H204), 'Processed Non-zero TRI Data'!$W$2:$W$23), "N/A- Facility Does Not Report to TRI")</f>
        <v>0</v>
      </c>
      <c r="AM204" s="33">
        <f t="shared" si="50"/>
        <v>0</v>
      </c>
      <c r="AN204" s="33" t="str" cm="1">
        <f t="array" ref="AN204">IF(COUNTIF('Processed Non-zero TRI Data'!$I:$I,$H204)&gt;0,MEDIAN(IF('Processed Non-zero TRI Data'!$I:$I=H204,'Processed Non-zero TRI Data'!$W:$W)), "N/A - Facility Does Not Report to TRI")</f>
        <v>N/A - Facility Does Not Report to TRI</v>
      </c>
      <c r="AO204" s="33" t="str">
        <f t="shared" si="51"/>
        <v>N/A - Facility Does Not Report to TRI</v>
      </c>
      <c r="AP204" s="33" t="str">
        <f>IF(COUNTIF('Processed Non-zero TRI Data'!$I:$I,$H204)&gt;0,_xlfn.MAXIFS('Processed Non-zero TRI Data'!$W:$W,'Processed Non-zero TRI Data'!$I:$I,$H204), "N/A - Facility Does Not Report to TRI")</f>
        <v>N/A - Facility Does Not Report to TRI</v>
      </c>
      <c r="AQ204" s="33" t="str">
        <f t="shared" si="52"/>
        <v>N/A - Facility Does Not Report to TRI</v>
      </c>
      <c r="AR204" s="110" t="str" cm="1">
        <f t="array" ref="AR204">IF(B204="TRI Form A",AD204,IF(AP204=0,"Facility has no transfers to non-POTWs between 2019-2023.",IF(COUNTIF('Processed Non-zero TRI Data'!$I:$I,$H204)&gt;0,INDEX('Processed Non-zero TRI Data'!$A:$A,MATCH(1,($H204='Processed Non-zero TRI Data'!$I:$I)*(AP204='Processed Non-zero TRI Data'!$W:$W),0)),"N/A - Facility Does Not Report to TRI")))</f>
        <v>N/A - Facility Does Not Report to TRI</v>
      </c>
    </row>
    <row r="205" spans="1:44" ht="29" x14ac:dyDescent="0.35">
      <c r="A205" s="34">
        <v>202</v>
      </c>
      <c r="B205" s="33" t="str">
        <f>IFERROR("TRI Form "&amp;VLOOKUP(H205,'Processed Non-zero TRI Data'!$I$2:$K$23,3,FALSE),"DMR")</f>
        <v>DMR</v>
      </c>
      <c r="C205" s="33" t="str">
        <f>VLOOKUP($D205, 'COU.OES Summary'!C:D, 2, FALSE)</f>
        <v> </v>
      </c>
      <c r="D205" s="33" t="str">
        <f>IFERROR(VLOOKUP($H205, 'Processed Non-zero TRI Data'!$I:$O, 7, FALSE), VLOOKUP($I205, 'Processed Non-zero DMR Data'!$K:$R, 8, FALSE))</f>
        <v>Waste handling, treatment, and disposal - Remediation or Monitoring</v>
      </c>
      <c r="E205" s="34" t="s">
        <v>487</v>
      </c>
      <c r="F205" s="34" t="s">
        <v>337</v>
      </c>
      <c r="G205" s="34" t="s">
        <v>221</v>
      </c>
      <c r="H205" s="34"/>
      <c r="I205" s="105">
        <v>110070948151</v>
      </c>
      <c r="J205" s="33" t="str">
        <f>IFERROR(VLOOKUP($I205, 'Processed Non-zero DMR Data'!$K:$U, 11, FALSE),"")</f>
        <v>NV0024239</v>
      </c>
      <c r="K205" s="33" t="str">
        <f>IFERROR(VLOOKUP($I205, 'Processed Non-zero DMR Data'!$K:$V, 12, FALSE),"Not Reported")</f>
        <v>Tropicana Wash</v>
      </c>
      <c r="L205" s="106">
        <f>IFERROR(VLOOKUP($I205, 'Processed Non-zero DMR Data'!$K:$W, 13, FALSE),"No Reach Code Reported")</f>
        <v>150100150505</v>
      </c>
      <c r="M205" s="107" t="str">
        <f>IFERROR(IFERROR(VLOOKUP(H205, 'Off-site Locations'!$K$3:$O$5, 5, FALSE), VLOOKUP(H205, 'Off-site Locations'!$B$3:$E$4, 4, FALSE)), "No Offsite Transfers")</f>
        <v>No Offsite Transfers</v>
      </c>
      <c r="N205" s="33">
        <f>VLOOKUP($D205, 'COU.OES Summary'!C:E, 3, FALSE)</f>
        <v>365</v>
      </c>
      <c r="O205" s="108">
        <f t="shared" si="42"/>
        <v>0</v>
      </c>
      <c r="P205" s="108">
        <f t="shared" si="43"/>
        <v>6.2714327375000004E-2</v>
      </c>
      <c r="Q205" s="109" cm="1">
        <f t="array" ref="Q205">IFERROR(_xlfn.XLOOKUP(1,  (MAX(IF(I205 = 'Processed Non-zero DMR Data'!$K:$K,'Processed Non-zero DMR Data'!$A:$A)) = 'Processed Non-zero DMR Data'!$A:$A)*('Processed Non-zero DMR Data'!$K:$K = I205),'Processed Non-zero DMR Data'!$T:$T), "N/A- Facility Does Not Report DMRs")</f>
        <v>6.2714327375000004E-2</v>
      </c>
      <c r="R205" s="33">
        <f t="shared" si="53"/>
        <v>1.7182007500000002E-4</v>
      </c>
      <c r="S205" s="33" cm="1">
        <f t="array" ref="S205">IF(COUNTIF('Processed Non-zero DMR Data'!$K:$K,$I205)&gt;0,MEDIAN(IF('Processed Non-zero DMR Data'!$K:$K=I205,'Processed Non-zero DMR Data'!$T:$T)),"N/A - Facility Does Not Report DMRs")</f>
        <v>4.0706634125000002E-2</v>
      </c>
      <c r="T205" s="33">
        <f t="shared" si="54"/>
        <v>1.1152502500000001E-4</v>
      </c>
      <c r="U205" s="33">
        <f>IF(COUNTIF('Processed Non-zero DMR Data'!$K:$K,$I205)&gt;0,_xlfn.MAXIFS('Processed Non-zero DMR Data'!$T:$T,'Processed Non-zero DMR Data'!$K:$K,$I205), "N/A - Facility Does Not Report DMRs")</f>
        <v>6.2714327375000004E-2</v>
      </c>
      <c r="V205" s="33">
        <f t="shared" si="55"/>
        <v>1.7182007500000002E-4</v>
      </c>
      <c r="W205" s="110" cm="1">
        <f t="array" ref="W205">IF(COUNTIF('Processed Non-zero DMR Data'!$K:$K,$I205)&gt;0,INDEX('Processed Non-zero DMR Data'!$A:$A,MATCH(1,($I205='Processed Non-zero DMR Data'!$K:$K)*($U205='Processed Non-zero DMR Data'!$T:$T),0)), "N/A - Facility Does Not Report DMRs")</f>
        <v>2023</v>
      </c>
      <c r="X205" s="109" cm="1">
        <f t="array" ref="X205">IFERROR(_xlfn.XLOOKUP(1,  (MAX(IF(H205 = 'Processed Non-zero TRI Data'!$I:$I,'Processed Non-zero TRI Data'!$A:$A)) = 'Processed Non-zero TRI Data'!$A:$A)*('Processed Non-zero TRI Data'!$I:$I = H205), 'Processed Non-zero TRI Data'!$S:$S), "N/A- Facility Does Not Report to TRI")</f>
        <v>0</v>
      </c>
      <c r="Y205" s="33">
        <f t="shared" si="44"/>
        <v>0</v>
      </c>
      <c r="Z205" s="33" t="str" cm="1">
        <f t="array" ref="Z205">IF(COUNTIF('Processed Non-zero TRI Data'!$I:$I,$H205)&gt;0,MEDIAN(IF('Processed Non-zero TRI Data'!$I:$I=H205,'Processed Non-zero TRI Data'!$S:$S)), "N/A - Facility Does Not Report to TRI")</f>
        <v>N/A - Facility Does Not Report to TRI</v>
      </c>
      <c r="AA205" s="33" t="str">
        <f t="shared" si="45"/>
        <v>N/A - Facility Does Not Report to TRI</v>
      </c>
      <c r="AB205" s="33" t="str">
        <f>IF(COUNTIF('Processed Non-zero TRI Data'!$I:$I,$H205)&gt;0,_xlfn.MAXIFS('Processed Non-zero TRI Data'!$S:$S,'Processed Non-zero TRI Data'!$I:$I,$H205), "N/A - Facility Does Not Report to TRI")</f>
        <v>N/A - Facility Does Not Report to TRI</v>
      </c>
      <c r="AC205" s="33" t="str">
        <f t="shared" si="46"/>
        <v>N/A - Facility Does Not Report to TRI</v>
      </c>
      <c r="AD205" s="110" t="str" cm="1">
        <f t="array" ref="AD205">IFERROR(IF(B205 = "TRI Form R", IF(AB205 = 0, "Facility has no on-site water discharges between 2019-2023.",  IF(COUNTIF('Processed Non-zero TRI Data'!$I:$I,$H205)&gt;0,INDEX('Processed Non-zero TRI Data'!$A:$A,MATCH(1,($H205='Processed Non-zero TRI Data'!$I:$I)*(AB205='Processed Non-zero TRI Data'!$S:$S),0)))), VLOOKUP(H205, 'Form A Recent Reporting'!$L:$M, 2, FALSE)), ("N/A - Facility Does Not Report to TRI"))</f>
        <v>N/A - Facility Does Not Report to TRI</v>
      </c>
      <c r="AE205" s="109" cm="1">
        <f t="array" ref="AE205">IFERROR(_xlfn.XLOOKUP(1,  (MAX(IF(H205 = 'Processed Non-zero TRI Data'!$I:$I,'Processed Non-zero TRI Data'!$A:$A)) = 'Processed Non-zero TRI Data'!$A:$A)*('Processed Non-zero TRI Data'!$I:$I = H205), 'Processed Non-zero TRI Data'!$U:$U), "N/A- Facility Does Not Report to TRI")</f>
        <v>0</v>
      </c>
      <c r="AF205" s="33">
        <f t="shared" si="47"/>
        <v>0</v>
      </c>
      <c r="AG205" s="33" t="str" cm="1">
        <f t="array" ref="AG205">IF(COUNTIF('Processed Non-zero TRI Data'!$I:$I,$H205)&gt;0,MEDIAN(IF('Processed Non-zero TRI Data'!$I:$I=H205,'Processed Non-zero TRI Data'!$U:$U)), "N/A - Facility Does Not Report to TRI")</f>
        <v>N/A - Facility Does Not Report to TRI</v>
      </c>
      <c r="AH205" s="33" t="str">
        <f t="shared" si="48"/>
        <v>N/A - Facility Does Not Report to TRI</v>
      </c>
      <c r="AI205" s="33" t="str">
        <f>IF(COUNTIF('Processed Non-zero TRI Data'!$I:$I,$H205)&gt;0,_xlfn.MAXIFS('Processed Non-zero TRI Data'!$U:$U,'Processed Non-zero TRI Data'!$I:$I,$H205), "N/A - Facility Does Not Report to TRI")</f>
        <v>N/A - Facility Does Not Report to TRI</v>
      </c>
      <c r="AJ205" s="33" t="str">
        <f t="shared" si="49"/>
        <v>N/A - Facility Does Not Report to TRI</v>
      </c>
      <c r="AK205" s="110" t="str" cm="1">
        <f t="array" ref="AK205">IF(B205="TRI Form A",AD205,IF(AI205=0,"Facility has no transfers to POTWs between 2019-2023.",IF(COUNTIF('Processed Non-zero TRI Data'!$I:$I,$H205)&gt;0,INDEX('Processed Non-zero TRI Data'!$A:$A,MATCH(1,($H205='Processed Non-zero TRI Data'!$I:$I)*(AI205='Processed Non-zero TRI Data'!$U:$U),0)),"N/A - Facility Does Not Report to TRI")))</f>
        <v>N/A - Facility Does Not Report to TRI</v>
      </c>
      <c r="AL205" s="109" cm="1">
        <f t="array" ref="AL205">IFERROR(_xlfn.XLOOKUP(1,  (MAX(IF(H205 = 'Processed Non-zero TRI Data'!$I$2:$I$23,'Processed Non-zero TRI Data'!$A$2:$A$23)) = 'Processed Non-zero TRI Data'!$A$2:$A$23)*('Processed Non-zero TRI Data'!$I$2:$I$23 = H205), 'Processed Non-zero TRI Data'!$W$2:$W$23), "N/A- Facility Does Not Report to TRI")</f>
        <v>0</v>
      </c>
      <c r="AM205" s="33">
        <f t="shared" si="50"/>
        <v>0</v>
      </c>
      <c r="AN205" s="33" t="str" cm="1">
        <f t="array" ref="AN205">IF(COUNTIF('Processed Non-zero TRI Data'!$I:$I,$H205)&gt;0,MEDIAN(IF('Processed Non-zero TRI Data'!$I:$I=H205,'Processed Non-zero TRI Data'!$W:$W)), "N/A - Facility Does Not Report to TRI")</f>
        <v>N/A - Facility Does Not Report to TRI</v>
      </c>
      <c r="AO205" s="33" t="str">
        <f t="shared" si="51"/>
        <v>N/A - Facility Does Not Report to TRI</v>
      </c>
      <c r="AP205" s="33" t="str">
        <f>IF(COUNTIF('Processed Non-zero TRI Data'!$I:$I,$H205)&gt;0,_xlfn.MAXIFS('Processed Non-zero TRI Data'!$W:$W,'Processed Non-zero TRI Data'!$I:$I,$H205), "N/A - Facility Does Not Report to TRI")</f>
        <v>N/A - Facility Does Not Report to TRI</v>
      </c>
      <c r="AQ205" s="33" t="str">
        <f t="shared" si="52"/>
        <v>N/A - Facility Does Not Report to TRI</v>
      </c>
      <c r="AR205" s="110" t="str" cm="1">
        <f t="array" ref="AR205">IF(B205="TRI Form A",AD205,IF(AP205=0,"Facility has no transfers to non-POTWs between 2019-2023.",IF(COUNTIF('Processed Non-zero TRI Data'!$I:$I,$H205)&gt;0,INDEX('Processed Non-zero TRI Data'!$A:$A,MATCH(1,($H205='Processed Non-zero TRI Data'!$I:$I)*(AP205='Processed Non-zero TRI Data'!$W:$W),0)),"N/A - Facility Does Not Report to TRI")))</f>
        <v>N/A - Facility Does Not Report to TRI</v>
      </c>
    </row>
    <row r="206" spans="1:44" ht="29" x14ac:dyDescent="0.35">
      <c r="A206" s="34">
        <v>203</v>
      </c>
      <c r="B206" s="33" t="str">
        <f>IFERROR("TRI Form "&amp;VLOOKUP(H206,'Processed Non-zero TRI Data'!$I$2:$K$23,3,FALSE),"DMR")</f>
        <v>DMR</v>
      </c>
      <c r="C206" s="33" t="str">
        <f>VLOOKUP($D206, 'COU.OES Summary'!C:D, 2, FALSE)</f>
        <v> </v>
      </c>
      <c r="D206" s="33" t="str">
        <f>IFERROR(VLOOKUP($H206, 'Processed Non-zero TRI Data'!$I:$O, 7, FALSE), VLOOKUP($I206, 'Processed Non-zero DMR Data'!$K:$R, 8, FALSE))</f>
        <v>Waste handling, treatment, and disposal - Remediation or Monitoring</v>
      </c>
      <c r="E206" s="34" t="s">
        <v>488</v>
      </c>
      <c r="F206" s="34" t="s">
        <v>489</v>
      </c>
      <c r="G206" s="34" t="s">
        <v>202</v>
      </c>
      <c r="H206" s="34"/>
      <c r="I206" s="105">
        <v>110000452082</v>
      </c>
      <c r="J206" s="33" t="str">
        <f>IFERROR(VLOOKUP($I206, 'Processed Non-zero DMR Data'!$K:$U, 11, FALSE),"")</f>
        <v>AR0037770</v>
      </c>
      <c r="K206" s="33" t="str">
        <f>IFERROR(VLOOKUP($I206, 'Processed Non-zero DMR Data'!$K:$V, 12, FALSE),"Not Reported")</f>
        <v>Loosahatchie Bar-Mississippi River</v>
      </c>
      <c r="L206" s="106">
        <f>IFERROR(VLOOKUP($I206, 'Processed Non-zero DMR Data'!$K:$W, 13, FALSE),"No Reach Code Reported")</f>
        <v>80101000703</v>
      </c>
      <c r="M206" s="107" t="str">
        <f>IFERROR(IFERROR(VLOOKUP(H206, 'Off-site Locations'!$K$3:$O$5, 5, FALSE), VLOOKUP(H206, 'Off-site Locations'!$B$3:$E$4, 4, FALSE)), "No Offsite Transfers")</f>
        <v>No Offsite Transfers</v>
      </c>
      <c r="N206" s="33">
        <f>VLOOKUP($D206, 'COU.OES Summary'!C:E, 3, FALSE)</f>
        <v>365</v>
      </c>
      <c r="O206" s="108">
        <f t="shared" si="42"/>
        <v>0</v>
      </c>
      <c r="P206" s="108">
        <f t="shared" si="43"/>
        <v>5.9301479999999997E-2</v>
      </c>
      <c r="Q206" s="109" cm="1">
        <f t="array" ref="Q206">IFERROR(_xlfn.XLOOKUP(1,  (MAX(IF(I206 = 'Processed Non-zero DMR Data'!$K:$K,'Processed Non-zero DMR Data'!$A:$A)) = 'Processed Non-zero DMR Data'!$A:$A)*('Processed Non-zero DMR Data'!$K:$K = I206),'Processed Non-zero DMR Data'!$T:$T), "N/A- Facility Does Not Report DMRs")</f>
        <v>1.2053700000000001E-2</v>
      </c>
      <c r="R206" s="33">
        <f t="shared" si="53"/>
        <v>3.3023835616438361E-5</v>
      </c>
      <c r="S206" s="33" cm="1">
        <f t="array" ref="S206">IF(COUNTIF('Processed Non-zero DMR Data'!$K:$K,$I206)&gt;0,MEDIAN(IF('Processed Non-zero DMR Data'!$K:$K=I206,'Processed Non-zero DMR Data'!$T:$T)),"N/A - Facility Does Not Report DMRs")</f>
        <v>3.6297300000000005E-2</v>
      </c>
      <c r="T206" s="33">
        <f t="shared" si="54"/>
        <v>9.9444657534246593E-5</v>
      </c>
      <c r="U206" s="33">
        <f>IF(COUNTIF('Processed Non-zero DMR Data'!$K:$K,$I206)&gt;0,_xlfn.MAXIFS('Processed Non-zero DMR Data'!$T:$T,'Processed Non-zero DMR Data'!$K:$K,$I206), "N/A - Facility Does Not Report DMRs")</f>
        <v>5.9301479999999997E-2</v>
      </c>
      <c r="V206" s="33">
        <f t="shared" si="55"/>
        <v>1.6246980821917807E-4</v>
      </c>
      <c r="W206" s="110" cm="1">
        <f t="array" ref="W206">IF(COUNTIF('Processed Non-zero DMR Data'!$K:$K,$I206)&gt;0,INDEX('Processed Non-zero DMR Data'!$A:$A,MATCH(1,($I206='Processed Non-zero DMR Data'!$K:$K)*($U206='Processed Non-zero DMR Data'!$T:$T),0)), "N/A - Facility Does Not Report DMRs")</f>
        <v>2021</v>
      </c>
      <c r="X206" s="109" cm="1">
        <f t="array" ref="X206">IFERROR(_xlfn.XLOOKUP(1,  (MAX(IF(H206 = 'Processed Non-zero TRI Data'!$I:$I,'Processed Non-zero TRI Data'!$A:$A)) = 'Processed Non-zero TRI Data'!$A:$A)*('Processed Non-zero TRI Data'!$I:$I = H206), 'Processed Non-zero TRI Data'!$S:$S), "N/A- Facility Does Not Report to TRI")</f>
        <v>0</v>
      </c>
      <c r="Y206" s="33">
        <f t="shared" si="44"/>
        <v>0</v>
      </c>
      <c r="Z206" s="33" t="str" cm="1">
        <f t="array" ref="Z206">IF(COUNTIF('Processed Non-zero TRI Data'!$I:$I,$H206)&gt;0,MEDIAN(IF('Processed Non-zero TRI Data'!$I:$I=H206,'Processed Non-zero TRI Data'!$S:$S)), "N/A - Facility Does Not Report to TRI")</f>
        <v>N/A - Facility Does Not Report to TRI</v>
      </c>
      <c r="AA206" s="33" t="str">
        <f t="shared" si="45"/>
        <v>N/A - Facility Does Not Report to TRI</v>
      </c>
      <c r="AB206" s="33" t="str">
        <f>IF(COUNTIF('Processed Non-zero TRI Data'!$I:$I,$H206)&gt;0,_xlfn.MAXIFS('Processed Non-zero TRI Data'!$S:$S,'Processed Non-zero TRI Data'!$I:$I,$H206), "N/A - Facility Does Not Report to TRI")</f>
        <v>N/A - Facility Does Not Report to TRI</v>
      </c>
      <c r="AC206" s="33" t="str">
        <f t="shared" si="46"/>
        <v>N/A - Facility Does Not Report to TRI</v>
      </c>
      <c r="AD206" s="110" t="str" cm="1">
        <f t="array" ref="AD206">IFERROR(IF(B206 = "TRI Form R", IF(AB206 = 0, "Facility has no on-site water discharges between 2019-2023.",  IF(COUNTIF('Processed Non-zero TRI Data'!$I:$I,$H206)&gt;0,INDEX('Processed Non-zero TRI Data'!$A:$A,MATCH(1,($H206='Processed Non-zero TRI Data'!$I:$I)*(AB206='Processed Non-zero TRI Data'!$S:$S),0)))), VLOOKUP(H206, 'Form A Recent Reporting'!$L:$M, 2, FALSE)), ("N/A - Facility Does Not Report to TRI"))</f>
        <v>N/A - Facility Does Not Report to TRI</v>
      </c>
      <c r="AE206" s="109" cm="1">
        <f t="array" ref="AE206">IFERROR(_xlfn.XLOOKUP(1,  (MAX(IF(H206 = 'Processed Non-zero TRI Data'!$I:$I,'Processed Non-zero TRI Data'!$A:$A)) = 'Processed Non-zero TRI Data'!$A:$A)*('Processed Non-zero TRI Data'!$I:$I = H206), 'Processed Non-zero TRI Data'!$U:$U), "N/A- Facility Does Not Report to TRI")</f>
        <v>0</v>
      </c>
      <c r="AF206" s="33">
        <f t="shared" si="47"/>
        <v>0</v>
      </c>
      <c r="AG206" s="33" t="str" cm="1">
        <f t="array" ref="AG206">IF(COUNTIF('Processed Non-zero TRI Data'!$I:$I,$H206)&gt;0,MEDIAN(IF('Processed Non-zero TRI Data'!$I:$I=H206,'Processed Non-zero TRI Data'!$U:$U)), "N/A - Facility Does Not Report to TRI")</f>
        <v>N/A - Facility Does Not Report to TRI</v>
      </c>
      <c r="AH206" s="33" t="str">
        <f t="shared" si="48"/>
        <v>N/A - Facility Does Not Report to TRI</v>
      </c>
      <c r="AI206" s="33" t="str">
        <f>IF(COUNTIF('Processed Non-zero TRI Data'!$I:$I,$H206)&gt;0,_xlfn.MAXIFS('Processed Non-zero TRI Data'!$U:$U,'Processed Non-zero TRI Data'!$I:$I,$H206), "N/A - Facility Does Not Report to TRI")</f>
        <v>N/A - Facility Does Not Report to TRI</v>
      </c>
      <c r="AJ206" s="33" t="str">
        <f t="shared" si="49"/>
        <v>N/A - Facility Does Not Report to TRI</v>
      </c>
      <c r="AK206" s="110" t="str" cm="1">
        <f t="array" ref="AK206">IF(B206="TRI Form A",AD206,IF(AI206=0,"Facility has no transfers to POTWs between 2019-2023.",IF(COUNTIF('Processed Non-zero TRI Data'!$I:$I,$H206)&gt;0,INDEX('Processed Non-zero TRI Data'!$A:$A,MATCH(1,($H206='Processed Non-zero TRI Data'!$I:$I)*(AI206='Processed Non-zero TRI Data'!$U:$U),0)),"N/A - Facility Does Not Report to TRI")))</f>
        <v>N/A - Facility Does Not Report to TRI</v>
      </c>
      <c r="AL206" s="109" cm="1">
        <f t="array" ref="AL206">IFERROR(_xlfn.XLOOKUP(1,  (MAX(IF(H206 = 'Processed Non-zero TRI Data'!$I$2:$I$23,'Processed Non-zero TRI Data'!$A$2:$A$23)) = 'Processed Non-zero TRI Data'!$A$2:$A$23)*('Processed Non-zero TRI Data'!$I$2:$I$23 = H206), 'Processed Non-zero TRI Data'!$W$2:$W$23), "N/A- Facility Does Not Report to TRI")</f>
        <v>0</v>
      </c>
      <c r="AM206" s="33">
        <f t="shared" si="50"/>
        <v>0</v>
      </c>
      <c r="AN206" s="33" t="str" cm="1">
        <f t="array" ref="AN206">IF(COUNTIF('Processed Non-zero TRI Data'!$I:$I,$H206)&gt;0,MEDIAN(IF('Processed Non-zero TRI Data'!$I:$I=H206,'Processed Non-zero TRI Data'!$W:$W)), "N/A - Facility Does Not Report to TRI")</f>
        <v>N/A - Facility Does Not Report to TRI</v>
      </c>
      <c r="AO206" s="33" t="str">
        <f t="shared" si="51"/>
        <v>N/A - Facility Does Not Report to TRI</v>
      </c>
      <c r="AP206" s="33" t="str">
        <f>IF(COUNTIF('Processed Non-zero TRI Data'!$I:$I,$H206)&gt;0,_xlfn.MAXIFS('Processed Non-zero TRI Data'!$W:$W,'Processed Non-zero TRI Data'!$I:$I,$H206), "N/A - Facility Does Not Report to TRI")</f>
        <v>N/A - Facility Does Not Report to TRI</v>
      </c>
      <c r="AQ206" s="33" t="str">
        <f t="shared" si="52"/>
        <v>N/A - Facility Does Not Report to TRI</v>
      </c>
      <c r="AR206" s="110" t="str" cm="1">
        <f t="array" ref="AR206">IF(B206="TRI Form A",AD206,IF(AP206=0,"Facility has no transfers to non-POTWs between 2019-2023.",IF(COUNTIF('Processed Non-zero TRI Data'!$I:$I,$H206)&gt;0,INDEX('Processed Non-zero TRI Data'!$A:$A,MATCH(1,($H206='Processed Non-zero TRI Data'!$I:$I)*(AP206='Processed Non-zero TRI Data'!$W:$W),0)),"N/A - Facility Does Not Report to TRI")))</f>
        <v>N/A - Facility Does Not Report to TRI</v>
      </c>
    </row>
    <row r="207" spans="1:44" ht="29" x14ac:dyDescent="0.35">
      <c r="A207" s="34">
        <v>204</v>
      </c>
      <c r="B207" s="33" t="str">
        <f>IFERROR("TRI Form "&amp;VLOOKUP(H207,'Processed Non-zero TRI Data'!$I$2:$K$23,3,FALSE),"DMR")</f>
        <v>DMR</v>
      </c>
      <c r="C207" s="33" t="str">
        <f>VLOOKUP($D207, 'COU.OES Summary'!C:D, 2, FALSE)</f>
        <v> </v>
      </c>
      <c r="D207" s="33" t="str">
        <f>IFERROR(VLOOKUP($H207, 'Processed Non-zero TRI Data'!$I:$O, 7, FALSE), VLOOKUP($I207, 'Processed Non-zero DMR Data'!$K:$R, 8, FALSE))</f>
        <v>Waste handling, treatment, and disposal - Remediation or Monitoring</v>
      </c>
      <c r="E207" s="34" t="s">
        <v>490</v>
      </c>
      <c r="F207" s="34" t="s">
        <v>491</v>
      </c>
      <c r="G207" s="34" t="s">
        <v>492</v>
      </c>
      <c r="H207" s="34"/>
      <c r="I207" s="105">
        <v>110070053140</v>
      </c>
      <c r="J207" s="33" t="str">
        <f>IFERROR(VLOOKUP($I207, 'Processed Non-zero DMR Data'!$K:$U, 11, FALSE),"")</f>
        <v>CO0049038</v>
      </c>
      <c r="K207" s="33" t="str">
        <f>IFERROR(VLOOKUP($I207, 'Processed Non-zero DMR Data'!$K:$V, 12, FALSE),"Not Reported")</f>
        <v>Boyd Lake-Big Thompson River</v>
      </c>
      <c r="L207" s="106">
        <f>IFERROR(VLOOKUP($I207, 'Processed Non-zero DMR Data'!$K:$W, 13, FALSE),"No Reach Code Reported")</f>
        <v>101900060605</v>
      </c>
      <c r="M207" s="107" t="str">
        <f>IFERROR(IFERROR(VLOOKUP(H207, 'Off-site Locations'!$K$3:$O$5, 5, FALSE), VLOOKUP(H207, 'Off-site Locations'!$B$3:$E$4, 4, FALSE)), "No Offsite Transfers")</f>
        <v>No Offsite Transfers</v>
      </c>
      <c r="N207" s="33">
        <f>VLOOKUP($D207, 'COU.OES Summary'!C:E, 3, FALSE)</f>
        <v>365</v>
      </c>
      <c r="O207" s="108">
        <f t="shared" si="42"/>
        <v>0</v>
      </c>
      <c r="P207" s="108">
        <f t="shared" si="43"/>
        <v>5.8727870750000001E-2</v>
      </c>
      <c r="Q207" s="109" cm="1">
        <f t="array" ref="Q207">IFERROR(_xlfn.XLOOKUP(1,  (MAX(IF(I207 = 'Processed Non-zero DMR Data'!$K:$K,'Processed Non-zero DMR Data'!$A:$A)) = 'Processed Non-zero DMR Data'!$A:$A)*('Processed Non-zero DMR Data'!$K:$K = I207),'Processed Non-zero DMR Data'!$T:$T), "N/A- Facility Does Not Report DMRs")</f>
        <v>5.8727870750000001E-2</v>
      </c>
      <c r="R207" s="33">
        <f t="shared" si="53"/>
        <v>1.6089827602739726E-4</v>
      </c>
      <c r="S207" s="33" cm="1">
        <f t="array" ref="S207">IF(COUNTIF('Processed Non-zero DMR Data'!$K:$K,$I207)&gt;0,MEDIAN(IF('Processed Non-zero DMR Data'!$K:$K=I207,'Processed Non-zero DMR Data'!$T:$T)),"N/A - Facility Does Not Report DMRs")</f>
        <v>5.0143680000000003E-2</v>
      </c>
      <c r="T207" s="33">
        <f t="shared" si="54"/>
        <v>1.3737994520547945E-4</v>
      </c>
      <c r="U207" s="33">
        <f>IF(COUNTIF('Processed Non-zero DMR Data'!$K:$K,$I207)&gt;0,_xlfn.MAXIFS('Processed Non-zero DMR Data'!$T:$T,'Processed Non-zero DMR Data'!$K:$K,$I207), "N/A - Facility Does Not Report DMRs")</f>
        <v>5.8727870750000001E-2</v>
      </c>
      <c r="V207" s="33">
        <f t="shared" si="55"/>
        <v>1.6089827602739726E-4</v>
      </c>
      <c r="W207" s="110" cm="1">
        <f t="array" ref="W207">IF(COUNTIF('Processed Non-zero DMR Data'!$K:$K,$I207)&gt;0,INDEX('Processed Non-zero DMR Data'!$A:$A,MATCH(1,($I207='Processed Non-zero DMR Data'!$K:$K)*($U207='Processed Non-zero DMR Data'!$T:$T),0)), "N/A - Facility Does Not Report DMRs")</f>
        <v>2023</v>
      </c>
      <c r="X207" s="109" cm="1">
        <f t="array" ref="X207">IFERROR(_xlfn.XLOOKUP(1,  (MAX(IF(H207 = 'Processed Non-zero TRI Data'!$I:$I,'Processed Non-zero TRI Data'!$A:$A)) = 'Processed Non-zero TRI Data'!$A:$A)*('Processed Non-zero TRI Data'!$I:$I = H207), 'Processed Non-zero TRI Data'!$S:$S), "N/A- Facility Does Not Report to TRI")</f>
        <v>0</v>
      </c>
      <c r="Y207" s="33">
        <f t="shared" si="44"/>
        <v>0</v>
      </c>
      <c r="Z207" s="33" t="str" cm="1">
        <f t="array" ref="Z207">IF(COUNTIF('Processed Non-zero TRI Data'!$I:$I,$H207)&gt;0,MEDIAN(IF('Processed Non-zero TRI Data'!$I:$I=H207,'Processed Non-zero TRI Data'!$S:$S)), "N/A - Facility Does Not Report to TRI")</f>
        <v>N/A - Facility Does Not Report to TRI</v>
      </c>
      <c r="AA207" s="33" t="str">
        <f t="shared" si="45"/>
        <v>N/A - Facility Does Not Report to TRI</v>
      </c>
      <c r="AB207" s="33" t="str">
        <f>IF(COUNTIF('Processed Non-zero TRI Data'!$I:$I,$H207)&gt;0,_xlfn.MAXIFS('Processed Non-zero TRI Data'!$S:$S,'Processed Non-zero TRI Data'!$I:$I,$H207), "N/A - Facility Does Not Report to TRI")</f>
        <v>N/A - Facility Does Not Report to TRI</v>
      </c>
      <c r="AC207" s="33" t="str">
        <f t="shared" si="46"/>
        <v>N/A - Facility Does Not Report to TRI</v>
      </c>
      <c r="AD207" s="110" t="str" cm="1">
        <f t="array" ref="AD207">IFERROR(IF(B207 = "TRI Form R", IF(AB207 = 0, "Facility has no on-site water discharges between 2019-2023.",  IF(COUNTIF('Processed Non-zero TRI Data'!$I:$I,$H207)&gt;0,INDEX('Processed Non-zero TRI Data'!$A:$A,MATCH(1,($H207='Processed Non-zero TRI Data'!$I:$I)*(AB207='Processed Non-zero TRI Data'!$S:$S),0)))), VLOOKUP(H207, 'Form A Recent Reporting'!$L:$M, 2, FALSE)), ("N/A - Facility Does Not Report to TRI"))</f>
        <v>N/A - Facility Does Not Report to TRI</v>
      </c>
      <c r="AE207" s="109" cm="1">
        <f t="array" ref="AE207">IFERROR(_xlfn.XLOOKUP(1,  (MAX(IF(H207 = 'Processed Non-zero TRI Data'!$I:$I,'Processed Non-zero TRI Data'!$A:$A)) = 'Processed Non-zero TRI Data'!$A:$A)*('Processed Non-zero TRI Data'!$I:$I = H207), 'Processed Non-zero TRI Data'!$U:$U), "N/A- Facility Does Not Report to TRI")</f>
        <v>0</v>
      </c>
      <c r="AF207" s="33">
        <f t="shared" si="47"/>
        <v>0</v>
      </c>
      <c r="AG207" s="33" t="str" cm="1">
        <f t="array" ref="AG207">IF(COUNTIF('Processed Non-zero TRI Data'!$I:$I,$H207)&gt;0,MEDIAN(IF('Processed Non-zero TRI Data'!$I:$I=H207,'Processed Non-zero TRI Data'!$U:$U)), "N/A - Facility Does Not Report to TRI")</f>
        <v>N/A - Facility Does Not Report to TRI</v>
      </c>
      <c r="AH207" s="33" t="str">
        <f t="shared" si="48"/>
        <v>N/A - Facility Does Not Report to TRI</v>
      </c>
      <c r="AI207" s="33" t="str">
        <f>IF(COUNTIF('Processed Non-zero TRI Data'!$I:$I,$H207)&gt;0,_xlfn.MAXIFS('Processed Non-zero TRI Data'!$U:$U,'Processed Non-zero TRI Data'!$I:$I,$H207), "N/A - Facility Does Not Report to TRI")</f>
        <v>N/A - Facility Does Not Report to TRI</v>
      </c>
      <c r="AJ207" s="33" t="str">
        <f t="shared" si="49"/>
        <v>N/A - Facility Does Not Report to TRI</v>
      </c>
      <c r="AK207" s="110" t="str" cm="1">
        <f t="array" ref="AK207">IF(B207="TRI Form A",AD207,IF(AI207=0,"Facility has no transfers to POTWs between 2019-2023.",IF(COUNTIF('Processed Non-zero TRI Data'!$I:$I,$H207)&gt;0,INDEX('Processed Non-zero TRI Data'!$A:$A,MATCH(1,($H207='Processed Non-zero TRI Data'!$I:$I)*(AI207='Processed Non-zero TRI Data'!$U:$U),0)),"N/A - Facility Does Not Report to TRI")))</f>
        <v>N/A - Facility Does Not Report to TRI</v>
      </c>
      <c r="AL207" s="109" cm="1">
        <f t="array" ref="AL207">IFERROR(_xlfn.XLOOKUP(1,  (MAX(IF(H207 = 'Processed Non-zero TRI Data'!$I$2:$I$23,'Processed Non-zero TRI Data'!$A$2:$A$23)) = 'Processed Non-zero TRI Data'!$A$2:$A$23)*('Processed Non-zero TRI Data'!$I$2:$I$23 = H207), 'Processed Non-zero TRI Data'!$W$2:$W$23), "N/A- Facility Does Not Report to TRI")</f>
        <v>0</v>
      </c>
      <c r="AM207" s="33">
        <f t="shared" si="50"/>
        <v>0</v>
      </c>
      <c r="AN207" s="33" t="str" cm="1">
        <f t="array" ref="AN207">IF(COUNTIF('Processed Non-zero TRI Data'!$I:$I,$H207)&gt;0,MEDIAN(IF('Processed Non-zero TRI Data'!$I:$I=H207,'Processed Non-zero TRI Data'!$W:$W)), "N/A - Facility Does Not Report to TRI")</f>
        <v>N/A - Facility Does Not Report to TRI</v>
      </c>
      <c r="AO207" s="33" t="str">
        <f t="shared" si="51"/>
        <v>N/A - Facility Does Not Report to TRI</v>
      </c>
      <c r="AP207" s="33" t="str">
        <f>IF(COUNTIF('Processed Non-zero TRI Data'!$I:$I,$H207)&gt;0,_xlfn.MAXIFS('Processed Non-zero TRI Data'!$W:$W,'Processed Non-zero TRI Data'!$I:$I,$H207), "N/A - Facility Does Not Report to TRI")</f>
        <v>N/A - Facility Does Not Report to TRI</v>
      </c>
      <c r="AQ207" s="33" t="str">
        <f t="shared" si="52"/>
        <v>N/A - Facility Does Not Report to TRI</v>
      </c>
      <c r="AR207" s="110" t="str" cm="1">
        <f t="array" ref="AR207">IF(B207="TRI Form A",AD207,IF(AP207=0,"Facility has no transfers to non-POTWs between 2019-2023.",IF(COUNTIF('Processed Non-zero TRI Data'!$I:$I,$H207)&gt;0,INDEX('Processed Non-zero TRI Data'!$A:$A,MATCH(1,($H207='Processed Non-zero TRI Data'!$I:$I)*(AP207='Processed Non-zero TRI Data'!$W:$W),0)),"N/A - Facility Does Not Report to TRI")))</f>
        <v>N/A - Facility Does Not Report to TRI</v>
      </c>
    </row>
    <row r="208" spans="1:44" ht="29" x14ac:dyDescent="0.35">
      <c r="A208" s="34">
        <v>205</v>
      </c>
      <c r="B208" s="33" t="str">
        <f>IFERROR("TRI Form "&amp;VLOOKUP(H208,'Processed Non-zero TRI Data'!$I$2:$K$23,3,FALSE),"DMR")</f>
        <v>DMR</v>
      </c>
      <c r="C208" s="33" t="str">
        <f>VLOOKUP($D208, 'COU.OES Summary'!C:D, 2, FALSE)</f>
        <v> </v>
      </c>
      <c r="D208" s="33" t="str">
        <f>IFERROR(VLOOKUP($H208, 'Processed Non-zero TRI Data'!$I:$O, 7, FALSE), VLOOKUP($I208, 'Processed Non-zero DMR Data'!$K:$R, 8, FALSE))</f>
        <v>Waste handling, treatment, and disposal - POTW</v>
      </c>
      <c r="E208" s="34" t="s">
        <v>493</v>
      </c>
      <c r="F208" s="34" t="s">
        <v>494</v>
      </c>
      <c r="G208" s="34" t="s">
        <v>102</v>
      </c>
      <c r="H208" s="34"/>
      <c r="I208" s="105">
        <v>110064622519</v>
      </c>
      <c r="J208" s="33" t="str">
        <f>IFERROR(VLOOKUP($I208, 'Processed Non-zero DMR Data'!$K:$U, 11, FALSE),"")</f>
        <v>CA0038318</v>
      </c>
      <c r="K208" s="33" t="str">
        <f>IFERROR(VLOOKUP($I208, 'Processed Non-zero DMR Data'!$K:$V, 12, FALSE),"Not Reported")</f>
        <v>San Francisco Bay Estuaries</v>
      </c>
      <c r="L208" s="106">
        <f>IFERROR(VLOOKUP($I208, 'Processed Non-zero DMR Data'!$K:$W, 13, FALSE),"No Reach Code Reported")</f>
        <v>180500041001</v>
      </c>
      <c r="M208" s="107" t="str">
        <f>IFERROR(IFERROR(VLOOKUP(H208, 'Off-site Locations'!$K$3:$O$5, 5, FALSE), VLOOKUP(H208, 'Off-site Locations'!$B$3:$E$4, 4, FALSE)), "No Offsite Transfers")</f>
        <v>No Offsite Transfers</v>
      </c>
      <c r="N208" s="33">
        <f>VLOOKUP($D208, 'COU.OES Summary'!C:E, 3, FALSE)</f>
        <v>365</v>
      </c>
      <c r="O208" s="108">
        <f t="shared" si="42"/>
        <v>0</v>
      </c>
      <c r="P208" s="108">
        <f t="shared" si="43"/>
        <v>5.8024050000000001E-2</v>
      </c>
      <c r="Q208" s="109" cm="1">
        <f t="array" ref="Q208">IFERROR(_xlfn.XLOOKUP(1,  (MAX(IF(I208 = 'Processed Non-zero DMR Data'!$K:$K,'Processed Non-zero DMR Data'!$A:$A)) = 'Processed Non-zero DMR Data'!$A:$A)*('Processed Non-zero DMR Data'!$K:$K = I208),'Processed Non-zero DMR Data'!$T:$T), "N/A- Facility Does Not Report DMRs")</f>
        <v>5.8024050000000001E-2</v>
      </c>
      <c r="R208" s="33">
        <f t="shared" si="53"/>
        <v>1.5897E-4</v>
      </c>
      <c r="S208" s="33" cm="1">
        <f t="array" ref="S208">IF(COUNTIF('Processed Non-zero DMR Data'!$K:$K,$I208)&gt;0,MEDIAN(IF('Processed Non-zero DMR Data'!$K:$K=I208,'Processed Non-zero DMR Data'!$T:$T)),"N/A - Facility Does Not Report DMRs")</f>
        <v>5.8024050000000001E-2</v>
      </c>
      <c r="T208" s="33">
        <f t="shared" si="54"/>
        <v>1.5897E-4</v>
      </c>
      <c r="U208" s="33">
        <f>IF(COUNTIF('Processed Non-zero DMR Data'!$K:$K,$I208)&gt;0,_xlfn.MAXIFS('Processed Non-zero DMR Data'!$T:$T,'Processed Non-zero DMR Data'!$K:$K,$I208), "N/A - Facility Does Not Report DMRs")</f>
        <v>5.8024050000000001E-2</v>
      </c>
      <c r="V208" s="33">
        <f t="shared" si="55"/>
        <v>1.5897E-4</v>
      </c>
      <c r="W208" s="110" cm="1">
        <f t="array" ref="W208">IF(COUNTIF('Processed Non-zero DMR Data'!$K:$K,$I208)&gt;0,INDEX('Processed Non-zero DMR Data'!$A:$A,MATCH(1,($I208='Processed Non-zero DMR Data'!$K:$K)*($U208='Processed Non-zero DMR Data'!$T:$T),0)), "N/A - Facility Does Not Report DMRs")</f>
        <v>2019</v>
      </c>
      <c r="X208" s="109" cm="1">
        <f t="array" ref="X208">IFERROR(_xlfn.XLOOKUP(1,  (MAX(IF(H208 = 'Processed Non-zero TRI Data'!$I:$I,'Processed Non-zero TRI Data'!$A:$A)) = 'Processed Non-zero TRI Data'!$A:$A)*('Processed Non-zero TRI Data'!$I:$I = H208), 'Processed Non-zero TRI Data'!$S:$S), "N/A- Facility Does Not Report to TRI")</f>
        <v>0</v>
      </c>
      <c r="Y208" s="33">
        <f t="shared" si="44"/>
        <v>0</v>
      </c>
      <c r="Z208" s="33" t="str" cm="1">
        <f t="array" ref="Z208">IF(COUNTIF('Processed Non-zero TRI Data'!$I:$I,$H208)&gt;0,MEDIAN(IF('Processed Non-zero TRI Data'!$I:$I=H208,'Processed Non-zero TRI Data'!$S:$S)), "N/A - Facility Does Not Report to TRI")</f>
        <v>N/A - Facility Does Not Report to TRI</v>
      </c>
      <c r="AA208" s="33" t="str">
        <f t="shared" si="45"/>
        <v>N/A - Facility Does Not Report to TRI</v>
      </c>
      <c r="AB208" s="33" t="str">
        <f>IF(COUNTIF('Processed Non-zero TRI Data'!$I:$I,$H208)&gt;0,_xlfn.MAXIFS('Processed Non-zero TRI Data'!$S:$S,'Processed Non-zero TRI Data'!$I:$I,$H208), "N/A - Facility Does Not Report to TRI")</f>
        <v>N/A - Facility Does Not Report to TRI</v>
      </c>
      <c r="AC208" s="33" t="str">
        <f t="shared" si="46"/>
        <v>N/A - Facility Does Not Report to TRI</v>
      </c>
      <c r="AD208" s="110" t="str" cm="1">
        <f t="array" ref="AD208">IFERROR(IF(B208 = "TRI Form R", IF(AB208 = 0, "Facility has no on-site water discharges between 2019-2023.",  IF(COUNTIF('Processed Non-zero TRI Data'!$I:$I,$H208)&gt;0,INDEX('Processed Non-zero TRI Data'!$A:$A,MATCH(1,($H208='Processed Non-zero TRI Data'!$I:$I)*(AB208='Processed Non-zero TRI Data'!$S:$S),0)))), VLOOKUP(H208, 'Form A Recent Reporting'!$L:$M, 2, FALSE)), ("N/A - Facility Does Not Report to TRI"))</f>
        <v>N/A - Facility Does Not Report to TRI</v>
      </c>
      <c r="AE208" s="109" cm="1">
        <f t="array" ref="AE208">IFERROR(_xlfn.XLOOKUP(1,  (MAX(IF(H208 = 'Processed Non-zero TRI Data'!$I:$I,'Processed Non-zero TRI Data'!$A:$A)) = 'Processed Non-zero TRI Data'!$A:$A)*('Processed Non-zero TRI Data'!$I:$I = H208), 'Processed Non-zero TRI Data'!$U:$U), "N/A- Facility Does Not Report to TRI")</f>
        <v>0</v>
      </c>
      <c r="AF208" s="33">
        <f t="shared" si="47"/>
        <v>0</v>
      </c>
      <c r="AG208" s="33" t="str" cm="1">
        <f t="array" ref="AG208">IF(COUNTIF('Processed Non-zero TRI Data'!$I:$I,$H208)&gt;0,MEDIAN(IF('Processed Non-zero TRI Data'!$I:$I=H208,'Processed Non-zero TRI Data'!$U:$U)), "N/A - Facility Does Not Report to TRI")</f>
        <v>N/A - Facility Does Not Report to TRI</v>
      </c>
      <c r="AH208" s="33" t="str">
        <f t="shared" si="48"/>
        <v>N/A - Facility Does Not Report to TRI</v>
      </c>
      <c r="AI208" s="33" t="str">
        <f>IF(COUNTIF('Processed Non-zero TRI Data'!$I:$I,$H208)&gt;0,_xlfn.MAXIFS('Processed Non-zero TRI Data'!$U:$U,'Processed Non-zero TRI Data'!$I:$I,$H208), "N/A - Facility Does Not Report to TRI")</f>
        <v>N/A - Facility Does Not Report to TRI</v>
      </c>
      <c r="AJ208" s="33" t="str">
        <f t="shared" si="49"/>
        <v>N/A - Facility Does Not Report to TRI</v>
      </c>
      <c r="AK208" s="110" t="str" cm="1">
        <f t="array" ref="AK208">IF(B208="TRI Form A",AD208,IF(AI208=0,"Facility has no transfers to POTWs between 2019-2023.",IF(COUNTIF('Processed Non-zero TRI Data'!$I:$I,$H208)&gt;0,INDEX('Processed Non-zero TRI Data'!$A:$A,MATCH(1,($H208='Processed Non-zero TRI Data'!$I:$I)*(AI208='Processed Non-zero TRI Data'!$U:$U),0)),"N/A - Facility Does Not Report to TRI")))</f>
        <v>N/A - Facility Does Not Report to TRI</v>
      </c>
      <c r="AL208" s="109" cm="1">
        <f t="array" ref="AL208">IFERROR(_xlfn.XLOOKUP(1,  (MAX(IF(H208 = 'Processed Non-zero TRI Data'!$I$2:$I$23,'Processed Non-zero TRI Data'!$A$2:$A$23)) = 'Processed Non-zero TRI Data'!$A$2:$A$23)*('Processed Non-zero TRI Data'!$I$2:$I$23 = H208), 'Processed Non-zero TRI Data'!$W$2:$W$23), "N/A- Facility Does Not Report to TRI")</f>
        <v>0</v>
      </c>
      <c r="AM208" s="33">
        <f t="shared" si="50"/>
        <v>0</v>
      </c>
      <c r="AN208" s="33" t="str" cm="1">
        <f t="array" ref="AN208">IF(COUNTIF('Processed Non-zero TRI Data'!$I:$I,$H208)&gt;0,MEDIAN(IF('Processed Non-zero TRI Data'!$I:$I=H208,'Processed Non-zero TRI Data'!$W:$W)), "N/A - Facility Does Not Report to TRI")</f>
        <v>N/A - Facility Does Not Report to TRI</v>
      </c>
      <c r="AO208" s="33" t="str">
        <f t="shared" si="51"/>
        <v>N/A - Facility Does Not Report to TRI</v>
      </c>
      <c r="AP208" s="33" t="str">
        <f>IF(COUNTIF('Processed Non-zero TRI Data'!$I:$I,$H208)&gt;0,_xlfn.MAXIFS('Processed Non-zero TRI Data'!$W:$W,'Processed Non-zero TRI Data'!$I:$I,$H208), "N/A - Facility Does Not Report to TRI")</f>
        <v>N/A - Facility Does Not Report to TRI</v>
      </c>
      <c r="AQ208" s="33" t="str">
        <f t="shared" si="52"/>
        <v>N/A - Facility Does Not Report to TRI</v>
      </c>
      <c r="AR208" s="110" t="str" cm="1">
        <f t="array" ref="AR208">IF(B208="TRI Form A",AD208,IF(AP208=0,"Facility has no transfers to non-POTWs between 2019-2023.",IF(COUNTIF('Processed Non-zero TRI Data'!$I:$I,$H208)&gt;0,INDEX('Processed Non-zero TRI Data'!$A:$A,MATCH(1,($H208='Processed Non-zero TRI Data'!$I:$I)*(AP208='Processed Non-zero TRI Data'!$W:$W),0)),"N/A - Facility Does Not Report to TRI")))</f>
        <v>N/A - Facility Does Not Report to TRI</v>
      </c>
    </row>
    <row r="209" spans="1:44" ht="29" x14ac:dyDescent="0.35">
      <c r="A209" s="34">
        <v>206</v>
      </c>
      <c r="B209" s="33" t="str">
        <f>IFERROR("TRI Form "&amp;VLOOKUP(H209,'Processed Non-zero TRI Data'!$I$2:$K$23,3,FALSE),"DMR")</f>
        <v>DMR</v>
      </c>
      <c r="C209" s="33" t="str">
        <f>VLOOKUP($D209, 'COU.OES Summary'!C:D, 2, FALSE)</f>
        <v> </v>
      </c>
      <c r="D209" s="33" t="str">
        <f>IFERROR(VLOOKUP($H209, 'Processed Non-zero TRI Data'!$I:$O, 7, FALSE), VLOOKUP($I209, 'Processed Non-zero DMR Data'!$K:$R, 8, FALSE))</f>
        <v>Waste handling, treatment, and disposal - Remediation or Monitoring</v>
      </c>
      <c r="E209" s="34" t="s">
        <v>495</v>
      </c>
      <c r="F209" s="34" t="s">
        <v>496</v>
      </c>
      <c r="G209" s="34" t="s">
        <v>350</v>
      </c>
      <c r="H209" s="34"/>
      <c r="I209" s="105">
        <v>110000572782</v>
      </c>
      <c r="J209" s="33" t="str">
        <f>IFERROR(VLOOKUP($I209, 'Processed Non-zero DMR Data'!$K:$U, 11, FALSE),"")</f>
        <v>WV0004740</v>
      </c>
      <c r="K209" s="33" t="str">
        <f>IFERROR(VLOOKUP($I209, 'Processed Non-zero DMR Data'!$K:$V, 12, FALSE),"Not Reported")</f>
        <v>Cobun Creek-Monongahela River</v>
      </c>
      <c r="L209" s="106">
        <f>IFERROR(VLOOKUP($I209, 'Processed Non-zero DMR Data'!$K:$W, 13, FALSE),"No Reach Code Reported")</f>
        <v>50200030307</v>
      </c>
      <c r="M209" s="107" t="str">
        <f>IFERROR(IFERROR(VLOOKUP(H209, 'Off-site Locations'!$K$3:$O$5, 5, FALSE), VLOOKUP(H209, 'Off-site Locations'!$B$3:$E$4, 4, FALSE)), "No Offsite Transfers")</f>
        <v>No Offsite Transfers</v>
      </c>
      <c r="N209" s="33">
        <f>VLOOKUP($D209, 'COU.OES Summary'!C:E, 3, FALSE)</f>
        <v>365</v>
      </c>
      <c r="O209" s="108">
        <f t="shared" si="42"/>
        <v>0</v>
      </c>
      <c r="P209" s="108">
        <f t="shared" si="43"/>
        <v>5.7998500000000001E-2</v>
      </c>
      <c r="Q209" s="109" cm="1">
        <f t="array" ref="Q209">IFERROR(_xlfn.XLOOKUP(1,  (MAX(IF(I209 = 'Processed Non-zero DMR Data'!$K:$K,'Processed Non-zero DMR Data'!$A:$A)) = 'Processed Non-zero DMR Data'!$A:$A)*('Processed Non-zero DMR Data'!$K:$K = I209),'Processed Non-zero DMR Data'!$T:$T), "N/A- Facility Does Not Report DMRs")</f>
        <v>5.7998500000000001E-2</v>
      </c>
      <c r="R209" s="33">
        <f t="shared" si="53"/>
        <v>1.5890000000000001E-4</v>
      </c>
      <c r="S209" s="33" cm="1">
        <f t="array" ref="S209">IF(COUNTIF('Processed Non-zero DMR Data'!$K:$K,$I209)&gt;0,MEDIAN(IF('Processed Non-zero DMR Data'!$K:$K=I209,'Processed Non-zero DMR Data'!$T:$T)),"N/A - Facility Does Not Report DMRs")</f>
        <v>5.7998500000000001E-2</v>
      </c>
      <c r="T209" s="33">
        <f t="shared" si="54"/>
        <v>1.5890000000000001E-4</v>
      </c>
      <c r="U209" s="33">
        <f>IF(COUNTIF('Processed Non-zero DMR Data'!$K:$K,$I209)&gt;0,_xlfn.MAXIFS('Processed Non-zero DMR Data'!$T:$T,'Processed Non-zero DMR Data'!$K:$K,$I209), "N/A - Facility Does Not Report DMRs")</f>
        <v>5.7998500000000001E-2</v>
      </c>
      <c r="V209" s="33">
        <f t="shared" si="55"/>
        <v>1.5890000000000001E-4</v>
      </c>
      <c r="W209" s="110" cm="1">
        <f t="array" ref="W209">IF(COUNTIF('Processed Non-zero DMR Data'!$K:$K,$I209)&gt;0,INDEX('Processed Non-zero DMR Data'!$A:$A,MATCH(1,($I209='Processed Non-zero DMR Data'!$K:$K)*($U209='Processed Non-zero DMR Data'!$T:$T),0)), "N/A - Facility Does Not Report DMRs")</f>
        <v>2019</v>
      </c>
      <c r="X209" s="109" cm="1">
        <f t="array" ref="X209">IFERROR(_xlfn.XLOOKUP(1,  (MAX(IF(H209 = 'Processed Non-zero TRI Data'!$I:$I,'Processed Non-zero TRI Data'!$A:$A)) = 'Processed Non-zero TRI Data'!$A:$A)*('Processed Non-zero TRI Data'!$I:$I = H209), 'Processed Non-zero TRI Data'!$S:$S), "N/A- Facility Does Not Report to TRI")</f>
        <v>0</v>
      </c>
      <c r="Y209" s="33">
        <f t="shared" si="44"/>
        <v>0</v>
      </c>
      <c r="Z209" s="33" t="str" cm="1">
        <f t="array" ref="Z209">IF(COUNTIF('Processed Non-zero TRI Data'!$I:$I,$H209)&gt;0,MEDIAN(IF('Processed Non-zero TRI Data'!$I:$I=H209,'Processed Non-zero TRI Data'!$S:$S)), "N/A - Facility Does Not Report to TRI")</f>
        <v>N/A - Facility Does Not Report to TRI</v>
      </c>
      <c r="AA209" s="33" t="str">
        <f t="shared" si="45"/>
        <v>N/A - Facility Does Not Report to TRI</v>
      </c>
      <c r="AB209" s="33" t="str">
        <f>IF(COUNTIF('Processed Non-zero TRI Data'!$I:$I,$H209)&gt;0,_xlfn.MAXIFS('Processed Non-zero TRI Data'!$S:$S,'Processed Non-zero TRI Data'!$I:$I,$H209), "N/A - Facility Does Not Report to TRI")</f>
        <v>N/A - Facility Does Not Report to TRI</v>
      </c>
      <c r="AC209" s="33" t="str">
        <f t="shared" si="46"/>
        <v>N/A - Facility Does Not Report to TRI</v>
      </c>
      <c r="AD209" s="110" t="str" cm="1">
        <f t="array" ref="AD209">IFERROR(IF(B209 = "TRI Form R", IF(AB209 = 0, "Facility has no on-site water discharges between 2019-2023.",  IF(COUNTIF('Processed Non-zero TRI Data'!$I:$I,$H209)&gt;0,INDEX('Processed Non-zero TRI Data'!$A:$A,MATCH(1,($H209='Processed Non-zero TRI Data'!$I:$I)*(AB209='Processed Non-zero TRI Data'!$S:$S),0)))), VLOOKUP(H209, 'Form A Recent Reporting'!$L:$M, 2, FALSE)), ("N/A - Facility Does Not Report to TRI"))</f>
        <v>N/A - Facility Does Not Report to TRI</v>
      </c>
      <c r="AE209" s="109" cm="1">
        <f t="array" ref="AE209">IFERROR(_xlfn.XLOOKUP(1,  (MAX(IF(H209 = 'Processed Non-zero TRI Data'!$I:$I,'Processed Non-zero TRI Data'!$A:$A)) = 'Processed Non-zero TRI Data'!$A:$A)*('Processed Non-zero TRI Data'!$I:$I = H209), 'Processed Non-zero TRI Data'!$U:$U), "N/A- Facility Does Not Report to TRI")</f>
        <v>0</v>
      </c>
      <c r="AF209" s="33">
        <f t="shared" si="47"/>
        <v>0</v>
      </c>
      <c r="AG209" s="33" t="str" cm="1">
        <f t="array" ref="AG209">IF(COUNTIF('Processed Non-zero TRI Data'!$I:$I,$H209)&gt;0,MEDIAN(IF('Processed Non-zero TRI Data'!$I:$I=H209,'Processed Non-zero TRI Data'!$U:$U)), "N/A - Facility Does Not Report to TRI")</f>
        <v>N/A - Facility Does Not Report to TRI</v>
      </c>
      <c r="AH209" s="33" t="str">
        <f t="shared" si="48"/>
        <v>N/A - Facility Does Not Report to TRI</v>
      </c>
      <c r="AI209" s="33" t="str">
        <f>IF(COUNTIF('Processed Non-zero TRI Data'!$I:$I,$H209)&gt;0,_xlfn.MAXIFS('Processed Non-zero TRI Data'!$U:$U,'Processed Non-zero TRI Data'!$I:$I,$H209), "N/A - Facility Does Not Report to TRI")</f>
        <v>N/A - Facility Does Not Report to TRI</v>
      </c>
      <c r="AJ209" s="33" t="str">
        <f t="shared" si="49"/>
        <v>N/A - Facility Does Not Report to TRI</v>
      </c>
      <c r="AK209" s="110" t="str" cm="1">
        <f t="array" ref="AK209">IF(B209="TRI Form A",AD209,IF(AI209=0,"Facility has no transfers to POTWs between 2019-2023.",IF(COUNTIF('Processed Non-zero TRI Data'!$I:$I,$H209)&gt;0,INDEX('Processed Non-zero TRI Data'!$A:$A,MATCH(1,($H209='Processed Non-zero TRI Data'!$I:$I)*(AI209='Processed Non-zero TRI Data'!$U:$U),0)),"N/A - Facility Does Not Report to TRI")))</f>
        <v>N/A - Facility Does Not Report to TRI</v>
      </c>
      <c r="AL209" s="109" cm="1">
        <f t="array" ref="AL209">IFERROR(_xlfn.XLOOKUP(1,  (MAX(IF(H209 = 'Processed Non-zero TRI Data'!$I$2:$I$23,'Processed Non-zero TRI Data'!$A$2:$A$23)) = 'Processed Non-zero TRI Data'!$A$2:$A$23)*('Processed Non-zero TRI Data'!$I$2:$I$23 = H209), 'Processed Non-zero TRI Data'!$W$2:$W$23), "N/A- Facility Does Not Report to TRI")</f>
        <v>0</v>
      </c>
      <c r="AM209" s="33">
        <f t="shared" si="50"/>
        <v>0</v>
      </c>
      <c r="AN209" s="33" t="str" cm="1">
        <f t="array" ref="AN209">IF(COUNTIF('Processed Non-zero TRI Data'!$I:$I,$H209)&gt;0,MEDIAN(IF('Processed Non-zero TRI Data'!$I:$I=H209,'Processed Non-zero TRI Data'!$W:$W)), "N/A - Facility Does Not Report to TRI")</f>
        <v>N/A - Facility Does Not Report to TRI</v>
      </c>
      <c r="AO209" s="33" t="str">
        <f t="shared" si="51"/>
        <v>N/A - Facility Does Not Report to TRI</v>
      </c>
      <c r="AP209" s="33" t="str">
        <f>IF(COUNTIF('Processed Non-zero TRI Data'!$I:$I,$H209)&gt;0,_xlfn.MAXIFS('Processed Non-zero TRI Data'!$W:$W,'Processed Non-zero TRI Data'!$I:$I,$H209), "N/A - Facility Does Not Report to TRI")</f>
        <v>N/A - Facility Does Not Report to TRI</v>
      </c>
      <c r="AQ209" s="33" t="str">
        <f t="shared" si="52"/>
        <v>N/A - Facility Does Not Report to TRI</v>
      </c>
      <c r="AR209" s="110" t="str" cm="1">
        <f t="array" ref="AR209">IF(B209="TRI Form A",AD209,IF(AP209=0,"Facility has no transfers to non-POTWs between 2019-2023.",IF(COUNTIF('Processed Non-zero TRI Data'!$I:$I,$H209)&gt;0,INDEX('Processed Non-zero TRI Data'!$A:$A,MATCH(1,($H209='Processed Non-zero TRI Data'!$I:$I)*(AP209='Processed Non-zero TRI Data'!$W:$W),0)),"N/A - Facility Does Not Report to TRI")))</f>
        <v>N/A - Facility Does Not Report to TRI</v>
      </c>
    </row>
    <row r="210" spans="1:44" ht="29" x14ac:dyDescent="0.35">
      <c r="A210" s="34">
        <v>207</v>
      </c>
      <c r="B210" s="33" t="str">
        <f>IFERROR("TRI Form "&amp;VLOOKUP(H210,'Processed Non-zero TRI Data'!$I$2:$K$23,3,FALSE),"DMR")</f>
        <v>DMR</v>
      </c>
      <c r="C210" s="33" t="str">
        <f>VLOOKUP($D210, 'COU.OES Summary'!C:D, 2, FALSE)</f>
        <v> </v>
      </c>
      <c r="D210" s="33" t="str">
        <f>IFERROR(VLOOKUP($H210, 'Processed Non-zero TRI Data'!$I:$O, 7, FALSE), VLOOKUP($I210, 'Processed Non-zero DMR Data'!$K:$R, 8, FALSE))</f>
        <v>Waste handling, treatment, and disposal - Landfill</v>
      </c>
      <c r="E210" s="34" t="s">
        <v>497</v>
      </c>
      <c r="F210" s="34" t="s">
        <v>498</v>
      </c>
      <c r="G210" s="34" t="s">
        <v>181</v>
      </c>
      <c r="H210" s="34"/>
      <c r="I210" s="105">
        <v>110001847761</v>
      </c>
      <c r="J210" s="33" t="str">
        <f>IFERROR(VLOOKUP($I210, 'Processed Non-zero DMR Data'!$K:$U, 11, FALSE),"")</f>
        <v>MI0048631</v>
      </c>
      <c r="K210" s="33" t="str">
        <f>IFERROR(VLOOKUP($I210, 'Processed Non-zero DMR Data'!$K:$V, 12, FALSE),"Not Reported")</f>
        <v>South Branch Galien River</v>
      </c>
      <c r="L210" s="106">
        <f>IFERROR(VLOOKUP($I210, 'Processed Non-zero DMR Data'!$K:$W, 13, FALSE),"No Reach Code Reported")</f>
        <v>40400010206</v>
      </c>
      <c r="M210" s="107" t="str">
        <f>IFERROR(IFERROR(VLOOKUP(H210, 'Off-site Locations'!$K$3:$O$5, 5, FALSE), VLOOKUP(H210, 'Off-site Locations'!$B$3:$E$4, 4, FALSE)), "No Offsite Transfers")</f>
        <v>No Offsite Transfers</v>
      </c>
      <c r="N210" s="33">
        <f>VLOOKUP($D210, 'COU.OES Summary'!C:E, 3, FALSE)</f>
        <v>365</v>
      </c>
      <c r="O210" s="108">
        <f t="shared" si="42"/>
        <v>0</v>
      </c>
      <c r="P210" s="108">
        <f t="shared" si="43"/>
        <v>5.5975608000000003E-2</v>
      </c>
      <c r="Q210" s="109" cm="1">
        <f t="array" ref="Q210">IFERROR(_xlfn.XLOOKUP(1,  (MAX(IF(I210 = 'Processed Non-zero DMR Data'!$K:$K,'Processed Non-zero DMR Data'!$A:$A)) = 'Processed Non-zero DMR Data'!$A:$A)*('Processed Non-zero DMR Data'!$K:$K = I210),'Processed Non-zero DMR Data'!$T:$T), "N/A- Facility Does Not Report DMRs")</f>
        <v>1.6623720000000001E-3</v>
      </c>
      <c r="R210" s="33">
        <f t="shared" si="53"/>
        <v>4.5544438356164382E-6</v>
      </c>
      <c r="S210" s="33" cm="1">
        <f t="array" ref="S210">IF(COUNTIF('Processed Non-zero DMR Data'!$K:$K,$I210)&gt;0,MEDIAN(IF('Processed Non-zero DMR Data'!$K:$K=I210,'Processed Non-zero DMR Data'!$T:$T)),"N/A - Facility Does Not Report DMRs")</f>
        <v>3.5547343636363603E-2</v>
      </c>
      <c r="T210" s="33">
        <f t="shared" si="54"/>
        <v>9.7389982565379739E-5</v>
      </c>
      <c r="U210" s="33">
        <f>IF(COUNTIF('Processed Non-zero DMR Data'!$K:$K,$I210)&gt;0,_xlfn.MAXIFS('Processed Non-zero DMR Data'!$T:$T,'Processed Non-zero DMR Data'!$K:$K,$I210), "N/A - Facility Does Not Report DMRs")</f>
        <v>5.5975608000000003E-2</v>
      </c>
      <c r="V210" s="33">
        <f t="shared" si="55"/>
        <v>1.5335783013698632E-4</v>
      </c>
      <c r="W210" s="110" cm="1">
        <f t="array" ref="W210">IF(COUNTIF('Processed Non-zero DMR Data'!$K:$K,$I210)&gt;0,INDEX('Processed Non-zero DMR Data'!$A:$A,MATCH(1,($I210='Processed Non-zero DMR Data'!$K:$K)*($U210='Processed Non-zero DMR Data'!$T:$T),0)), "N/A - Facility Does Not Report DMRs")</f>
        <v>2020</v>
      </c>
      <c r="X210" s="109" cm="1">
        <f t="array" ref="X210">IFERROR(_xlfn.XLOOKUP(1,  (MAX(IF(H210 = 'Processed Non-zero TRI Data'!$I:$I,'Processed Non-zero TRI Data'!$A:$A)) = 'Processed Non-zero TRI Data'!$A:$A)*('Processed Non-zero TRI Data'!$I:$I = H210), 'Processed Non-zero TRI Data'!$S:$S), "N/A- Facility Does Not Report to TRI")</f>
        <v>0</v>
      </c>
      <c r="Y210" s="33">
        <f t="shared" si="44"/>
        <v>0</v>
      </c>
      <c r="Z210" s="33" t="str" cm="1">
        <f t="array" ref="Z210">IF(COUNTIF('Processed Non-zero TRI Data'!$I:$I,$H210)&gt;0,MEDIAN(IF('Processed Non-zero TRI Data'!$I:$I=H210,'Processed Non-zero TRI Data'!$S:$S)), "N/A - Facility Does Not Report to TRI")</f>
        <v>N/A - Facility Does Not Report to TRI</v>
      </c>
      <c r="AA210" s="33" t="str">
        <f t="shared" si="45"/>
        <v>N/A - Facility Does Not Report to TRI</v>
      </c>
      <c r="AB210" s="33" t="str">
        <f>IF(COUNTIF('Processed Non-zero TRI Data'!$I:$I,$H210)&gt;0,_xlfn.MAXIFS('Processed Non-zero TRI Data'!$S:$S,'Processed Non-zero TRI Data'!$I:$I,$H210), "N/A - Facility Does Not Report to TRI")</f>
        <v>N/A - Facility Does Not Report to TRI</v>
      </c>
      <c r="AC210" s="33" t="str">
        <f t="shared" si="46"/>
        <v>N/A - Facility Does Not Report to TRI</v>
      </c>
      <c r="AD210" s="110" t="str" cm="1">
        <f t="array" ref="AD210">IFERROR(IF(B210 = "TRI Form R", IF(AB210 = 0, "Facility has no on-site water discharges between 2019-2023.",  IF(COUNTIF('Processed Non-zero TRI Data'!$I:$I,$H210)&gt;0,INDEX('Processed Non-zero TRI Data'!$A:$A,MATCH(1,($H210='Processed Non-zero TRI Data'!$I:$I)*(AB210='Processed Non-zero TRI Data'!$S:$S),0)))), VLOOKUP(H210, 'Form A Recent Reporting'!$L:$M, 2, FALSE)), ("N/A - Facility Does Not Report to TRI"))</f>
        <v>N/A - Facility Does Not Report to TRI</v>
      </c>
      <c r="AE210" s="109" cm="1">
        <f t="array" ref="AE210">IFERROR(_xlfn.XLOOKUP(1,  (MAX(IF(H210 = 'Processed Non-zero TRI Data'!$I:$I,'Processed Non-zero TRI Data'!$A:$A)) = 'Processed Non-zero TRI Data'!$A:$A)*('Processed Non-zero TRI Data'!$I:$I = H210), 'Processed Non-zero TRI Data'!$U:$U), "N/A- Facility Does Not Report to TRI")</f>
        <v>0</v>
      </c>
      <c r="AF210" s="33">
        <f t="shared" si="47"/>
        <v>0</v>
      </c>
      <c r="AG210" s="33" t="str" cm="1">
        <f t="array" ref="AG210">IF(COUNTIF('Processed Non-zero TRI Data'!$I:$I,$H210)&gt;0,MEDIAN(IF('Processed Non-zero TRI Data'!$I:$I=H210,'Processed Non-zero TRI Data'!$U:$U)), "N/A - Facility Does Not Report to TRI")</f>
        <v>N/A - Facility Does Not Report to TRI</v>
      </c>
      <c r="AH210" s="33" t="str">
        <f t="shared" si="48"/>
        <v>N/A - Facility Does Not Report to TRI</v>
      </c>
      <c r="AI210" s="33" t="str">
        <f>IF(COUNTIF('Processed Non-zero TRI Data'!$I:$I,$H210)&gt;0,_xlfn.MAXIFS('Processed Non-zero TRI Data'!$U:$U,'Processed Non-zero TRI Data'!$I:$I,$H210), "N/A - Facility Does Not Report to TRI")</f>
        <v>N/A - Facility Does Not Report to TRI</v>
      </c>
      <c r="AJ210" s="33" t="str">
        <f t="shared" si="49"/>
        <v>N/A - Facility Does Not Report to TRI</v>
      </c>
      <c r="AK210" s="110" t="str" cm="1">
        <f t="array" ref="AK210">IF(B210="TRI Form A",AD210,IF(AI210=0,"Facility has no transfers to POTWs between 2019-2023.",IF(COUNTIF('Processed Non-zero TRI Data'!$I:$I,$H210)&gt;0,INDEX('Processed Non-zero TRI Data'!$A:$A,MATCH(1,($H210='Processed Non-zero TRI Data'!$I:$I)*(AI210='Processed Non-zero TRI Data'!$U:$U),0)),"N/A - Facility Does Not Report to TRI")))</f>
        <v>N/A - Facility Does Not Report to TRI</v>
      </c>
      <c r="AL210" s="109" cm="1">
        <f t="array" ref="AL210">IFERROR(_xlfn.XLOOKUP(1,  (MAX(IF(H210 = 'Processed Non-zero TRI Data'!$I$2:$I$23,'Processed Non-zero TRI Data'!$A$2:$A$23)) = 'Processed Non-zero TRI Data'!$A$2:$A$23)*('Processed Non-zero TRI Data'!$I$2:$I$23 = H210), 'Processed Non-zero TRI Data'!$W$2:$W$23), "N/A- Facility Does Not Report to TRI")</f>
        <v>0</v>
      </c>
      <c r="AM210" s="33">
        <f t="shared" si="50"/>
        <v>0</v>
      </c>
      <c r="AN210" s="33" t="str" cm="1">
        <f t="array" ref="AN210">IF(COUNTIF('Processed Non-zero TRI Data'!$I:$I,$H210)&gt;0,MEDIAN(IF('Processed Non-zero TRI Data'!$I:$I=H210,'Processed Non-zero TRI Data'!$W:$W)), "N/A - Facility Does Not Report to TRI")</f>
        <v>N/A - Facility Does Not Report to TRI</v>
      </c>
      <c r="AO210" s="33" t="str">
        <f t="shared" si="51"/>
        <v>N/A - Facility Does Not Report to TRI</v>
      </c>
      <c r="AP210" s="33" t="str">
        <f>IF(COUNTIF('Processed Non-zero TRI Data'!$I:$I,$H210)&gt;0,_xlfn.MAXIFS('Processed Non-zero TRI Data'!$W:$W,'Processed Non-zero TRI Data'!$I:$I,$H210), "N/A - Facility Does Not Report to TRI")</f>
        <v>N/A - Facility Does Not Report to TRI</v>
      </c>
      <c r="AQ210" s="33" t="str">
        <f t="shared" si="52"/>
        <v>N/A - Facility Does Not Report to TRI</v>
      </c>
      <c r="AR210" s="110" t="str" cm="1">
        <f t="array" ref="AR210">IF(B210="TRI Form A",AD210,IF(AP210=0,"Facility has no transfers to non-POTWs between 2019-2023.",IF(COUNTIF('Processed Non-zero TRI Data'!$I:$I,$H210)&gt;0,INDEX('Processed Non-zero TRI Data'!$A:$A,MATCH(1,($H210='Processed Non-zero TRI Data'!$I:$I)*(AP210='Processed Non-zero TRI Data'!$W:$W),0)),"N/A - Facility Does Not Report to TRI")))</f>
        <v>N/A - Facility Does Not Report to TRI</v>
      </c>
    </row>
    <row r="211" spans="1:44" ht="29" x14ac:dyDescent="0.35">
      <c r="A211" s="34">
        <v>208</v>
      </c>
      <c r="B211" s="33" t="str">
        <f>IFERROR("TRI Form "&amp;VLOOKUP(H211,'Processed Non-zero TRI Data'!$I$2:$K$23,3,FALSE),"DMR")</f>
        <v>DMR</v>
      </c>
      <c r="C211" s="33" t="str">
        <f>VLOOKUP($D211, 'COU.OES Summary'!C:D, 2, FALSE)</f>
        <v> </v>
      </c>
      <c r="D211" s="33" t="str">
        <f>IFERROR(VLOOKUP($H211, 'Processed Non-zero TRI Data'!$I:$O, 7, FALSE), VLOOKUP($I211, 'Processed Non-zero DMR Data'!$K:$R, 8, FALSE))</f>
        <v>Waste handling, treatment, and disposal - Remediation or Monitoring</v>
      </c>
      <c r="E211" s="34" t="s">
        <v>499</v>
      </c>
      <c r="F211" s="34" t="s">
        <v>500</v>
      </c>
      <c r="G211" s="34" t="s">
        <v>181</v>
      </c>
      <c r="H211" s="34"/>
      <c r="I211" s="105">
        <v>110000408238</v>
      </c>
      <c r="J211" s="33" t="str">
        <f>IFERROR(VLOOKUP($I211, 'Processed Non-zero DMR Data'!$K:$U, 11, FALSE),"")</f>
        <v>MI0002135</v>
      </c>
      <c r="K211" s="33" t="str">
        <f>IFERROR(VLOOKUP($I211, 'Processed Non-zero DMR Data'!$K:$V, 12, FALSE),"Not Reported")</f>
        <v>Sanderson Lake-Flat River</v>
      </c>
      <c r="L211" s="106">
        <f>IFERROR(VLOOKUP($I211, 'Processed Non-zero DMR Data'!$K:$W, 13, FALSE),"No Reach Code Reported")</f>
        <v>40500060206</v>
      </c>
      <c r="M211" s="107" t="str">
        <f>IFERROR(IFERROR(VLOOKUP(H211, 'Off-site Locations'!$K$3:$O$5, 5, FALSE), VLOOKUP(H211, 'Off-site Locations'!$B$3:$E$4, 4, FALSE)), "No Offsite Transfers")</f>
        <v>No Offsite Transfers</v>
      </c>
      <c r="N211" s="33">
        <f>VLOOKUP($D211, 'COU.OES Summary'!C:E, 3, FALSE)</f>
        <v>365</v>
      </c>
      <c r="O211" s="108">
        <f t="shared" si="42"/>
        <v>0</v>
      </c>
      <c r="P211" s="108">
        <f t="shared" si="43"/>
        <v>5.5560772000000001E-2</v>
      </c>
      <c r="Q211" s="109" cm="1">
        <f t="array" ref="Q211">IFERROR(_xlfn.XLOOKUP(1,  (MAX(IF(I211 = 'Processed Non-zero DMR Data'!$K:$K,'Processed Non-zero DMR Data'!$A:$A)) = 'Processed Non-zero DMR Data'!$A:$A)*('Processed Non-zero DMR Data'!$K:$K = I211),'Processed Non-zero DMR Data'!$T:$T), "N/A- Facility Does Not Report DMRs")</f>
        <v>1.30214639635E-3</v>
      </c>
      <c r="R211" s="33">
        <f t="shared" si="53"/>
        <v>3.5675243735616438E-6</v>
      </c>
      <c r="S211" s="33" cm="1">
        <f t="array" ref="S211">IF(COUNTIF('Processed Non-zero DMR Data'!$K:$K,$I211)&gt;0,MEDIAN(IF('Processed Non-zero DMR Data'!$K:$K=I211,'Processed Non-zero DMR Data'!$T:$T)),"N/A - Facility Does Not Report DMRs")</f>
        <v>5.4560692418181801E-3</v>
      </c>
      <c r="T211" s="33">
        <f t="shared" si="54"/>
        <v>1.4948134909090904E-5</v>
      </c>
      <c r="U211" s="33">
        <f>IF(COUNTIF('Processed Non-zero DMR Data'!$K:$K,$I211)&gt;0,_xlfn.MAXIFS('Processed Non-zero DMR Data'!$T:$T,'Processed Non-zero DMR Data'!$K:$K,$I211), "N/A - Facility Does Not Report DMRs")</f>
        <v>5.5560772000000001E-2</v>
      </c>
      <c r="V211" s="33">
        <f t="shared" si="55"/>
        <v>1.5222129315068492E-4</v>
      </c>
      <c r="W211" s="110" cm="1">
        <f t="array" ref="W211">IF(COUNTIF('Processed Non-zero DMR Data'!$K:$K,$I211)&gt;0,INDEX('Processed Non-zero DMR Data'!$A:$A,MATCH(1,($I211='Processed Non-zero DMR Data'!$K:$K)*($U211='Processed Non-zero DMR Data'!$T:$T),0)), "N/A - Facility Does Not Report DMRs")</f>
        <v>2019</v>
      </c>
      <c r="X211" s="109" cm="1">
        <f t="array" ref="X211">IFERROR(_xlfn.XLOOKUP(1,  (MAX(IF(H211 = 'Processed Non-zero TRI Data'!$I:$I,'Processed Non-zero TRI Data'!$A:$A)) = 'Processed Non-zero TRI Data'!$A:$A)*('Processed Non-zero TRI Data'!$I:$I = H211), 'Processed Non-zero TRI Data'!$S:$S), "N/A- Facility Does Not Report to TRI")</f>
        <v>0</v>
      </c>
      <c r="Y211" s="33">
        <f t="shared" si="44"/>
        <v>0</v>
      </c>
      <c r="Z211" s="33" t="str" cm="1">
        <f t="array" ref="Z211">IF(COUNTIF('Processed Non-zero TRI Data'!$I:$I,$H211)&gt;0,MEDIAN(IF('Processed Non-zero TRI Data'!$I:$I=H211,'Processed Non-zero TRI Data'!$S:$S)), "N/A - Facility Does Not Report to TRI")</f>
        <v>N/A - Facility Does Not Report to TRI</v>
      </c>
      <c r="AA211" s="33" t="str">
        <f t="shared" si="45"/>
        <v>N/A - Facility Does Not Report to TRI</v>
      </c>
      <c r="AB211" s="33" t="str">
        <f>IF(COUNTIF('Processed Non-zero TRI Data'!$I:$I,$H211)&gt;0,_xlfn.MAXIFS('Processed Non-zero TRI Data'!$S:$S,'Processed Non-zero TRI Data'!$I:$I,$H211), "N/A - Facility Does Not Report to TRI")</f>
        <v>N/A - Facility Does Not Report to TRI</v>
      </c>
      <c r="AC211" s="33" t="str">
        <f t="shared" si="46"/>
        <v>N/A - Facility Does Not Report to TRI</v>
      </c>
      <c r="AD211" s="110" t="str" cm="1">
        <f t="array" ref="AD211">IFERROR(IF(B211 = "TRI Form R", IF(AB211 = 0, "Facility has no on-site water discharges between 2019-2023.",  IF(COUNTIF('Processed Non-zero TRI Data'!$I:$I,$H211)&gt;0,INDEX('Processed Non-zero TRI Data'!$A:$A,MATCH(1,($H211='Processed Non-zero TRI Data'!$I:$I)*(AB211='Processed Non-zero TRI Data'!$S:$S),0)))), VLOOKUP(H211, 'Form A Recent Reporting'!$L:$M, 2, FALSE)), ("N/A - Facility Does Not Report to TRI"))</f>
        <v>N/A - Facility Does Not Report to TRI</v>
      </c>
      <c r="AE211" s="109" cm="1">
        <f t="array" ref="AE211">IFERROR(_xlfn.XLOOKUP(1,  (MAX(IF(H211 = 'Processed Non-zero TRI Data'!$I:$I,'Processed Non-zero TRI Data'!$A:$A)) = 'Processed Non-zero TRI Data'!$A:$A)*('Processed Non-zero TRI Data'!$I:$I = H211), 'Processed Non-zero TRI Data'!$U:$U), "N/A- Facility Does Not Report to TRI")</f>
        <v>0</v>
      </c>
      <c r="AF211" s="33">
        <f t="shared" si="47"/>
        <v>0</v>
      </c>
      <c r="AG211" s="33" t="str" cm="1">
        <f t="array" ref="AG211">IF(COUNTIF('Processed Non-zero TRI Data'!$I:$I,$H211)&gt;0,MEDIAN(IF('Processed Non-zero TRI Data'!$I:$I=H211,'Processed Non-zero TRI Data'!$U:$U)), "N/A - Facility Does Not Report to TRI")</f>
        <v>N/A - Facility Does Not Report to TRI</v>
      </c>
      <c r="AH211" s="33" t="str">
        <f t="shared" si="48"/>
        <v>N/A - Facility Does Not Report to TRI</v>
      </c>
      <c r="AI211" s="33" t="str">
        <f>IF(COUNTIF('Processed Non-zero TRI Data'!$I:$I,$H211)&gt;0,_xlfn.MAXIFS('Processed Non-zero TRI Data'!$U:$U,'Processed Non-zero TRI Data'!$I:$I,$H211), "N/A - Facility Does Not Report to TRI")</f>
        <v>N/A - Facility Does Not Report to TRI</v>
      </c>
      <c r="AJ211" s="33" t="str">
        <f t="shared" si="49"/>
        <v>N/A - Facility Does Not Report to TRI</v>
      </c>
      <c r="AK211" s="110" t="str" cm="1">
        <f t="array" ref="AK211">IF(B211="TRI Form A",AD211,IF(AI211=0,"Facility has no transfers to POTWs between 2019-2023.",IF(COUNTIF('Processed Non-zero TRI Data'!$I:$I,$H211)&gt;0,INDEX('Processed Non-zero TRI Data'!$A:$A,MATCH(1,($H211='Processed Non-zero TRI Data'!$I:$I)*(AI211='Processed Non-zero TRI Data'!$U:$U),0)),"N/A - Facility Does Not Report to TRI")))</f>
        <v>N/A - Facility Does Not Report to TRI</v>
      </c>
      <c r="AL211" s="109" cm="1">
        <f t="array" ref="AL211">IFERROR(_xlfn.XLOOKUP(1,  (MAX(IF(H211 = 'Processed Non-zero TRI Data'!$I$2:$I$23,'Processed Non-zero TRI Data'!$A$2:$A$23)) = 'Processed Non-zero TRI Data'!$A$2:$A$23)*('Processed Non-zero TRI Data'!$I$2:$I$23 = H211), 'Processed Non-zero TRI Data'!$W$2:$W$23), "N/A- Facility Does Not Report to TRI")</f>
        <v>0</v>
      </c>
      <c r="AM211" s="33">
        <f t="shared" si="50"/>
        <v>0</v>
      </c>
      <c r="AN211" s="33" t="str" cm="1">
        <f t="array" ref="AN211">IF(COUNTIF('Processed Non-zero TRI Data'!$I:$I,$H211)&gt;0,MEDIAN(IF('Processed Non-zero TRI Data'!$I:$I=H211,'Processed Non-zero TRI Data'!$W:$W)), "N/A - Facility Does Not Report to TRI")</f>
        <v>N/A - Facility Does Not Report to TRI</v>
      </c>
      <c r="AO211" s="33" t="str">
        <f t="shared" si="51"/>
        <v>N/A - Facility Does Not Report to TRI</v>
      </c>
      <c r="AP211" s="33" t="str">
        <f>IF(COUNTIF('Processed Non-zero TRI Data'!$I:$I,$H211)&gt;0,_xlfn.MAXIFS('Processed Non-zero TRI Data'!$W:$W,'Processed Non-zero TRI Data'!$I:$I,$H211), "N/A - Facility Does Not Report to TRI")</f>
        <v>N/A - Facility Does Not Report to TRI</v>
      </c>
      <c r="AQ211" s="33" t="str">
        <f t="shared" si="52"/>
        <v>N/A - Facility Does Not Report to TRI</v>
      </c>
      <c r="AR211" s="110" t="str" cm="1">
        <f t="array" ref="AR211">IF(B211="TRI Form A",AD211,IF(AP211=0,"Facility has no transfers to non-POTWs between 2019-2023.",IF(COUNTIF('Processed Non-zero TRI Data'!$I:$I,$H211)&gt;0,INDEX('Processed Non-zero TRI Data'!$A:$A,MATCH(1,($H211='Processed Non-zero TRI Data'!$I:$I)*(AP211='Processed Non-zero TRI Data'!$W:$W),0)),"N/A - Facility Does Not Report to TRI")))</f>
        <v>N/A - Facility Does Not Report to TRI</v>
      </c>
    </row>
    <row r="212" spans="1:44" ht="29" x14ac:dyDescent="0.35">
      <c r="A212" s="34">
        <v>209</v>
      </c>
      <c r="B212" s="33" t="str">
        <f>IFERROR("TRI Form "&amp;VLOOKUP(H212,'Processed Non-zero TRI Data'!$I$2:$K$23,3,FALSE),"DMR")</f>
        <v>DMR</v>
      </c>
      <c r="C212" s="33" t="str">
        <f>VLOOKUP($D212, 'COU.OES Summary'!C:D, 2, FALSE)</f>
        <v> </v>
      </c>
      <c r="D212" s="33" t="str">
        <f>IFERROR(VLOOKUP($H212, 'Processed Non-zero TRI Data'!$I:$O, 7, FALSE), VLOOKUP($I212, 'Processed Non-zero DMR Data'!$K:$R, 8, FALSE))</f>
        <v>Waste handling, treatment, and disposal - Landfill</v>
      </c>
      <c r="E212" s="34" t="s">
        <v>501</v>
      </c>
      <c r="F212" s="34" t="s">
        <v>502</v>
      </c>
      <c r="G212" s="34" t="s">
        <v>276</v>
      </c>
      <c r="H212" s="34"/>
      <c r="I212" s="105">
        <v>110070544905</v>
      </c>
      <c r="J212" s="33" t="str">
        <f>IFERROR(VLOOKUP($I212, 'Processed Non-zero DMR Data'!$K:$U, 11, FALSE),"")</f>
        <v>VAG830334</v>
      </c>
      <c r="K212" s="33" t="str">
        <f>IFERROR(VLOOKUP($I212, 'Processed Non-zero DMR Data'!$K:$V, 12, FALSE),"Not Reported")</f>
        <v>Blacks Run</v>
      </c>
      <c r="L212" s="106">
        <f>IFERROR(VLOOKUP($I212, 'Processed Non-zero DMR Data'!$K:$W, 13, FALSE),"No Reach Code Reported")</f>
        <v>20700050602</v>
      </c>
      <c r="M212" s="107" t="str">
        <f>IFERROR(IFERROR(VLOOKUP(H212, 'Off-site Locations'!$K$3:$O$5, 5, FALSE), VLOOKUP(H212, 'Off-site Locations'!$B$3:$E$4, 4, FALSE)), "No Offsite Transfers")</f>
        <v>No Offsite Transfers</v>
      </c>
      <c r="N212" s="33">
        <f>VLOOKUP($D212, 'COU.OES Summary'!C:E, 3, FALSE)</f>
        <v>365</v>
      </c>
      <c r="O212" s="108">
        <f t="shared" si="42"/>
        <v>0</v>
      </c>
      <c r="P212" s="108">
        <f t="shared" si="43"/>
        <v>5.3779437450000002E-2</v>
      </c>
      <c r="Q212" s="109" cm="1">
        <f t="array" ref="Q212">IFERROR(_xlfn.XLOOKUP(1,  (MAX(IF(I212 = 'Processed Non-zero DMR Data'!$K:$K,'Processed Non-zero DMR Data'!$A:$A)) = 'Processed Non-zero DMR Data'!$A:$A)*('Processed Non-zero DMR Data'!$K:$K = I212),'Processed Non-zero DMR Data'!$T:$T), "N/A- Facility Does Not Report DMRs")</f>
        <v>1.6071896523E-2</v>
      </c>
      <c r="R212" s="33">
        <f t="shared" si="53"/>
        <v>4.403259321369863E-5</v>
      </c>
      <c r="S212" s="33" cm="1">
        <f t="array" ref="S212">IF(COUNTIF('Processed Non-zero DMR Data'!$K:$K,$I212)&gt;0,MEDIAN(IF('Processed Non-zero DMR Data'!$K:$K=I212,'Processed Non-zero DMR Data'!$T:$T)),"N/A - Facility Does Not Report DMRs")</f>
        <v>3.9431016452999998E-2</v>
      </c>
      <c r="T212" s="33">
        <f t="shared" si="54"/>
        <v>1.0803018206301369E-4</v>
      </c>
      <c r="U212" s="33">
        <f>IF(COUNTIF('Processed Non-zero DMR Data'!$K:$K,$I212)&gt;0,_xlfn.MAXIFS('Processed Non-zero DMR Data'!$T:$T,'Processed Non-zero DMR Data'!$K:$K,$I212), "N/A - Facility Does Not Report DMRs")</f>
        <v>5.3779437450000002E-2</v>
      </c>
      <c r="V212" s="33">
        <f t="shared" si="55"/>
        <v>1.4734092452054796E-4</v>
      </c>
      <c r="W212" s="110" cm="1">
        <f t="array" ref="W212">IF(COUNTIF('Processed Non-zero DMR Data'!$K:$K,$I212)&gt;0,INDEX('Processed Non-zero DMR Data'!$A:$A,MATCH(1,($I212='Processed Non-zero DMR Data'!$K:$K)*($U212='Processed Non-zero DMR Data'!$T:$T),0)), "N/A - Facility Does Not Report DMRs")</f>
        <v>2019</v>
      </c>
      <c r="X212" s="109" cm="1">
        <f t="array" ref="X212">IFERROR(_xlfn.XLOOKUP(1,  (MAX(IF(H212 = 'Processed Non-zero TRI Data'!$I:$I,'Processed Non-zero TRI Data'!$A:$A)) = 'Processed Non-zero TRI Data'!$A:$A)*('Processed Non-zero TRI Data'!$I:$I = H212), 'Processed Non-zero TRI Data'!$S:$S), "N/A- Facility Does Not Report to TRI")</f>
        <v>0</v>
      </c>
      <c r="Y212" s="33">
        <f t="shared" si="44"/>
        <v>0</v>
      </c>
      <c r="Z212" s="33" t="str" cm="1">
        <f t="array" ref="Z212">IF(COUNTIF('Processed Non-zero TRI Data'!$I:$I,$H212)&gt;0,MEDIAN(IF('Processed Non-zero TRI Data'!$I:$I=H212,'Processed Non-zero TRI Data'!$S:$S)), "N/A - Facility Does Not Report to TRI")</f>
        <v>N/A - Facility Does Not Report to TRI</v>
      </c>
      <c r="AA212" s="33" t="str">
        <f t="shared" si="45"/>
        <v>N/A - Facility Does Not Report to TRI</v>
      </c>
      <c r="AB212" s="33" t="str">
        <f>IF(COUNTIF('Processed Non-zero TRI Data'!$I:$I,$H212)&gt;0,_xlfn.MAXIFS('Processed Non-zero TRI Data'!$S:$S,'Processed Non-zero TRI Data'!$I:$I,$H212), "N/A - Facility Does Not Report to TRI")</f>
        <v>N/A - Facility Does Not Report to TRI</v>
      </c>
      <c r="AC212" s="33" t="str">
        <f t="shared" si="46"/>
        <v>N/A - Facility Does Not Report to TRI</v>
      </c>
      <c r="AD212" s="110" t="str" cm="1">
        <f t="array" ref="AD212">IFERROR(IF(B212 = "TRI Form R", IF(AB212 = 0, "Facility has no on-site water discharges between 2019-2023.",  IF(COUNTIF('Processed Non-zero TRI Data'!$I:$I,$H212)&gt;0,INDEX('Processed Non-zero TRI Data'!$A:$A,MATCH(1,($H212='Processed Non-zero TRI Data'!$I:$I)*(AB212='Processed Non-zero TRI Data'!$S:$S),0)))), VLOOKUP(H212, 'Form A Recent Reporting'!$L:$M, 2, FALSE)), ("N/A - Facility Does Not Report to TRI"))</f>
        <v>N/A - Facility Does Not Report to TRI</v>
      </c>
      <c r="AE212" s="109" cm="1">
        <f t="array" ref="AE212">IFERROR(_xlfn.XLOOKUP(1,  (MAX(IF(H212 = 'Processed Non-zero TRI Data'!$I:$I,'Processed Non-zero TRI Data'!$A:$A)) = 'Processed Non-zero TRI Data'!$A:$A)*('Processed Non-zero TRI Data'!$I:$I = H212), 'Processed Non-zero TRI Data'!$U:$U), "N/A- Facility Does Not Report to TRI")</f>
        <v>0</v>
      </c>
      <c r="AF212" s="33">
        <f t="shared" si="47"/>
        <v>0</v>
      </c>
      <c r="AG212" s="33" t="str" cm="1">
        <f t="array" ref="AG212">IF(COUNTIF('Processed Non-zero TRI Data'!$I:$I,$H212)&gt;0,MEDIAN(IF('Processed Non-zero TRI Data'!$I:$I=H212,'Processed Non-zero TRI Data'!$U:$U)), "N/A - Facility Does Not Report to TRI")</f>
        <v>N/A - Facility Does Not Report to TRI</v>
      </c>
      <c r="AH212" s="33" t="str">
        <f t="shared" si="48"/>
        <v>N/A - Facility Does Not Report to TRI</v>
      </c>
      <c r="AI212" s="33" t="str">
        <f>IF(COUNTIF('Processed Non-zero TRI Data'!$I:$I,$H212)&gt;0,_xlfn.MAXIFS('Processed Non-zero TRI Data'!$U:$U,'Processed Non-zero TRI Data'!$I:$I,$H212), "N/A - Facility Does Not Report to TRI")</f>
        <v>N/A - Facility Does Not Report to TRI</v>
      </c>
      <c r="AJ212" s="33" t="str">
        <f t="shared" si="49"/>
        <v>N/A - Facility Does Not Report to TRI</v>
      </c>
      <c r="AK212" s="110" t="str" cm="1">
        <f t="array" ref="AK212">IF(B212="TRI Form A",AD212,IF(AI212=0,"Facility has no transfers to POTWs between 2019-2023.",IF(COUNTIF('Processed Non-zero TRI Data'!$I:$I,$H212)&gt;0,INDEX('Processed Non-zero TRI Data'!$A:$A,MATCH(1,($H212='Processed Non-zero TRI Data'!$I:$I)*(AI212='Processed Non-zero TRI Data'!$U:$U),0)),"N/A - Facility Does Not Report to TRI")))</f>
        <v>N/A - Facility Does Not Report to TRI</v>
      </c>
      <c r="AL212" s="109" cm="1">
        <f t="array" ref="AL212">IFERROR(_xlfn.XLOOKUP(1,  (MAX(IF(H212 = 'Processed Non-zero TRI Data'!$I$2:$I$23,'Processed Non-zero TRI Data'!$A$2:$A$23)) = 'Processed Non-zero TRI Data'!$A$2:$A$23)*('Processed Non-zero TRI Data'!$I$2:$I$23 = H212), 'Processed Non-zero TRI Data'!$W$2:$W$23), "N/A- Facility Does Not Report to TRI")</f>
        <v>0</v>
      </c>
      <c r="AM212" s="33">
        <f t="shared" si="50"/>
        <v>0</v>
      </c>
      <c r="AN212" s="33" t="str" cm="1">
        <f t="array" ref="AN212">IF(COUNTIF('Processed Non-zero TRI Data'!$I:$I,$H212)&gt;0,MEDIAN(IF('Processed Non-zero TRI Data'!$I:$I=H212,'Processed Non-zero TRI Data'!$W:$W)), "N/A - Facility Does Not Report to TRI")</f>
        <v>N/A - Facility Does Not Report to TRI</v>
      </c>
      <c r="AO212" s="33" t="str">
        <f t="shared" si="51"/>
        <v>N/A - Facility Does Not Report to TRI</v>
      </c>
      <c r="AP212" s="33" t="str">
        <f>IF(COUNTIF('Processed Non-zero TRI Data'!$I:$I,$H212)&gt;0,_xlfn.MAXIFS('Processed Non-zero TRI Data'!$W:$W,'Processed Non-zero TRI Data'!$I:$I,$H212), "N/A - Facility Does Not Report to TRI")</f>
        <v>N/A - Facility Does Not Report to TRI</v>
      </c>
      <c r="AQ212" s="33" t="str">
        <f t="shared" si="52"/>
        <v>N/A - Facility Does Not Report to TRI</v>
      </c>
      <c r="AR212" s="110" t="str" cm="1">
        <f t="array" ref="AR212">IF(B212="TRI Form A",AD212,IF(AP212=0,"Facility has no transfers to non-POTWs between 2019-2023.",IF(COUNTIF('Processed Non-zero TRI Data'!$I:$I,$H212)&gt;0,INDEX('Processed Non-zero TRI Data'!$A:$A,MATCH(1,($H212='Processed Non-zero TRI Data'!$I:$I)*(AP212='Processed Non-zero TRI Data'!$W:$W),0)),"N/A - Facility Does Not Report to TRI")))</f>
        <v>N/A - Facility Does Not Report to TRI</v>
      </c>
    </row>
    <row r="213" spans="1:44" ht="29" x14ac:dyDescent="0.35">
      <c r="A213" s="34">
        <v>210</v>
      </c>
      <c r="B213" s="33" t="str">
        <f>IFERROR("TRI Form "&amp;VLOOKUP(H213,'Processed Non-zero TRI Data'!$I$2:$K$23,3,FALSE),"DMR")</f>
        <v>DMR</v>
      </c>
      <c r="C213" s="33" t="str">
        <f>VLOOKUP($D213, 'COU.OES Summary'!C:D, 2, FALSE)</f>
        <v> </v>
      </c>
      <c r="D213" s="33" t="str">
        <f>IFERROR(VLOOKUP($H213, 'Processed Non-zero TRI Data'!$I:$O, 7, FALSE), VLOOKUP($I213, 'Processed Non-zero DMR Data'!$K:$R, 8, FALSE))</f>
        <v>Waste handling, treatment, and disposal - non-POTW WWT</v>
      </c>
      <c r="E213" s="34" t="s">
        <v>503</v>
      </c>
      <c r="F213" s="34" t="s">
        <v>504</v>
      </c>
      <c r="G213" s="34" t="s">
        <v>102</v>
      </c>
      <c r="H213" s="34"/>
      <c r="I213" s="105">
        <v>110002672484</v>
      </c>
      <c r="J213" s="33" t="str">
        <f>IFERROR(VLOOKUP($I213, 'Processed Non-zero DMR Data'!$K:$U, 11, FALSE),"")</f>
        <v>CA7000004</v>
      </c>
      <c r="K213" s="33" t="str">
        <f>IFERROR(VLOOKUP($I213, 'Processed Non-zero DMR Data'!$K:$V, 12, FALSE),"Not Reported")</f>
        <v>Town of El Centro</v>
      </c>
      <c r="L213" s="106">
        <f>IFERROR(VLOOKUP($I213, 'Processed Non-zero DMR Data'!$K:$W, 13, FALSE),"No Reach Code Reported")</f>
        <v>181002040701</v>
      </c>
      <c r="M213" s="107" t="str">
        <f>IFERROR(IFERROR(VLOOKUP(H213, 'Off-site Locations'!$K$3:$O$5, 5, FALSE), VLOOKUP(H213, 'Off-site Locations'!$B$3:$E$4, 4, FALSE)), "No Offsite Transfers")</f>
        <v>No Offsite Transfers</v>
      </c>
      <c r="N213" s="33">
        <f>VLOOKUP($D213, 'COU.OES Summary'!C:E, 3, FALSE)</f>
        <v>365</v>
      </c>
      <c r="O213" s="108">
        <f t="shared" si="42"/>
        <v>0</v>
      </c>
      <c r="P213" s="108">
        <f t="shared" si="43"/>
        <v>7.3220825000000003E-2</v>
      </c>
      <c r="Q213" s="109" cm="1">
        <f t="array" ref="Q213">IFERROR(_xlfn.XLOOKUP(1,  (MAX(IF(I213 = 'Processed Non-zero DMR Data'!$K:$K,'Processed Non-zero DMR Data'!$A:$A)) = 'Processed Non-zero DMR Data'!$A:$A)*('Processed Non-zero DMR Data'!$K:$K = I213),'Processed Non-zero DMR Data'!$T:$T), "N/A- Facility Does Not Report DMRs")</f>
        <v>4.0754987499999999E-2</v>
      </c>
      <c r="R213" s="33">
        <f t="shared" si="53"/>
        <v>1.116575E-4</v>
      </c>
      <c r="S213" s="33" cm="1">
        <f t="array" ref="S213">IF(COUNTIF('Processed Non-zero DMR Data'!$K:$K,$I213)&gt;0,MEDIAN(IF('Processed Non-zero DMR Data'!$K:$K=I213,'Processed Non-zero DMR Data'!$T:$T)),"N/A - Facility Does Not Report DMRs")</f>
        <v>4.0754987499999999E-2</v>
      </c>
      <c r="T213" s="33">
        <f t="shared" si="54"/>
        <v>1.116575E-4</v>
      </c>
      <c r="U213" s="33">
        <f>IF(COUNTIF('Processed Non-zero DMR Data'!$K:$K,$I213)&gt;0,_xlfn.MAXIFS('Processed Non-zero DMR Data'!$T:$T,'Processed Non-zero DMR Data'!$K:$K,$I213), "N/A - Facility Does Not Report DMRs")</f>
        <v>7.3220825000000003E-2</v>
      </c>
      <c r="V213" s="33">
        <f t="shared" si="55"/>
        <v>2.0060500000000002E-4</v>
      </c>
      <c r="W213" s="110" cm="1">
        <f t="array" ref="W213">IF(COUNTIF('Processed Non-zero DMR Data'!$K:$K,$I213)&gt;0,INDEX('Processed Non-zero DMR Data'!$A:$A,MATCH(1,($I213='Processed Non-zero DMR Data'!$K:$K)*($U213='Processed Non-zero DMR Data'!$T:$T),0)), "N/A - Facility Does Not Report DMRs")</f>
        <v>2021</v>
      </c>
      <c r="X213" s="109" cm="1">
        <f t="array" ref="X213">IFERROR(_xlfn.XLOOKUP(1,  (MAX(IF(H213 = 'Processed Non-zero TRI Data'!$I:$I,'Processed Non-zero TRI Data'!$A:$A)) = 'Processed Non-zero TRI Data'!$A:$A)*('Processed Non-zero TRI Data'!$I:$I = H213), 'Processed Non-zero TRI Data'!$S:$S), "N/A- Facility Does Not Report to TRI")</f>
        <v>0</v>
      </c>
      <c r="Y213" s="33">
        <f t="shared" si="44"/>
        <v>0</v>
      </c>
      <c r="Z213" s="33" t="str" cm="1">
        <f t="array" ref="Z213">IF(COUNTIF('Processed Non-zero TRI Data'!$I:$I,$H213)&gt;0,MEDIAN(IF('Processed Non-zero TRI Data'!$I:$I=H213,'Processed Non-zero TRI Data'!$S:$S)), "N/A - Facility Does Not Report to TRI")</f>
        <v>N/A - Facility Does Not Report to TRI</v>
      </c>
      <c r="AA213" s="33" t="str">
        <f t="shared" si="45"/>
        <v>N/A - Facility Does Not Report to TRI</v>
      </c>
      <c r="AB213" s="33" t="str">
        <f>IF(COUNTIF('Processed Non-zero TRI Data'!$I:$I,$H213)&gt;0,_xlfn.MAXIFS('Processed Non-zero TRI Data'!$S:$S,'Processed Non-zero TRI Data'!$I:$I,$H213), "N/A - Facility Does Not Report to TRI")</f>
        <v>N/A - Facility Does Not Report to TRI</v>
      </c>
      <c r="AC213" s="33" t="str">
        <f t="shared" si="46"/>
        <v>N/A - Facility Does Not Report to TRI</v>
      </c>
      <c r="AD213" s="110" t="str" cm="1">
        <f t="array" ref="AD213">IFERROR(IF(B213 = "TRI Form R", IF(AB213 = 0, "Facility has no on-site water discharges between 2019-2023.",  IF(COUNTIF('Processed Non-zero TRI Data'!$I:$I,$H213)&gt;0,INDEX('Processed Non-zero TRI Data'!$A:$A,MATCH(1,($H213='Processed Non-zero TRI Data'!$I:$I)*(AB213='Processed Non-zero TRI Data'!$S:$S),0)))), VLOOKUP(H213, 'Form A Recent Reporting'!$L:$M, 2, FALSE)), ("N/A - Facility Does Not Report to TRI"))</f>
        <v>N/A - Facility Does Not Report to TRI</v>
      </c>
      <c r="AE213" s="109" cm="1">
        <f t="array" ref="AE213">IFERROR(_xlfn.XLOOKUP(1,  (MAX(IF(H213 = 'Processed Non-zero TRI Data'!$I:$I,'Processed Non-zero TRI Data'!$A:$A)) = 'Processed Non-zero TRI Data'!$A:$A)*('Processed Non-zero TRI Data'!$I:$I = H213), 'Processed Non-zero TRI Data'!$U:$U), "N/A- Facility Does Not Report to TRI")</f>
        <v>0</v>
      </c>
      <c r="AF213" s="33">
        <f t="shared" si="47"/>
        <v>0</v>
      </c>
      <c r="AG213" s="33" t="str" cm="1">
        <f t="array" ref="AG213">IF(COUNTIF('Processed Non-zero TRI Data'!$I:$I,$H213)&gt;0,MEDIAN(IF('Processed Non-zero TRI Data'!$I:$I=H213,'Processed Non-zero TRI Data'!$U:$U)), "N/A - Facility Does Not Report to TRI")</f>
        <v>N/A - Facility Does Not Report to TRI</v>
      </c>
      <c r="AH213" s="33" t="str">
        <f t="shared" si="48"/>
        <v>N/A - Facility Does Not Report to TRI</v>
      </c>
      <c r="AI213" s="33" t="str">
        <f>IF(COUNTIF('Processed Non-zero TRI Data'!$I:$I,$H213)&gt;0,_xlfn.MAXIFS('Processed Non-zero TRI Data'!$U:$U,'Processed Non-zero TRI Data'!$I:$I,$H213), "N/A - Facility Does Not Report to TRI")</f>
        <v>N/A - Facility Does Not Report to TRI</v>
      </c>
      <c r="AJ213" s="33" t="str">
        <f t="shared" si="49"/>
        <v>N/A - Facility Does Not Report to TRI</v>
      </c>
      <c r="AK213" s="110" t="str" cm="1">
        <f t="array" ref="AK213">IF(B213="TRI Form A",AD213,IF(AI213=0,"Facility has no transfers to POTWs between 2019-2023.",IF(COUNTIF('Processed Non-zero TRI Data'!$I:$I,$H213)&gt;0,INDEX('Processed Non-zero TRI Data'!$A:$A,MATCH(1,($H213='Processed Non-zero TRI Data'!$I:$I)*(AI213='Processed Non-zero TRI Data'!$U:$U),0)),"N/A - Facility Does Not Report to TRI")))</f>
        <v>N/A - Facility Does Not Report to TRI</v>
      </c>
      <c r="AL213" s="109" cm="1">
        <f t="array" ref="AL213">IFERROR(_xlfn.XLOOKUP(1,  (MAX(IF(H213 = 'Processed Non-zero TRI Data'!$I$2:$I$23,'Processed Non-zero TRI Data'!$A$2:$A$23)) = 'Processed Non-zero TRI Data'!$A$2:$A$23)*('Processed Non-zero TRI Data'!$I$2:$I$23 = H213), 'Processed Non-zero TRI Data'!$W$2:$W$23), "N/A- Facility Does Not Report to TRI")</f>
        <v>0</v>
      </c>
      <c r="AM213" s="33">
        <f t="shared" si="50"/>
        <v>0</v>
      </c>
      <c r="AN213" s="33" t="str" cm="1">
        <f t="array" ref="AN213">IF(COUNTIF('Processed Non-zero TRI Data'!$I:$I,$H213)&gt;0,MEDIAN(IF('Processed Non-zero TRI Data'!$I:$I=H213,'Processed Non-zero TRI Data'!$W:$W)), "N/A - Facility Does Not Report to TRI")</f>
        <v>N/A - Facility Does Not Report to TRI</v>
      </c>
      <c r="AO213" s="33" t="str">
        <f t="shared" si="51"/>
        <v>N/A - Facility Does Not Report to TRI</v>
      </c>
      <c r="AP213" s="33" t="str">
        <f>IF(COUNTIF('Processed Non-zero TRI Data'!$I:$I,$H213)&gt;0,_xlfn.MAXIFS('Processed Non-zero TRI Data'!$W:$W,'Processed Non-zero TRI Data'!$I:$I,$H213), "N/A - Facility Does Not Report to TRI")</f>
        <v>N/A - Facility Does Not Report to TRI</v>
      </c>
      <c r="AQ213" s="33" t="str">
        <f t="shared" si="52"/>
        <v>N/A - Facility Does Not Report to TRI</v>
      </c>
      <c r="AR213" s="110" t="str" cm="1">
        <f t="array" ref="AR213">IF(B213="TRI Form A",AD213,IF(AP213=0,"Facility has no transfers to non-POTWs between 2019-2023.",IF(COUNTIF('Processed Non-zero TRI Data'!$I:$I,$H213)&gt;0,INDEX('Processed Non-zero TRI Data'!$A:$A,MATCH(1,($H213='Processed Non-zero TRI Data'!$I:$I)*(AP213='Processed Non-zero TRI Data'!$W:$W),0)),"N/A - Facility Does Not Report to TRI")))</f>
        <v>N/A - Facility Does Not Report to TRI</v>
      </c>
    </row>
    <row r="214" spans="1:44" ht="29" x14ac:dyDescent="0.35">
      <c r="A214" s="34">
        <v>211</v>
      </c>
      <c r="B214" s="33" t="str">
        <f>IFERROR("TRI Form "&amp;VLOOKUP(H214,'Processed Non-zero TRI Data'!$I$2:$K$23,3,FALSE),"DMR")</f>
        <v>DMR</v>
      </c>
      <c r="C214" s="33" t="str">
        <f>VLOOKUP($D214, 'COU.OES Summary'!C:D, 2, FALSE)</f>
        <v> </v>
      </c>
      <c r="D214" s="33" t="str">
        <f>IFERROR(VLOOKUP($H214, 'Processed Non-zero TRI Data'!$I:$O, 7, FALSE), VLOOKUP($I214, 'Processed Non-zero DMR Data'!$K:$R, 8, FALSE))</f>
        <v>Waste handling, treatment, and disposal - non-POTW WWT</v>
      </c>
      <c r="E214" s="34" t="s">
        <v>505</v>
      </c>
      <c r="F214" s="34" t="s">
        <v>409</v>
      </c>
      <c r="G214" s="34" t="s">
        <v>181</v>
      </c>
      <c r="H214" s="34"/>
      <c r="I214" s="105">
        <v>110009900330</v>
      </c>
      <c r="J214" s="33" t="str">
        <f>IFERROR(VLOOKUP($I214, 'Processed Non-zero DMR Data'!$K:$U, 11, FALSE),"")</f>
        <v>MI0047716</v>
      </c>
      <c r="K214" s="33" t="str">
        <f>IFERROR(VLOOKUP($I214, 'Processed Non-zero DMR Data'!$K:$V, 12, FALSE),"Not Reported")</f>
        <v>Clear Lake-Fawn River</v>
      </c>
      <c r="L214" s="106" t="str">
        <f>IFERROR(VLOOKUP($I214, 'Processed Non-zero DMR Data'!$K:$W, 13, FALSE),"No Reach Code Reported")</f>
        <v>040500010806</v>
      </c>
      <c r="M214" s="107" t="str">
        <f>IFERROR(IFERROR(VLOOKUP(H214, 'Off-site Locations'!$K$3:$O$5, 5, FALSE), VLOOKUP(H214, 'Off-site Locations'!$B$3:$E$4, 4, FALSE)), "No Offsite Transfers")</f>
        <v>No Offsite Transfers</v>
      </c>
      <c r="N214" s="33">
        <f>VLOOKUP($D214, 'COU.OES Summary'!C:E, 3, FALSE)</f>
        <v>365</v>
      </c>
      <c r="O214" s="108">
        <f t="shared" si="42"/>
        <v>0</v>
      </c>
      <c r="P214" s="108">
        <f t="shared" si="43"/>
        <v>5.2608093500000001E-2</v>
      </c>
      <c r="Q214" s="109" cm="1">
        <f t="array" ref="Q214">IFERROR(_xlfn.XLOOKUP(1,  (MAX(IF(I214 = 'Processed Non-zero DMR Data'!$K:$K,'Processed Non-zero DMR Data'!$A:$A)) = 'Processed Non-zero DMR Data'!$A:$A)*('Processed Non-zero DMR Data'!$K:$K = I214),'Processed Non-zero DMR Data'!$T:$T), "N/A- Facility Does Not Report DMRs")</f>
        <v>5.2608093500000001E-2</v>
      </c>
      <c r="R214" s="33">
        <f t="shared" si="53"/>
        <v>1.4413176301369864E-4</v>
      </c>
      <c r="S214" s="33" cm="1">
        <f t="array" ref="S214">IF(COUNTIF('Processed Non-zero DMR Data'!$K:$K,$I214)&gt;0,MEDIAN(IF('Processed Non-zero DMR Data'!$K:$K=I214,'Processed Non-zero DMR Data'!$T:$T)),"N/A - Facility Does Not Report DMRs")</f>
        <v>5.1507604750000005E-2</v>
      </c>
      <c r="T214" s="33">
        <f t="shared" si="54"/>
        <v>1.4111672534246577E-4</v>
      </c>
      <c r="U214" s="33">
        <f>IF(COUNTIF('Processed Non-zero DMR Data'!$K:$K,$I214)&gt;0,_xlfn.MAXIFS('Processed Non-zero DMR Data'!$T:$T,'Processed Non-zero DMR Data'!$K:$K,$I214), "N/A - Facility Does Not Report DMRs")</f>
        <v>5.2608093500000001E-2</v>
      </c>
      <c r="V214" s="33">
        <f t="shared" si="55"/>
        <v>1.4413176301369864E-4</v>
      </c>
      <c r="W214" s="110" cm="1">
        <f t="array" ref="W214">IF(COUNTIF('Processed Non-zero DMR Data'!$K:$K,$I214)&gt;0,INDEX('Processed Non-zero DMR Data'!$A:$A,MATCH(1,($I214='Processed Non-zero DMR Data'!$K:$K)*($U214='Processed Non-zero DMR Data'!$T:$T),0)), "N/A - Facility Does Not Report DMRs")</f>
        <v>2023</v>
      </c>
      <c r="X214" s="109" cm="1">
        <f t="array" ref="X214">IFERROR(_xlfn.XLOOKUP(1,  (MAX(IF(H214 = 'Processed Non-zero TRI Data'!$I:$I,'Processed Non-zero TRI Data'!$A:$A)) = 'Processed Non-zero TRI Data'!$A:$A)*('Processed Non-zero TRI Data'!$I:$I = H214), 'Processed Non-zero TRI Data'!$S:$S), "N/A- Facility Does Not Report to TRI")</f>
        <v>0</v>
      </c>
      <c r="Y214" s="33">
        <f t="shared" si="44"/>
        <v>0</v>
      </c>
      <c r="Z214" s="33" t="str" cm="1">
        <f t="array" ref="Z214">IF(COUNTIF('Processed Non-zero TRI Data'!$I:$I,$H214)&gt;0,MEDIAN(IF('Processed Non-zero TRI Data'!$I:$I=H214,'Processed Non-zero TRI Data'!$S:$S)), "N/A - Facility Does Not Report to TRI")</f>
        <v>N/A - Facility Does Not Report to TRI</v>
      </c>
      <c r="AA214" s="33" t="str">
        <f t="shared" si="45"/>
        <v>N/A - Facility Does Not Report to TRI</v>
      </c>
      <c r="AB214" s="33" t="str">
        <f>IF(COUNTIF('Processed Non-zero TRI Data'!$I:$I,$H214)&gt;0,_xlfn.MAXIFS('Processed Non-zero TRI Data'!$S:$S,'Processed Non-zero TRI Data'!$I:$I,$H214), "N/A - Facility Does Not Report to TRI")</f>
        <v>N/A - Facility Does Not Report to TRI</v>
      </c>
      <c r="AC214" s="33" t="str">
        <f t="shared" si="46"/>
        <v>N/A - Facility Does Not Report to TRI</v>
      </c>
      <c r="AD214" s="110" t="str" cm="1">
        <f t="array" ref="AD214">IFERROR(IF(B214 = "TRI Form R", IF(AB214 = 0, "Facility has no on-site water discharges between 2019-2023.",  IF(COUNTIF('Processed Non-zero TRI Data'!$I:$I,$H214)&gt;0,INDEX('Processed Non-zero TRI Data'!$A:$A,MATCH(1,($H214='Processed Non-zero TRI Data'!$I:$I)*(AB214='Processed Non-zero TRI Data'!$S:$S),0)))), VLOOKUP(H214, 'Form A Recent Reporting'!$L:$M, 2, FALSE)), ("N/A - Facility Does Not Report to TRI"))</f>
        <v>N/A - Facility Does Not Report to TRI</v>
      </c>
      <c r="AE214" s="109" cm="1">
        <f t="array" ref="AE214">IFERROR(_xlfn.XLOOKUP(1,  (MAX(IF(H214 = 'Processed Non-zero TRI Data'!$I:$I,'Processed Non-zero TRI Data'!$A:$A)) = 'Processed Non-zero TRI Data'!$A:$A)*('Processed Non-zero TRI Data'!$I:$I = H214), 'Processed Non-zero TRI Data'!$U:$U), "N/A- Facility Does Not Report to TRI")</f>
        <v>0</v>
      </c>
      <c r="AF214" s="33">
        <f t="shared" si="47"/>
        <v>0</v>
      </c>
      <c r="AG214" s="33" t="str" cm="1">
        <f t="array" ref="AG214">IF(COUNTIF('Processed Non-zero TRI Data'!$I:$I,$H214)&gt;0,MEDIAN(IF('Processed Non-zero TRI Data'!$I:$I=H214,'Processed Non-zero TRI Data'!$U:$U)), "N/A - Facility Does Not Report to TRI")</f>
        <v>N/A - Facility Does Not Report to TRI</v>
      </c>
      <c r="AH214" s="33" t="str">
        <f t="shared" si="48"/>
        <v>N/A - Facility Does Not Report to TRI</v>
      </c>
      <c r="AI214" s="33" t="str">
        <f>IF(COUNTIF('Processed Non-zero TRI Data'!$I:$I,$H214)&gt;0,_xlfn.MAXIFS('Processed Non-zero TRI Data'!$U:$U,'Processed Non-zero TRI Data'!$I:$I,$H214), "N/A - Facility Does Not Report to TRI")</f>
        <v>N/A - Facility Does Not Report to TRI</v>
      </c>
      <c r="AJ214" s="33" t="str">
        <f t="shared" si="49"/>
        <v>N/A - Facility Does Not Report to TRI</v>
      </c>
      <c r="AK214" s="110" t="str" cm="1">
        <f t="array" ref="AK214">IF(B214="TRI Form A",AD214,IF(AI214=0,"Facility has no transfers to POTWs between 2019-2023.",IF(COUNTIF('Processed Non-zero TRI Data'!$I:$I,$H214)&gt;0,INDEX('Processed Non-zero TRI Data'!$A:$A,MATCH(1,($H214='Processed Non-zero TRI Data'!$I:$I)*(AI214='Processed Non-zero TRI Data'!$U:$U),0)),"N/A - Facility Does Not Report to TRI")))</f>
        <v>N/A - Facility Does Not Report to TRI</v>
      </c>
      <c r="AL214" s="109" cm="1">
        <f t="array" ref="AL214">IFERROR(_xlfn.XLOOKUP(1,  (MAX(IF(H214 = 'Processed Non-zero TRI Data'!$I$2:$I$23,'Processed Non-zero TRI Data'!$A$2:$A$23)) = 'Processed Non-zero TRI Data'!$A$2:$A$23)*('Processed Non-zero TRI Data'!$I$2:$I$23 = H214), 'Processed Non-zero TRI Data'!$W$2:$W$23), "N/A- Facility Does Not Report to TRI")</f>
        <v>0</v>
      </c>
      <c r="AM214" s="33">
        <f t="shared" si="50"/>
        <v>0</v>
      </c>
      <c r="AN214" s="33" t="str" cm="1">
        <f t="array" ref="AN214">IF(COUNTIF('Processed Non-zero TRI Data'!$I:$I,$H214)&gt;0,MEDIAN(IF('Processed Non-zero TRI Data'!$I:$I=H214,'Processed Non-zero TRI Data'!$W:$W)), "N/A - Facility Does Not Report to TRI")</f>
        <v>N/A - Facility Does Not Report to TRI</v>
      </c>
      <c r="AO214" s="33" t="str">
        <f t="shared" si="51"/>
        <v>N/A - Facility Does Not Report to TRI</v>
      </c>
      <c r="AP214" s="33" t="str">
        <f>IF(COUNTIF('Processed Non-zero TRI Data'!$I:$I,$H214)&gt;0,_xlfn.MAXIFS('Processed Non-zero TRI Data'!$W:$W,'Processed Non-zero TRI Data'!$I:$I,$H214), "N/A - Facility Does Not Report to TRI")</f>
        <v>N/A - Facility Does Not Report to TRI</v>
      </c>
      <c r="AQ214" s="33" t="str">
        <f t="shared" si="52"/>
        <v>N/A - Facility Does Not Report to TRI</v>
      </c>
      <c r="AR214" s="110" t="str" cm="1">
        <f t="array" ref="AR214">IF(B214="TRI Form A",AD214,IF(AP214=0,"Facility has no transfers to non-POTWs between 2019-2023.",IF(COUNTIF('Processed Non-zero TRI Data'!$I:$I,$H214)&gt;0,INDEX('Processed Non-zero TRI Data'!$A:$A,MATCH(1,($H214='Processed Non-zero TRI Data'!$I:$I)*(AP214='Processed Non-zero TRI Data'!$W:$W),0)),"N/A - Facility Does Not Report to TRI")))</f>
        <v>N/A - Facility Does Not Report to TRI</v>
      </c>
    </row>
    <row r="215" spans="1:44" ht="29" x14ac:dyDescent="0.35">
      <c r="A215" s="34">
        <v>212</v>
      </c>
      <c r="B215" s="33" t="str">
        <f>IFERROR("TRI Form "&amp;VLOOKUP(H215,'Processed Non-zero TRI Data'!$I$2:$K$23,3,FALSE),"DMR")</f>
        <v>DMR</v>
      </c>
      <c r="C215" s="33" t="str">
        <f>VLOOKUP($D215, 'COU.OES Summary'!C:D, 2, FALSE)</f>
        <v> </v>
      </c>
      <c r="D215" s="33" t="str">
        <f>IFERROR(VLOOKUP($H215, 'Processed Non-zero TRI Data'!$I:$O, 7, FALSE), VLOOKUP($I215, 'Processed Non-zero DMR Data'!$K:$R, 8, FALSE))</f>
        <v>Waste handling, treatment, and disposal - Remediation or Monitoring</v>
      </c>
      <c r="E215" s="34" t="s">
        <v>506</v>
      </c>
      <c r="F215" s="34" t="s">
        <v>507</v>
      </c>
      <c r="G215" s="34" t="s">
        <v>181</v>
      </c>
      <c r="H215" s="34"/>
      <c r="I215" s="105">
        <v>110071223319</v>
      </c>
      <c r="J215" s="33" t="str">
        <f>IFERROR(VLOOKUP($I215, 'Processed Non-zero DMR Data'!$K:$U, 11, FALSE),"")</f>
        <v>MI0060285</v>
      </c>
      <c r="K215" s="33" t="str">
        <f>IFERROR(VLOOKUP($I215, 'Processed Non-zero DMR Data'!$K:$V, 12, FALSE),"Not Reported")</f>
        <v>Pere Marquette Lake-Pere Marquette River</v>
      </c>
      <c r="L215" s="106" t="str">
        <f>IFERROR(VLOOKUP($I215, 'Processed Non-zero DMR Data'!$K:$W, 13, FALSE),"No Reach Code Reported")</f>
        <v>040601010509</v>
      </c>
      <c r="M215" s="107" t="str">
        <f>IFERROR(IFERROR(VLOOKUP(H215, 'Off-site Locations'!$K$3:$O$5, 5, FALSE), VLOOKUP(H215, 'Off-site Locations'!$B$3:$E$4, 4, FALSE)), "No Offsite Transfers")</f>
        <v>No Offsite Transfers</v>
      </c>
      <c r="N215" s="33">
        <f>VLOOKUP($D215, 'COU.OES Summary'!C:E, 3, FALSE)</f>
        <v>365</v>
      </c>
      <c r="O215" s="108">
        <f t="shared" si="42"/>
        <v>0</v>
      </c>
      <c r="P215" s="108">
        <f t="shared" si="43"/>
        <v>5.1596814077375E-2</v>
      </c>
      <c r="Q215" s="109" cm="1">
        <f t="array" ref="Q215">IFERROR(_xlfn.XLOOKUP(1,  (MAX(IF(I215 = 'Processed Non-zero DMR Data'!$K:$K,'Processed Non-zero DMR Data'!$A:$A)) = 'Processed Non-zero DMR Data'!$A:$A)*('Processed Non-zero DMR Data'!$K:$K = I215),'Processed Non-zero DMR Data'!$T:$T), "N/A- Facility Does Not Report DMRs")</f>
        <v>5.1596814077375E-2</v>
      </c>
      <c r="R215" s="33">
        <f t="shared" si="53"/>
        <v>1.4136113445856164E-4</v>
      </c>
      <c r="S215" s="33" cm="1">
        <f t="array" ref="S215">IF(COUNTIF('Processed Non-zero DMR Data'!$K:$K,$I215)&gt;0,MEDIAN(IF('Processed Non-zero DMR Data'!$K:$K=I215,'Processed Non-zero DMR Data'!$T:$T)),"N/A - Facility Does Not Report DMRs")</f>
        <v>5.1596814077375E-2</v>
      </c>
      <c r="T215" s="33">
        <f t="shared" si="54"/>
        <v>1.4136113445856164E-4</v>
      </c>
      <c r="U215" s="33">
        <f>IF(COUNTIF('Processed Non-zero DMR Data'!$K:$K,$I215)&gt;0,_xlfn.MAXIFS('Processed Non-zero DMR Data'!$T:$T,'Processed Non-zero DMR Data'!$K:$K,$I215), "N/A - Facility Does Not Report DMRs")</f>
        <v>5.1596814077375E-2</v>
      </c>
      <c r="V215" s="33">
        <f t="shared" si="55"/>
        <v>1.4136113445856164E-4</v>
      </c>
      <c r="W215" s="110" cm="1">
        <f t="array" ref="W215">IF(COUNTIF('Processed Non-zero DMR Data'!$K:$K,$I215)&gt;0,INDEX('Processed Non-zero DMR Data'!$A:$A,MATCH(1,($I215='Processed Non-zero DMR Data'!$K:$K)*($U215='Processed Non-zero DMR Data'!$T:$T),0)), "N/A - Facility Does Not Report DMRs")</f>
        <v>2023</v>
      </c>
      <c r="X215" s="109" cm="1">
        <f t="array" ref="X215">IFERROR(_xlfn.XLOOKUP(1,  (MAX(IF(H215 = 'Processed Non-zero TRI Data'!$I:$I,'Processed Non-zero TRI Data'!$A:$A)) = 'Processed Non-zero TRI Data'!$A:$A)*('Processed Non-zero TRI Data'!$I:$I = H215), 'Processed Non-zero TRI Data'!$S:$S), "N/A- Facility Does Not Report to TRI")</f>
        <v>0</v>
      </c>
      <c r="Y215" s="33">
        <f t="shared" si="44"/>
        <v>0</v>
      </c>
      <c r="Z215" s="33" t="str" cm="1">
        <f t="array" ref="Z215">IF(COUNTIF('Processed Non-zero TRI Data'!$I:$I,$H215)&gt;0,MEDIAN(IF('Processed Non-zero TRI Data'!$I:$I=H215,'Processed Non-zero TRI Data'!$S:$S)), "N/A - Facility Does Not Report to TRI")</f>
        <v>N/A - Facility Does Not Report to TRI</v>
      </c>
      <c r="AA215" s="33" t="str">
        <f t="shared" si="45"/>
        <v>N/A - Facility Does Not Report to TRI</v>
      </c>
      <c r="AB215" s="33" t="str">
        <f>IF(COUNTIF('Processed Non-zero TRI Data'!$I:$I,$H215)&gt;0,_xlfn.MAXIFS('Processed Non-zero TRI Data'!$S:$S,'Processed Non-zero TRI Data'!$I:$I,$H215), "N/A - Facility Does Not Report to TRI")</f>
        <v>N/A - Facility Does Not Report to TRI</v>
      </c>
      <c r="AC215" s="33" t="str">
        <f t="shared" si="46"/>
        <v>N/A - Facility Does Not Report to TRI</v>
      </c>
      <c r="AD215" s="110" t="str" cm="1">
        <f t="array" ref="AD215">IFERROR(IF(B215 = "TRI Form R", IF(AB215 = 0, "Facility has no on-site water discharges between 2019-2023.",  IF(COUNTIF('Processed Non-zero TRI Data'!$I:$I,$H215)&gt;0,INDEX('Processed Non-zero TRI Data'!$A:$A,MATCH(1,($H215='Processed Non-zero TRI Data'!$I:$I)*(AB215='Processed Non-zero TRI Data'!$S:$S),0)))), VLOOKUP(H215, 'Form A Recent Reporting'!$L:$M, 2, FALSE)), ("N/A - Facility Does Not Report to TRI"))</f>
        <v>N/A - Facility Does Not Report to TRI</v>
      </c>
      <c r="AE215" s="109" cm="1">
        <f t="array" ref="AE215">IFERROR(_xlfn.XLOOKUP(1,  (MAX(IF(H215 = 'Processed Non-zero TRI Data'!$I:$I,'Processed Non-zero TRI Data'!$A:$A)) = 'Processed Non-zero TRI Data'!$A:$A)*('Processed Non-zero TRI Data'!$I:$I = H215), 'Processed Non-zero TRI Data'!$U:$U), "N/A- Facility Does Not Report to TRI")</f>
        <v>0</v>
      </c>
      <c r="AF215" s="33">
        <f t="shared" si="47"/>
        <v>0</v>
      </c>
      <c r="AG215" s="33" t="str" cm="1">
        <f t="array" ref="AG215">IF(COUNTIF('Processed Non-zero TRI Data'!$I:$I,$H215)&gt;0,MEDIAN(IF('Processed Non-zero TRI Data'!$I:$I=H215,'Processed Non-zero TRI Data'!$U:$U)), "N/A - Facility Does Not Report to TRI")</f>
        <v>N/A - Facility Does Not Report to TRI</v>
      </c>
      <c r="AH215" s="33" t="str">
        <f t="shared" si="48"/>
        <v>N/A - Facility Does Not Report to TRI</v>
      </c>
      <c r="AI215" s="33" t="str">
        <f>IF(COUNTIF('Processed Non-zero TRI Data'!$I:$I,$H215)&gt;0,_xlfn.MAXIFS('Processed Non-zero TRI Data'!$U:$U,'Processed Non-zero TRI Data'!$I:$I,$H215), "N/A - Facility Does Not Report to TRI")</f>
        <v>N/A - Facility Does Not Report to TRI</v>
      </c>
      <c r="AJ215" s="33" t="str">
        <f t="shared" si="49"/>
        <v>N/A - Facility Does Not Report to TRI</v>
      </c>
      <c r="AK215" s="110" t="str" cm="1">
        <f t="array" ref="AK215">IF(B215="TRI Form A",AD215,IF(AI215=0,"Facility has no transfers to POTWs between 2019-2023.",IF(COUNTIF('Processed Non-zero TRI Data'!$I:$I,$H215)&gt;0,INDEX('Processed Non-zero TRI Data'!$A:$A,MATCH(1,($H215='Processed Non-zero TRI Data'!$I:$I)*(AI215='Processed Non-zero TRI Data'!$U:$U),0)),"N/A - Facility Does Not Report to TRI")))</f>
        <v>N/A - Facility Does Not Report to TRI</v>
      </c>
      <c r="AL215" s="109" cm="1">
        <f t="array" ref="AL215">IFERROR(_xlfn.XLOOKUP(1,  (MAX(IF(H215 = 'Processed Non-zero TRI Data'!$I$2:$I$23,'Processed Non-zero TRI Data'!$A$2:$A$23)) = 'Processed Non-zero TRI Data'!$A$2:$A$23)*('Processed Non-zero TRI Data'!$I$2:$I$23 = H215), 'Processed Non-zero TRI Data'!$W$2:$W$23), "N/A- Facility Does Not Report to TRI")</f>
        <v>0</v>
      </c>
      <c r="AM215" s="33">
        <f t="shared" si="50"/>
        <v>0</v>
      </c>
      <c r="AN215" s="33" t="str" cm="1">
        <f t="array" ref="AN215">IF(COUNTIF('Processed Non-zero TRI Data'!$I:$I,$H215)&gt;0,MEDIAN(IF('Processed Non-zero TRI Data'!$I:$I=H215,'Processed Non-zero TRI Data'!$W:$W)), "N/A - Facility Does Not Report to TRI")</f>
        <v>N/A - Facility Does Not Report to TRI</v>
      </c>
      <c r="AO215" s="33" t="str">
        <f t="shared" si="51"/>
        <v>N/A - Facility Does Not Report to TRI</v>
      </c>
      <c r="AP215" s="33" t="str">
        <f>IF(COUNTIF('Processed Non-zero TRI Data'!$I:$I,$H215)&gt;0,_xlfn.MAXIFS('Processed Non-zero TRI Data'!$W:$W,'Processed Non-zero TRI Data'!$I:$I,$H215), "N/A - Facility Does Not Report to TRI")</f>
        <v>N/A - Facility Does Not Report to TRI</v>
      </c>
      <c r="AQ215" s="33" t="str">
        <f t="shared" si="52"/>
        <v>N/A - Facility Does Not Report to TRI</v>
      </c>
      <c r="AR215" s="110" t="str" cm="1">
        <f t="array" ref="AR215">IF(B215="TRI Form A",AD215,IF(AP215=0,"Facility has no transfers to non-POTWs between 2019-2023.",IF(COUNTIF('Processed Non-zero TRI Data'!$I:$I,$H215)&gt;0,INDEX('Processed Non-zero TRI Data'!$A:$A,MATCH(1,($H215='Processed Non-zero TRI Data'!$I:$I)*(AP215='Processed Non-zero TRI Data'!$W:$W),0)),"N/A - Facility Does Not Report to TRI")))</f>
        <v>N/A - Facility Does Not Report to TRI</v>
      </c>
    </row>
    <row r="216" spans="1:44" ht="29" x14ac:dyDescent="0.35">
      <c r="A216" s="34">
        <v>213</v>
      </c>
      <c r="B216" s="33" t="str">
        <f>IFERROR("TRI Form "&amp;VLOOKUP(H216,'Processed Non-zero TRI Data'!$I$2:$K$23,3,FALSE),"DMR")</f>
        <v>DMR</v>
      </c>
      <c r="C216" s="33" t="str">
        <f>VLOOKUP($D216, 'COU.OES Summary'!C:D, 2, FALSE)</f>
        <v> </v>
      </c>
      <c r="D216" s="33" t="str">
        <f>IFERROR(VLOOKUP($H216, 'Processed Non-zero TRI Data'!$I:$O, 7, FALSE), VLOOKUP($I216, 'Processed Non-zero DMR Data'!$K:$R, 8, FALSE))</f>
        <v>Waste handling, treatment, and disposal - non-POTW WWT</v>
      </c>
      <c r="E216" s="34" t="s">
        <v>508</v>
      </c>
      <c r="F216" s="34" t="s">
        <v>509</v>
      </c>
      <c r="G216" s="34" t="s">
        <v>129</v>
      </c>
      <c r="H216" s="34"/>
      <c r="I216" s="105">
        <v>110000614746</v>
      </c>
      <c r="J216" s="33" t="str">
        <f>IFERROR(VLOOKUP($I216, 'Processed Non-zero DMR Data'!$K:$U, 11, FALSE),"")</f>
        <v>MO0099503</v>
      </c>
      <c r="K216" s="33" t="str">
        <f>IFERROR(VLOOKUP($I216, 'Processed Non-zero DMR Data'!$K:$V, 12, FALSE),"Not Reported")</f>
        <v>Dry Creek-Missouri River</v>
      </c>
      <c r="L216" s="106">
        <f>IFERROR(VLOOKUP($I216, 'Processed Non-zero DMR Data'!$K:$W, 13, FALSE),"No Reach Code Reported")</f>
        <v>103001010307</v>
      </c>
      <c r="M216" s="107" t="str">
        <f>IFERROR(IFERROR(VLOOKUP(H216, 'Off-site Locations'!$K$3:$O$5, 5, FALSE), VLOOKUP(H216, 'Off-site Locations'!$B$3:$E$4, 4, FALSE)), "No Offsite Transfers")</f>
        <v>No Offsite Transfers</v>
      </c>
      <c r="N216" s="33">
        <f>VLOOKUP($D216, 'COU.OES Summary'!C:E, 3, FALSE)</f>
        <v>365</v>
      </c>
      <c r="O216" s="108">
        <f t="shared" si="42"/>
        <v>0</v>
      </c>
      <c r="P216" s="108">
        <f t="shared" si="43"/>
        <v>4.9800192631524999E-2</v>
      </c>
      <c r="Q216" s="109" cm="1">
        <f t="array" ref="Q216">IFERROR(_xlfn.XLOOKUP(1,  (MAX(IF(I216 = 'Processed Non-zero DMR Data'!$K:$K,'Processed Non-zero DMR Data'!$A:$A)) = 'Processed Non-zero DMR Data'!$A:$A)*('Processed Non-zero DMR Data'!$K:$K = I216),'Processed Non-zero DMR Data'!$T:$T), "N/A- Facility Does Not Report DMRs")</f>
        <v>2.3034953869950001E-2</v>
      </c>
      <c r="R216" s="33">
        <f t="shared" si="53"/>
        <v>6.3109462657397265E-5</v>
      </c>
      <c r="S216" s="33" cm="1">
        <f t="array" ref="S216">IF(COUNTIF('Processed Non-zero DMR Data'!$K:$K,$I216)&gt;0,MEDIAN(IF('Processed Non-zero DMR Data'!$K:$K=I216,'Processed Non-zero DMR Data'!$T:$T)),"N/A - Facility Does Not Report DMRs")</f>
        <v>2.4834553088849999E-2</v>
      </c>
      <c r="T216" s="33">
        <f t="shared" si="54"/>
        <v>6.8039871476301364E-5</v>
      </c>
      <c r="U216" s="33">
        <f>IF(COUNTIF('Processed Non-zero DMR Data'!$K:$K,$I216)&gt;0,_xlfn.MAXIFS('Processed Non-zero DMR Data'!$T:$T,'Processed Non-zero DMR Data'!$K:$K,$I216), "N/A - Facility Does Not Report DMRs")</f>
        <v>4.9800192631524999E-2</v>
      </c>
      <c r="V216" s="33">
        <f t="shared" si="55"/>
        <v>1.3643888392198629E-4</v>
      </c>
      <c r="W216" s="110" cm="1">
        <f t="array" ref="W216">IF(COUNTIF('Processed Non-zero DMR Data'!$K:$K,$I216)&gt;0,INDEX('Processed Non-zero DMR Data'!$A:$A,MATCH(1,($I216='Processed Non-zero DMR Data'!$K:$K)*($U216='Processed Non-zero DMR Data'!$T:$T),0)), "N/A - Facility Does Not Report DMRs")</f>
        <v>2019</v>
      </c>
      <c r="X216" s="109" cm="1">
        <f t="array" ref="X216">IFERROR(_xlfn.XLOOKUP(1,  (MAX(IF(H216 = 'Processed Non-zero TRI Data'!$I:$I,'Processed Non-zero TRI Data'!$A:$A)) = 'Processed Non-zero TRI Data'!$A:$A)*('Processed Non-zero TRI Data'!$I:$I = H216), 'Processed Non-zero TRI Data'!$S:$S), "N/A- Facility Does Not Report to TRI")</f>
        <v>0</v>
      </c>
      <c r="Y216" s="33">
        <f t="shared" si="44"/>
        <v>0</v>
      </c>
      <c r="Z216" s="33" t="str" cm="1">
        <f t="array" ref="Z216">IF(COUNTIF('Processed Non-zero TRI Data'!$I:$I,$H216)&gt;0,MEDIAN(IF('Processed Non-zero TRI Data'!$I:$I=H216,'Processed Non-zero TRI Data'!$S:$S)), "N/A - Facility Does Not Report to TRI")</f>
        <v>N/A - Facility Does Not Report to TRI</v>
      </c>
      <c r="AA216" s="33" t="str">
        <f t="shared" si="45"/>
        <v>N/A - Facility Does Not Report to TRI</v>
      </c>
      <c r="AB216" s="33" t="str">
        <f>IF(COUNTIF('Processed Non-zero TRI Data'!$I:$I,$H216)&gt;0,_xlfn.MAXIFS('Processed Non-zero TRI Data'!$S:$S,'Processed Non-zero TRI Data'!$I:$I,$H216), "N/A - Facility Does Not Report to TRI")</f>
        <v>N/A - Facility Does Not Report to TRI</v>
      </c>
      <c r="AC216" s="33" t="str">
        <f t="shared" si="46"/>
        <v>N/A - Facility Does Not Report to TRI</v>
      </c>
      <c r="AD216" s="110" t="str" cm="1">
        <f t="array" ref="AD216">IFERROR(IF(B216 = "TRI Form R", IF(AB216 = 0, "Facility has no on-site water discharges between 2019-2023.",  IF(COUNTIF('Processed Non-zero TRI Data'!$I:$I,$H216)&gt;0,INDEX('Processed Non-zero TRI Data'!$A:$A,MATCH(1,($H216='Processed Non-zero TRI Data'!$I:$I)*(AB216='Processed Non-zero TRI Data'!$S:$S),0)))), VLOOKUP(H216, 'Form A Recent Reporting'!$L:$M, 2, FALSE)), ("N/A - Facility Does Not Report to TRI"))</f>
        <v>N/A - Facility Does Not Report to TRI</v>
      </c>
      <c r="AE216" s="109" cm="1">
        <f t="array" ref="AE216">IFERROR(_xlfn.XLOOKUP(1,  (MAX(IF(H216 = 'Processed Non-zero TRI Data'!$I:$I,'Processed Non-zero TRI Data'!$A:$A)) = 'Processed Non-zero TRI Data'!$A:$A)*('Processed Non-zero TRI Data'!$I:$I = H216), 'Processed Non-zero TRI Data'!$U:$U), "N/A- Facility Does Not Report to TRI")</f>
        <v>0</v>
      </c>
      <c r="AF216" s="33">
        <f t="shared" si="47"/>
        <v>0</v>
      </c>
      <c r="AG216" s="33" t="str" cm="1">
        <f t="array" ref="AG216">IF(COUNTIF('Processed Non-zero TRI Data'!$I:$I,$H216)&gt;0,MEDIAN(IF('Processed Non-zero TRI Data'!$I:$I=H216,'Processed Non-zero TRI Data'!$U:$U)), "N/A - Facility Does Not Report to TRI")</f>
        <v>N/A - Facility Does Not Report to TRI</v>
      </c>
      <c r="AH216" s="33" t="str">
        <f t="shared" si="48"/>
        <v>N/A - Facility Does Not Report to TRI</v>
      </c>
      <c r="AI216" s="33" t="str">
        <f>IF(COUNTIF('Processed Non-zero TRI Data'!$I:$I,$H216)&gt;0,_xlfn.MAXIFS('Processed Non-zero TRI Data'!$U:$U,'Processed Non-zero TRI Data'!$I:$I,$H216), "N/A - Facility Does Not Report to TRI")</f>
        <v>N/A - Facility Does Not Report to TRI</v>
      </c>
      <c r="AJ216" s="33" t="str">
        <f t="shared" si="49"/>
        <v>N/A - Facility Does Not Report to TRI</v>
      </c>
      <c r="AK216" s="110" t="str" cm="1">
        <f t="array" ref="AK216">IF(B216="TRI Form A",AD216,IF(AI216=0,"Facility has no transfers to POTWs between 2019-2023.",IF(COUNTIF('Processed Non-zero TRI Data'!$I:$I,$H216)&gt;0,INDEX('Processed Non-zero TRI Data'!$A:$A,MATCH(1,($H216='Processed Non-zero TRI Data'!$I:$I)*(AI216='Processed Non-zero TRI Data'!$U:$U),0)),"N/A - Facility Does Not Report to TRI")))</f>
        <v>N/A - Facility Does Not Report to TRI</v>
      </c>
      <c r="AL216" s="109" cm="1">
        <f t="array" ref="AL216">IFERROR(_xlfn.XLOOKUP(1,  (MAX(IF(H216 = 'Processed Non-zero TRI Data'!$I$2:$I$23,'Processed Non-zero TRI Data'!$A$2:$A$23)) = 'Processed Non-zero TRI Data'!$A$2:$A$23)*('Processed Non-zero TRI Data'!$I$2:$I$23 = H216), 'Processed Non-zero TRI Data'!$W$2:$W$23), "N/A- Facility Does Not Report to TRI")</f>
        <v>0</v>
      </c>
      <c r="AM216" s="33">
        <f t="shared" si="50"/>
        <v>0</v>
      </c>
      <c r="AN216" s="33" t="str" cm="1">
        <f t="array" ref="AN216">IF(COUNTIF('Processed Non-zero TRI Data'!$I:$I,$H216)&gt;0,MEDIAN(IF('Processed Non-zero TRI Data'!$I:$I=H216,'Processed Non-zero TRI Data'!$W:$W)), "N/A - Facility Does Not Report to TRI")</f>
        <v>N/A - Facility Does Not Report to TRI</v>
      </c>
      <c r="AO216" s="33" t="str">
        <f t="shared" si="51"/>
        <v>N/A - Facility Does Not Report to TRI</v>
      </c>
      <c r="AP216" s="33" t="str">
        <f>IF(COUNTIF('Processed Non-zero TRI Data'!$I:$I,$H216)&gt;0,_xlfn.MAXIFS('Processed Non-zero TRI Data'!$W:$W,'Processed Non-zero TRI Data'!$I:$I,$H216), "N/A - Facility Does Not Report to TRI")</f>
        <v>N/A - Facility Does Not Report to TRI</v>
      </c>
      <c r="AQ216" s="33" t="str">
        <f t="shared" si="52"/>
        <v>N/A - Facility Does Not Report to TRI</v>
      </c>
      <c r="AR216" s="110" t="str" cm="1">
        <f t="array" ref="AR216">IF(B216="TRI Form A",AD216,IF(AP216=0,"Facility has no transfers to non-POTWs between 2019-2023.",IF(COUNTIF('Processed Non-zero TRI Data'!$I:$I,$H216)&gt;0,INDEX('Processed Non-zero TRI Data'!$A:$A,MATCH(1,($H216='Processed Non-zero TRI Data'!$I:$I)*(AP216='Processed Non-zero TRI Data'!$W:$W),0)),"N/A - Facility Does Not Report to TRI")))</f>
        <v>N/A - Facility Does Not Report to TRI</v>
      </c>
    </row>
    <row r="217" spans="1:44" ht="29" x14ac:dyDescent="0.35">
      <c r="A217" s="34">
        <v>214</v>
      </c>
      <c r="B217" s="33" t="str">
        <f>IFERROR("TRI Form "&amp;VLOOKUP(H217,'Processed Non-zero TRI Data'!$I$2:$K$23,3,FALSE),"DMR")</f>
        <v>DMR</v>
      </c>
      <c r="C217" s="33" t="str">
        <f>VLOOKUP($D217, 'COU.OES Summary'!C:D, 2, FALSE)</f>
        <v> </v>
      </c>
      <c r="D217" s="33" t="str">
        <f>IFERROR(VLOOKUP($H217, 'Processed Non-zero TRI Data'!$I:$O, 7, FALSE), VLOOKUP($I217, 'Processed Non-zero DMR Data'!$K:$R, 8, FALSE))</f>
        <v>Waste handling, treatment, and disposal - Remediation or Monitoring</v>
      </c>
      <c r="E217" s="34" t="s">
        <v>510</v>
      </c>
      <c r="F217" s="34" t="s">
        <v>511</v>
      </c>
      <c r="G217" s="34" t="s">
        <v>400</v>
      </c>
      <c r="H217" s="34"/>
      <c r="I217" s="105">
        <v>110013738045</v>
      </c>
      <c r="J217" s="33" t="str">
        <f>IFERROR(VLOOKUP($I217, 'Processed Non-zero DMR Data'!$K:$U, 11, FALSE),"")</f>
        <v>RI0023604</v>
      </c>
      <c r="K217" s="33" t="str">
        <f>IFERROR(VLOOKUP($I217, 'Processed Non-zero DMR Data'!$K:$V, 12, FALSE),"Not Reported")</f>
        <v>Greenwich Bay</v>
      </c>
      <c r="L217" s="106" t="str">
        <f>IFERROR(VLOOKUP($I217, 'Processed Non-zero DMR Data'!$K:$W, 13, FALSE),"No Reach Code Reported")</f>
        <v>010900040903</v>
      </c>
      <c r="M217" s="107" t="str">
        <f>IFERROR(IFERROR(VLOOKUP(H217, 'Off-site Locations'!$K$3:$O$5, 5, FALSE), VLOOKUP(H217, 'Off-site Locations'!$B$3:$E$4, 4, FALSE)), "No Offsite Transfers")</f>
        <v>No Offsite Transfers</v>
      </c>
      <c r="N217" s="33">
        <f>VLOOKUP($D217, 'COU.OES Summary'!C:E, 3, FALSE)</f>
        <v>365</v>
      </c>
      <c r="O217" s="108">
        <f t="shared" si="42"/>
        <v>0</v>
      </c>
      <c r="P217" s="108">
        <f t="shared" si="43"/>
        <v>4.7236572900000003E-2</v>
      </c>
      <c r="Q217" s="109" cm="1">
        <f t="array" ref="Q217">IFERROR(_xlfn.XLOOKUP(1,  (MAX(IF(I217 = 'Processed Non-zero DMR Data'!$K:$K,'Processed Non-zero DMR Data'!$A:$A)) = 'Processed Non-zero DMR Data'!$A:$A)*('Processed Non-zero DMR Data'!$K:$K = I217),'Processed Non-zero DMR Data'!$T:$T), "N/A- Facility Does Not Report DMRs")</f>
        <v>4.7236572900000003E-2</v>
      </c>
      <c r="R217" s="33">
        <f t="shared" si="53"/>
        <v>1.2941526821917809E-4</v>
      </c>
      <c r="S217" s="33" cm="1">
        <f t="array" ref="S217">IF(COUNTIF('Processed Non-zero DMR Data'!$K:$K,$I217)&gt;0,MEDIAN(IF('Processed Non-zero DMR Data'!$K:$K=I217,'Processed Non-zero DMR Data'!$T:$T)),"N/A - Facility Does Not Report DMRs")</f>
        <v>4.7236572900000003E-2</v>
      </c>
      <c r="T217" s="33">
        <f t="shared" si="54"/>
        <v>1.2941526821917809E-4</v>
      </c>
      <c r="U217" s="33">
        <f>IF(COUNTIF('Processed Non-zero DMR Data'!$K:$K,$I217)&gt;0,_xlfn.MAXIFS('Processed Non-zero DMR Data'!$T:$T,'Processed Non-zero DMR Data'!$K:$K,$I217), "N/A - Facility Does Not Report DMRs")</f>
        <v>4.7236572900000003E-2</v>
      </c>
      <c r="V217" s="33">
        <f t="shared" si="55"/>
        <v>1.2941526821917809E-4</v>
      </c>
      <c r="W217" s="110" cm="1">
        <f t="array" ref="W217">IF(COUNTIF('Processed Non-zero DMR Data'!$K:$K,$I217)&gt;0,INDEX('Processed Non-zero DMR Data'!$A:$A,MATCH(1,($I217='Processed Non-zero DMR Data'!$K:$K)*($U217='Processed Non-zero DMR Data'!$T:$T),0)), "N/A - Facility Does Not Report DMRs")</f>
        <v>2023</v>
      </c>
      <c r="X217" s="109" cm="1">
        <f t="array" ref="X217">IFERROR(_xlfn.XLOOKUP(1,  (MAX(IF(H217 = 'Processed Non-zero TRI Data'!$I:$I,'Processed Non-zero TRI Data'!$A:$A)) = 'Processed Non-zero TRI Data'!$A:$A)*('Processed Non-zero TRI Data'!$I:$I = H217), 'Processed Non-zero TRI Data'!$S:$S), "N/A- Facility Does Not Report to TRI")</f>
        <v>0</v>
      </c>
      <c r="Y217" s="33">
        <f t="shared" si="44"/>
        <v>0</v>
      </c>
      <c r="Z217" s="33" t="str" cm="1">
        <f t="array" ref="Z217">IF(COUNTIF('Processed Non-zero TRI Data'!$I:$I,$H217)&gt;0,MEDIAN(IF('Processed Non-zero TRI Data'!$I:$I=H217,'Processed Non-zero TRI Data'!$S:$S)), "N/A - Facility Does Not Report to TRI")</f>
        <v>N/A - Facility Does Not Report to TRI</v>
      </c>
      <c r="AA217" s="33" t="str">
        <f t="shared" si="45"/>
        <v>N/A - Facility Does Not Report to TRI</v>
      </c>
      <c r="AB217" s="33" t="str">
        <f>IF(COUNTIF('Processed Non-zero TRI Data'!$I:$I,$H217)&gt;0,_xlfn.MAXIFS('Processed Non-zero TRI Data'!$S:$S,'Processed Non-zero TRI Data'!$I:$I,$H217), "N/A - Facility Does Not Report to TRI")</f>
        <v>N/A - Facility Does Not Report to TRI</v>
      </c>
      <c r="AC217" s="33" t="str">
        <f t="shared" si="46"/>
        <v>N/A - Facility Does Not Report to TRI</v>
      </c>
      <c r="AD217" s="110" t="str" cm="1">
        <f t="array" ref="AD217">IFERROR(IF(B217 = "TRI Form R", IF(AB217 = 0, "Facility has no on-site water discharges between 2019-2023.",  IF(COUNTIF('Processed Non-zero TRI Data'!$I:$I,$H217)&gt;0,INDEX('Processed Non-zero TRI Data'!$A:$A,MATCH(1,($H217='Processed Non-zero TRI Data'!$I:$I)*(AB217='Processed Non-zero TRI Data'!$S:$S),0)))), VLOOKUP(H217, 'Form A Recent Reporting'!$L:$M, 2, FALSE)), ("N/A - Facility Does Not Report to TRI"))</f>
        <v>N/A - Facility Does Not Report to TRI</v>
      </c>
      <c r="AE217" s="109" cm="1">
        <f t="array" ref="AE217">IFERROR(_xlfn.XLOOKUP(1,  (MAX(IF(H217 = 'Processed Non-zero TRI Data'!$I:$I,'Processed Non-zero TRI Data'!$A:$A)) = 'Processed Non-zero TRI Data'!$A:$A)*('Processed Non-zero TRI Data'!$I:$I = H217), 'Processed Non-zero TRI Data'!$U:$U), "N/A- Facility Does Not Report to TRI")</f>
        <v>0</v>
      </c>
      <c r="AF217" s="33">
        <f t="shared" si="47"/>
        <v>0</v>
      </c>
      <c r="AG217" s="33" t="str" cm="1">
        <f t="array" ref="AG217">IF(COUNTIF('Processed Non-zero TRI Data'!$I:$I,$H217)&gt;0,MEDIAN(IF('Processed Non-zero TRI Data'!$I:$I=H217,'Processed Non-zero TRI Data'!$U:$U)), "N/A - Facility Does Not Report to TRI")</f>
        <v>N/A - Facility Does Not Report to TRI</v>
      </c>
      <c r="AH217" s="33" t="str">
        <f t="shared" si="48"/>
        <v>N/A - Facility Does Not Report to TRI</v>
      </c>
      <c r="AI217" s="33" t="str">
        <f>IF(COUNTIF('Processed Non-zero TRI Data'!$I:$I,$H217)&gt;0,_xlfn.MAXIFS('Processed Non-zero TRI Data'!$U:$U,'Processed Non-zero TRI Data'!$I:$I,$H217), "N/A - Facility Does Not Report to TRI")</f>
        <v>N/A - Facility Does Not Report to TRI</v>
      </c>
      <c r="AJ217" s="33" t="str">
        <f t="shared" si="49"/>
        <v>N/A - Facility Does Not Report to TRI</v>
      </c>
      <c r="AK217" s="110" t="str" cm="1">
        <f t="array" ref="AK217">IF(B217="TRI Form A",AD217,IF(AI217=0,"Facility has no transfers to POTWs between 2019-2023.",IF(COUNTIF('Processed Non-zero TRI Data'!$I:$I,$H217)&gt;0,INDEX('Processed Non-zero TRI Data'!$A:$A,MATCH(1,($H217='Processed Non-zero TRI Data'!$I:$I)*(AI217='Processed Non-zero TRI Data'!$U:$U),0)),"N/A - Facility Does Not Report to TRI")))</f>
        <v>N/A - Facility Does Not Report to TRI</v>
      </c>
      <c r="AL217" s="109" cm="1">
        <f t="array" ref="AL217">IFERROR(_xlfn.XLOOKUP(1,  (MAX(IF(H217 = 'Processed Non-zero TRI Data'!$I$2:$I$23,'Processed Non-zero TRI Data'!$A$2:$A$23)) = 'Processed Non-zero TRI Data'!$A$2:$A$23)*('Processed Non-zero TRI Data'!$I$2:$I$23 = H217), 'Processed Non-zero TRI Data'!$W$2:$W$23), "N/A- Facility Does Not Report to TRI")</f>
        <v>0</v>
      </c>
      <c r="AM217" s="33">
        <f t="shared" si="50"/>
        <v>0</v>
      </c>
      <c r="AN217" s="33" t="str" cm="1">
        <f t="array" ref="AN217">IF(COUNTIF('Processed Non-zero TRI Data'!$I:$I,$H217)&gt;0,MEDIAN(IF('Processed Non-zero TRI Data'!$I:$I=H217,'Processed Non-zero TRI Data'!$W:$W)), "N/A - Facility Does Not Report to TRI")</f>
        <v>N/A - Facility Does Not Report to TRI</v>
      </c>
      <c r="AO217" s="33" t="str">
        <f t="shared" si="51"/>
        <v>N/A - Facility Does Not Report to TRI</v>
      </c>
      <c r="AP217" s="33" t="str">
        <f>IF(COUNTIF('Processed Non-zero TRI Data'!$I:$I,$H217)&gt;0,_xlfn.MAXIFS('Processed Non-zero TRI Data'!$W:$W,'Processed Non-zero TRI Data'!$I:$I,$H217), "N/A - Facility Does Not Report to TRI")</f>
        <v>N/A - Facility Does Not Report to TRI</v>
      </c>
      <c r="AQ217" s="33" t="str">
        <f t="shared" si="52"/>
        <v>N/A - Facility Does Not Report to TRI</v>
      </c>
      <c r="AR217" s="110" t="str" cm="1">
        <f t="array" ref="AR217">IF(B217="TRI Form A",AD217,IF(AP217=0,"Facility has no transfers to non-POTWs between 2019-2023.",IF(COUNTIF('Processed Non-zero TRI Data'!$I:$I,$H217)&gt;0,INDEX('Processed Non-zero TRI Data'!$A:$A,MATCH(1,($H217='Processed Non-zero TRI Data'!$I:$I)*(AP217='Processed Non-zero TRI Data'!$W:$W),0)),"N/A - Facility Does Not Report to TRI")))</f>
        <v>N/A - Facility Does Not Report to TRI</v>
      </c>
    </row>
    <row r="218" spans="1:44" ht="29" x14ac:dyDescent="0.35">
      <c r="A218" s="34">
        <v>215</v>
      </c>
      <c r="B218" s="33" t="str">
        <f>IFERROR("TRI Form "&amp;VLOOKUP(H218,'Processed Non-zero TRI Data'!$I$2:$K$23,3,FALSE),"DMR")</f>
        <v>DMR</v>
      </c>
      <c r="C218" s="33" t="str">
        <f>VLOOKUP($D218, 'COU.OES Summary'!C:D, 2, FALSE)</f>
        <v> </v>
      </c>
      <c r="D218" s="33" t="str">
        <f>IFERROR(VLOOKUP($H218, 'Processed Non-zero TRI Data'!$I:$O, 7, FALSE), VLOOKUP($I218, 'Processed Non-zero DMR Data'!$K:$R, 8, FALSE))</f>
        <v>Waste handling, treatment, and disposal - Remediation or Monitoring</v>
      </c>
      <c r="E218" s="34" t="s">
        <v>512</v>
      </c>
      <c r="F218" s="34" t="s">
        <v>337</v>
      </c>
      <c r="G218" s="34" t="s">
        <v>221</v>
      </c>
      <c r="H218" s="34"/>
      <c r="I218" s="105">
        <v>110059844156</v>
      </c>
      <c r="J218" s="33" t="str">
        <f>IFERROR(VLOOKUP($I218, 'Processed Non-zero DMR Data'!$K:$U, 11, FALSE),"")</f>
        <v>NV0024232</v>
      </c>
      <c r="K218" s="33" t="str">
        <f>IFERROR(VLOOKUP($I218, 'Processed Non-zero DMR Data'!$K:$V, 12, FALSE),"Not Reported")</f>
        <v>City of Las Vegas-Las Vegas Wash</v>
      </c>
      <c r="L218" s="106">
        <f>IFERROR(VLOOKUP($I218, 'Processed Non-zero DMR Data'!$K:$W, 13, FALSE),"No Reach Code Reported")</f>
        <v>150100150604</v>
      </c>
      <c r="M218" s="107" t="str">
        <f>IFERROR(IFERROR(VLOOKUP(H218, 'Off-site Locations'!$K$3:$O$5, 5, FALSE), VLOOKUP(H218, 'Off-site Locations'!$B$3:$E$4, 4, FALSE)), "No Offsite Transfers")</f>
        <v>No Offsite Transfers</v>
      </c>
      <c r="N218" s="33">
        <f>VLOOKUP($D218, 'COU.OES Summary'!C:E, 3, FALSE)</f>
        <v>365</v>
      </c>
      <c r="O218" s="108">
        <f t="shared" si="42"/>
        <v>0</v>
      </c>
      <c r="P218" s="108">
        <f t="shared" si="43"/>
        <v>7.858632271874999E-2</v>
      </c>
      <c r="Q218" s="109" cm="1">
        <f t="array" ref="Q218">IFERROR(_xlfn.XLOOKUP(1,  (MAX(IF(I218 = 'Processed Non-zero DMR Data'!$K:$K,'Processed Non-zero DMR Data'!$A:$A)) = 'Processed Non-zero DMR Data'!$A:$A)*('Processed Non-zero DMR Data'!$K:$K = I218),'Processed Non-zero DMR Data'!$T:$T), "N/A- Facility Does Not Report DMRs")</f>
        <v>7.858632271874999E-2</v>
      </c>
      <c r="R218" s="33">
        <f t="shared" si="53"/>
        <v>2.1530499374999997E-4</v>
      </c>
      <c r="S218" s="33" cm="1">
        <f t="array" ref="S218">IF(COUNTIF('Processed Non-zero DMR Data'!$K:$K,$I218)&gt;0,MEDIAN(IF('Processed Non-zero DMR Data'!$K:$K=I218,'Processed Non-zero DMR Data'!$T:$T)),"N/A - Facility Does Not Report DMRs")</f>
        <v>6.3544278518749997E-2</v>
      </c>
      <c r="T218" s="33">
        <f t="shared" si="54"/>
        <v>1.7409391374999998E-4</v>
      </c>
      <c r="U218" s="33">
        <f>IF(COUNTIF('Processed Non-zero DMR Data'!$K:$K,$I218)&gt;0,_xlfn.MAXIFS('Processed Non-zero DMR Data'!$T:$T,'Processed Non-zero DMR Data'!$K:$K,$I218), "N/A - Facility Does Not Report DMRs")</f>
        <v>7.858632271874999E-2</v>
      </c>
      <c r="V218" s="33">
        <f t="shared" si="55"/>
        <v>2.1530499374999997E-4</v>
      </c>
      <c r="W218" s="110" cm="1">
        <f t="array" ref="W218">IF(COUNTIF('Processed Non-zero DMR Data'!$K:$K,$I218)&gt;0,INDEX('Processed Non-zero DMR Data'!$A:$A,MATCH(1,($I218='Processed Non-zero DMR Data'!$K:$K)*($U218='Processed Non-zero DMR Data'!$T:$T),0)), "N/A - Facility Does Not Report DMRs")</f>
        <v>2023</v>
      </c>
      <c r="X218" s="109" cm="1">
        <f t="array" ref="X218">IFERROR(_xlfn.XLOOKUP(1,  (MAX(IF(H218 = 'Processed Non-zero TRI Data'!$I:$I,'Processed Non-zero TRI Data'!$A:$A)) = 'Processed Non-zero TRI Data'!$A:$A)*('Processed Non-zero TRI Data'!$I:$I = H218), 'Processed Non-zero TRI Data'!$S:$S), "N/A- Facility Does Not Report to TRI")</f>
        <v>0</v>
      </c>
      <c r="Y218" s="33">
        <f t="shared" si="44"/>
        <v>0</v>
      </c>
      <c r="Z218" s="33" t="str" cm="1">
        <f t="array" ref="Z218">IF(COUNTIF('Processed Non-zero TRI Data'!$I:$I,$H218)&gt;0,MEDIAN(IF('Processed Non-zero TRI Data'!$I:$I=H218,'Processed Non-zero TRI Data'!$S:$S)), "N/A - Facility Does Not Report to TRI")</f>
        <v>N/A - Facility Does Not Report to TRI</v>
      </c>
      <c r="AA218" s="33" t="str">
        <f t="shared" si="45"/>
        <v>N/A - Facility Does Not Report to TRI</v>
      </c>
      <c r="AB218" s="33" t="str">
        <f>IF(COUNTIF('Processed Non-zero TRI Data'!$I:$I,$H218)&gt;0,_xlfn.MAXIFS('Processed Non-zero TRI Data'!$S:$S,'Processed Non-zero TRI Data'!$I:$I,$H218), "N/A - Facility Does Not Report to TRI")</f>
        <v>N/A - Facility Does Not Report to TRI</v>
      </c>
      <c r="AC218" s="33" t="str">
        <f t="shared" si="46"/>
        <v>N/A - Facility Does Not Report to TRI</v>
      </c>
      <c r="AD218" s="110" t="str" cm="1">
        <f t="array" ref="AD218">IFERROR(IF(B218 = "TRI Form R", IF(AB218 = 0, "Facility has no on-site water discharges between 2019-2023.",  IF(COUNTIF('Processed Non-zero TRI Data'!$I:$I,$H218)&gt;0,INDEX('Processed Non-zero TRI Data'!$A:$A,MATCH(1,($H218='Processed Non-zero TRI Data'!$I:$I)*(AB218='Processed Non-zero TRI Data'!$S:$S),0)))), VLOOKUP(H218, 'Form A Recent Reporting'!$L:$M, 2, FALSE)), ("N/A - Facility Does Not Report to TRI"))</f>
        <v>N/A - Facility Does Not Report to TRI</v>
      </c>
      <c r="AE218" s="109" cm="1">
        <f t="array" ref="AE218">IFERROR(_xlfn.XLOOKUP(1,  (MAX(IF(H218 = 'Processed Non-zero TRI Data'!$I:$I,'Processed Non-zero TRI Data'!$A:$A)) = 'Processed Non-zero TRI Data'!$A:$A)*('Processed Non-zero TRI Data'!$I:$I = H218), 'Processed Non-zero TRI Data'!$U:$U), "N/A- Facility Does Not Report to TRI")</f>
        <v>0</v>
      </c>
      <c r="AF218" s="33">
        <f t="shared" si="47"/>
        <v>0</v>
      </c>
      <c r="AG218" s="33" t="str" cm="1">
        <f t="array" ref="AG218">IF(COUNTIF('Processed Non-zero TRI Data'!$I:$I,$H218)&gt;0,MEDIAN(IF('Processed Non-zero TRI Data'!$I:$I=H218,'Processed Non-zero TRI Data'!$U:$U)), "N/A - Facility Does Not Report to TRI")</f>
        <v>N/A - Facility Does Not Report to TRI</v>
      </c>
      <c r="AH218" s="33" t="str">
        <f t="shared" si="48"/>
        <v>N/A - Facility Does Not Report to TRI</v>
      </c>
      <c r="AI218" s="33" t="str">
        <f>IF(COUNTIF('Processed Non-zero TRI Data'!$I:$I,$H218)&gt;0,_xlfn.MAXIFS('Processed Non-zero TRI Data'!$U:$U,'Processed Non-zero TRI Data'!$I:$I,$H218), "N/A - Facility Does Not Report to TRI")</f>
        <v>N/A - Facility Does Not Report to TRI</v>
      </c>
      <c r="AJ218" s="33" t="str">
        <f t="shared" si="49"/>
        <v>N/A - Facility Does Not Report to TRI</v>
      </c>
      <c r="AK218" s="110" t="str" cm="1">
        <f t="array" ref="AK218">IF(B218="TRI Form A",AD218,IF(AI218=0,"Facility has no transfers to POTWs between 2019-2023.",IF(COUNTIF('Processed Non-zero TRI Data'!$I:$I,$H218)&gt;0,INDEX('Processed Non-zero TRI Data'!$A:$A,MATCH(1,($H218='Processed Non-zero TRI Data'!$I:$I)*(AI218='Processed Non-zero TRI Data'!$U:$U),0)),"N/A - Facility Does Not Report to TRI")))</f>
        <v>N/A - Facility Does Not Report to TRI</v>
      </c>
      <c r="AL218" s="109" cm="1">
        <f t="array" ref="AL218">IFERROR(_xlfn.XLOOKUP(1,  (MAX(IF(H218 = 'Processed Non-zero TRI Data'!$I$2:$I$23,'Processed Non-zero TRI Data'!$A$2:$A$23)) = 'Processed Non-zero TRI Data'!$A$2:$A$23)*('Processed Non-zero TRI Data'!$I$2:$I$23 = H218), 'Processed Non-zero TRI Data'!$W$2:$W$23), "N/A- Facility Does Not Report to TRI")</f>
        <v>0</v>
      </c>
      <c r="AM218" s="33">
        <f t="shared" si="50"/>
        <v>0</v>
      </c>
      <c r="AN218" s="33" t="str" cm="1">
        <f t="array" ref="AN218">IF(COUNTIF('Processed Non-zero TRI Data'!$I:$I,$H218)&gt;0,MEDIAN(IF('Processed Non-zero TRI Data'!$I:$I=H218,'Processed Non-zero TRI Data'!$W:$W)), "N/A - Facility Does Not Report to TRI")</f>
        <v>N/A - Facility Does Not Report to TRI</v>
      </c>
      <c r="AO218" s="33" t="str">
        <f t="shared" si="51"/>
        <v>N/A - Facility Does Not Report to TRI</v>
      </c>
      <c r="AP218" s="33" t="str">
        <f>IF(COUNTIF('Processed Non-zero TRI Data'!$I:$I,$H218)&gt;0,_xlfn.MAXIFS('Processed Non-zero TRI Data'!$W:$W,'Processed Non-zero TRI Data'!$I:$I,$H218), "N/A - Facility Does Not Report to TRI")</f>
        <v>N/A - Facility Does Not Report to TRI</v>
      </c>
      <c r="AQ218" s="33" t="str">
        <f t="shared" si="52"/>
        <v>N/A - Facility Does Not Report to TRI</v>
      </c>
      <c r="AR218" s="110" t="str" cm="1">
        <f t="array" ref="AR218">IF(B218="TRI Form A",AD218,IF(AP218=0,"Facility has no transfers to non-POTWs between 2019-2023.",IF(COUNTIF('Processed Non-zero TRI Data'!$I:$I,$H218)&gt;0,INDEX('Processed Non-zero TRI Data'!$A:$A,MATCH(1,($H218='Processed Non-zero TRI Data'!$I:$I)*(AP218='Processed Non-zero TRI Data'!$W:$W),0)),"N/A - Facility Does Not Report to TRI")))</f>
        <v>N/A - Facility Does Not Report to TRI</v>
      </c>
    </row>
    <row r="219" spans="1:44" ht="29" x14ac:dyDescent="0.35">
      <c r="A219" s="34">
        <v>216</v>
      </c>
      <c r="B219" s="33" t="str">
        <f>IFERROR("TRI Form "&amp;VLOOKUP(H219,'Processed Non-zero TRI Data'!$I$2:$K$23,3,FALSE),"DMR")</f>
        <v>DMR</v>
      </c>
      <c r="C219" s="33" t="str">
        <f>VLOOKUP($D219, 'COU.OES Summary'!C:D, 2, FALSE)</f>
        <v> </v>
      </c>
      <c r="D219" s="33" t="str">
        <f>IFERROR(VLOOKUP($H219, 'Processed Non-zero TRI Data'!$I:$O, 7, FALSE), VLOOKUP($I219, 'Processed Non-zero DMR Data'!$K:$R, 8, FALSE))</f>
        <v>Waste handling, treatment, and disposal - Remediation or Monitoring</v>
      </c>
      <c r="E219" s="34" t="s">
        <v>513</v>
      </c>
      <c r="F219" s="34" t="s">
        <v>514</v>
      </c>
      <c r="G219" s="34" t="s">
        <v>515</v>
      </c>
      <c r="H219" s="34"/>
      <c r="I219" s="105">
        <v>110000338536</v>
      </c>
      <c r="J219" s="33" t="str">
        <f>IFERROR(VLOOKUP($I219, 'Processed Non-zero DMR Data'!$K:$U, 11, FALSE),"")</f>
        <v>DE0000612</v>
      </c>
      <c r="K219" s="33" t="str">
        <f>IFERROR(VLOOKUP($I219, 'Processed Non-zero DMR Data'!$K:$V, 12, FALSE),"Not Reported")</f>
        <v>Dragon Creek-Delaware River</v>
      </c>
      <c r="L219" s="106">
        <f>IFERROR(VLOOKUP($I219, 'Processed Non-zero DMR Data'!$K:$W, 13, FALSE),"No Reach Code Reported")</f>
        <v>20402050704</v>
      </c>
      <c r="M219" s="107" t="str">
        <f>IFERROR(IFERROR(VLOOKUP(H219, 'Off-site Locations'!$K$3:$O$5, 5, FALSE), VLOOKUP(H219, 'Off-site Locations'!$B$3:$E$4, 4, FALSE)), "No Offsite Transfers")</f>
        <v>No Offsite Transfers</v>
      </c>
      <c r="N219" s="33">
        <f>VLOOKUP($D219, 'COU.OES Summary'!C:E, 3, FALSE)</f>
        <v>365</v>
      </c>
      <c r="O219" s="108">
        <f t="shared" si="42"/>
        <v>0</v>
      </c>
      <c r="P219" s="108">
        <f t="shared" si="43"/>
        <v>4.2562500000000003E-2</v>
      </c>
      <c r="Q219" s="109" cm="1">
        <f t="array" ref="Q219">IFERROR(_xlfn.XLOOKUP(1,  (MAX(IF(I219 = 'Processed Non-zero DMR Data'!$K:$K,'Processed Non-zero DMR Data'!$A:$A)) = 'Processed Non-zero DMR Data'!$A:$A)*('Processed Non-zero DMR Data'!$K:$K = I219),'Processed Non-zero DMR Data'!$T:$T), "N/A- Facility Does Not Report DMRs")</f>
        <v>1.0555500000000001E-2</v>
      </c>
      <c r="R219" s="33">
        <f t="shared" si="53"/>
        <v>2.8919178082191783E-5</v>
      </c>
      <c r="S219" s="33" cm="1">
        <f t="array" ref="S219">IF(COUNTIF('Processed Non-zero DMR Data'!$K:$K,$I219)&gt;0,MEDIAN(IF('Processed Non-zero DMR Data'!$K:$K=I219,'Processed Non-zero DMR Data'!$T:$T)),"N/A - Facility Does Not Report DMRs")</f>
        <v>2.6558999999999999E-2</v>
      </c>
      <c r="T219" s="33">
        <f t="shared" si="54"/>
        <v>7.2764383561643828E-5</v>
      </c>
      <c r="U219" s="33">
        <f>IF(COUNTIF('Processed Non-zero DMR Data'!$K:$K,$I219)&gt;0,_xlfn.MAXIFS('Processed Non-zero DMR Data'!$T:$T,'Processed Non-zero DMR Data'!$K:$K,$I219), "N/A - Facility Does Not Report DMRs")</f>
        <v>4.2562500000000003E-2</v>
      </c>
      <c r="V219" s="33">
        <f t="shared" si="55"/>
        <v>1.166095890410959E-4</v>
      </c>
      <c r="W219" s="110" cm="1">
        <f t="array" ref="W219">IF(COUNTIF('Processed Non-zero DMR Data'!$K:$K,$I219)&gt;0,INDEX('Processed Non-zero DMR Data'!$A:$A,MATCH(1,($I219='Processed Non-zero DMR Data'!$K:$K)*($U219='Processed Non-zero DMR Data'!$T:$T),0)), "N/A - Facility Does Not Report DMRs")</f>
        <v>2019</v>
      </c>
      <c r="X219" s="109" cm="1">
        <f t="array" ref="X219">IFERROR(_xlfn.XLOOKUP(1,  (MAX(IF(H219 = 'Processed Non-zero TRI Data'!$I:$I,'Processed Non-zero TRI Data'!$A:$A)) = 'Processed Non-zero TRI Data'!$A:$A)*('Processed Non-zero TRI Data'!$I:$I = H219), 'Processed Non-zero TRI Data'!$S:$S), "N/A- Facility Does Not Report to TRI")</f>
        <v>0</v>
      </c>
      <c r="Y219" s="33">
        <f t="shared" si="44"/>
        <v>0</v>
      </c>
      <c r="Z219" s="33" t="str" cm="1">
        <f t="array" ref="Z219">IF(COUNTIF('Processed Non-zero TRI Data'!$I:$I,$H219)&gt;0,MEDIAN(IF('Processed Non-zero TRI Data'!$I:$I=H219,'Processed Non-zero TRI Data'!$S:$S)), "N/A - Facility Does Not Report to TRI")</f>
        <v>N/A - Facility Does Not Report to TRI</v>
      </c>
      <c r="AA219" s="33" t="str">
        <f t="shared" si="45"/>
        <v>N/A - Facility Does Not Report to TRI</v>
      </c>
      <c r="AB219" s="33" t="str">
        <f>IF(COUNTIF('Processed Non-zero TRI Data'!$I:$I,$H219)&gt;0,_xlfn.MAXIFS('Processed Non-zero TRI Data'!$S:$S,'Processed Non-zero TRI Data'!$I:$I,$H219), "N/A - Facility Does Not Report to TRI")</f>
        <v>N/A - Facility Does Not Report to TRI</v>
      </c>
      <c r="AC219" s="33" t="str">
        <f t="shared" si="46"/>
        <v>N/A - Facility Does Not Report to TRI</v>
      </c>
      <c r="AD219" s="110" t="str" cm="1">
        <f t="array" ref="AD219">IFERROR(IF(B219 = "TRI Form R", IF(AB219 = 0, "Facility has no on-site water discharges between 2019-2023.",  IF(COUNTIF('Processed Non-zero TRI Data'!$I:$I,$H219)&gt;0,INDEX('Processed Non-zero TRI Data'!$A:$A,MATCH(1,($H219='Processed Non-zero TRI Data'!$I:$I)*(AB219='Processed Non-zero TRI Data'!$S:$S),0)))), VLOOKUP(H219, 'Form A Recent Reporting'!$L:$M, 2, FALSE)), ("N/A - Facility Does Not Report to TRI"))</f>
        <v>N/A - Facility Does Not Report to TRI</v>
      </c>
      <c r="AE219" s="109" cm="1">
        <f t="array" ref="AE219">IFERROR(_xlfn.XLOOKUP(1,  (MAX(IF(H219 = 'Processed Non-zero TRI Data'!$I:$I,'Processed Non-zero TRI Data'!$A:$A)) = 'Processed Non-zero TRI Data'!$A:$A)*('Processed Non-zero TRI Data'!$I:$I = H219), 'Processed Non-zero TRI Data'!$U:$U), "N/A- Facility Does Not Report to TRI")</f>
        <v>0</v>
      </c>
      <c r="AF219" s="33">
        <f t="shared" si="47"/>
        <v>0</v>
      </c>
      <c r="AG219" s="33" t="str" cm="1">
        <f t="array" ref="AG219">IF(COUNTIF('Processed Non-zero TRI Data'!$I:$I,$H219)&gt;0,MEDIAN(IF('Processed Non-zero TRI Data'!$I:$I=H219,'Processed Non-zero TRI Data'!$U:$U)), "N/A - Facility Does Not Report to TRI")</f>
        <v>N/A - Facility Does Not Report to TRI</v>
      </c>
      <c r="AH219" s="33" t="str">
        <f t="shared" si="48"/>
        <v>N/A - Facility Does Not Report to TRI</v>
      </c>
      <c r="AI219" s="33" t="str">
        <f>IF(COUNTIF('Processed Non-zero TRI Data'!$I:$I,$H219)&gt;0,_xlfn.MAXIFS('Processed Non-zero TRI Data'!$U:$U,'Processed Non-zero TRI Data'!$I:$I,$H219), "N/A - Facility Does Not Report to TRI")</f>
        <v>N/A - Facility Does Not Report to TRI</v>
      </c>
      <c r="AJ219" s="33" t="str">
        <f t="shared" si="49"/>
        <v>N/A - Facility Does Not Report to TRI</v>
      </c>
      <c r="AK219" s="110" t="str" cm="1">
        <f t="array" ref="AK219">IF(B219="TRI Form A",AD219,IF(AI219=0,"Facility has no transfers to POTWs between 2019-2023.",IF(COUNTIF('Processed Non-zero TRI Data'!$I:$I,$H219)&gt;0,INDEX('Processed Non-zero TRI Data'!$A:$A,MATCH(1,($H219='Processed Non-zero TRI Data'!$I:$I)*(AI219='Processed Non-zero TRI Data'!$U:$U),0)),"N/A - Facility Does Not Report to TRI")))</f>
        <v>N/A - Facility Does Not Report to TRI</v>
      </c>
      <c r="AL219" s="109" cm="1">
        <f t="array" ref="AL219">IFERROR(_xlfn.XLOOKUP(1,  (MAX(IF(H219 = 'Processed Non-zero TRI Data'!$I$2:$I$23,'Processed Non-zero TRI Data'!$A$2:$A$23)) = 'Processed Non-zero TRI Data'!$A$2:$A$23)*('Processed Non-zero TRI Data'!$I$2:$I$23 = H219), 'Processed Non-zero TRI Data'!$W$2:$W$23), "N/A- Facility Does Not Report to TRI")</f>
        <v>0</v>
      </c>
      <c r="AM219" s="33">
        <f t="shared" si="50"/>
        <v>0</v>
      </c>
      <c r="AN219" s="33" t="str" cm="1">
        <f t="array" ref="AN219">IF(COUNTIF('Processed Non-zero TRI Data'!$I:$I,$H219)&gt;0,MEDIAN(IF('Processed Non-zero TRI Data'!$I:$I=H219,'Processed Non-zero TRI Data'!$W:$W)), "N/A - Facility Does Not Report to TRI")</f>
        <v>N/A - Facility Does Not Report to TRI</v>
      </c>
      <c r="AO219" s="33" t="str">
        <f t="shared" si="51"/>
        <v>N/A - Facility Does Not Report to TRI</v>
      </c>
      <c r="AP219" s="33" t="str">
        <f>IF(COUNTIF('Processed Non-zero TRI Data'!$I:$I,$H219)&gt;0,_xlfn.MAXIFS('Processed Non-zero TRI Data'!$W:$W,'Processed Non-zero TRI Data'!$I:$I,$H219), "N/A - Facility Does Not Report to TRI")</f>
        <v>N/A - Facility Does Not Report to TRI</v>
      </c>
      <c r="AQ219" s="33" t="str">
        <f t="shared" si="52"/>
        <v>N/A - Facility Does Not Report to TRI</v>
      </c>
      <c r="AR219" s="110" t="str" cm="1">
        <f t="array" ref="AR219">IF(B219="TRI Form A",AD219,IF(AP219=0,"Facility has no transfers to non-POTWs between 2019-2023.",IF(COUNTIF('Processed Non-zero TRI Data'!$I:$I,$H219)&gt;0,INDEX('Processed Non-zero TRI Data'!$A:$A,MATCH(1,($H219='Processed Non-zero TRI Data'!$I:$I)*(AP219='Processed Non-zero TRI Data'!$W:$W),0)),"N/A - Facility Does Not Report to TRI")))</f>
        <v>N/A - Facility Does Not Report to TRI</v>
      </c>
    </row>
    <row r="220" spans="1:44" ht="29" x14ac:dyDescent="0.35">
      <c r="A220" s="34">
        <v>217</v>
      </c>
      <c r="B220" s="33" t="str">
        <f>IFERROR("TRI Form "&amp;VLOOKUP(H220,'Processed Non-zero TRI Data'!$I$2:$K$23,3,FALSE),"DMR")</f>
        <v>DMR</v>
      </c>
      <c r="C220" s="33" t="str">
        <f>VLOOKUP($D220, 'COU.OES Summary'!C:D, 2, FALSE)</f>
        <v> </v>
      </c>
      <c r="D220" s="33" t="str">
        <f>IFERROR(VLOOKUP($H220, 'Processed Non-zero TRI Data'!$I:$O, 7, FALSE), VLOOKUP($I220, 'Processed Non-zero DMR Data'!$K:$R, 8, FALSE))</f>
        <v>Waste handling, treatment, and disposal - Remediation or Monitoring</v>
      </c>
      <c r="E220" s="34" t="s">
        <v>516</v>
      </c>
      <c r="F220" s="34" t="s">
        <v>517</v>
      </c>
      <c r="G220" s="34" t="s">
        <v>126</v>
      </c>
      <c r="H220" s="34"/>
      <c r="I220" s="105">
        <v>110000734661</v>
      </c>
      <c r="J220" s="33" t="str">
        <f>IFERROR(VLOOKUP($I220, 'Processed Non-zero DMR Data'!$K:$U, 11, FALSE),"")</f>
        <v>NY0001198</v>
      </c>
      <c r="K220" s="33" t="str">
        <f>IFERROR(VLOOKUP($I220, 'Processed Non-zero DMR Data'!$K:$V, 12, FALSE),"Not Reported")</f>
        <v>City of North Tonawanda-Niagara River</v>
      </c>
      <c r="L220" s="106">
        <f>IFERROR(VLOOKUP($I220, 'Processed Non-zero DMR Data'!$K:$W, 13, FALSE),"No Reach Code Reported")</f>
        <v>41201040604</v>
      </c>
      <c r="M220" s="107" t="str">
        <f>IFERROR(IFERROR(VLOOKUP(H220, 'Off-site Locations'!$K$3:$O$5, 5, FALSE), VLOOKUP(H220, 'Off-site Locations'!$B$3:$E$4, 4, FALSE)), "No Offsite Transfers")</f>
        <v>No Offsite Transfers</v>
      </c>
      <c r="N220" s="33">
        <f>VLOOKUP($D220, 'COU.OES Summary'!C:E, 3, FALSE)</f>
        <v>365</v>
      </c>
      <c r="O220" s="108">
        <f t="shared" si="42"/>
        <v>0</v>
      </c>
      <c r="P220" s="108">
        <f t="shared" si="43"/>
        <v>4.2250203302000001E-2</v>
      </c>
      <c r="Q220" s="109" cm="1">
        <f t="array" ref="Q220">IFERROR(_xlfn.XLOOKUP(1,  (MAX(IF(I220 = 'Processed Non-zero DMR Data'!$K:$K,'Processed Non-zero DMR Data'!$A:$A)) = 'Processed Non-zero DMR Data'!$A:$A)*('Processed Non-zero DMR Data'!$K:$K = I220),'Processed Non-zero DMR Data'!$T:$T), "N/A- Facility Does Not Report DMRs")</f>
        <v>4.2250203302000001E-2</v>
      </c>
      <c r="R220" s="33">
        <f t="shared" si="53"/>
        <v>1.1575398164931507E-4</v>
      </c>
      <c r="S220" s="33" cm="1">
        <f t="array" ref="S220">IF(COUNTIF('Processed Non-zero DMR Data'!$K:$K,$I220)&gt;0,MEDIAN(IF('Processed Non-zero DMR Data'!$K:$K=I220,'Processed Non-zero DMR Data'!$T:$T)),"N/A - Facility Does Not Report DMRs")</f>
        <v>1.5323320040500001E-2</v>
      </c>
      <c r="T220" s="33">
        <f t="shared" si="54"/>
        <v>4.1981698741095891E-5</v>
      </c>
      <c r="U220" s="33">
        <f>IF(COUNTIF('Processed Non-zero DMR Data'!$K:$K,$I220)&gt;0,_xlfn.MAXIFS('Processed Non-zero DMR Data'!$T:$T,'Processed Non-zero DMR Data'!$K:$K,$I220), "N/A - Facility Does Not Report DMRs")</f>
        <v>4.2250203302000001E-2</v>
      </c>
      <c r="V220" s="33">
        <f t="shared" si="55"/>
        <v>1.1575398164931507E-4</v>
      </c>
      <c r="W220" s="110" cm="1">
        <f t="array" ref="W220">IF(COUNTIF('Processed Non-zero DMR Data'!$K:$K,$I220)&gt;0,INDEX('Processed Non-zero DMR Data'!$A:$A,MATCH(1,($I220='Processed Non-zero DMR Data'!$K:$K)*($U220='Processed Non-zero DMR Data'!$T:$T),0)), "N/A - Facility Does Not Report DMRs")</f>
        <v>2023</v>
      </c>
      <c r="X220" s="109" cm="1">
        <f t="array" ref="X220">IFERROR(_xlfn.XLOOKUP(1,  (MAX(IF(H220 = 'Processed Non-zero TRI Data'!$I:$I,'Processed Non-zero TRI Data'!$A:$A)) = 'Processed Non-zero TRI Data'!$A:$A)*('Processed Non-zero TRI Data'!$I:$I = H220), 'Processed Non-zero TRI Data'!$S:$S), "N/A- Facility Does Not Report to TRI")</f>
        <v>0</v>
      </c>
      <c r="Y220" s="33">
        <f t="shared" si="44"/>
        <v>0</v>
      </c>
      <c r="Z220" s="33" t="str" cm="1">
        <f t="array" ref="Z220">IF(COUNTIF('Processed Non-zero TRI Data'!$I:$I,$H220)&gt;0,MEDIAN(IF('Processed Non-zero TRI Data'!$I:$I=H220,'Processed Non-zero TRI Data'!$S:$S)), "N/A - Facility Does Not Report to TRI")</f>
        <v>N/A - Facility Does Not Report to TRI</v>
      </c>
      <c r="AA220" s="33" t="str">
        <f t="shared" si="45"/>
        <v>N/A - Facility Does Not Report to TRI</v>
      </c>
      <c r="AB220" s="33" t="str">
        <f>IF(COUNTIF('Processed Non-zero TRI Data'!$I:$I,$H220)&gt;0,_xlfn.MAXIFS('Processed Non-zero TRI Data'!$S:$S,'Processed Non-zero TRI Data'!$I:$I,$H220), "N/A - Facility Does Not Report to TRI")</f>
        <v>N/A - Facility Does Not Report to TRI</v>
      </c>
      <c r="AC220" s="33" t="str">
        <f t="shared" si="46"/>
        <v>N/A - Facility Does Not Report to TRI</v>
      </c>
      <c r="AD220" s="110" t="str" cm="1">
        <f t="array" ref="AD220">IFERROR(IF(B220 = "TRI Form R", IF(AB220 = 0, "Facility has no on-site water discharges between 2019-2023.",  IF(COUNTIF('Processed Non-zero TRI Data'!$I:$I,$H220)&gt;0,INDEX('Processed Non-zero TRI Data'!$A:$A,MATCH(1,($H220='Processed Non-zero TRI Data'!$I:$I)*(AB220='Processed Non-zero TRI Data'!$S:$S),0)))), VLOOKUP(H220, 'Form A Recent Reporting'!$L:$M, 2, FALSE)), ("N/A - Facility Does Not Report to TRI"))</f>
        <v>N/A - Facility Does Not Report to TRI</v>
      </c>
      <c r="AE220" s="109" cm="1">
        <f t="array" ref="AE220">IFERROR(_xlfn.XLOOKUP(1,  (MAX(IF(H220 = 'Processed Non-zero TRI Data'!$I:$I,'Processed Non-zero TRI Data'!$A:$A)) = 'Processed Non-zero TRI Data'!$A:$A)*('Processed Non-zero TRI Data'!$I:$I = H220), 'Processed Non-zero TRI Data'!$U:$U), "N/A- Facility Does Not Report to TRI")</f>
        <v>0</v>
      </c>
      <c r="AF220" s="33">
        <f t="shared" si="47"/>
        <v>0</v>
      </c>
      <c r="AG220" s="33" t="str" cm="1">
        <f t="array" ref="AG220">IF(COUNTIF('Processed Non-zero TRI Data'!$I:$I,$H220)&gt;0,MEDIAN(IF('Processed Non-zero TRI Data'!$I:$I=H220,'Processed Non-zero TRI Data'!$U:$U)), "N/A - Facility Does Not Report to TRI")</f>
        <v>N/A - Facility Does Not Report to TRI</v>
      </c>
      <c r="AH220" s="33" t="str">
        <f t="shared" si="48"/>
        <v>N/A - Facility Does Not Report to TRI</v>
      </c>
      <c r="AI220" s="33" t="str">
        <f>IF(COUNTIF('Processed Non-zero TRI Data'!$I:$I,$H220)&gt;0,_xlfn.MAXIFS('Processed Non-zero TRI Data'!$U:$U,'Processed Non-zero TRI Data'!$I:$I,$H220), "N/A - Facility Does Not Report to TRI")</f>
        <v>N/A - Facility Does Not Report to TRI</v>
      </c>
      <c r="AJ220" s="33" t="str">
        <f t="shared" si="49"/>
        <v>N/A - Facility Does Not Report to TRI</v>
      </c>
      <c r="AK220" s="110" t="str" cm="1">
        <f t="array" ref="AK220">IF(B220="TRI Form A",AD220,IF(AI220=0,"Facility has no transfers to POTWs between 2019-2023.",IF(COUNTIF('Processed Non-zero TRI Data'!$I:$I,$H220)&gt;0,INDEX('Processed Non-zero TRI Data'!$A:$A,MATCH(1,($H220='Processed Non-zero TRI Data'!$I:$I)*(AI220='Processed Non-zero TRI Data'!$U:$U),0)),"N/A - Facility Does Not Report to TRI")))</f>
        <v>N/A - Facility Does Not Report to TRI</v>
      </c>
      <c r="AL220" s="109" cm="1">
        <f t="array" ref="AL220">IFERROR(_xlfn.XLOOKUP(1,  (MAX(IF(H220 = 'Processed Non-zero TRI Data'!$I$2:$I$23,'Processed Non-zero TRI Data'!$A$2:$A$23)) = 'Processed Non-zero TRI Data'!$A$2:$A$23)*('Processed Non-zero TRI Data'!$I$2:$I$23 = H220), 'Processed Non-zero TRI Data'!$W$2:$W$23), "N/A- Facility Does Not Report to TRI")</f>
        <v>0</v>
      </c>
      <c r="AM220" s="33">
        <f t="shared" si="50"/>
        <v>0</v>
      </c>
      <c r="AN220" s="33" t="str" cm="1">
        <f t="array" ref="AN220">IF(COUNTIF('Processed Non-zero TRI Data'!$I:$I,$H220)&gt;0,MEDIAN(IF('Processed Non-zero TRI Data'!$I:$I=H220,'Processed Non-zero TRI Data'!$W:$W)), "N/A - Facility Does Not Report to TRI")</f>
        <v>N/A - Facility Does Not Report to TRI</v>
      </c>
      <c r="AO220" s="33" t="str">
        <f t="shared" si="51"/>
        <v>N/A - Facility Does Not Report to TRI</v>
      </c>
      <c r="AP220" s="33" t="str">
        <f>IF(COUNTIF('Processed Non-zero TRI Data'!$I:$I,$H220)&gt;0,_xlfn.MAXIFS('Processed Non-zero TRI Data'!$W:$W,'Processed Non-zero TRI Data'!$I:$I,$H220), "N/A - Facility Does Not Report to TRI")</f>
        <v>N/A - Facility Does Not Report to TRI</v>
      </c>
      <c r="AQ220" s="33" t="str">
        <f t="shared" si="52"/>
        <v>N/A - Facility Does Not Report to TRI</v>
      </c>
      <c r="AR220" s="110" t="str" cm="1">
        <f t="array" ref="AR220">IF(B220="TRI Form A",AD220,IF(AP220=0,"Facility has no transfers to non-POTWs between 2019-2023.",IF(COUNTIF('Processed Non-zero TRI Data'!$I:$I,$H220)&gt;0,INDEX('Processed Non-zero TRI Data'!$A:$A,MATCH(1,($H220='Processed Non-zero TRI Data'!$I:$I)*(AP220='Processed Non-zero TRI Data'!$W:$W),0)),"N/A - Facility Does Not Report to TRI")))</f>
        <v>N/A - Facility Does Not Report to TRI</v>
      </c>
    </row>
    <row r="221" spans="1:44" ht="29" x14ac:dyDescent="0.35">
      <c r="A221" s="34">
        <v>218</v>
      </c>
      <c r="B221" s="33" t="str">
        <f>IFERROR("TRI Form "&amp;VLOOKUP(H221,'Processed Non-zero TRI Data'!$I$2:$K$23,3,FALSE),"DMR")</f>
        <v>DMR</v>
      </c>
      <c r="C221" s="33" t="str">
        <f>VLOOKUP($D221, 'COU.OES Summary'!C:D, 2, FALSE)</f>
        <v> </v>
      </c>
      <c r="D221" s="33" t="str">
        <f>IFERROR(VLOOKUP($H221, 'Processed Non-zero TRI Data'!$I:$O, 7, FALSE), VLOOKUP($I221, 'Processed Non-zero DMR Data'!$K:$R, 8, FALSE))</f>
        <v>Waste handling, treatment, and disposal - POTW</v>
      </c>
      <c r="E221" s="34" t="s">
        <v>518</v>
      </c>
      <c r="F221" s="34" t="s">
        <v>519</v>
      </c>
      <c r="G221" s="34" t="s">
        <v>102</v>
      </c>
      <c r="H221" s="34"/>
      <c r="I221" s="105">
        <v>110030476465</v>
      </c>
      <c r="J221" s="33" t="str">
        <f>IFERROR(VLOOKUP($I221, 'Processed Non-zero DMR Data'!$K:$U, 11, FALSE),"")</f>
        <v>CA0104523</v>
      </c>
      <c r="K221" s="33" t="str">
        <f>IFERROR(VLOOKUP($I221, 'Processed Non-zero DMR Data'!$K:$V, 12, FALSE),"Not Reported")</f>
        <v>Ramer Lake-Alamo River</v>
      </c>
      <c r="L221" s="106">
        <f>IFERROR(VLOOKUP($I221, 'Processed Non-zero DMR Data'!$K:$W, 13, FALSE),"No Reach Code Reported")</f>
        <v>181002040705</v>
      </c>
      <c r="M221" s="107" t="str">
        <f>IFERROR(IFERROR(VLOOKUP(H221, 'Off-site Locations'!$K$3:$O$5, 5, FALSE), VLOOKUP(H221, 'Off-site Locations'!$B$3:$E$4, 4, FALSE)), "No Offsite Transfers")</f>
        <v>No Offsite Transfers</v>
      </c>
      <c r="N221" s="33">
        <f>VLOOKUP($D221, 'COU.OES Summary'!C:E, 3, FALSE)</f>
        <v>365</v>
      </c>
      <c r="O221" s="108">
        <f t="shared" si="42"/>
        <v>0</v>
      </c>
      <c r="P221" s="108">
        <f t="shared" si="43"/>
        <v>4.1860207500000003E-2</v>
      </c>
      <c r="Q221" s="109" cm="1">
        <f t="array" ref="Q221">IFERROR(_xlfn.XLOOKUP(1,  (MAX(IF(I221 = 'Processed Non-zero DMR Data'!$K:$K,'Processed Non-zero DMR Data'!$A:$A)) = 'Processed Non-zero DMR Data'!$A:$A)*('Processed Non-zero DMR Data'!$K:$K = I221),'Processed Non-zero DMR Data'!$T:$T), "N/A- Facility Does Not Report DMRs")</f>
        <v>4.1860207500000003E-2</v>
      </c>
      <c r="R221" s="33">
        <f t="shared" si="53"/>
        <v>1.1468550000000001E-4</v>
      </c>
      <c r="S221" s="33" cm="1">
        <f t="array" ref="S221">IF(COUNTIF('Processed Non-zero DMR Data'!$K:$K,$I221)&gt;0,MEDIAN(IF('Processed Non-zero DMR Data'!$K:$K=I221,'Processed Non-zero DMR Data'!$T:$T)),"N/A - Facility Does Not Report DMRs")</f>
        <v>4.1860207500000003E-2</v>
      </c>
      <c r="T221" s="33">
        <f t="shared" si="54"/>
        <v>1.1468550000000001E-4</v>
      </c>
      <c r="U221" s="33">
        <f>IF(COUNTIF('Processed Non-zero DMR Data'!$K:$K,$I221)&gt;0,_xlfn.MAXIFS('Processed Non-zero DMR Data'!$T:$T,'Processed Non-zero DMR Data'!$K:$K,$I221), "N/A - Facility Does Not Report DMRs")</f>
        <v>4.1860207500000003E-2</v>
      </c>
      <c r="V221" s="33">
        <f t="shared" si="55"/>
        <v>1.1468550000000001E-4</v>
      </c>
      <c r="W221" s="110" cm="1">
        <f t="array" ref="W221">IF(COUNTIF('Processed Non-zero DMR Data'!$K:$K,$I221)&gt;0,INDEX('Processed Non-zero DMR Data'!$A:$A,MATCH(1,($I221='Processed Non-zero DMR Data'!$K:$K)*($U221='Processed Non-zero DMR Data'!$T:$T),0)), "N/A - Facility Does Not Report DMRs")</f>
        <v>2019</v>
      </c>
      <c r="X221" s="109" cm="1">
        <f t="array" ref="X221">IFERROR(_xlfn.XLOOKUP(1,  (MAX(IF(H221 = 'Processed Non-zero TRI Data'!$I:$I,'Processed Non-zero TRI Data'!$A:$A)) = 'Processed Non-zero TRI Data'!$A:$A)*('Processed Non-zero TRI Data'!$I:$I = H221), 'Processed Non-zero TRI Data'!$S:$S), "N/A- Facility Does Not Report to TRI")</f>
        <v>0</v>
      </c>
      <c r="Y221" s="33">
        <f t="shared" si="44"/>
        <v>0</v>
      </c>
      <c r="Z221" s="33" t="str" cm="1">
        <f t="array" ref="Z221">IF(COUNTIF('Processed Non-zero TRI Data'!$I:$I,$H221)&gt;0,MEDIAN(IF('Processed Non-zero TRI Data'!$I:$I=H221,'Processed Non-zero TRI Data'!$S:$S)), "N/A - Facility Does Not Report to TRI")</f>
        <v>N/A - Facility Does Not Report to TRI</v>
      </c>
      <c r="AA221" s="33" t="str">
        <f t="shared" si="45"/>
        <v>N/A - Facility Does Not Report to TRI</v>
      </c>
      <c r="AB221" s="33" t="str">
        <f>IF(COUNTIF('Processed Non-zero TRI Data'!$I:$I,$H221)&gt;0,_xlfn.MAXIFS('Processed Non-zero TRI Data'!$S:$S,'Processed Non-zero TRI Data'!$I:$I,$H221), "N/A - Facility Does Not Report to TRI")</f>
        <v>N/A - Facility Does Not Report to TRI</v>
      </c>
      <c r="AC221" s="33" t="str">
        <f t="shared" si="46"/>
        <v>N/A - Facility Does Not Report to TRI</v>
      </c>
      <c r="AD221" s="110" t="str" cm="1">
        <f t="array" ref="AD221">IFERROR(IF(B221 = "TRI Form R", IF(AB221 = 0, "Facility has no on-site water discharges between 2019-2023.",  IF(COUNTIF('Processed Non-zero TRI Data'!$I:$I,$H221)&gt;0,INDEX('Processed Non-zero TRI Data'!$A:$A,MATCH(1,($H221='Processed Non-zero TRI Data'!$I:$I)*(AB221='Processed Non-zero TRI Data'!$S:$S),0)))), VLOOKUP(H221, 'Form A Recent Reporting'!$L:$M, 2, FALSE)), ("N/A - Facility Does Not Report to TRI"))</f>
        <v>N/A - Facility Does Not Report to TRI</v>
      </c>
      <c r="AE221" s="109" cm="1">
        <f t="array" ref="AE221">IFERROR(_xlfn.XLOOKUP(1,  (MAX(IF(H221 = 'Processed Non-zero TRI Data'!$I:$I,'Processed Non-zero TRI Data'!$A:$A)) = 'Processed Non-zero TRI Data'!$A:$A)*('Processed Non-zero TRI Data'!$I:$I = H221), 'Processed Non-zero TRI Data'!$U:$U), "N/A- Facility Does Not Report to TRI")</f>
        <v>0</v>
      </c>
      <c r="AF221" s="33">
        <f t="shared" si="47"/>
        <v>0</v>
      </c>
      <c r="AG221" s="33" t="str" cm="1">
        <f t="array" ref="AG221">IF(COUNTIF('Processed Non-zero TRI Data'!$I:$I,$H221)&gt;0,MEDIAN(IF('Processed Non-zero TRI Data'!$I:$I=H221,'Processed Non-zero TRI Data'!$U:$U)), "N/A - Facility Does Not Report to TRI")</f>
        <v>N/A - Facility Does Not Report to TRI</v>
      </c>
      <c r="AH221" s="33" t="str">
        <f t="shared" si="48"/>
        <v>N/A - Facility Does Not Report to TRI</v>
      </c>
      <c r="AI221" s="33" t="str">
        <f>IF(COUNTIF('Processed Non-zero TRI Data'!$I:$I,$H221)&gt;0,_xlfn.MAXIFS('Processed Non-zero TRI Data'!$U:$U,'Processed Non-zero TRI Data'!$I:$I,$H221), "N/A - Facility Does Not Report to TRI")</f>
        <v>N/A - Facility Does Not Report to TRI</v>
      </c>
      <c r="AJ221" s="33" t="str">
        <f t="shared" si="49"/>
        <v>N/A - Facility Does Not Report to TRI</v>
      </c>
      <c r="AK221" s="110" t="str" cm="1">
        <f t="array" ref="AK221">IF(B221="TRI Form A",AD221,IF(AI221=0,"Facility has no transfers to POTWs between 2019-2023.",IF(COUNTIF('Processed Non-zero TRI Data'!$I:$I,$H221)&gt;0,INDEX('Processed Non-zero TRI Data'!$A:$A,MATCH(1,($H221='Processed Non-zero TRI Data'!$I:$I)*(AI221='Processed Non-zero TRI Data'!$U:$U),0)),"N/A - Facility Does Not Report to TRI")))</f>
        <v>N/A - Facility Does Not Report to TRI</v>
      </c>
      <c r="AL221" s="109" cm="1">
        <f t="array" ref="AL221">IFERROR(_xlfn.XLOOKUP(1,  (MAX(IF(H221 = 'Processed Non-zero TRI Data'!$I$2:$I$23,'Processed Non-zero TRI Data'!$A$2:$A$23)) = 'Processed Non-zero TRI Data'!$A$2:$A$23)*('Processed Non-zero TRI Data'!$I$2:$I$23 = H221), 'Processed Non-zero TRI Data'!$W$2:$W$23), "N/A- Facility Does Not Report to TRI")</f>
        <v>0</v>
      </c>
      <c r="AM221" s="33">
        <f t="shared" si="50"/>
        <v>0</v>
      </c>
      <c r="AN221" s="33" t="str" cm="1">
        <f t="array" ref="AN221">IF(COUNTIF('Processed Non-zero TRI Data'!$I:$I,$H221)&gt;0,MEDIAN(IF('Processed Non-zero TRI Data'!$I:$I=H221,'Processed Non-zero TRI Data'!$W:$W)), "N/A - Facility Does Not Report to TRI")</f>
        <v>N/A - Facility Does Not Report to TRI</v>
      </c>
      <c r="AO221" s="33" t="str">
        <f t="shared" si="51"/>
        <v>N/A - Facility Does Not Report to TRI</v>
      </c>
      <c r="AP221" s="33" t="str">
        <f>IF(COUNTIF('Processed Non-zero TRI Data'!$I:$I,$H221)&gt;0,_xlfn.MAXIFS('Processed Non-zero TRI Data'!$W:$W,'Processed Non-zero TRI Data'!$I:$I,$H221), "N/A - Facility Does Not Report to TRI")</f>
        <v>N/A - Facility Does Not Report to TRI</v>
      </c>
      <c r="AQ221" s="33" t="str">
        <f t="shared" si="52"/>
        <v>N/A - Facility Does Not Report to TRI</v>
      </c>
      <c r="AR221" s="110" t="str" cm="1">
        <f t="array" ref="AR221">IF(B221="TRI Form A",AD221,IF(AP221=0,"Facility has no transfers to non-POTWs between 2019-2023.",IF(COUNTIF('Processed Non-zero TRI Data'!$I:$I,$H221)&gt;0,INDEX('Processed Non-zero TRI Data'!$A:$A,MATCH(1,($H221='Processed Non-zero TRI Data'!$I:$I)*(AP221='Processed Non-zero TRI Data'!$W:$W),0)),"N/A - Facility Does Not Report to TRI")))</f>
        <v>N/A - Facility Does Not Report to TRI</v>
      </c>
    </row>
    <row r="222" spans="1:44" ht="29" x14ac:dyDescent="0.35">
      <c r="A222" s="34">
        <v>219</v>
      </c>
      <c r="B222" s="33" t="str">
        <f>IFERROR("TRI Form "&amp;VLOOKUP(H222,'Processed Non-zero TRI Data'!$I$2:$K$23,3,FALSE),"DMR")</f>
        <v>DMR</v>
      </c>
      <c r="C222" s="33" t="str">
        <f>VLOOKUP($D222, 'COU.OES Summary'!C:D, 2, FALSE)</f>
        <v> </v>
      </c>
      <c r="D222" s="33" t="str">
        <f>IFERROR(VLOOKUP($H222, 'Processed Non-zero TRI Data'!$I:$O, 7, FALSE), VLOOKUP($I222, 'Processed Non-zero DMR Data'!$K:$R, 8, FALSE))</f>
        <v>Waste handling, treatment, and disposal - Remediation or Monitoring</v>
      </c>
      <c r="E222" s="34" t="s">
        <v>520</v>
      </c>
      <c r="F222" s="34" t="s">
        <v>521</v>
      </c>
      <c r="G222" s="34" t="s">
        <v>181</v>
      </c>
      <c r="H222" s="34"/>
      <c r="I222" s="105">
        <v>110003614358</v>
      </c>
      <c r="J222" s="33" t="str">
        <f>IFERROR(VLOOKUP($I222, 'Processed Non-zero DMR Data'!$K:$U, 11, FALSE),"")</f>
        <v>MI0059987</v>
      </c>
      <c r="K222" s="33" t="str">
        <f>IFERROR(VLOOKUP($I222, 'Processed Non-zero DMR Data'!$K:$V, 12, FALSE),"Not Reported")</f>
        <v>Bogue Creek</v>
      </c>
      <c r="L222" s="106">
        <f>IFERROR(VLOOKUP($I222, 'Processed Non-zero DMR Data'!$K:$W, 13, FALSE),"No Reach Code Reported")</f>
        <v>40802030104</v>
      </c>
      <c r="M222" s="107" t="str">
        <f>IFERROR(IFERROR(VLOOKUP(H222, 'Off-site Locations'!$K$3:$O$5, 5, FALSE), VLOOKUP(H222, 'Off-site Locations'!$B$3:$E$4, 4, FALSE)), "No Offsite Transfers")</f>
        <v>No Offsite Transfers</v>
      </c>
      <c r="N222" s="33">
        <f>VLOOKUP($D222, 'COU.OES Summary'!C:E, 3, FALSE)</f>
        <v>365</v>
      </c>
      <c r="O222" s="108">
        <f t="shared" si="42"/>
        <v>0</v>
      </c>
      <c r="P222" s="108">
        <f t="shared" si="43"/>
        <v>4.1547945000000003E-2</v>
      </c>
      <c r="Q222" s="109" cm="1">
        <f t="array" ref="Q222">IFERROR(_xlfn.XLOOKUP(1,  (MAX(IF(I222 = 'Processed Non-zero DMR Data'!$K:$K,'Processed Non-zero DMR Data'!$A:$A)) = 'Processed Non-zero DMR Data'!$A:$A)*('Processed Non-zero DMR Data'!$K:$K = I222),'Processed Non-zero DMR Data'!$T:$T), "N/A- Facility Does Not Report DMRs")</f>
        <v>1.8011094545454499E-2</v>
      </c>
      <c r="R222" s="33">
        <f t="shared" si="53"/>
        <v>4.9345464508094521E-5</v>
      </c>
      <c r="S222" s="33" cm="1">
        <f t="array" ref="S222">IF(COUNTIF('Processed Non-zero DMR Data'!$K:$K,$I222)&gt;0,MEDIAN(IF('Processed Non-zero DMR Data'!$K:$K=I222,'Processed Non-zero DMR Data'!$T:$T)),"N/A - Facility Does Not Report DMRs")</f>
        <v>2.9413234999999999E-2</v>
      </c>
      <c r="T222" s="33">
        <f t="shared" si="54"/>
        <v>8.0584205479452057E-5</v>
      </c>
      <c r="U222" s="33">
        <f>IF(COUNTIF('Processed Non-zero DMR Data'!$K:$K,$I222)&gt;0,_xlfn.MAXIFS('Processed Non-zero DMR Data'!$T:$T,'Processed Non-zero DMR Data'!$K:$K,$I222), "N/A - Facility Does Not Report DMRs")</f>
        <v>4.1547945000000003E-2</v>
      </c>
      <c r="V222" s="33">
        <f t="shared" si="55"/>
        <v>1.1382998630136987E-4</v>
      </c>
      <c r="W222" s="110" cm="1">
        <f t="array" ref="W222">IF(COUNTIF('Processed Non-zero DMR Data'!$K:$K,$I222)&gt;0,INDEX('Processed Non-zero DMR Data'!$A:$A,MATCH(1,($I222='Processed Non-zero DMR Data'!$K:$K)*($U222='Processed Non-zero DMR Data'!$T:$T),0)), "N/A - Facility Does Not Report DMRs")</f>
        <v>2019</v>
      </c>
      <c r="X222" s="109" cm="1">
        <f t="array" ref="X222">IFERROR(_xlfn.XLOOKUP(1,  (MAX(IF(H222 = 'Processed Non-zero TRI Data'!$I:$I,'Processed Non-zero TRI Data'!$A:$A)) = 'Processed Non-zero TRI Data'!$A:$A)*('Processed Non-zero TRI Data'!$I:$I = H222), 'Processed Non-zero TRI Data'!$S:$S), "N/A- Facility Does Not Report to TRI")</f>
        <v>0</v>
      </c>
      <c r="Y222" s="33">
        <f t="shared" si="44"/>
        <v>0</v>
      </c>
      <c r="Z222" s="33" t="str" cm="1">
        <f t="array" ref="Z222">IF(COUNTIF('Processed Non-zero TRI Data'!$I:$I,$H222)&gt;0,MEDIAN(IF('Processed Non-zero TRI Data'!$I:$I=H222,'Processed Non-zero TRI Data'!$S:$S)), "N/A - Facility Does Not Report to TRI")</f>
        <v>N/A - Facility Does Not Report to TRI</v>
      </c>
      <c r="AA222" s="33" t="str">
        <f t="shared" si="45"/>
        <v>N/A - Facility Does Not Report to TRI</v>
      </c>
      <c r="AB222" s="33" t="str">
        <f>IF(COUNTIF('Processed Non-zero TRI Data'!$I:$I,$H222)&gt;0,_xlfn.MAXIFS('Processed Non-zero TRI Data'!$S:$S,'Processed Non-zero TRI Data'!$I:$I,$H222), "N/A - Facility Does Not Report to TRI")</f>
        <v>N/A - Facility Does Not Report to TRI</v>
      </c>
      <c r="AC222" s="33" t="str">
        <f t="shared" si="46"/>
        <v>N/A - Facility Does Not Report to TRI</v>
      </c>
      <c r="AD222" s="110" t="str" cm="1">
        <f t="array" ref="AD222">IFERROR(IF(B222 = "TRI Form R", IF(AB222 = 0, "Facility has no on-site water discharges between 2019-2023.",  IF(COUNTIF('Processed Non-zero TRI Data'!$I:$I,$H222)&gt;0,INDEX('Processed Non-zero TRI Data'!$A:$A,MATCH(1,($H222='Processed Non-zero TRI Data'!$I:$I)*(AB222='Processed Non-zero TRI Data'!$S:$S),0)))), VLOOKUP(H222, 'Form A Recent Reporting'!$L:$M, 2, FALSE)), ("N/A - Facility Does Not Report to TRI"))</f>
        <v>N/A - Facility Does Not Report to TRI</v>
      </c>
      <c r="AE222" s="109" cm="1">
        <f t="array" ref="AE222">IFERROR(_xlfn.XLOOKUP(1,  (MAX(IF(H222 = 'Processed Non-zero TRI Data'!$I:$I,'Processed Non-zero TRI Data'!$A:$A)) = 'Processed Non-zero TRI Data'!$A:$A)*('Processed Non-zero TRI Data'!$I:$I = H222), 'Processed Non-zero TRI Data'!$U:$U), "N/A- Facility Does Not Report to TRI")</f>
        <v>0</v>
      </c>
      <c r="AF222" s="33">
        <f t="shared" si="47"/>
        <v>0</v>
      </c>
      <c r="AG222" s="33" t="str" cm="1">
        <f t="array" ref="AG222">IF(COUNTIF('Processed Non-zero TRI Data'!$I:$I,$H222)&gt;0,MEDIAN(IF('Processed Non-zero TRI Data'!$I:$I=H222,'Processed Non-zero TRI Data'!$U:$U)), "N/A - Facility Does Not Report to TRI")</f>
        <v>N/A - Facility Does Not Report to TRI</v>
      </c>
      <c r="AH222" s="33" t="str">
        <f t="shared" si="48"/>
        <v>N/A - Facility Does Not Report to TRI</v>
      </c>
      <c r="AI222" s="33" t="str">
        <f>IF(COUNTIF('Processed Non-zero TRI Data'!$I:$I,$H222)&gt;0,_xlfn.MAXIFS('Processed Non-zero TRI Data'!$U:$U,'Processed Non-zero TRI Data'!$I:$I,$H222), "N/A - Facility Does Not Report to TRI")</f>
        <v>N/A - Facility Does Not Report to TRI</v>
      </c>
      <c r="AJ222" s="33" t="str">
        <f t="shared" si="49"/>
        <v>N/A - Facility Does Not Report to TRI</v>
      </c>
      <c r="AK222" s="110" t="str" cm="1">
        <f t="array" ref="AK222">IF(B222="TRI Form A",AD222,IF(AI222=0,"Facility has no transfers to POTWs between 2019-2023.",IF(COUNTIF('Processed Non-zero TRI Data'!$I:$I,$H222)&gt;0,INDEX('Processed Non-zero TRI Data'!$A:$A,MATCH(1,($H222='Processed Non-zero TRI Data'!$I:$I)*(AI222='Processed Non-zero TRI Data'!$U:$U),0)),"N/A - Facility Does Not Report to TRI")))</f>
        <v>N/A - Facility Does Not Report to TRI</v>
      </c>
      <c r="AL222" s="109" cm="1">
        <f t="array" ref="AL222">IFERROR(_xlfn.XLOOKUP(1,  (MAX(IF(H222 = 'Processed Non-zero TRI Data'!$I$2:$I$23,'Processed Non-zero TRI Data'!$A$2:$A$23)) = 'Processed Non-zero TRI Data'!$A$2:$A$23)*('Processed Non-zero TRI Data'!$I$2:$I$23 = H222), 'Processed Non-zero TRI Data'!$W$2:$W$23), "N/A- Facility Does Not Report to TRI")</f>
        <v>0</v>
      </c>
      <c r="AM222" s="33">
        <f t="shared" si="50"/>
        <v>0</v>
      </c>
      <c r="AN222" s="33" t="str" cm="1">
        <f t="array" ref="AN222">IF(COUNTIF('Processed Non-zero TRI Data'!$I:$I,$H222)&gt;0,MEDIAN(IF('Processed Non-zero TRI Data'!$I:$I=H222,'Processed Non-zero TRI Data'!$W:$W)), "N/A - Facility Does Not Report to TRI")</f>
        <v>N/A - Facility Does Not Report to TRI</v>
      </c>
      <c r="AO222" s="33" t="str">
        <f t="shared" si="51"/>
        <v>N/A - Facility Does Not Report to TRI</v>
      </c>
      <c r="AP222" s="33" t="str">
        <f>IF(COUNTIF('Processed Non-zero TRI Data'!$I:$I,$H222)&gt;0,_xlfn.MAXIFS('Processed Non-zero TRI Data'!$W:$W,'Processed Non-zero TRI Data'!$I:$I,$H222), "N/A - Facility Does Not Report to TRI")</f>
        <v>N/A - Facility Does Not Report to TRI</v>
      </c>
      <c r="AQ222" s="33" t="str">
        <f t="shared" si="52"/>
        <v>N/A - Facility Does Not Report to TRI</v>
      </c>
      <c r="AR222" s="110" t="str" cm="1">
        <f t="array" ref="AR222">IF(B222="TRI Form A",AD222,IF(AP222=0,"Facility has no transfers to non-POTWs between 2019-2023.",IF(COUNTIF('Processed Non-zero TRI Data'!$I:$I,$H222)&gt;0,INDEX('Processed Non-zero TRI Data'!$A:$A,MATCH(1,($H222='Processed Non-zero TRI Data'!$I:$I)*(AP222='Processed Non-zero TRI Data'!$W:$W),0)),"N/A - Facility Does Not Report to TRI")))</f>
        <v>N/A - Facility Does Not Report to TRI</v>
      </c>
    </row>
    <row r="223" spans="1:44" ht="29" x14ac:dyDescent="0.35">
      <c r="A223" s="34">
        <v>220</v>
      </c>
      <c r="B223" s="33" t="str">
        <f>IFERROR("TRI Form "&amp;VLOOKUP(H223,'Processed Non-zero TRI Data'!$I$2:$K$23,3,FALSE),"DMR")</f>
        <v>DMR</v>
      </c>
      <c r="C223" s="33" t="str">
        <f>VLOOKUP($D223, 'COU.OES Summary'!C:D, 2, FALSE)</f>
        <v> </v>
      </c>
      <c r="D223" s="33" t="str">
        <f>IFERROR(VLOOKUP($H223, 'Processed Non-zero TRI Data'!$I:$O, 7, FALSE), VLOOKUP($I223, 'Processed Non-zero DMR Data'!$K:$R, 8, FALSE))</f>
        <v>Waste handling, treatment, and disposal - POTW</v>
      </c>
      <c r="E223" s="34" t="s">
        <v>522</v>
      </c>
      <c r="F223" s="34" t="s">
        <v>523</v>
      </c>
      <c r="G223" s="34" t="s">
        <v>102</v>
      </c>
      <c r="H223" s="34"/>
      <c r="I223" s="105">
        <v>110001177958</v>
      </c>
      <c r="J223" s="33" t="str">
        <f>IFERROR(VLOOKUP($I223, 'Processed Non-zero DMR Data'!$K:$U, 11, FALSE),"")</f>
        <v>CA0104451</v>
      </c>
      <c r="K223" s="33" t="str">
        <f>IFERROR(VLOOKUP($I223, 'Processed Non-zero DMR Data'!$K:$V, 12, FALSE),"Not Reported")</f>
        <v>Town of Niland-Frontal Salton Sea</v>
      </c>
      <c r="L223" s="106">
        <f>IFERROR(VLOOKUP($I223, 'Processed Non-zero DMR Data'!$K:$W, 13, FALSE),"No Reach Code Reported")</f>
        <v>181002041109</v>
      </c>
      <c r="M223" s="107" t="str">
        <f>IFERROR(IFERROR(VLOOKUP(H223, 'Off-site Locations'!$K$3:$O$5, 5, FALSE), VLOOKUP(H223, 'Off-site Locations'!$B$3:$E$4, 4, FALSE)), "No Offsite Transfers")</f>
        <v>No Offsite Transfers</v>
      </c>
      <c r="N223" s="33">
        <f>VLOOKUP($D223, 'COU.OES Summary'!C:E, 3, FALSE)</f>
        <v>365</v>
      </c>
      <c r="O223" s="108">
        <f t="shared" si="42"/>
        <v>0</v>
      </c>
      <c r="P223" s="108">
        <f t="shared" si="43"/>
        <v>4.1445750000000003E-2</v>
      </c>
      <c r="Q223" s="109" cm="1">
        <f t="array" ref="Q223">IFERROR(_xlfn.XLOOKUP(1,  (MAX(IF(I223 = 'Processed Non-zero DMR Data'!$K:$K,'Processed Non-zero DMR Data'!$A:$A)) = 'Processed Non-zero DMR Data'!$A:$A)*('Processed Non-zero DMR Data'!$K:$K = I223),'Processed Non-zero DMR Data'!$T:$T), "N/A- Facility Does Not Report DMRs")</f>
        <v>4.1445750000000003E-2</v>
      </c>
      <c r="R223" s="33">
        <f t="shared" si="53"/>
        <v>1.1355000000000001E-4</v>
      </c>
      <c r="S223" s="33" cm="1">
        <f t="array" ref="S223">IF(COUNTIF('Processed Non-zero DMR Data'!$K:$K,$I223)&gt;0,MEDIAN(IF('Processed Non-zero DMR Data'!$K:$K=I223,'Processed Non-zero DMR Data'!$T:$T)),"N/A - Facility Does Not Report DMRs")</f>
        <v>4.1445750000000003E-2</v>
      </c>
      <c r="T223" s="33">
        <f t="shared" si="54"/>
        <v>1.1355000000000001E-4</v>
      </c>
      <c r="U223" s="33">
        <f>IF(COUNTIF('Processed Non-zero DMR Data'!$K:$K,$I223)&gt;0,_xlfn.MAXIFS('Processed Non-zero DMR Data'!$T:$T,'Processed Non-zero DMR Data'!$K:$K,$I223), "N/A - Facility Does Not Report DMRs")</f>
        <v>4.1445750000000003E-2</v>
      </c>
      <c r="V223" s="33">
        <f t="shared" si="55"/>
        <v>1.1355000000000001E-4</v>
      </c>
      <c r="W223" s="110" cm="1">
        <f t="array" ref="W223">IF(COUNTIF('Processed Non-zero DMR Data'!$K:$K,$I223)&gt;0,INDEX('Processed Non-zero DMR Data'!$A:$A,MATCH(1,($I223='Processed Non-zero DMR Data'!$K:$K)*($U223='Processed Non-zero DMR Data'!$T:$T),0)), "N/A - Facility Does Not Report DMRs")</f>
        <v>2019</v>
      </c>
      <c r="X223" s="109" cm="1">
        <f t="array" ref="X223">IFERROR(_xlfn.XLOOKUP(1,  (MAX(IF(H223 = 'Processed Non-zero TRI Data'!$I:$I,'Processed Non-zero TRI Data'!$A:$A)) = 'Processed Non-zero TRI Data'!$A:$A)*('Processed Non-zero TRI Data'!$I:$I = H223), 'Processed Non-zero TRI Data'!$S:$S), "N/A- Facility Does Not Report to TRI")</f>
        <v>0</v>
      </c>
      <c r="Y223" s="33">
        <f t="shared" si="44"/>
        <v>0</v>
      </c>
      <c r="Z223" s="33" t="str" cm="1">
        <f t="array" ref="Z223">IF(COUNTIF('Processed Non-zero TRI Data'!$I:$I,$H223)&gt;0,MEDIAN(IF('Processed Non-zero TRI Data'!$I:$I=H223,'Processed Non-zero TRI Data'!$S:$S)), "N/A - Facility Does Not Report to TRI")</f>
        <v>N/A - Facility Does Not Report to TRI</v>
      </c>
      <c r="AA223" s="33" t="str">
        <f t="shared" si="45"/>
        <v>N/A - Facility Does Not Report to TRI</v>
      </c>
      <c r="AB223" s="33" t="str">
        <f>IF(COUNTIF('Processed Non-zero TRI Data'!$I:$I,$H223)&gt;0,_xlfn.MAXIFS('Processed Non-zero TRI Data'!$S:$S,'Processed Non-zero TRI Data'!$I:$I,$H223), "N/A - Facility Does Not Report to TRI")</f>
        <v>N/A - Facility Does Not Report to TRI</v>
      </c>
      <c r="AC223" s="33" t="str">
        <f t="shared" si="46"/>
        <v>N/A - Facility Does Not Report to TRI</v>
      </c>
      <c r="AD223" s="110" t="str" cm="1">
        <f t="array" ref="AD223">IFERROR(IF(B223 = "TRI Form R", IF(AB223 = 0, "Facility has no on-site water discharges between 2019-2023.",  IF(COUNTIF('Processed Non-zero TRI Data'!$I:$I,$H223)&gt;0,INDEX('Processed Non-zero TRI Data'!$A:$A,MATCH(1,($H223='Processed Non-zero TRI Data'!$I:$I)*(AB223='Processed Non-zero TRI Data'!$S:$S),0)))), VLOOKUP(H223, 'Form A Recent Reporting'!$L:$M, 2, FALSE)), ("N/A - Facility Does Not Report to TRI"))</f>
        <v>N/A - Facility Does Not Report to TRI</v>
      </c>
      <c r="AE223" s="109" cm="1">
        <f t="array" ref="AE223">IFERROR(_xlfn.XLOOKUP(1,  (MAX(IF(H223 = 'Processed Non-zero TRI Data'!$I:$I,'Processed Non-zero TRI Data'!$A:$A)) = 'Processed Non-zero TRI Data'!$A:$A)*('Processed Non-zero TRI Data'!$I:$I = H223), 'Processed Non-zero TRI Data'!$U:$U), "N/A- Facility Does Not Report to TRI")</f>
        <v>0</v>
      </c>
      <c r="AF223" s="33">
        <f t="shared" si="47"/>
        <v>0</v>
      </c>
      <c r="AG223" s="33" t="str" cm="1">
        <f t="array" ref="AG223">IF(COUNTIF('Processed Non-zero TRI Data'!$I:$I,$H223)&gt;0,MEDIAN(IF('Processed Non-zero TRI Data'!$I:$I=H223,'Processed Non-zero TRI Data'!$U:$U)), "N/A - Facility Does Not Report to TRI")</f>
        <v>N/A - Facility Does Not Report to TRI</v>
      </c>
      <c r="AH223" s="33" t="str">
        <f t="shared" si="48"/>
        <v>N/A - Facility Does Not Report to TRI</v>
      </c>
      <c r="AI223" s="33" t="str">
        <f>IF(COUNTIF('Processed Non-zero TRI Data'!$I:$I,$H223)&gt;0,_xlfn.MAXIFS('Processed Non-zero TRI Data'!$U:$U,'Processed Non-zero TRI Data'!$I:$I,$H223), "N/A - Facility Does Not Report to TRI")</f>
        <v>N/A - Facility Does Not Report to TRI</v>
      </c>
      <c r="AJ223" s="33" t="str">
        <f t="shared" si="49"/>
        <v>N/A - Facility Does Not Report to TRI</v>
      </c>
      <c r="AK223" s="110" t="str" cm="1">
        <f t="array" ref="AK223">IF(B223="TRI Form A",AD223,IF(AI223=0,"Facility has no transfers to POTWs between 2019-2023.",IF(COUNTIF('Processed Non-zero TRI Data'!$I:$I,$H223)&gt;0,INDEX('Processed Non-zero TRI Data'!$A:$A,MATCH(1,($H223='Processed Non-zero TRI Data'!$I:$I)*(AI223='Processed Non-zero TRI Data'!$U:$U),0)),"N/A - Facility Does Not Report to TRI")))</f>
        <v>N/A - Facility Does Not Report to TRI</v>
      </c>
      <c r="AL223" s="109" cm="1">
        <f t="array" ref="AL223">IFERROR(_xlfn.XLOOKUP(1,  (MAX(IF(H223 = 'Processed Non-zero TRI Data'!$I$2:$I$23,'Processed Non-zero TRI Data'!$A$2:$A$23)) = 'Processed Non-zero TRI Data'!$A$2:$A$23)*('Processed Non-zero TRI Data'!$I$2:$I$23 = H223), 'Processed Non-zero TRI Data'!$W$2:$W$23), "N/A- Facility Does Not Report to TRI")</f>
        <v>0</v>
      </c>
      <c r="AM223" s="33">
        <f t="shared" si="50"/>
        <v>0</v>
      </c>
      <c r="AN223" s="33" t="str" cm="1">
        <f t="array" ref="AN223">IF(COUNTIF('Processed Non-zero TRI Data'!$I:$I,$H223)&gt;0,MEDIAN(IF('Processed Non-zero TRI Data'!$I:$I=H223,'Processed Non-zero TRI Data'!$W:$W)), "N/A - Facility Does Not Report to TRI")</f>
        <v>N/A - Facility Does Not Report to TRI</v>
      </c>
      <c r="AO223" s="33" t="str">
        <f t="shared" si="51"/>
        <v>N/A - Facility Does Not Report to TRI</v>
      </c>
      <c r="AP223" s="33" t="str">
        <f>IF(COUNTIF('Processed Non-zero TRI Data'!$I:$I,$H223)&gt;0,_xlfn.MAXIFS('Processed Non-zero TRI Data'!$W:$W,'Processed Non-zero TRI Data'!$I:$I,$H223), "N/A - Facility Does Not Report to TRI")</f>
        <v>N/A - Facility Does Not Report to TRI</v>
      </c>
      <c r="AQ223" s="33" t="str">
        <f t="shared" si="52"/>
        <v>N/A - Facility Does Not Report to TRI</v>
      </c>
      <c r="AR223" s="110" t="str" cm="1">
        <f t="array" ref="AR223">IF(B223="TRI Form A",AD223,IF(AP223=0,"Facility has no transfers to non-POTWs between 2019-2023.",IF(COUNTIF('Processed Non-zero TRI Data'!$I:$I,$H223)&gt;0,INDEX('Processed Non-zero TRI Data'!$A:$A,MATCH(1,($H223='Processed Non-zero TRI Data'!$I:$I)*(AP223='Processed Non-zero TRI Data'!$W:$W),0)),"N/A - Facility Does Not Report to TRI")))</f>
        <v>N/A - Facility Does Not Report to TRI</v>
      </c>
    </row>
    <row r="224" spans="1:44" ht="29" x14ac:dyDescent="0.35">
      <c r="A224" s="34">
        <v>221</v>
      </c>
      <c r="B224" s="33" t="str">
        <f>IFERROR("TRI Form "&amp;VLOOKUP(H224,'Processed Non-zero TRI Data'!$I$2:$K$23,3,FALSE),"DMR")</f>
        <v>DMR</v>
      </c>
      <c r="C224" s="33" t="str">
        <f>VLOOKUP($D224, 'COU.OES Summary'!C:D, 2, FALSE)</f>
        <v> </v>
      </c>
      <c r="D224" s="33" t="str">
        <f>IFERROR(VLOOKUP($H224, 'Processed Non-zero TRI Data'!$I:$O, 7, FALSE), VLOOKUP($I224, 'Processed Non-zero DMR Data'!$K:$R, 8, FALSE))</f>
        <v>Waste handling, treatment, and disposal - Remediation or Monitoring</v>
      </c>
      <c r="E224" s="34" t="s">
        <v>524</v>
      </c>
      <c r="F224" s="34" t="s">
        <v>275</v>
      </c>
      <c r="G224" s="34" t="s">
        <v>276</v>
      </c>
      <c r="H224" s="34"/>
      <c r="I224" s="105">
        <v>110070549382</v>
      </c>
      <c r="J224" s="33" t="str">
        <f>IFERROR(VLOOKUP($I224, 'Processed Non-zero DMR Data'!$K:$U, 11, FALSE),"")</f>
        <v>VAG830530</v>
      </c>
      <c r="K224" s="33" t="str">
        <f>IFERROR(VLOOKUP($I224, 'Processed Non-zero DMR Data'!$K:$V, 12, FALSE),"Not Reported")</f>
        <v>Pimmit Run-Potomac River</v>
      </c>
      <c r="L224" s="106">
        <f>IFERROR(VLOOKUP($I224, 'Processed Non-zero DMR Data'!$K:$W, 13, FALSE),"No Reach Code Reported")</f>
        <v>20700100103</v>
      </c>
      <c r="M224" s="107" t="str">
        <f>IFERROR(IFERROR(VLOOKUP(H224, 'Off-site Locations'!$K$3:$O$5, 5, FALSE), VLOOKUP(H224, 'Off-site Locations'!$B$3:$E$4, 4, FALSE)), "No Offsite Transfers")</f>
        <v>No Offsite Transfers</v>
      </c>
      <c r="N224" s="33">
        <f>VLOOKUP($D224, 'COU.OES Summary'!C:E, 3, FALSE)</f>
        <v>365</v>
      </c>
      <c r="O224" s="108">
        <f t="shared" si="42"/>
        <v>0</v>
      </c>
      <c r="P224" s="108">
        <f t="shared" si="43"/>
        <v>4.1026647272727201E-2</v>
      </c>
      <c r="Q224" s="109" cm="1">
        <f t="array" ref="Q224">IFERROR(_xlfn.XLOOKUP(1,  (MAX(IF(I224 = 'Processed Non-zero DMR Data'!$K:$K,'Processed Non-zero DMR Data'!$A:$A)) = 'Processed Non-zero DMR Data'!$A:$A)*('Processed Non-zero DMR Data'!$K:$K = I224),'Processed Non-zero DMR Data'!$T:$T), "N/A- Facility Does Not Report DMRs")</f>
        <v>1.7600250000000001E-5</v>
      </c>
      <c r="R224" s="33">
        <f t="shared" si="53"/>
        <v>4.8219863013698637E-8</v>
      </c>
      <c r="S224" s="33" cm="1">
        <f t="array" ref="S224">IF(COUNTIF('Processed Non-zero DMR Data'!$K:$K,$I224)&gt;0,MEDIAN(IF('Processed Non-zero DMR Data'!$K:$K=I224,'Processed Non-zero DMR Data'!$T:$T)),"N/A - Facility Does Not Report DMRs")</f>
        <v>2.05221237613636E-2</v>
      </c>
      <c r="T224" s="33">
        <f t="shared" si="54"/>
        <v>5.6224996606475618E-5</v>
      </c>
      <c r="U224" s="33">
        <f>IF(COUNTIF('Processed Non-zero DMR Data'!$K:$K,$I224)&gt;0,_xlfn.MAXIFS('Processed Non-zero DMR Data'!$T:$T,'Processed Non-zero DMR Data'!$K:$K,$I224), "N/A - Facility Does Not Report DMRs")</f>
        <v>4.1026647272727201E-2</v>
      </c>
      <c r="V224" s="33">
        <f t="shared" si="55"/>
        <v>1.1240177334993754E-4</v>
      </c>
      <c r="W224" s="110" cm="1">
        <f t="array" ref="W224">IF(COUNTIF('Processed Non-zero DMR Data'!$K:$K,$I224)&gt;0,INDEX('Processed Non-zero DMR Data'!$A:$A,MATCH(1,($I224='Processed Non-zero DMR Data'!$K:$K)*($U224='Processed Non-zero DMR Data'!$T:$T),0)), "N/A - Facility Does Not Report DMRs")</f>
        <v>2019</v>
      </c>
      <c r="X224" s="109" cm="1">
        <f t="array" ref="X224">IFERROR(_xlfn.XLOOKUP(1,  (MAX(IF(H224 = 'Processed Non-zero TRI Data'!$I:$I,'Processed Non-zero TRI Data'!$A:$A)) = 'Processed Non-zero TRI Data'!$A:$A)*('Processed Non-zero TRI Data'!$I:$I = H224), 'Processed Non-zero TRI Data'!$S:$S), "N/A- Facility Does Not Report to TRI")</f>
        <v>0</v>
      </c>
      <c r="Y224" s="33">
        <f t="shared" si="44"/>
        <v>0</v>
      </c>
      <c r="Z224" s="33" t="str" cm="1">
        <f t="array" ref="Z224">IF(COUNTIF('Processed Non-zero TRI Data'!$I:$I,$H224)&gt;0,MEDIAN(IF('Processed Non-zero TRI Data'!$I:$I=H224,'Processed Non-zero TRI Data'!$S:$S)), "N/A - Facility Does Not Report to TRI")</f>
        <v>N/A - Facility Does Not Report to TRI</v>
      </c>
      <c r="AA224" s="33" t="str">
        <f t="shared" si="45"/>
        <v>N/A - Facility Does Not Report to TRI</v>
      </c>
      <c r="AB224" s="33" t="str">
        <f>IF(COUNTIF('Processed Non-zero TRI Data'!$I:$I,$H224)&gt;0,_xlfn.MAXIFS('Processed Non-zero TRI Data'!$S:$S,'Processed Non-zero TRI Data'!$I:$I,$H224), "N/A - Facility Does Not Report to TRI")</f>
        <v>N/A - Facility Does Not Report to TRI</v>
      </c>
      <c r="AC224" s="33" t="str">
        <f t="shared" si="46"/>
        <v>N/A - Facility Does Not Report to TRI</v>
      </c>
      <c r="AD224" s="110" t="str" cm="1">
        <f t="array" ref="AD224">IFERROR(IF(B224 = "TRI Form R", IF(AB224 = 0, "Facility has no on-site water discharges between 2019-2023.",  IF(COUNTIF('Processed Non-zero TRI Data'!$I:$I,$H224)&gt;0,INDEX('Processed Non-zero TRI Data'!$A:$A,MATCH(1,($H224='Processed Non-zero TRI Data'!$I:$I)*(AB224='Processed Non-zero TRI Data'!$S:$S),0)))), VLOOKUP(H224, 'Form A Recent Reporting'!$L:$M, 2, FALSE)), ("N/A - Facility Does Not Report to TRI"))</f>
        <v>N/A - Facility Does Not Report to TRI</v>
      </c>
      <c r="AE224" s="109" cm="1">
        <f t="array" ref="AE224">IFERROR(_xlfn.XLOOKUP(1,  (MAX(IF(H224 = 'Processed Non-zero TRI Data'!$I:$I,'Processed Non-zero TRI Data'!$A:$A)) = 'Processed Non-zero TRI Data'!$A:$A)*('Processed Non-zero TRI Data'!$I:$I = H224), 'Processed Non-zero TRI Data'!$U:$U), "N/A- Facility Does Not Report to TRI")</f>
        <v>0</v>
      </c>
      <c r="AF224" s="33">
        <f t="shared" si="47"/>
        <v>0</v>
      </c>
      <c r="AG224" s="33" t="str" cm="1">
        <f t="array" ref="AG224">IF(COUNTIF('Processed Non-zero TRI Data'!$I:$I,$H224)&gt;0,MEDIAN(IF('Processed Non-zero TRI Data'!$I:$I=H224,'Processed Non-zero TRI Data'!$U:$U)), "N/A - Facility Does Not Report to TRI")</f>
        <v>N/A - Facility Does Not Report to TRI</v>
      </c>
      <c r="AH224" s="33" t="str">
        <f t="shared" si="48"/>
        <v>N/A - Facility Does Not Report to TRI</v>
      </c>
      <c r="AI224" s="33" t="str">
        <f>IF(COUNTIF('Processed Non-zero TRI Data'!$I:$I,$H224)&gt;0,_xlfn.MAXIFS('Processed Non-zero TRI Data'!$U:$U,'Processed Non-zero TRI Data'!$I:$I,$H224), "N/A - Facility Does Not Report to TRI")</f>
        <v>N/A - Facility Does Not Report to TRI</v>
      </c>
      <c r="AJ224" s="33" t="str">
        <f t="shared" si="49"/>
        <v>N/A - Facility Does Not Report to TRI</v>
      </c>
      <c r="AK224" s="110" t="str" cm="1">
        <f t="array" ref="AK224">IF(B224="TRI Form A",AD224,IF(AI224=0,"Facility has no transfers to POTWs between 2019-2023.",IF(COUNTIF('Processed Non-zero TRI Data'!$I:$I,$H224)&gt;0,INDEX('Processed Non-zero TRI Data'!$A:$A,MATCH(1,($H224='Processed Non-zero TRI Data'!$I:$I)*(AI224='Processed Non-zero TRI Data'!$U:$U),0)),"N/A - Facility Does Not Report to TRI")))</f>
        <v>N/A - Facility Does Not Report to TRI</v>
      </c>
      <c r="AL224" s="109" cm="1">
        <f t="array" ref="AL224">IFERROR(_xlfn.XLOOKUP(1,  (MAX(IF(H224 = 'Processed Non-zero TRI Data'!$I$2:$I$23,'Processed Non-zero TRI Data'!$A$2:$A$23)) = 'Processed Non-zero TRI Data'!$A$2:$A$23)*('Processed Non-zero TRI Data'!$I$2:$I$23 = H224), 'Processed Non-zero TRI Data'!$W$2:$W$23), "N/A- Facility Does Not Report to TRI")</f>
        <v>0</v>
      </c>
      <c r="AM224" s="33">
        <f t="shared" si="50"/>
        <v>0</v>
      </c>
      <c r="AN224" s="33" t="str" cm="1">
        <f t="array" ref="AN224">IF(COUNTIF('Processed Non-zero TRI Data'!$I:$I,$H224)&gt;0,MEDIAN(IF('Processed Non-zero TRI Data'!$I:$I=H224,'Processed Non-zero TRI Data'!$W:$W)), "N/A - Facility Does Not Report to TRI")</f>
        <v>N/A - Facility Does Not Report to TRI</v>
      </c>
      <c r="AO224" s="33" t="str">
        <f t="shared" si="51"/>
        <v>N/A - Facility Does Not Report to TRI</v>
      </c>
      <c r="AP224" s="33" t="str">
        <f>IF(COUNTIF('Processed Non-zero TRI Data'!$I:$I,$H224)&gt;0,_xlfn.MAXIFS('Processed Non-zero TRI Data'!$W:$W,'Processed Non-zero TRI Data'!$I:$I,$H224), "N/A - Facility Does Not Report to TRI")</f>
        <v>N/A - Facility Does Not Report to TRI</v>
      </c>
      <c r="AQ224" s="33" t="str">
        <f t="shared" si="52"/>
        <v>N/A - Facility Does Not Report to TRI</v>
      </c>
      <c r="AR224" s="110" t="str" cm="1">
        <f t="array" ref="AR224">IF(B224="TRI Form A",AD224,IF(AP224=0,"Facility has no transfers to non-POTWs between 2019-2023.",IF(COUNTIF('Processed Non-zero TRI Data'!$I:$I,$H224)&gt;0,INDEX('Processed Non-zero TRI Data'!$A:$A,MATCH(1,($H224='Processed Non-zero TRI Data'!$I:$I)*(AP224='Processed Non-zero TRI Data'!$W:$W),0)),"N/A - Facility Does Not Report to TRI")))</f>
        <v>N/A - Facility Does Not Report to TRI</v>
      </c>
    </row>
    <row r="225" spans="1:44" ht="29" x14ac:dyDescent="0.35">
      <c r="A225" s="34">
        <v>222</v>
      </c>
      <c r="B225" s="33" t="str">
        <f>IFERROR("TRI Form "&amp;VLOOKUP(H225,'Processed Non-zero TRI Data'!$I$2:$K$23,3,FALSE),"DMR")</f>
        <v>DMR</v>
      </c>
      <c r="C225" s="33" t="str">
        <f>VLOOKUP($D225, 'COU.OES Summary'!C:D, 2, FALSE)</f>
        <v> </v>
      </c>
      <c r="D225" s="33" t="str">
        <f>IFERROR(VLOOKUP($H225, 'Processed Non-zero TRI Data'!$I:$O, 7, FALSE), VLOOKUP($I225, 'Processed Non-zero DMR Data'!$K:$R, 8, FALSE))</f>
        <v>Waste handling, treatment, and disposal - Remediation or Monitoring</v>
      </c>
      <c r="E225" s="34" t="s">
        <v>525</v>
      </c>
      <c r="F225" s="34" t="s">
        <v>396</v>
      </c>
      <c r="G225" s="34" t="s">
        <v>276</v>
      </c>
      <c r="H225" s="34"/>
      <c r="I225" s="105">
        <v>110070949081</v>
      </c>
      <c r="J225" s="33" t="str">
        <f>IFERROR(VLOOKUP($I225, 'Processed Non-zero DMR Data'!$K:$U, 11, FALSE),"")</f>
        <v>VAG830566</v>
      </c>
      <c r="K225" s="33" t="str">
        <f>IFERROR(VLOOKUP($I225, 'Processed Non-zero DMR Data'!$K:$V, 12, FALSE),"Not Reported")</f>
        <v>Fourmile Run-Potomac River</v>
      </c>
      <c r="L225" s="106">
        <f>IFERROR(VLOOKUP($I225, 'Processed Non-zero DMR Data'!$K:$W, 13, FALSE),"No Reach Code Reported")</f>
        <v>20700100301</v>
      </c>
      <c r="M225" s="107" t="str">
        <f>IFERROR(IFERROR(VLOOKUP(H225, 'Off-site Locations'!$K$3:$O$5, 5, FALSE), VLOOKUP(H225, 'Off-site Locations'!$B$3:$E$4, 4, FALSE)), "No Offsite Transfers")</f>
        <v>No Offsite Transfers</v>
      </c>
      <c r="N225" s="33">
        <f>VLOOKUP($D225, 'COU.OES Summary'!C:E, 3, FALSE)</f>
        <v>365</v>
      </c>
      <c r="O225" s="108">
        <f t="shared" si="42"/>
        <v>0</v>
      </c>
      <c r="P225" s="108">
        <f t="shared" si="43"/>
        <v>3.7160940750000003E-2</v>
      </c>
      <c r="Q225" s="109" cm="1">
        <f t="array" ref="Q225">IFERROR(_xlfn.XLOOKUP(1,  (MAX(IF(I225 = 'Processed Non-zero DMR Data'!$K:$K,'Processed Non-zero DMR Data'!$A:$A)) = 'Processed Non-zero DMR Data'!$A:$A)*('Processed Non-zero DMR Data'!$K:$K = I225),'Processed Non-zero DMR Data'!$T:$T), "N/A- Facility Does Not Report DMRs")</f>
        <v>3.7160940750000003E-2</v>
      </c>
      <c r="R225" s="33">
        <f t="shared" si="53"/>
        <v>1.0181079657534247E-4</v>
      </c>
      <c r="S225" s="33" cm="1">
        <f t="array" ref="S225">IF(COUNTIF('Processed Non-zero DMR Data'!$K:$K,$I225)&gt;0,MEDIAN(IF('Processed Non-zero DMR Data'!$K:$K=I225,'Processed Non-zero DMR Data'!$T:$T)),"N/A - Facility Does Not Report DMRs")</f>
        <v>3.3731284660714247E-2</v>
      </c>
      <c r="T225" s="33">
        <f t="shared" si="54"/>
        <v>9.2414478522504783E-5</v>
      </c>
      <c r="U225" s="33">
        <f>IF(COUNTIF('Processed Non-zero DMR Data'!$K:$K,$I225)&gt;0,_xlfn.MAXIFS('Processed Non-zero DMR Data'!$T:$T,'Processed Non-zero DMR Data'!$K:$K,$I225), "N/A - Facility Does Not Report DMRs")</f>
        <v>3.7160940750000003E-2</v>
      </c>
      <c r="V225" s="33">
        <f t="shared" si="55"/>
        <v>1.0181079657534247E-4</v>
      </c>
      <c r="W225" s="110" cm="1">
        <f t="array" ref="W225">IF(COUNTIF('Processed Non-zero DMR Data'!$K:$K,$I225)&gt;0,INDEX('Processed Non-zero DMR Data'!$A:$A,MATCH(1,($I225='Processed Non-zero DMR Data'!$K:$K)*($U225='Processed Non-zero DMR Data'!$T:$T),0)), "N/A - Facility Does Not Report DMRs")</f>
        <v>2022</v>
      </c>
      <c r="X225" s="109" cm="1">
        <f t="array" ref="X225">IFERROR(_xlfn.XLOOKUP(1,  (MAX(IF(H225 = 'Processed Non-zero TRI Data'!$I:$I,'Processed Non-zero TRI Data'!$A:$A)) = 'Processed Non-zero TRI Data'!$A:$A)*('Processed Non-zero TRI Data'!$I:$I = H225), 'Processed Non-zero TRI Data'!$S:$S), "N/A- Facility Does Not Report to TRI")</f>
        <v>0</v>
      </c>
      <c r="Y225" s="33">
        <f t="shared" si="44"/>
        <v>0</v>
      </c>
      <c r="Z225" s="33" t="str" cm="1">
        <f t="array" ref="Z225">IF(COUNTIF('Processed Non-zero TRI Data'!$I:$I,$H225)&gt;0,MEDIAN(IF('Processed Non-zero TRI Data'!$I:$I=H225,'Processed Non-zero TRI Data'!$S:$S)), "N/A - Facility Does Not Report to TRI")</f>
        <v>N/A - Facility Does Not Report to TRI</v>
      </c>
      <c r="AA225" s="33" t="str">
        <f t="shared" si="45"/>
        <v>N/A - Facility Does Not Report to TRI</v>
      </c>
      <c r="AB225" s="33" t="str">
        <f>IF(COUNTIF('Processed Non-zero TRI Data'!$I:$I,$H225)&gt;0,_xlfn.MAXIFS('Processed Non-zero TRI Data'!$S:$S,'Processed Non-zero TRI Data'!$I:$I,$H225), "N/A - Facility Does Not Report to TRI")</f>
        <v>N/A - Facility Does Not Report to TRI</v>
      </c>
      <c r="AC225" s="33" t="str">
        <f t="shared" si="46"/>
        <v>N/A - Facility Does Not Report to TRI</v>
      </c>
      <c r="AD225" s="110" t="str" cm="1">
        <f t="array" ref="AD225">IFERROR(IF(B225 = "TRI Form R", IF(AB225 = 0, "Facility has no on-site water discharges between 2019-2023.",  IF(COUNTIF('Processed Non-zero TRI Data'!$I:$I,$H225)&gt;0,INDEX('Processed Non-zero TRI Data'!$A:$A,MATCH(1,($H225='Processed Non-zero TRI Data'!$I:$I)*(AB225='Processed Non-zero TRI Data'!$S:$S),0)))), VLOOKUP(H225, 'Form A Recent Reporting'!$L:$M, 2, FALSE)), ("N/A - Facility Does Not Report to TRI"))</f>
        <v>N/A - Facility Does Not Report to TRI</v>
      </c>
      <c r="AE225" s="109" cm="1">
        <f t="array" ref="AE225">IFERROR(_xlfn.XLOOKUP(1,  (MAX(IF(H225 = 'Processed Non-zero TRI Data'!$I:$I,'Processed Non-zero TRI Data'!$A:$A)) = 'Processed Non-zero TRI Data'!$A:$A)*('Processed Non-zero TRI Data'!$I:$I = H225), 'Processed Non-zero TRI Data'!$U:$U), "N/A- Facility Does Not Report to TRI")</f>
        <v>0</v>
      </c>
      <c r="AF225" s="33">
        <f t="shared" si="47"/>
        <v>0</v>
      </c>
      <c r="AG225" s="33" t="str" cm="1">
        <f t="array" ref="AG225">IF(COUNTIF('Processed Non-zero TRI Data'!$I:$I,$H225)&gt;0,MEDIAN(IF('Processed Non-zero TRI Data'!$I:$I=H225,'Processed Non-zero TRI Data'!$U:$U)), "N/A - Facility Does Not Report to TRI")</f>
        <v>N/A - Facility Does Not Report to TRI</v>
      </c>
      <c r="AH225" s="33" t="str">
        <f t="shared" si="48"/>
        <v>N/A - Facility Does Not Report to TRI</v>
      </c>
      <c r="AI225" s="33" t="str">
        <f>IF(COUNTIF('Processed Non-zero TRI Data'!$I:$I,$H225)&gt;0,_xlfn.MAXIFS('Processed Non-zero TRI Data'!$U:$U,'Processed Non-zero TRI Data'!$I:$I,$H225), "N/A - Facility Does Not Report to TRI")</f>
        <v>N/A - Facility Does Not Report to TRI</v>
      </c>
      <c r="AJ225" s="33" t="str">
        <f t="shared" si="49"/>
        <v>N/A - Facility Does Not Report to TRI</v>
      </c>
      <c r="AK225" s="110" t="str" cm="1">
        <f t="array" ref="AK225">IF(B225="TRI Form A",AD225,IF(AI225=0,"Facility has no transfers to POTWs between 2019-2023.",IF(COUNTIF('Processed Non-zero TRI Data'!$I:$I,$H225)&gt;0,INDEX('Processed Non-zero TRI Data'!$A:$A,MATCH(1,($H225='Processed Non-zero TRI Data'!$I:$I)*(AI225='Processed Non-zero TRI Data'!$U:$U),0)),"N/A - Facility Does Not Report to TRI")))</f>
        <v>N/A - Facility Does Not Report to TRI</v>
      </c>
      <c r="AL225" s="109" cm="1">
        <f t="array" ref="AL225">IFERROR(_xlfn.XLOOKUP(1,  (MAX(IF(H225 = 'Processed Non-zero TRI Data'!$I$2:$I$23,'Processed Non-zero TRI Data'!$A$2:$A$23)) = 'Processed Non-zero TRI Data'!$A$2:$A$23)*('Processed Non-zero TRI Data'!$I$2:$I$23 = H225), 'Processed Non-zero TRI Data'!$W$2:$W$23), "N/A- Facility Does Not Report to TRI")</f>
        <v>0</v>
      </c>
      <c r="AM225" s="33">
        <f t="shared" si="50"/>
        <v>0</v>
      </c>
      <c r="AN225" s="33" t="str" cm="1">
        <f t="array" ref="AN225">IF(COUNTIF('Processed Non-zero TRI Data'!$I:$I,$H225)&gt;0,MEDIAN(IF('Processed Non-zero TRI Data'!$I:$I=H225,'Processed Non-zero TRI Data'!$W:$W)), "N/A - Facility Does Not Report to TRI")</f>
        <v>N/A - Facility Does Not Report to TRI</v>
      </c>
      <c r="AO225" s="33" t="str">
        <f t="shared" si="51"/>
        <v>N/A - Facility Does Not Report to TRI</v>
      </c>
      <c r="AP225" s="33" t="str">
        <f>IF(COUNTIF('Processed Non-zero TRI Data'!$I:$I,$H225)&gt;0,_xlfn.MAXIFS('Processed Non-zero TRI Data'!$W:$W,'Processed Non-zero TRI Data'!$I:$I,$H225), "N/A - Facility Does Not Report to TRI")</f>
        <v>N/A - Facility Does Not Report to TRI</v>
      </c>
      <c r="AQ225" s="33" t="str">
        <f t="shared" si="52"/>
        <v>N/A - Facility Does Not Report to TRI</v>
      </c>
      <c r="AR225" s="110" t="str" cm="1">
        <f t="array" ref="AR225">IF(B225="TRI Form A",AD225,IF(AP225=0,"Facility has no transfers to non-POTWs between 2019-2023.",IF(COUNTIF('Processed Non-zero TRI Data'!$I:$I,$H225)&gt;0,INDEX('Processed Non-zero TRI Data'!$A:$A,MATCH(1,($H225='Processed Non-zero TRI Data'!$I:$I)*(AP225='Processed Non-zero TRI Data'!$W:$W),0)),"N/A - Facility Does Not Report to TRI")))</f>
        <v>N/A - Facility Does Not Report to TRI</v>
      </c>
    </row>
    <row r="226" spans="1:44" ht="29" x14ac:dyDescent="0.35">
      <c r="A226" s="34">
        <v>223</v>
      </c>
      <c r="B226" s="33" t="str">
        <f>IFERROR("TRI Form "&amp;VLOOKUP(H226,'Processed Non-zero TRI Data'!$I$2:$K$23,3,FALSE),"DMR")</f>
        <v>DMR</v>
      </c>
      <c r="C226" s="33" t="str">
        <f>VLOOKUP($D226, 'COU.OES Summary'!C:D, 2, FALSE)</f>
        <v> </v>
      </c>
      <c r="D226" s="33" t="str">
        <f>IFERROR(VLOOKUP($H226, 'Processed Non-zero TRI Data'!$I:$O, 7, FALSE), VLOOKUP($I226, 'Processed Non-zero DMR Data'!$K:$R, 8, FALSE))</f>
        <v>Waste handling, treatment, and disposal - Remediation or Monitoring</v>
      </c>
      <c r="E226" s="34" t="s">
        <v>526</v>
      </c>
      <c r="F226" s="34" t="s">
        <v>527</v>
      </c>
      <c r="G226" s="34" t="s">
        <v>181</v>
      </c>
      <c r="H226" s="34"/>
      <c r="I226" s="105">
        <v>110009899967</v>
      </c>
      <c r="J226" s="33" t="str">
        <f>IFERROR(VLOOKUP($I226, 'Processed Non-zero DMR Data'!$K:$U, 11, FALSE),"")</f>
        <v>MI0054224</v>
      </c>
      <c r="K226" s="33" t="str">
        <f>IFERROR(VLOOKUP($I226, 'Processed Non-zero DMR Data'!$K:$V, 12, FALSE),"Not Reported")</f>
        <v>Sanborn Creek</v>
      </c>
      <c r="L226" s="106">
        <f>IFERROR(VLOOKUP($I226, 'Processed Non-zero DMR Data'!$K:$W, 13, FALSE),"No Reach Code Reported")</f>
        <v>40601010502</v>
      </c>
      <c r="M226" s="107" t="str">
        <f>IFERROR(IFERROR(VLOOKUP(H226, 'Off-site Locations'!$K$3:$O$5, 5, FALSE), VLOOKUP(H226, 'Off-site Locations'!$B$3:$E$4, 4, FALSE)), "No Offsite Transfers")</f>
        <v>No Offsite Transfers</v>
      </c>
      <c r="N226" s="33">
        <f>VLOOKUP($D226, 'COU.OES Summary'!C:E, 3, FALSE)</f>
        <v>365</v>
      </c>
      <c r="O226" s="108">
        <f t="shared" si="42"/>
        <v>0</v>
      </c>
      <c r="P226" s="108">
        <f t="shared" si="43"/>
        <v>3.5863631999999999E-2</v>
      </c>
      <c r="Q226" s="109" cm="1">
        <f t="array" ref="Q226">IFERROR(_xlfn.XLOOKUP(1,  (MAX(IF(I226 = 'Processed Non-zero DMR Data'!$K:$K,'Processed Non-zero DMR Data'!$A:$A)) = 'Processed Non-zero DMR Data'!$A:$A)*('Processed Non-zero DMR Data'!$K:$K = I226),'Processed Non-zero DMR Data'!$T:$T), "N/A- Facility Does Not Report DMRs")</f>
        <v>3.5863631999999999E-2</v>
      </c>
      <c r="R226" s="33">
        <f t="shared" si="53"/>
        <v>9.8256526027397262E-5</v>
      </c>
      <c r="S226" s="33" cm="1">
        <f t="array" ref="S226">IF(COUNTIF('Processed Non-zero DMR Data'!$K:$K,$I226)&gt;0,MEDIAN(IF('Processed Non-zero DMR Data'!$K:$K=I226,'Processed Non-zero DMR Data'!$T:$T)),"N/A - Facility Does Not Report DMRs")</f>
        <v>3.5863631999999999E-2</v>
      </c>
      <c r="T226" s="33">
        <f t="shared" si="54"/>
        <v>9.8256526027397262E-5</v>
      </c>
      <c r="U226" s="33">
        <f>IF(COUNTIF('Processed Non-zero DMR Data'!$K:$K,$I226)&gt;0,_xlfn.MAXIFS('Processed Non-zero DMR Data'!$T:$T,'Processed Non-zero DMR Data'!$K:$K,$I226), "N/A - Facility Does Not Report DMRs")</f>
        <v>3.5863631999999999E-2</v>
      </c>
      <c r="V226" s="33">
        <f t="shared" si="55"/>
        <v>9.8256526027397262E-5</v>
      </c>
      <c r="W226" s="110" cm="1">
        <f t="array" ref="W226">IF(COUNTIF('Processed Non-zero DMR Data'!$K:$K,$I226)&gt;0,INDEX('Processed Non-zero DMR Data'!$A:$A,MATCH(1,($I226='Processed Non-zero DMR Data'!$K:$K)*($U226='Processed Non-zero DMR Data'!$T:$T),0)), "N/A - Facility Does Not Report DMRs")</f>
        <v>2020</v>
      </c>
      <c r="X226" s="109" cm="1">
        <f t="array" ref="X226">IFERROR(_xlfn.XLOOKUP(1,  (MAX(IF(H226 = 'Processed Non-zero TRI Data'!$I:$I,'Processed Non-zero TRI Data'!$A:$A)) = 'Processed Non-zero TRI Data'!$A:$A)*('Processed Non-zero TRI Data'!$I:$I = H226), 'Processed Non-zero TRI Data'!$S:$S), "N/A- Facility Does Not Report to TRI")</f>
        <v>0</v>
      </c>
      <c r="Y226" s="33">
        <f t="shared" si="44"/>
        <v>0</v>
      </c>
      <c r="Z226" s="33" t="str" cm="1">
        <f t="array" ref="Z226">IF(COUNTIF('Processed Non-zero TRI Data'!$I:$I,$H226)&gt;0,MEDIAN(IF('Processed Non-zero TRI Data'!$I:$I=H226,'Processed Non-zero TRI Data'!$S:$S)), "N/A - Facility Does Not Report to TRI")</f>
        <v>N/A - Facility Does Not Report to TRI</v>
      </c>
      <c r="AA226" s="33" t="str">
        <f t="shared" si="45"/>
        <v>N/A - Facility Does Not Report to TRI</v>
      </c>
      <c r="AB226" s="33" t="str">
        <f>IF(COUNTIF('Processed Non-zero TRI Data'!$I:$I,$H226)&gt;0,_xlfn.MAXIFS('Processed Non-zero TRI Data'!$S:$S,'Processed Non-zero TRI Data'!$I:$I,$H226), "N/A - Facility Does Not Report to TRI")</f>
        <v>N/A - Facility Does Not Report to TRI</v>
      </c>
      <c r="AC226" s="33" t="str">
        <f t="shared" si="46"/>
        <v>N/A - Facility Does Not Report to TRI</v>
      </c>
      <c r="AD226" s="110" t="str" cm="1">
        <f t="array" ref="AD226">IFERROR(IF(B226 = "TRI Form R", IF(AB226 = 0, "Facility has no on-site water discharges between 2019-2023.",  IF(COUNTIF('Processed Non-zero TRI Data'!$I:$I,$H226)&gt;0,INDEX('Processed Non-zero TRI Data'!$A:$A,MATCH(1,($H226='Processed Non-zero TRI Data'!$I:$I)*(AB226='Processed Non-zero TRI Data'!$S:$S),0)))), VLOOKUP(H226, 'Form A Recent Reporting'!$L:$M, 2, FALSE)), ("N/A - Facility Does Not Report to TRI"))</f>
        <v>N/A - Facility Does Not Report to TRI</v>
      </c>
      <c r="AE226" s="109" cm="1">
        <f t="array" ref="AE226">IFERROR(_xlfn.XLOOKUP(1,  (MAX(IF(H226 = 'Processed Non-zero TRI Data'!$I:$I,'Processed Non-zero TRI Data'!$A:$A)) = 'Processed Non-zero TRI Data'!$A:$A)*('Processed Non-zero TRI Data'!$I:$I = H226), 'Processed Non-zero TRI Data'!$U:$U), "N/A- Facility Does Not Report to TRI")</f>
        <v>0</v>
      </c>
      <c r="AF226" s="33">
        <f t="shared" si="47"/>
        <v>0</v>
      </c>
      <c r="AG226" s="33" t="str" cm="1">
        <f t="array" ref="AG226">IF(COUNTIF('Processed Non-zero TRI Data'!$I:$I,$H226)&gt;0,MEDIAN(IF('Processed Non-zero TRI Data'!$I:$I=H226,'Processed Non-zero TRI Data'!$U:$U)), "N/A - Facility Does Not Report to TRI")</f>
        <v>N/A - Facility Does Not Report to TRI</v>
      </c>
      <c r="AH226" s="33" t="str">
        <f t="shared" si="48"/>
        <v>N/A - Facility Does Not Report to TRI</v>
      </c>
      <c r="AI226" s="33" t="str">
        <f>IF(COUNTIF('Processed Non-zero TRI Data'!$I:$I,$H226)&gt;0,_xlfn.MAXIFS('Processed Non-zero TRI Data'!$U:$U,'Processed Non-zero TRI Data'!$I:$I,$H226), "N/A - Facility Does Not Report to TRI")</f>
        <v>N/A - Facility Does Not Report to TRI</v>
      </c>
      <c r="AJ226" s="33" t="str">
        <f t="shared" si="49"/>
        <v>N/A - Facility Does Not Report to TRI</v>
      </c>
      <c r="AK226" s="110" t="str" cm="1">
        <f t="array" ref="AK226">IF(B226="TRI Form A",AD226,IF(AI226=0,"Facility has no transfers to POTWs between 2019-2023.",IF(COUNTIF('Processed Non-zero TRI Data'!$I:$I,$H226)&gt;0,INDEX('Processed Non-zero TRI Data'!$A:$A,MATCH(1,($H226='Processed Non-zero TRI Data'!$I:$I)*(AI226='Processed Non-zero TRI Data'!$U:$U),0)),"N/A - Facility Does Not Report to TRI")))</f>
        <v>N/A - Facility Does Not Report to TRI</v>
      </c>
      <c r="AL226" s="109" cm="1">
        <f t="array" ref="AL226">IFERROR(_xlfn.XLOOKUP(1,  (MAX(IF(H226 = 'Processed Non-zero TRI Data'!$I$2:$I$23,'Processed Non-zero TRI Data'!$A$2:$A$23)) = 'Processed Non-zero TRI Data'!$A$2:$A$23)*('Processed Non-zero TRI Data'!$I$2:$I$23 = H226), 'Processed Non-zero TRI Data'!$W$2:$W$23), "N/A- Facility Does Not Report to TRI")</f>
        <v>0</v>
      </c>
      <c r="AM226" s="33">
        <f t="shared" si="50"/>
        <v>0</v>
      </c>
      <c r="AN226" s="33" t="str" cm="1">
        <f t="array" ref="AN226">IF(COUNTIF('Processed Non-zero TRI Data'!$I:$I,$H226)&gt;0,MEDIAN(IF('Processed Non-zero TRI Data'!$I:$I=H226,'Processed Non-zero TRI Data'!$W:$W)), "N/A - Facility Does Not Report to TRI")</f>
        <v>N/A - Facility Does Not Report to TRI</v>
      </c>
      <c r="AO226" s="33" t="str">
        <f t="shared" si="51"/>
        <v>N/A - Facility Does Not Report to TRI</v>
      </c>
      <c r="AP226" s="33" t="str">
        <f>IF(COUNTIF('Processed Non-zero TRI Data'!$I:$I,$H226)&gt;0,_xlfn.MAXIFS('Processed Non-zero TRI Data'!$W:$W,'Processed Non-zero TRI Data'!$I:$I,$H226), "N/A - Facility Does Not Report to TRI")</f>
        <v>N/A - Facility Does Not Report to TRI</v>
      </c>
      <c r="AQ226" s="33" t="str">
        <f t="shared" si="52"/>
        <v>N/A - Facility Does Not Report to TRI</v>
      </c>
      <c r="AR226" s="110" t="str" cm="1">
        <f t="array" ref="AR226">IF(B226="TRI Form A",AD226,IF(AP226=0,"Facility has no transfers to non-POTWs between 2019-2023.",IF(COUNTIF('Processed Non-zero TRI Data'!$I:$I,$H226)&gt;0,INDEX('Processed Non-zero TRI Data'!$A:$A,MATCH(1,($H226='Processed Non-zero TRI Data'!$I:$I)*(AP226='Processed Non-zero TRI Data'!$W:$W),0)),"N/A - Facility Does Not Report to TRI")))</f>
        <v>N/A - Facility Does Not Report to TRI</v>
      </c>
    </row>
    <row r="227" spans="1:44" ht="29" x14ac:dyDescent="0.35">
      <c r="A227" s="34">
        <v>224</v>
      </c>
      <c r="B227" s="33" t="str">
        <f>IFERROR("TRI Form "&amp;VLOOKUP(H227,'Processed Non-zero TRI Data'!$I$2:$K$23,3,FALSE),"DMR")</f>
        <v>DMR</v>
      </c>
      <c r="C227" s="33" t="str">
        <f>VLOOKUP($D227, 'COU.OES Summary'!C:D, 2, FALSE)</f>
        <v> </v>
      </c>
      <c r="D227" s="33" t="str">
        <f>IFERROR(VLOOKUP($H227, 'Processed Non-zero TRI Data'!$I:$O, 7, FALSE), VLOOKUP($I227, 'Processed Non-zero DMR Data'!$K:$R, 8, FALSE))</f>
        <v>Waste handling, treatment, and disposal - Remediation or Monitoring</v>
      </c>
      <c r="E227" s="34" t="s">
        <v>528</v>
      </c>
      <c r="F227" s="34" t="s">
        <v>143</v>
      </c>
      <c r="G227" s="34" t="s">
        <v>126</v>
      </c>
      <c r="H227" s="34"/>
      <c r="I227" s="105">
        <v>110019560722</v>
      </c>
      <c r="J227" s="33" t="str">
        <f>IFERROR(VLOOKUP($I227, 'Processed Non-zero DMR Data'!$K:$U, 11, FALSE),"")</f>
        <v>NY0108537</v>
      </c>
      <c r="K227" s="33" t="str">
        <f>IFERROR(VLOOKUP($I227, 'Processed Non-zero DMR Data'!$K:$V, 12, FALSE),"Not Reported")</f>
        <v>Reall Creek-Mohawk River</v>
      </c>
      <c r="L227" s="106">
        <f>IFERROR(VLOOKUP($I227, 'Processed Non-zero DMR Data'!$K:$W, 13, FALSE),"No Reach Code Reported")</f>
        <v>20200040311</v>
      </c>
      <c r="M227" s="107" t="str">
        <f>IFERROR(IFERROR(VLOOKUP(H227, 'Off-site Locations'!$K$3:$O$5, 5, FALSE), VLOOKUP(H227, 'Off-site Locations'!$B$3:$E$4, 4, FALSE)), "No Offsite Transfers")</f>
        <v>No Offsite Transfers</v>
      </c>
      <c r="N227" s="33">
        <f>VLOOKUP($D227, 'COU.OES Summary'!C:E, 3, FALSE)</f>
        <v>365</v>
      </c>
      <c r="O227" s="108">
        <f t="shared" si="42"/>
        <v>0</v>
      </c>
      <c r="P227" s="108">
        <f t="shared" si="43"/>
        <v>3.4574483709999999E-2</v>
      </c>
      <c r="Q227" s="109" cm="1">
        <f t="array" ref="Q227">IFERROR(_xlfn.XLOOKUP(1,  (MAX(IF(I227 = 'Processed Non-zero DMR Data'!$K:$K,'Processed Non-zero DMR Data'!$A:$A)) = 'Processed Non-zero DMR Data'!$A:$A)*('Processed Non-zero DMR Data'!$K:$K = I227),'Processed Non-zero DMR Data'!$T:$T), "N/A- Facility Does Not Report DMRs")</f>
        <v>1.774449635E-2</v>
      </c>
      <c r="R227" s="33">
        <f t="shared" si="53"/>
        <v>4.8615058493150686E-5</v>
      </c>
      <c r="S227" s="33" cm="1">
        <f t="array" ref="S227">IF(COUNTIF('Processed Non-zero DMR Data'!$K:$K,$I227)&gt;0,MEDIAN(IF('Processed Non-zero DMR Data'!$K:$K=I227,'Processed Non-zero DMR Data'!$T:$T)),"N/A - Facility Does Not Report DMRs")</f>
        <v>2.0643938824999999E-2</v>
      </c>
      <c r="T227" s="33">
        <f t="shared" si="54"/>
        <v>5.6558736506849313E-5</v>
      </c>
      <c r="U227" s="33">
        <f>IF(COUNTIF('Processed Non-zero DMR Data'!$K:$K,$I227)&gt;0,_xlfn.MAXIFS('Processed Non-zero DMR Data'!$T:$T,'Processed Non-zero DMR Data'!$K:$K,$I227), "N/A - Facility Does Not Report DMRs")</f>
        <v>3.4574483709999999E-2</v>
      </c>
      <c r="V227" s="33">
        <f t="shared" si="55"/>
        <v>9.4724612904109582E-5</v>
      </c>
      <c r="W227" s="110" cm="1">
        <f t="array" ref="W227">IF(COUNTIF('Processed Non-zero DMR Data'!$K:$K,$I227)&gt;0,INDEX('Processed Non-zero DMR Data'!$A:$A,MATCH(1,($I227='Processed Non-zero DMR Data'!$K:$K)*($U227='Processed Non-zero DMR Data'!$T:$T),0)), "N/A - Facility Does Not Report DMRs")</f>
        <v>2021</v>
      </c>
      <c r="X227" s="109" cm="1">
        <f t="array" ref="X227">IFERROR(_xlfn.XLOOKUP(1,  (MAX(IF(H227 = 'Processed Non-zero TRI Data'!$I:$I,'Processed Non-zero TRI Data'!$A:$A)) = 'Processed Non-zero TRI Data'!$A:$A)*('Processed Non-zero TRI Data'!$I:$I = H227), 'Processed Non-zero TRI Data'!$S:$S), "N/A- Facility Does Not Report to TRI")</f>
        <v>0</v>
      </c>
      <c r="Y227" s="33">
        <f t="shared" si="44"/>
        <v>0</v>
      </c>
      <c r="Z227" s="33" t="str" cm="1">
        <f t="array" ref="Z227">IF(COUNTIF('Processed Non-zero TRI Data'!$I:$I,$H227)&gt;0,MEDIAN(IF('Processed Non-zero TRI Data'!$I:$I=H227,'Processed Non-zero TRI Data'!$S:$S)), "N/A - Facility Does Not Report to TRI")</f>
        <v>N/A - Facility Does Not Report to TRI</v>
      </c>
      <c r="AA227" s="33" t="str">
        <f t="shared" si="45"/>
        <v>N/A - Facility Does Not Report to TRI</v>
      </c>
      <c r="AB227" s="33" t="str">
        <f>IF(COUNTIF('Processed Non-zero TRI Data'!$I:$I,$H227)&gt;0,_xlfn.MAXIFS('Processed Non-zero TRI Data'!$S:$S,'Processed Non-zero TRI Data'!$I:$I,$H227), "N/A - Facility Does Not Report to TRI")</f>
        <v>N/A - Facility Does Not Report to TRI</v>
      </c>
      <c r="AC227" s="33" t="str">
        <f t="shared" si="46"/>
        <v>N/A - Facility Does Not Report to TRI</v>
      </c>
      <c r="AD227" s="110" t="str" cm="1">
        <f t="array" ref="AD227">IFERROR(IF(B227 = "TRI Form R", IF(AB227 = 0, "Facility has no on-site water discharges between 2019-2023.",  IF(COUNTIF('Processed Non-zero TRI Data'!$I:$I,$H227)&gt;0,INDEX('Processed Non-zero TRI Data'!$A:$A,MATCH(1,($H227='Processed Non-zero TRI Data'!$I:$I)*(AB227='Processed Non-zero TRI Data'!$S:$S),0)))), VLOOKUP(H227, 'Form A Recent Reporting'!$L:$M, 2, FALSE)), ("N/A - Facility Does Not Report to TRI"))</f>
        <v>N/A - Facility Does Not Report to TRI</v>
      </c>
      <c r="AE227" s="109" cm="1">
        <f t="array" ref="AE227">IFERROR(_xlfn.XLOOKUP(1,  (MAX(IF(H227 = 'Processed Non-zero TRI Data'!$I:$I,'Processed Non-zero TRI Data'!$A:$A)) = 'Processed Non-zero TRI Data'!$A:$A)*('Processed Non-zero TRI Data'!$I:$I = H227), 'Processed Non-zero TRI Data'!$U:$U), "N/A- Facility Does Not Report to TRI")</f>
        <v>0</v>
      </c>
      <c r="AF227" s="33">
        <f t="shared" si="47"/>
        <v>0</v>
      </c>
      <c r="AG227" s="33" t="str" cm="1">
        <f t="array" ref="AG227">IF(COUNTIF('Processed Non-zero TRI Data'!$I:$I,$H227)&gt;0,MEDIAN(IF('Processed Non-zero TRI Data'!$I:$I=H227,'Processed Non-zero TRI Data'!$U:$U)), "N/A - Facility Does Not Report to TRI")</f>
        <v>N/A - Facility Does Not Report to TRI</v>
      </c>
      <c r="AH227" s="33" t="str">
        <f t="shared" si="48"/>
        <v>N/A - Facility Does Not Report to TRI</v>
      </c>
      <c r="AI227" s="33" t="str">
        <f>IF(COUNTIF('Processed Non-zero TRI Data'!$I:$I,$H227)&gt;0,_xlfn.MAXIFS('Processed Non-zero TRI Data'!$U:$U,'Processed Non-zero TRI Data'!$I:$I,$H227), "N/A - Facility Does Not Report to TRI")</f>
        <v>N/A - Facility Does Not Report to TRI</v>
      </c>
      <c r="AJ227" s="33" t="str">
        <f t="shared" si="49"/>
        <v>N/A - Facility Does Not Report to TRI</v>
      </c>
      <c r="AK227" s="110" t="str" cm="1">
        <f t="array" ref="AK227">IF(B227="TRI Form A",AD227,IF(AI227=0,"Facility has no transfers to POTWs between 2019-2023.",IF(COUNTIF('Processed Non-zero TRI Data'!$I:$I,$H227)&gt;0,INDEX('Processed Non-zero TRI Data'!$A:$A,MATCH(1,($H227='Processed Non-zero TRI Data'!$I:$I)*(AI227='Processed Non-zero TRI Data'!$U:$U),0)),"N/A - Facility Does Not Report to TRI")))</f>
        <v>N/A - Facility Does Not Report to TRI</v>
      </c>
      <c r="AL227" s="109" cm="1">
        <f t="array" ref="AL227">IFERROR(_xlfn.XLOOKUP(1,  (MAX(IF(H227 = 'Processed Non-zero TRI Data'!$I$2:$I$23,'Processed Non-zero TRI Data'!$A$2:$A$23)) = 'Processed Non-zero TRI Data'!$A$2:$A$23)*('Processed Non-zero TRI Data'!$I$2:$I$23 = H227), 'Processed Non-zero TRI Data'!$W$2:$W$23), "N/A- Facility Does Not Report to TRI")</f>
        <v>0</v>
      </c>
      <c r="AM227" s="33">
        <f t="shared" si="50"/>
        <v>0</v>
      </c>
      <c r="AN227" s="33" t="str" cm="1">
        <f t="array" ref="AN227">IF(COUNTIF('Processed Non-zero TRI Data'!$I:$I,$H227)&gt;0,MEDIAN(IF('Processed Non-zero TRI Data'!$I:$I=H227,'Processed Non-zero TRI Data'!$W:$W)), "N/A - Facility Does Not Report to TRI")</f>
        <v>N/A - Facility Does Not Report to TRI</v>
      </c>
      <c r="AO227" s="33" t="str">
        <f t="shared" si="51"/>
        <v>N/A - Facility Does Not Report to TRI</v>
      </c>
      <c r="AP227" s="33" t="str">
        <f>IF(COUNTIF('Processed Non-zero TRI Data'!$I:$I,$H227)&gt;0,_xlfn.MAXIFS('Processed Non-zero TRI Data'!$W:$W,'Processed Non-zero TRI Data'!$I:$I,$H227), "N/A - Facility Does Not Report to TRI")</f>
        <v>N/A - Facility Does Not Report to TRI</v>
      </c>
      <c r="AQ227" s="33" t="str">
        <f t="shared" si="52"/>
        <v>N/A - Facility Does Not Report to TRI</v>
      </c>
      <c r="AR227" s="110" t="str" cm="1">
        <f t="array" ref="AR227">IF(B227="TRI Form A",AD227,IF(AP227=0,"Facility has no transfers to non-POTWs between 2019-2023.",IF(COUNTIF('Processed Non-zero TRI Data'!$I:$I,$H227)&gt;0,INDEX('Processed Non-zero TRI Data'!$A:$A,MATCH(1,($H227='Processed Non-zero TRI Data'!$I:$I)*(AP227='Processed Non-zero TRI Data'!$W:$W),0)),"N/A - Facility Does Not Report to TRI")))</f>
        <v>N/A - Facility Does Not Report to TRI</v>
      </c>
    </row>
    <row r="228" spans="1:44" ht="29" x14ac:dyDescent="0.35">
      <c r="A228" s="34">
        <v>225</v>
      </c>
      <c r="B228" s="33" t="str">
        <f>IFERROR("TRI Form "&amp;VLOOKUP(H228,'Processed Non-zero TRI Data'!$I$2:$K$23,3,FALSE),"DMR")</f>
        <v>DMR</v>
      </c>
      <c r="C228" s="33" t="str">
        <f>VLOOKUP($D228, 'COU.OES Summary'!C:D, 2, FALSE)</f>
        <v> </v>
      </c>
      <c r="D228" s="33" t="str">
        <f>IFERROR(VLOOKUP($H228, 'Processed Non-zero TRI Data'!$I:$O, 7, FALSE), VLOOKUP($I228, 'Processed Non-zero DMR Data'!$K:$R, 8, FALSE))</f>
        <v>Waste handling, treatment, and disposal - Remediation or Monitoring</v>
      </c>
      <c r="E228" s="34" t="s">
        <v>529</v>
      </c>
      <c r="F228" s="34" t="s">
        <v>128</v>
      </c>
      <c r="G228" s="34" t="s">
        <v>129</v>
      </c>
      <c r="H228" s="34"/>
      <c r="I228" s="105">
        <v>110000595909</v>
      </c>
      <c r="J228" s="33" t="str">
        <f>IFERROR(VLOOKUP($I228, 'Processed Non-zero DMR Data'!$K:$U, 11, FALSE),"")</f>
        <v>MO0129313</v>
      </c>
      <c r="K228" s="33" t="str">
        <f>IFERROR(VLOOKUP($I228, 'Processed Non-zero DMR Data'!$K:$V, 12, FALSE),"Not Reported")</f>
        <v>Dubois Creek-Missouri River</v>
      </c>
      <c r="L228" s="106">
        <f>IFERROR(VLOOKUP($I228, 'Processed Non-zero DMR Data'!$K:$W, 13, FALSE),"No Reach Code Reported")</f>
        <v>103002000601</v>
      </c>
      <c r="M228" s="107" t="str">
        <f>IFERROR(IFERROR(VLOOKUP(H228, 'Off-site Locations'!$K$3:$O$5, 5, FALSE), VLOOKUP(H228, 'Off-site Locations'!$B$3:$E$4, 4, FALSE)), "No Offsite Transfers")</f>
        <v>No Offsite Transfers</v>
      </c>
      <c r="N228" s="33">
        <f>VLOOKUP($D228, 'COU.OES Summary'!C:E, 3, FALSE)</f>
        <v>365</v>
      </c>
      <c r="O228" s="108">
        <f t="shared" si="42"/>
        <v>0</v>
      </c>
      <c r="P228" s="108">
        <f t="shared" si="43"/>
        <v>3.4289577297499998E-2</v>
      </c>
      <c r="Q228" s="109" cm="1">
        <f t="array" ref="Q228">IFERROR(_xlfn.XLOOKUP(1,  (MAX(IF(I228 = 'Processed Non-zero DMR Data'!$K:$K,'Processed Non-zero DMR Data'!$A:$A)) = 'Processed Non-zero DMR Data'!$A:$A)*('Processed Non-zero DMR Data'!$K:$K = I228),'Processed Non-zero DMR Data'!$T:$T), "N/A- Facility Does Not Report DMRs")</f>
        <v>3.2189895859999998E-2</v>
      </c>
      <c r="R228" s="33">
        <f t="shared" si="53"/>
        <v>8.8191495506849307E-5</v>
      </c>
      <c r="S228" s="33" cm="1">
        <f t="array" ref="S228">IF(COUNTIF('Processed Non-zero DMR Data'!$K:$K,$I228)&gt;0,MEDIAN(IF('Processed Non-zero DMR Data'!$K:$K=I228,'Processed Non-zero DMR Data'!$T:$T)),"N/A - Facility Does Not Report DMRs")</f>
        <v>3.2189895859999998E-2</v>
      </c>
      <c r="T228" s="33">
        <f t="shared" si="54"/>
        <v>8.8191495506849307E-5</v>
      </c>
      <c r="U228" s="33">
        <f>IF(COUNTIF('Processed Non-zero DMR Data'!$K:$K,$I228)&gt;0,_xlfn.MAXIFS('Processed Non-zero DMR Data'!$T:$T,'Processed Non-zero DMR Data'!$K:$K,$I228), "N/A - Facility Does Not Report DMRs")</f>
        <v>3.4289577297499998E-2</v>
      </c>
      <c r="V228" s="33">
        <f t="shared" si="55"/>
        <v>9.3944047390410952E-5</v>
      </c>
      <c r="W228" s="110" cm="1">
        <f t="array" ref="W228">IF(COUNTIF('Processed Non-zero DMR Data'!$K:$K,$I228)&gt;0,INDEX('Processed Non-zero DMR Data'!$A:$A,MATCH(1,($I228='Processed Non-zero DMR Data'!$K:$K)*($U228='Processed Non-zero DMR Data'!$T:$T),0)), "N/A - Facility Does Not Report DMRs")</f>
        <v>2022</v>
      </c>
      <c r="X228" s="109" cm="1">
        <f t="array" ref="X228">IFERROR(_xlfn.XLOOKUP(1,  (MAX(IF(H228 = 'Processed Non-zero TRI Data'!$I:$I,'Processed Non-zero TRI Data'!$A:$A)) = 'Processed Non-zero TRI Data'!$A:$A)*('Processed Non-zero TRI Data'!$I:$I = H228), 'Processed Non-zero TRI Data'!$S:$S), "N/A- Facility Does Not Report to TRI")</f>
        <v>0</v>
      </c>
      <c r="Y228" s="33">
        <f t="shared" si="44"/>
        <v>0</v>
      </c>
      <c r="Z228" s="33" t="str" cm="1">
        <f t="array" ref="Z228">IF(COUNTIF('Processed Non-zero TRI Data'!$I:$I,$H228)&gt;0,MEDIAN(IF('Processed Non-zero TRI Data'!$I:$I=H228,'Processed Non-zero TRI Data'!$S:$S)), "N/A - Facility Does Not Report to TRI")</f>
        <v>N/A - Facility Does Not Report to TRI</v>
      </c>
      <c r="AA228" s="33" t="str">
        <f t="shared" si="45"/>
        <v>N/A - Facility Does Not Report to TRI</v>
      </c>
      <c r="AB228" s="33" t="str">
        <f>IF(COUNTIF('Processed Non-zero TRI Data'!$I:$I,$H228)&gt;0,_xlfn.MAXIFS('Processed Non-zero TRI Data'!$S:$S,'Processed Non-zero TRI Data'!$I:$I,$H228), "N/A - Facility Does Not Report to TRI")</f>
        <v>N/A - Facility Does Not Report to TRI</v>
      </c>
      <c r="AC228" s="33" t="str">
        <f t="shared" si="46"/>
        <v>N/A - Facility Does Not Report to TRI</v>
      </c>
      <c r="AD228" s="110" t="str" cm="1">
        <f t="array" ref="AD228">IFERROR(IF(B228 = "TRI Form R", IF(AB228 = 0, "Facility has no on-site water discharges between 2019-2023.",  IF(COUNTIF('Processed Non-zero TRI Data'!$I:$I,$H228)&gt;0,INDEX('Processed Non-zero TRI Data'!$A:$A,MATCH(1,($H228='Processed Non-zero TRI Data'!$I:$I)*(AB228='Processed Non-zero TRI Data'!$S:$S),0)))), VLOOKUP(H228, 'Form A Recent Reporting'!$L:$M, 2, FALSE)), ("N/A - Facility Does Not Report to TRI"))</f>
        <v>N/A - Facility Does Not Report to TRI</v>
      </c>
      <c r="AE228" s="109" cm="1">
        <f t="array" ref="AE228">IFERROR(_xlfn.XLOOKUP(1,  (MAX(IF(H228 = 'Processed Non-zero TRI Data'!$I:$I,'Processed Non-zero TRI Data'!$A:$A)) = 'Processed Non-zero TRI Data'!$A:$A)*('Processed Non-zero TRI Data'!$I:$I = H228), 'Processed Non-zero TRI Data'!$U:$U), "N/A- Facility Does Not Report to TRI")</f>
        <v>0</v>
      </c>
      <c r="AF228" s="33">
        <f t="shared" si="47"/>
        <v>0</v>
      </c>
      <c r="AG228" s="33" t="str" cm="1">
        <f t="array" ref="AG228">IF(COUNTIF('Processed Non-zero TRI Data'!$I:$I,$H228)&gt;0,MEDIAN(IF('Processed Non-zero TRI Data'!$I:$I=H228,'Processed Non-zero TRI Data'!$U:$U)), "N/A - Facility Does Not Report to TRI")</f>
        <v>N/A - Facility Does Not Report to TRI</v>
      </c>
      <c r="AH228" s="33" t="str">
        <f t="shared" si="48"/>
        <v>N/A - Facility Does Not Report to TRI</v>
      </c>
      <c r="AI228" s="33" t="str">
        <f>IF(COUNTIF('Processed Non-zero TRI Data'!$I:$I,$H228)&gt;0,_xlfn.MAXIFS('Processed Non-zero TRI Data'!$U:$U,'Processed Non-zero TRI Data'!$I:$I,$H228), "N/A - Facility Does Not Report to TRI")</f>
        <v>N/A - Facility Does Not Report to TRI</v>
      </c>
      <c r="AJ228" s="33" t="str">
        <f t="shared" si="49"/>
        <v>N/A - Facility Does Not Report to TRI</v>
      </c>
      <c r="AK228" s="110" t="str" cm="1">
        <f t="array" ref="AK228">IF(B228="TRI Form A",AD228,IF(AI228=0,"Facility has no transfers to POTWs between 2019-2023.",IF(COUNTIF('Processed Non-zero TRI Data'!$I:$I,$H228)&gt;0,INDEX('Processed Non-zero TRI Data'!$A:$A,MATCH(1,($H228='Processed Non-zero TRI Data'!$I:$I)*(AI228='Processed Non-zero TRI Data'!$U:$U),0)),"N/A - Facility Does Not Report to TRI")))</f>
        <v>N/A - Facility Does Not Report to TRI</v>
      </c>
      <c r="AL228" s="109" cm="1">
        <f t="array" ref="AL228">IFERROR(_xlfn.XLOOKUP(1,  (MAX(IF(H228 = 'Processed Non-zero TRI Data'!$I$2:$I$23,'Processed Non-zero TRI Data'!$A$2:$A$23)) = 'Processed Non-zero TRI Data'!$A$2:$A$23)*('Processed Non-zero TRI Data'!$I$2:$I$23 = H228), 'Processed Non-zero TRI Data'!$W$2:$W$23), "N/A- Facility Does Not Report to TRI")</f>
        <v>0</v>
      </c>
      <c r="AM228" s="33">
        <f t="shared" si="50"/>
        <v>0</v>
      </c>
      <c r="AN228" s="33" t="str" cm="1">
        <f t="array" ref="AN228">IF(COUNTIF('Processed Non-zero TRI Data'!$I:$I,$H228)&gt;0,MEDIAN(IF('Processed Non-zero TRI Data'!$I:$I=H228,'Processed Non-zero TRI Data'!$W:$W)), "N/A - Facility Does Not Report to TRI")</f>
        <v>N/A - Facility Does Not Report to TRI</v>
      </c>
      <c r="AO228" s="33" t="str">
        <f t="shared" si="51"/>
        <v>N/A - Facility Does Not Report to TRI</v>
      </c>
      <c r="AP228" s="33" t="str">
        <f>IF(COUNTIF('Processed Non-zero TRI Data'!$I:$I,$H228)&gt;0,_xlfn.MAXIFS('Processed Non-zero TRI Data'!$W:$W,'Processed Non-zero TRI Data'!$I:$I,$H228), "N/A - Facility Does Not Report to TRI")</f>
        <v>N/A - Facility Does Not Report to TRI</v>
      </c>
      <c r="AQ228" s="33" t="str">
        <f t="shared" si="52"/>
        <v>N/A - Facility Does Not Report to TRI</v>
      </c>
      <c r="AR228" s="110" t="str" cm="1">
        <f t="array" ref="AR228">IF(B228="TRI Form A",AD228,IF(AP228=0,"Facility has no transfers to non-POTWs between 2019-2023.",IF(COUNTIF('Processed Non-zero TRI Data'!$I:$I,$H228)&gt;0,INDEX('Processed Non-zero TRI Data'!$A:$A,MATCH(1,($H228='Processed Non-zero TRI Data'!$I:$I)*(AP228='Processed Non-zero TRI Data'!$W:$W),0)),"N/A - Facility Does Not Report to TRI")))</f>
        <v>N/A - Facility Does Not Report to TRI</v>
      </c>
    </row>
    <row r="229" spans="1:44" ht="29" x14ac:dyDescent="0.35">
      <c r="A229" s="34">
        <v>226</v>
      </c>
      <c r="B229" s="33" t="str">
        <f>IFERROR("TRI Form "&amp;VLOOKUP(H229,'Processed Non-zero TRI Data'!$I$2:$K$23,3,FALSE),"DMR")</f>
        <v>DMR</v>
      </c>
      <c r="C229" s="33" t="str">
        <f>VLOOKUP($D229, 'COU.OES Summary'!C:D, 2, FALSE)</f>
        <v> </v>
      </c>
      <c r="D229" s="33" t="str">
        <f>IFERROR(VLOOKUP($H229, 'Processed Non-zero TRI Data'!$I:$O, 7, FALSE), VLOOKUP($I229, 'Processed Non-zero DMR Data'!$K:$R, 8, FALSE))</f>
        <v>Waste handling, treatment, and disposal - Remediation or Monitoring</v>
      </c>
      <c r="E229" s="34" t="s">
        <v>530</v>
      </c>
      <c r="F229" s="34" t="s">
        <v>531</v>
      </c>
      <c r="G229" s="34" t="s">
        <v>276</v>
      </c>
      <c r="H229" s="34"/>
      <c r="I229" s="105">
        <v>110000749021</v>
      </c>
      <c r="J229" s="33" t="str">
        <f>IFERROR(VLOOKUP($I229, 'Processed Non-zero DMR Data'!$K:$U, 11, FALSE),"")</f>
        <v>VA0085901</v>
      </c>
      <c r="K229" s="33" t="str">
        <f>IFERROR(VLOOKUP($I229, 'Processed Non-zero DMR Data'!$K:$V, 12, FALSE),"Not Reported")</f>
        <v>Rocky Branch-Broad Run</v>
      </c>
      <c r="L229" s="106">
        <f>IFERROR(VLOOKUP($I229, 'Processed Non-zero DMR Data'!$K:$W, 13, FALSE),"No Reach Code Reported")</f>
        <v>20700100504</v>
      </c>
      <c r="M229" s="107" t="str">
        <f>IFERROR(IFERROR(VLOOKUP(H229, 'Off-site Locations'!$K$3:$O$5, 5, FALSE), VLOOKUP(H229, 'Off-site Locations'!$B$3:$E$4, 4, FALSE)), "No Offsite Transfers")</f>
        <v>No Offsite Transfers</v>
      </c>
      <c r="N229" s="33">
        <f>VLOOKUP($D229, 'COU.OES Summary'!C:E, 3, FALSE)</f>
        <v>365</v>
      </c>
      <c r="O229" s="108">
        <f t="shared" si="42"/>
        <v>0</v>
      </c>
      <c r="P229" s="108">
        <f t="shared" si="43"/>
        <v>5.940197925E-2</v>
      </c>
      <c r="Q229" s="109" cm="1">
        <f t="array" ref="Q229">IFERROR(_xlfn.XLOOKUP(1,  (MAX(IF(I229 = 'Processed Non-zero DMR Data'!$K:$K,'Processed Non-zero DMR Data'!$A:$A)) = 'Processed Non-zero DMR Data'!$A:$A)*('Processed Non-zero DMR Data'!$K:$K = I229),'Processed Non-zero DMR Data'!$T:$T), "N/A- Facility Does Not Report DMRs")</f>
        <v>5.0726948500000001E-2</v>
      </c>
      <c r="R229" s="33">
        <f t="shared" si="53"/>
        <v>1.3897794109589041E-4</v>
      </c>
      <c r="S229" s="33" cm="1">
        <f t="array" ref="S229">IF(COUNTIF('Processed Non-zero DMR Data'!$K:$K,$I229)&gt;0,MEDIAN(IF('Processed Non-zero DMR Data'!$K:$K=I229,'Processed Non-zero DMR Data'!$T:$T)),"N/A - Facility Does Not Report DMRs")</f>
        <v>4.2446504000000003E-2</v>
      </c>
      <c r="T229" s="33">
        <f t="shared" si="54"/>
        <v>1.1629179178082193E-4</v>
      </c>
      <c r="U229" s="33">
        <f>IF(COUNTIF('Processed Non-zero DMR Data'!$K:$K,$I229)&gt;0,_xlfn.MAXIFS('Processed Non-zero DMR Data'!$T:$T,'Processed Non-zero DMR Data'!$K:$K,$I229), "N/A - Facility Does Not Report DMRs")</f>
        <v>5.940197925E-2</v>
      </c>
      <c r="V229" s="33">
        <f t="shared" si="55"/>
        <v>1.6274514863013698E-4</v>
      </c>
      <c r="W229" s="110" cm="1">
        <f t="array" ref="W229">IF(COUNTIF('Processed Non-zero DMR Data'!$K:$K,$I229)&gt;0,INDEX('Processed Non-zero DMR Data'!$A:$A,MATCH(1,($I229='Processed Non-zero DMR Data'!$K:$K)*($U229='Processed Non-zero DMR Data'!$T:$T),0)), "N/A - Facility Does Not Report DMRs")</f>
        <v>2019</v>
      </c>
      <c r="X229" s="109" cm="1">
        <f t="array" ref="X229">IFERROR(_xlfn.XLOOKUP(1,  (MAX(IF(H229 = 'Processed Non-zero TRI Data'!$I:$I,'Processed Non-zero TRI Data'!$A:$A)) = 'Processed Non-zero TRI Data'!$A:$A)*('Processed Non-zero TRI Data'!$I:$I = H229), 'Processed Non-zero TRI Data'!$S:$S), "N/A- Facility Does Not Report to TRI")</f>
        <v>0</v>
      </c>
      <c r="Y229" s="33">
        <f t="shared" si="44"/>
        <v>0</v>
      </c>
      <c r="Z229" s="33" t="str" cm="1">
        <f t="array" ref="Z229">IF(COUNTIF('Processed Non-zero TRI Data'!$I:$I,$H229)&gt;0,MEDIAN(IF('Processed Non-zero TRI Data'!$I:$I=H229,'Processed Non-zero TRI Data'!$S:$S)), "N/A - Facility Does Not Report to TRI")</f>
        <v>N/A - Facility Does Not Report to TRI</v>
      </c>
      <c r="AA229" s="33" t="str">
        <f t="shared" si="45"/>
        <v>N/A - Facility Does Not Report to TRI</v>
      </c>
      <c r="AB229" s="33" t="str">
        <f>IF(COUNTIF('Processed Non-zero TRI Data'!$I:$I,$H229)&gt;0,_xlfn.MAXIFS('Processed Non-zero TRI Data'!$S:$S,'Processed Non-zero TRI Data'!$I:$I,$H229), "N/A - Facility Does Not Report to TRI")</f>
        <v>N/A - Facility Does Not Report to TRI</v>
      </c>
      <c r="AC229" s="33" t="str">
        <f t="shared" si="46"/>
        <v>N/A - Facility Does Not Report to TRI</v>
      </c>
      <c r="AD229" s="110" t="str" cm="1">
        <f t="array" ref="AD229">IFERROR(IF(B229 = "TRI Form R", IF(AB229 = 0, "Facility has no on-site water discharges between 2019-2023.",  IF(COUNTIF('Processed Non-zero TRI Data'!$I:$I,$H229)&gt;0,INDEX('Processed Non-zero TRI Data'!$A:$A,MATCH(1,($H229='Processed Non-zero TRI Data'!$I:$I)*(AB229='Processed Non-zero TRI Data'!$S:$S),0)))), VLOOKUP(H229, 'Form A Recent Reporting'!$L:$M, 2, FALSE)), ("N/A - Facility Does Not Report to TRI"))</f>
        <v>N/A - Facility Does Not Report to TRI</v>
      </c>
      <c r="AE229" s="109" cm="1">
        <f t="array" ref="AE229">IFERROR(_xlfn.XLOOKUP(1,  (MAX(IF(H229 = 'Processed Non-zero TRI Data'!$I:$I,'Processed Non-zero TRI Data'!$A:$A)) = 'Processed Non-zero TRI Data'!$A:$A)*('Processed Non-zero TRI Data'!$I:$I = H229), 'Processed Non-zero TRI Data'!$U:$U), "N/A- Facility Does Not Report to TRI")</f>
        <v>0</v>
      </c>
      <c r="AF229" s="33">
        <f t="shared" si="47"/>
        <v>0</v>
      </c>
      <c r="AG229" s="33" t="str" cm="1">
        <f t="array" ref="AG229">IF(COUNTIF('Processed Non-zero TRI Data'!$I:$I,$H229)&gt;0,MEDIAN(IF('Processed Non-zero TRI Data'!$I:$I=H229,'Processed Non-zero TRI Data'!$U:$U)), "N/A - Facility Does Not Report to TRI")</f>
        <v>N/A - Facility Does Not Report to TRI</v>
      </c>
      <c r="AH229" s="33" t="str">
        <f t="shared" si="48"/>
        <v>N/A - Facility Does Not Report to TRI</v>
      </c>
      <c r="AI229" s="33" t="str">
        <f>IF(COUNTIF('Processed Non-zero TRI Data'!$I:$I,$H229)&gt;0,_xlfn.MAXIFS('Processed Non-zero TRI Data'!$U:$U,'Processed Non-zero TRI Data'!$I:$I,$H229), "N/A - Facility Does Not Report to TRI")</f>
        <v>N/A - Facility Does Not Report to TRI</v>
      </c>
      <c r="AJ229" s="33" t="str">
        <f t="shared" si="49"/>
        <v>N/A - Facility Does Not Report to TRI</v>
      </c>
      <c r="AK229" s="110" t="str" cm="1">
        <f t="array" ref="AK229">IF(B229="TRI Form A",AD229,IF(AI229=0,"Facility has no transfers to POTWs between 2019-2023.",IF(COUNTIF('Processed Non-zero TRI Data'!$I:$I,$H229)&gt;0,INDEX('Processed Non-zero TRI Data'!$A:$A,MATCH(1,($H229='Processed Non-zero TRI Data'!$I:$I)*(AI229='Processed Non-zero TRI Data'!$U:$U),0)),"N/A - Facility Does Not Report to TRI")))</f>
        <v>N/A - Facility Does Not Report to TRI</v>
      </c>
      <c r="AL229" s="109" cm="1">
        <f t="array" ref="AL229">IFERROR(_xlfn.XLOOKUP(1,  (MAX(IF(H229 = 'Processed Non-zero TRI Data'!$I$2:$I$23,'Processed Non-zero TRI Data'!$A$2:$A$23)) = 'Processed Non-zero TRI Data'!$A$2:$A$23)*('Processed Non-zero TRI Data'!$I$2:$I$23 = H229), 'Processed Non-zero TRI Data'!$W$2:$W$23), "N/A- Facility Does Not Report to TRI")</f>
        <v>0</v>
      </c>
      <c r="AM229" s="33">
        <f t="shared" si="50"/>
        <v>0</v>
      </c>
      <c r="AN229" s="33" t="str" cm="1">
        <f t="array" ref="AN229">IF(COUNTIF('Processed Non-zero TRI Data'!$I:$I,$H229)&gt;0,MEDIAN(IF('Processed Non-zero TRI Data'!$I:$I=H229,'Processed Non-zero TRI Data'!$W:$W)), "N/A - Facility Does Not Report to TRI")</f>
        <v>N/A - Facility Does Not Report to TRI</v>
      </c>
      <c r="AO229" s="33" t="str">
        <f t="shared" si="51"/>
        <v>N/A - Facility Does Not Report to TRI</v>
      </c>
      <c r="AP229" s="33" t="str">
        <f>IF(COUNTIF('Processed Non-zero TRI Data'!$I:$I,$H229)&gt;0,_xlfn.MAXIFS('Processed Non-zero TRI Data'!$W:$W,'Processed Non-zero TRI Data'!$I:$I,$H229), "N/A - Facility Does Not Report to TRI")</f>
        <v>N/A - Facility Does Not Report to TRI</v>
      </c>
      <c r="AQ229" s="33" t="str">
        <f t="shared" si="52"/>
        <v>N/A - Facility Does Not Report to TRI</v>
      </c>
      <c r="AR229" s="110" t="str" cm="1">
        <f t="array" ref="AR229">IF(B229="TRI Form A",AD229,IF(AP229=0,"Facility has no transfers to non-POTWs between 2019-2023.",IF(COUNTIF('Processed Non-zero TRI Data'!$I:$I,$H229)&gt;0,INDEX('Processed Non-zero TRI Data'!$A:$A,MATCH(1,($H229='Processed Non-zero TRI Data'!$I:$I)*(AP229='Processed Non-zero TRI Data'!$W:$W),0)),"N/A - Facility Does Not Report to TRI")))</f>
        <v>N/A - Facility Does Not Report to TRI</v>
      </c>
    </row>
    <row r="230" spans="1:44" ht="29" x14ac:dyDescent="0.35">
      <c r="A230" s="34">
        <v>227</v>
      </c>
      <c r="B230" s="33" t="str">
        <f>IFERROR("TRI Form "&amp;VLOOKUP(H230,'Processed Non-zero TRI Data'!$I$2:$K$23,3,FALSE),"DMR")</f>
        <v>DMR</v>
      </c>
      <c r="C230" s="33" t="str">
        <f>VLOOKUP($D230, 'COU.OES Summary'!C:D, 2, FALSE)</f>
        <v> </v>
      </c>
      <c r="D230" s="33" t="str">
        <f>IFERROR(VLOOKUP($H230, 'Processed Non-zero TRI Data'!$I:$O, 7, FALSE), VLOOKUP($I230, 'Processed Non-zero DMR Data'!$K:$R, 8, FALSE))</f>
        <v>Waste handling, treatment, and disposal - Remediation or Monitoring</v>
      </c>
      <c r="E230" s="34" t="s">
        <v>532</v>
      </c>
      <c r="F230" s="34" t="s">
        <v>94</v>
      </c>
      <c r="G230" s="34" t="s">
        <v>95</v>
      </c>
      <c r="H230" s="34"/>
      <c r="I230" s="105">
        <v>110000461107</v>
      </c>
      <c r="J230" s="33" t="str">
        <f>IFERROR(VLOOKUP($I230, 'Processed Non-zero DMR Data'!$K:$U, 11, FALSE),"")</f>
        <v>TX0006068</v>
      </c>
      <c r="K230" s="33" t="str">
        <f>IFERROR(VLOOKUP($I230, 'Processed Non-zero DMR Data'!$K:$V, 12, FALSE),"Not Reported")</f>
        <v>Lower Sims Bayou</v>
      </c>
      <c r="L230" s="106">
        <f>IFERROR(VLOOKUP($I230, 'Processed Non-zero DMR Data'!$K:$W, 13, FALSE),"No Reach Code Reported")</f>
        <v>120401040502</v>
      </c>
      <c r="M230" s="107" t="str">
        <f>IFERROR(IFERROR(VLOOKUP(H230, 'Off-site Locations'!$K$3:$O$5, 5, FALSE), VLOOKUP(H230, 'Off-site Locations'!$B$3:$E$4, 4, FALSE)), "No Offsite Transfers")</f>
        <v>No Offsite Transfers</v>
      </c>
      <c r="N230" s="33">
        <f>VLOOKUP($D230, 'COU.OES Summary'!C:E, 3, FALSE)</f>
        <v>365</v>
      </c>
      <c r="O230" s="108">
        <f t="shared" si="42"/>
        <v>0</v>
      </c>
      <c r="P230" s="108">
        <f t="shared" si="43"/>
        <v>3.3141999999999998E-2</v>
      </c>
      <c r="Q230" s="109" cm="1">
        <f t="array" ref="Q230">IFERROR(_xlfn.XLOOKUP(1,  (MAX(IF(I230 = 'Processed Non-zero DMR Data'!$K:$K,'Processed Non-zero DMR Data'!$A:$A)) = 'Processed Non-zero DMR Data'!$A:$A)*('Processed Non-zero DMR Data'!$K:$K = I230),'Processed Non-zero DMR Data'!$T:$T), "N/A- Facility Does Not Report DMRs")</f>
        <v>3.3141999999999998E-2</v>
      </c>
      <c r="R230" s="33">
        <f t="shared" si="53"/>
        <v>9.0799999999999998E-5</v>
      </c>
      <c r="S230" s="33" cm="1">
        <f t="array" ref="S230">IF(COUNTIF('Processed Non-zero DMR Data'!$K:$K,$I230)&gt;0,MEDIAN(IF('Processed Non-zero DMR Data'!$K:$K=I230,'Processed Non-zero DMR Data'!$T:$T)),"N/A - Facility Does Not Report DMRs")</f>
        <v>3.3141999999999998E-2</v>
      </c>
      <c r="T230" s="33">
        <f t="shared" si="54"/>
        <v>9.0799999999999998E-5</v>
      </c>
      <c r="U230" s="33">
        <f>IF(COUNTIF('Processed Non-zero DMR Data'!$K:$K,$I230)&gt;0,_xlfn.MAXIFS('Processed Non-zero DMR Data'!$T:$T,'Processed Non-zero DMR Data'!$K:$K,$I230), "N/A - Facility Does Not Report DMRs")</f>
        <v>3.3141999999999998E-2</v>
      </c>
      <c r="V230" s="33">
        <f t="shared" si="55"/>
        <v>9.0799999999999998E-5</v>
      </c>
      <c r="W230" s="110" cm="1">
        <f t="array" ref="W230">IF(COUNTIF('Processed Non-zero DMR Data'!$K:$K,$I230)&gt;0,INDEX('Processed Non-zero DMR Data'!$A:$A,MATCH(1,($I230='Processed Non-zero DMR Data'!$K:$K)*($U230='Processed Non-zero DMR Data'!$T:$T),0)), "N/A - Facility Does Not Report DMRs")</f>
        <v>2023</v>
      </c>
      <c r="X230" s="109" cm="1">
        <f t="array" ref="X230">IFERROR(_xlfn.XLOOKUP(1,  (MAX(IF(H230 = 'Processed Non-zero TRI Data'!$I:$I,'Processed Non-zero TRI Data'!$A:$A)) = 'Processed Non-zero TRI Data'!$A:$A)*('Processed Non-zero TRI Data'!$I:$I = H230), 'Processed Non-zero TRI Data'!$S:$S), "N/A- Facility Does Not Report to TRI")</f>
        <v>0</v>
      </c>
      <c r="Y230" s="33">
        <f t="shared" si="44"/>
        <v>0</v>
      </c>
      <c r="Z230" s="33" t="str" cm="1">
        <f t="array" ref="Z230">IF(COUNTIF('Processed Non-zero TRI Data'!$I:$I,$H230)&gt;0,MEDIAN(IF('Processed Non-zero TRI Data'!$I:$I=H230,'Processed Non-zero TRI Data'!$S:$S)), "N/A - Facility Does Not Report to TRI")</f>
        <v>N/A - Facility Does Not Report to TRI</v>
      </c>
      <c r="AA230" s="33" t="str">
        <f t="shared" si="45"/>
        <v>N/A - Facility Does Not Report to TRI</v>
      </c>
      <c r="AB230" s="33" t="str">
        <f>IF(COUNTIF('Processed Non-zero TRI Data'!$I:$I,$H230)&gt;0,_xlfn.MAXIFS('Processed Non-zero TRI Data'!$S:$S,'Processed Non-zero TRI Data'!$I:$I,$H230), "N/A - Facility Does Not Report to TRI")</f>
        <v>N/A - Facility Does Not Report to TRI</v>
      </c>
      <c r="AC230" s="33" t="str">
        <f t="shared" si="46"/>
        <v>N/A - Facility Does Not Report to TRI</v>
      </c>
      <c r="AD230" s="110" t="str" cm="1">
        <f t="array" ref="AD230">IFERROR(IF(B230 = "TRI Form R", IF(AB230 = 0, "Facility has no on-site water discharges between 2019-2023.",  IF(COUNTIF('Processed Non-zero TRI Data'!$I:$I,$H230)&gt;0,INDEX('Processed Non-zero TRI Data'!$A:$A,MATCH(1,($H230='Processed Non-zero TRI Data'!$I:$I)*(AB230='Processed Non-zero TRI Data'!$S:$S),0)))), VLOOKUP(H230, 'Form A Recent Reporting'!$L:$M, 2, FALSE)), ("N/A - Facility Does Not Report to TRI"))</f>
        <v>N/A - Facility Does Not Report to TRI</v>
      </c>
      <c r="AE230" s="109" cm="1">
        <f t="array" ref="AE230">IFERROR(_xlfn.XLOOKUP(1,  (MAX(IF(H230 = 'Processed Non-zero TRI Data'!$I:$I,'Processed Non-zero TRI Data'!$A:$A)) = 'Processed Non-zero TRI Data'!$A:$A)*('Processed Non-zero TRI Data'!$I:$I = H230), 'Processed Non-zero TRI Data'!$U:$U), "N/A- Facility Does Not Report to TRI")</f>
        <v>0</v>
      </c>
      <c r="AF230" s="33">
        <f t="shared" si="47"/>
        <v>0</v>
      </c>
      <c r="AG230" s="33" t="str" cm="1">
        <f t="array" ref="AG230">IF(COUNTIF('Processed Non-zero TRI Data'!$I:$I,$H230)&gt;0,MEDIAN(IF('Processed Non-zero TRI Data'!$I:$I=H230,'Processed Non-zero TRI Data'!$U:$U)), "N/A - Facility Does Not Report to TRI")</f>
        <v>N/A - Facility Does Not Report to TRI</v>
      </c>
      <c r="AH230" s="33" t="str">
        <f t="shared" si="48"/>
        <v>N/A - Facility Does Not Report to TRI</v>
      </c>
      <c r="AI230" s="33" t="str">
        <f>IF(COUNTIF('Processed Non-zero TRI Data'!$I:$I,$H230)&gt;0,_xlfn.MAXIFS('Processed Non-zero TRI Data'!$U:$U,'Processed Non-zero TRI Data'!$I:$I,$H230), "N/A - Facility Does Not Report to TRI")</f>
        <v>N/A - Facility Does Not Report to TRI</v>
      </c>
      <c r="AJ230" s="33" t="str">
        <f t="shared" si="49"/>
        <v>N/A - Facility Does Not Report to TRI</v>
      </c>
      <c r="AK230" s="110" t="str" cm="1">
        <f t="array" ref="AK230">IF(B230="TRI Form A",AD230,IF(AI230=0,"Facility has no transfers to POTWs between 2019-2023.",IF(COUNTIF('Processed Non-zero TRI Data'!$I:$I,$H230)&gt;0,INDEX('Processed Non-zero TRI Data'!$A:$A,MATCH(1,($H230='Processed Non-zero TRI Data'!$I:$I)*(AI230='Processed Non-zero TRI Data'!$U:$U),0)),"N/A - Facility Does Not Report to TRI")))</f>
        <v>N/A - Facility Does Not Report to TRI</v>
      </c>
      <c r="AL230" s="109" cm="1">
        <f t="array" ref="AL230">IFERROR(_xlfn.XLOOKUP(1,  (MAX(IF(H230 = 'Processed Non-zero TRI Data'!$I$2:$I$23,'Processed Non-zero TRI Data'!$A$2:$A$23)) = 'Processed Non-zero TRI Data'!$A$2:$A$23)*('Processed Non-zero TRI Data'!$I$2:$I$23 = H230), 'Processed Non-zero TRI Data'!$W$2:$W$23), "N/A- Facility Does Not Report to TRI")</f>
        <v>0</v>
      </c>
      <c r="AM230" s="33">
        <f t="shared" si="50"/>
        <v>0</v>
      </c>
      <c r="AN230" s="33" t="str" cm="1">
        <f t="array" ref="AN230">IF(COUNTIF('Processed Non-zero TRI Data'!$I:$I,$H230)&gt;0,MEDIAN(IF('Processed Non-zero TRI Data'!$I:$I=H230,'Processed Non-zero TRI Data'!$W:$W)), "N/A - Facility Does Not Report to TRI")</f>
        <v>N/A - Facility Does Not Report to TRI</v>
      </c>
      <c r="AO230" s="33" t="str">
        <f t="shared" si="51"/>
        <v>N/A - Facility Does Not Report to TRI</v>
      </c>
      <c r="AP230" s="33" t="str">
        <f>IF(COUNTIF('Processed Non-zero TRI Data'!$I:$I,$H230)&gt;0,_xlfn.MAXIFS('Processed Non-zero TRI Data'!$W:$W,'Processed Non-zero TRI Data'!$I:$I,$H230), "N/A - Facility Does Not Report to TRI")</f>
        <v>N/A - Facility Does Not Report to TRI</v>
      </c>
      <c r="AQ230" s="33" t="str">
        <f t="shared" si="52"/>
        <v>N/A - Facility Does Not Report to TRI</v>
      </c>
      <c r="AR230" s="110" t="str" cm="1">
        <f t="array" ref="AR230">IF(B230="TRI Form A",AD230,IF(AP230=0,"Facility has no transfers to non-POTWs between 2019-2023.",IF(COUNTIF('Processed Non-zero TRI Data'!$I:$I,$H230)&gt;0,INDEX('Processed Non-zero TRI Data'!$A:$A,MATCH(1,($H230='Processed Non-zero TRI Data'!$I:$I)*(AP230='Processed Non-zero TRI Data'!$W:$W),0)),"N/A - Facility Does Not Report to TRI")))</f>
        <v>N/A - Facility Does Not Report to TRI</v>
      </c>
    </row>
    <row r="231" spans="1:44" ht="29" x14ac:dyDescent="0.35">
      <c r="A231" s="34">
        <v>228</v>
      </c>
      <c r="B231" s="33" t="str">
        <f>IFERROR("TRI Form "&amp;VLOOKUP(H231,'Processed Non-zero TRI Data'!$I$2:$K$23,3,FALSE),"DMR")</f>
        <v>DMR</v>
      </c>
      <c r="C231" s="33" t="str">
        <f>VLOOKUP($D231, 'COU.OES Summary'!C:D, 2, FALSE)</f>
        <v> </v>
      </c>
      <c r="D231" s="33" t="str">
        <f>IFERROR(VLOOKUP($H231, 'Processed Non-zero TRI Data'!$I:$O, 7, FALSE), VLOOKUP($I231, 'Processed Non-zero DMR Data'!$K:$R, 8, FALSE))</f>
        <v>Waste handling, treatment, and disposal - Remediation or Monitoring</v>
      </c>
      <c r="E231" s="34" t="s">
        <v>533</v>
      </c>
      <c r="F231" s="34" t="s">
        <v>534</v>
      </c>
      <c r="G231" s="34" t="s">
        <v>91</v>
      </c>
      <c r="H231" s="34"/>
      <c r="I231" s="105">
        <v>110000597355</v>
      </c>
      <c r="J231" s="33" t="str">
        <f>IFERROR(VLOOKUP($I231, 'Processed Non-zero DMR Data'!$K:$U, 11, FALSE),"")</f>
        <v>LA0048704</v>
      </c>
      <c r="K231" s="33" t="str">
        <f>IFERROR(VLOOKUP($I231, 'Processed Non-zero DMR Data'!$K:$V, 12, FALSE),"Not Reported")</f>
        <v>Grays Creek-Amite River</v>
      </c>
      <c r="L231" s="106">
        <f>IFERROR(VLOOKUP($I231, 'Processed Non-zero DMR Data'!$K:$W, 13, FALSE),"No Reach Code Reported")</f>
        <v>80702020903</v>
      </c>
      <c r="M231" s="107" t="str">
        <f>IFERROR(IFERROR(VLOOKUP(H231, 'Off-site Locations'!$K$3:$O$5, 5, FALSE), VLOOKUP(H231, 'Off-site Locations'!$B$3:$E$4, 4, FALSE)), "No Offsite Transfers")</f>
        <v>No Offsite Transfers</v>
      </c>
      <c r="N231" s="33">
        <f>VLOOKUP($D231, 'COU.OES Summary'!C:E, 3, FALSE)</f>
        <v>365</v>
      </c>
      <c r="O231" s="108">
        <f t="shared" si="42"/>
        <v>0</v>
      </c>
      <c r="P231" s="108">
        <f t="shared" si="43"/>
        <v>3.3141999999999998E-2</v>
      </c>
      <c r="Q231" s="109" cm="1">
        <f t="array" ref="Q231">IFERROR(_xlfn.XLOOKUP(1,  (MAX(IF(I231 = 'Processed Non-zero DMR Data'!$K:$K,'Processed Non-zero DMR Data'!$A:$A)) = 'Processed Non-zero DMR Data'!$A:$A)*('Processed Non-zero DMR Data'!$K:$K = I231),'Processed Non-zero DMR Data'!$T:$T), "N/A- Facility Does Not Report DMRs")</f>
        <v>8.2855000000000005E-5</v>
      </c>
      <c r="R231" s="33">
        <f t="shared" si="53"/>
        <v>2.2700000000000001E-7</v>
      </c>
      <c r="S231" s="33" cm="1">
        <f t="array" ref="S231">IF(COUNTIF('Processed Non-zero DMR Data'!$K:$K,$I231)&gt;0,MEDIAN(IF('Processed Non-zero DMR Data'!$K:$K=I231,'Processed Non-zero DMR Data'!$T:$T)),"N/A - Facility Does Not Report DMRs")</f>
        <v>2.4856499999999997E-2</v>
      </c>
      <c r="T231" s="33">
        <f t="shared" si="54"/>
        <v>6.8099999999999988E-5</v>
      </c>
      <c r="U231" s="33">
        <f>IF(COUNTIF('Processed Non-zero DMR Data'!$K:$K,$I231)&gt;0,_xlfn.MAXIFS('Processed Non-zero DMR Data'!$T:$T,'Processed Non-zero DMR Data'!$K:$K,$I231), "N/A - Facility Does Not Report DMRs")</f>
        <v>3.3141999999999998E-2</v>
      </c>
      <c r="V231" s="33">
        <f t="shared" si="55"/>
        <v>9.0799999999999998E-5</v>
      </c>
      <c r="W231" s="110" cm="1">
        <f t="array" ref="W231">IF(COUNTIF('Processed Non-zero DMR Data'!$K:$K,$I231)&gt;0,INDEX('Processed Non-zero DMR Data'!$A:$A,MATCH(1,($I231='Processed Non-zero DMR Data'!$K:$K)*($U231='Processed Non-zero DMR Data'!$T:$T),0)), "N/A - Facility Does Not Report DMRs")</f>
        <v>2019</v>
      </c>
      <c r="X231" s="109" cm="1">
        <f t="array" ref="X231">IFERROR(_xlfn.XLOOKUP(1,  (MAX(IF(H231 = 'Processed Non-zero TRI Data'!$I:$I,'Processed Non-zero TRI Data'!$A:$A)) = 'Processed Non-zero TRI Data'!$A:$A)*('Processed Non-zero TRI Data'!$I:$I = H231), 'Processed Non-zero TRI Data'!$S:$S), "N/A- Facility Does Not Report to TRI")</f>
        <v>0</v>
      </c>
      <c r="Y231" s="33">
        <f t="shared" si="44"/>
        <v>0</v>
      </c>
      <c r="Z231" s="33" t="str" cm="1">
        <f t="array" ref="Z231">IF(COUNTIF('Processed Non-zero TRI Data'!$I:$I,$H231)&gt;0,MEDIAN(IF('Processed Non-zero TRI Data'!$I:$I=H231,'Processed Non-zero TRI Data'!$S:$S)), "N/A - Facility Does Not Report to TRI")</f>
        <v>N/A - Facility Does Not Report to TRI</v>
      </c>
      <c r="AA231" s="33" t="str">
        <f t="shared" si="45"/>
        <v>N/A - Facility Does Not Report to TRI</v>
      </c>
      <c r="AB231" s="33" t="str">
        <f>IF(COUNTIF('Processed Non-zero TRI Data'!$I:$I,$H231)&gt;0,_xlfn.MAXIFS('Processed Non-zero TRI Data'!$S:$S,'Processed Non-zero TRI Data'!$I:$I,$H231), "N/A - Facility Does Not Report to TRI")</f>
        <v>N/A - Facility Does Not Report to TRI</v>
      </c>
      <c r="AC231" s="33" t="str">
        <f t="shared" si="46"/>
        <v>N/A - Facility Does Not Report to TRI</v>
      </c>
      <c r="AD231" s="110" t="str" cm="1">
        <f t="array" ref="AD231">IFERROR(IF(B231 = "TRI Form R", IF(AB231 = 0, "Facility has no on-site water discharges between 2019-2023.",  IF(COUNTIF('Processed Non-zero TRI Data'!$I:$I,$H231)&gt;0,INDEX('Processed Non-zero TRI Data'!$A:$A,MATCH(1,($H231='Processed Non-zero TRI Data'!$I:$I)*(AB231='Processed Non-zero TRI Data'!$S:$S),0)))), VLOOKUP(H231, 'Form A Recent Reporting'!$L:$M, 2, FALSE)), ("N/A - Facility Does Not Report to TRI"))</f>
        <v>N/A - Facility Does Not Report to TRI</v>
      </c>
      <c r="AE231" s="109" cm="1">
        <f t="array" ref="AE231">IFERROR(_xlfn.XLOOKUP(1,  (MAX(IF(H231 = 'Processed Non-zero TRI Data'!$I:$I,'Processed Non-zero TRI Data'!$A:$A)) = 'Processed Non-zero TRI Data'!$A:$A)*('Processed Non-zero TRI Data'!$I:$I = H231), 'Processed Non-zero TRI Data'!$U:$U), "N/A- Facility Does Not Report to TRI")</f>
        <v>0</v>
      </c>
      <c r="AF231" s="33">
        <f t="shared" si="47"/>
        <v>0</v>
      </c>
      <c r="AG231" s="33" t="str" cm="1">
        <f t="array" ref="AG231">IF(COUNTIF('Processed Non-zero TRI Data'!$I:$I,$H231)&gt;0,MEDIAN(IF('Processed Non-zero TRI Data'!$I:$I=H231,'Processed Non-zero TRI Data'!$U:$U)), "N/A - Facility Does Not Report to TRI")</f>
        <v>N/A - Facility Does Not Report to TRI</v>
      </c>
      <c r="AH231" s="33" t="str">
        <f t="shared" si="48"/>
        <v>N/A - Facility Does Not Report to TRI</v>
      </c>
      <c r="AI231" s="33" t="str">
        <f>IF(COUNTIF('Processed Non-zero TRI Data'!$I:$I,$H231)&gt;0,_xlfn.MAXIFS('Processed Non-zero TRI Data'!$U:$U,'Processed Non-zero TRI Data'!$I:$I,$H231), "N/A - Facility Does Not Report to TRI")</f>
        <v>N/A - Facility Does Not Report to TRI</v>
      </c>
      <c r="AJ231" s="33" t="str">
        <f t="shared" si="49"/>
        <v>N/A - Facility Does Not Report to TRI</v>
      </c>
      <c r="AK231" s="110" t="str" cm="1">
        <f t="array" ref="AK231">IF(B231="TRI Form A",AD231,IF(AI231=0,"Facility has no transfers to POTWs between 2019-2023.",IF(COUNTIF('Processed Non-zero TRI Data'!$I:$I,$H231)&gt;0,INDEX('Processed Non-zero TRI Data'!$A:$A,MATCH(1,($H231='Processed Non-zero TRI Data'!$I:$I)*(AI231='Processed Non-zero TRI Data'!$U:$U),0)),"N/A - Facility Does Not Report to TRI")))</f>
        <v>N/A - Facility Does Not Report to TRI</v>
      </c>
      <c r="AL231" s="109" cm="1">
        <f t="array" ref="AL231">IFERROR(_xlfn.XLOOKUP(1,  (MAX(IF(H231 = 'Processed Non-zero TRI Data'!$I$2:$I$23,'Processed Non-zero TRI Data'!$A$2:$A$23)) = 'Processed Non-zero TRI Data'!$A$2:$A$23)*('Processed Non-zero TRI Data'!$I$2:$I$23 = H231), 'Processed Non-zero TRI Data'!$W$2:$W$23), "N/A- Facility Does Not Report to TRI")</f>
        <v>0</v>
      </c>
      <c r="AM231" s="33">
        <f t="shared" si="50"/>
        <v>0</v>
      </c>
      <c r="AN231" s="33" t="str" cm="1">
        <f t="array" ref="AN231">IF(COUNTIF('Processed Non-zero TRI Data'!$I:$I,$H231)&gt;0,MEDIAN(IF('Processed Non-zero TRI Data'!$I:$I=H231,'Processed Non-zero TRI Data'!$W:$W)), "N/A - Facility Does Not Report to TRI")</f>
        <v>N/A - Facility Does Not Report to TRI</v>
      </c>
      <c r="AO231" s="33" t="str">
        <f t="shared" si="51"/>
        <v>N/A - Facility Does Not Report to TRI</v>
      </c>
      <c r="AP231" s="33" t="str">
        <f>IF(COUNTIF('Processed Non-zero TRI Data'!$I:$I,$H231)&gt;0,_xlfn.MAXIFS('Processed Non-zero TRI Data'!$W:$W,'Processed Non-zero TRI Data'!$I:$I,$H231), "N/A - Facility Does Not Report to TRI")</f>
        <v>N/A - Facility Does Not Report to TRI</v>
      </c>
      <c r="AQ231" s="33" t="str">
        <f t="shared" si="52"/>
        <v>N/A - Facility Does Not Report to TRI</v>
      </c>
      <c r="AR231" s="110" t="str" cm="1">
        <f t="array" ref="AR231">IF(B231="TRI Form A",AD231,IF(AP231=0,"Facility has no transfers to non-POTWs between 2019-2023.",IF(COUNTIF('Processed Non-zero TRI Data'!$I:$I,$H231)&gt;0,INDEX('Processed Non-zero TRI Data'!$A:$A,MATCH(1,($H231='Processed Non-zero TRI Data'!$I:$I)*(AP231='Processed Non-zero TRI Data'!$W:$W),0)),"N/A - Facility Does Not Report to TRI")))</f>
        <v>N/A - Facility Does Not Report to TRI</v>
      </c>
    </row>
    <row r="232" spans="1:44" ht="29" x14ac:dyDescent="0.35">
      <c r="A232" s="34">
        <v>229</v>
      </c>
      <c r="B232" s="33" t="str">
        <f>IFERROR("TRI Form "&amp;VLOOKUP(H232,'Processed Non-zero TRI Data'!$I$2:$K$23,3,FALSE),"DMR")</f>
        <v>DMR</v>
      </c>
      <c r="C232" s="33" t="str">
        <f>VLOOKUP($D232, 'COU.OES Summary'!C:D, 2, FALSE)</f>
        <v> </v>
      </c>
      <c r="D232" s="33" t="str">
        <f>IFERROR(VLOOKUP($H232, 'Processed Non-zero TRI Data'!$I:$O, 7, FALSE), VLOOKUP($I232, 'Processed Non-zero DMR Data'!$K:$R, 8, FALSE))</f>
        <v>Waste handling, treatment, and disposal - non-POTW WWT</v>
      </c>
      <c r="E232" s="34" t="s">
        <v>535</v>
      </c>
      <c r="F232" s="34" t="s">
        <v>536</v>
      </c>
      <c r="G232" s="34" t="s">
        <v>102</v>
      </c>
      <c r="H232" s="34"/>
      <c r="I232" s="105">
        <v>110030437524</v>
      </c>
      <c r="J232" s="33" t="str">
        <f>IFERROR(VLOOKUP($I232, 'Processed Non-zero DMR Data'!$K:$U, 11, FALSE),"")</f>
        <v>CA0085201</v>
      </c>
      <c r="K232" s="33" t="str">
        <f>IFERROR(VLOOKUP($I232, 'Processed Non-zero DMR Data'!$K:$V, 12, FALSE),"Not Reported")</f>
        <v>Angels Creek</v>
      </c>
      <c r="L232" s="106">
        <f>IFERROR(VLOOKUP($I232, 'Processed Non-zero DMR Data'!$K:$W, 13, FALSE),"No Reach Code Reported")</f>
        <v>180400100604</v>
      </c>
      <c r="M232" s="107" t="str">
        <f>IFERROR(IFERROR(VLOOKUP(H232, 'Off-site Locations'!$K$3:$O$5, 5, FALSE), VLOOKUP(H232, 'Off-site Locations'!$B$3:$E$4, 4, FALSE)), "No Offsite Transfers")</f>
        <v>No Offsite Transfers</v>
      </c>
      <c r="N232" s="33">
        <f>VLOOKUP($D232, 'COU.OES Summary'!C:E, 3, FALSE)</f>
        <v>365</v>
      </c>
      <c r="O232" s="108">
        <f t="shared" si="42"/>
        <v>0</v>
      </c>
      <c r="P232" s="108">
        <f t="shared" si="43"/>
        <v>3.3018447499999999E-2</v>
      </c>
      <c r="Q232" s="109" cm="1">
        <f t="array" ref="Q232">IFERROR(_xlfn.XLOOKUP(1,  (MAX(IF(I232 = 'Processed Non-zero DMR Data'!$K:$K,'Processed Non-zero DMR Data'!$A:$A)) = 'Processed Non-zero DMR Data'!$A:$A)*('Processed Non-zero DMR Data'!$K:$K = I232),'Processed Non-zero DMR Data'!$T:$T), "N/A- Facility Does Not Report DMRs")</f>
        <v>3.3018447499999999E-2</v>
      </c>
      <c r="R232" s="33">
        <f t="shared" si="53"/>
        <v>9.0461499999999994E-5</v>
      </c>
      <c r="S232" s="33" cm="1">
        <f t="array" ref="S232">IF(COUNTIF('Processed Non-zero DMR Data'!$K:$K,$I232)&gt;0,MEDIAN(IF('Processed Non-zero DMR Data'!$K:$K=I232,'Processed Non-zero DMR Data'!$T:$T)),"N/A - Facility Does Not Report DMRs")</f>
        <v>3.3018447499999999E-2</v>
      </c>
      <c r="T232" s="33">
        <f t="shared" si="54"/>
        <v>9.0461499999999994E-5</v>
      </c>
      <c r="U232" s="33">
        <f>IF(COUNTIF('Processed Non-zero DMR Data'!$K:$K,$I232)&gt;0,_xlfn.MAXIFS('Processed Non-zero DMR Data'!$T:$T,'Processed Non-zero DMR Data'!$K:$K,$I232), "N/A - Facility Does Not Report DMRs")</f>
        <v>3.3018447499999999E-2</v>
      </c>
      <c r="V232" s="33">
        <f t="shared" si="55"/>
        <v>9.0461499999999994E-5</v>
      </c>
      <c r="W232" s="110" cm="1">
        <f t="array" ref="W232">IF(COUNTIF('Processed Non-zero DMR Data'!$K:$K,$I232)&gt;0,INDEX('Processed Non-zero DMR Data'!$A:$A,MATCH(1,($I232='Processed Non-zero DMR Data'!$K:$K)*($U232='Processed Non-zero DMR Data'!$T:$T),0)), "N/A - Facility Does Not Report DMRs")</f>
        <v>2021</v>
      </c>
      <c r="X232" s="109" cm="1">
        <f t="array" ref="X232">IFERROR(_xlfn.XLOOKUP(1,  (MAX(IF(H232 = 'Processed Non-zero TRI Data'!$I:$I,'Processed Non-zero TRI Data'!$A:$A)) = 'Processed Non-zero TRI Data'!$A:$A)*('Processed Non-zero TRI Data'!$I:$I = H232), 'Processed Non-zero TRI Data'!$S:$S), "N/A- Facility Does Not Report to TRI")</f>
        <v>0</v>
      </c>
      <c r="Y232" s="33">
        <f t="shared" si="44"/>
        <v>0</v>
      </c>
      <c r="Z232" s="33" t="str" cm="1">
        <f t="array" ref="Z232">IF(COUNTIF('Processed Non-zero TRI Data'!$I:$I,$H232)&gt;0,MEDIAN(IF('Processed Non-zero TRI Data'!$I:$I=H232,'Processed Non-zero TRI Data'!$S:$S)), "N/A - Facility Does Not Report to TRI")</f>
        <v>N/A - Facility Does Not Report to TRI</v>
      </c>
      <c r="AA232" s="33" t="str">
        <f t="shared" si="45"/>
        <v>N/A - Facility Does Not Report to TRI</v>
      </c>
      <c r="AB232" s="33" t="str">
        <f>IF(COUNTIF('Processed Non-zero TRI Data'!$I:$I,$H232)&gt;0,_xlfn.MAXIFS('Processed Non-zero TRI Data'!$S:$S,'Processed Non-zero TRI Data'!$I:$I,$H232), "N/A - Facility Does Not Report to TRI")</f>
        <v>N/A - Facility Does Not Report to TRI</v>
      </c>
      <c r="AC232" s="33" t="str">
        <f t="shared" si="46"/>
        <v>N/A - Facility Does Not Report to TRI</v>
      </c>
      <c r="AD232" s="110" t="str" cm="1">
        <f t="array" ref="AD232">IFERROR(IF(B232 = "TRI Form R", IF(AB232 = 0, "Facility has no on-site water discharges between 2019-2023.",  IF(COUNTIF('Processed Non-zero TRI Data'!$I:$I,$H232)&gt;0,INDEX('Processed Non-zero TRI Data'!$A:$A,MATCH(1,($H232='Processed Non-zero TRI Data'!$I:$I)*(AB232='Processed Non-zero TRI Data'!$S:$S),0)))), VLOOKUP(H232, 'Form A Recent Reporting'!$L:$M, 2, FALSE)), ("N/A - Facility Does Not Report to TRI"))</f>
        <v>N/A - Facility Does Not Report to TRI</v>
      </c>
      <c r="AE232" s="109" cm="1">
        <f t="array" ref="AE232">IFERROR(_xlfn.XLOOKUP(1,  (MAX(IF(H232 = 'Processed Non-zero TRI Data'!$I:$I,'Processed Non-zero TRI Data'!$A:$A)) = 'Processed Non-zero TRI Data'!$A:$A)*('Processed Non-zero TRI Data'!$I:$I = H232), 'Processed Non-zero TRI Data'!$U:$U), "N/A- Facility Does Not Report to TRI")</f>
        <v>0</v>
      </c>
      <c r="AF232" s="33">
        <f t="shared" si="47"/>
        <v>0</v>
      </c>
      <c r="AG232" s="33" t="str" cm="1">
        <f t="array" ref="AG232">IF(COUNTIF('Processed Non-zero TRI Data'!$I:$I,$H232)&gt;0,MEDIAN(IF('Processed Non-zero TRI Data'!$I:$I=H232,'Processed Non-zero TRI Data'!$U:$U)), "N/A - Facility Does Not Report to TRI")</f>
        <v>N/A - Facility Does Not Report to TRI</v>
      </c>
      <c r="AH232" s="33" t="str">
        <f t="shared" si="48"/>
        <v>N/A - Facility Does Not Report to TRI</v>
      </c>
      <c r="AI232" s="33" t="str">
        <f>IF(COUNTIF('Processed Non-zero TRI Data'!$I:$I,$H232)&gt;0,_xlfn.MAXIFS('Processed Non-zero TRI Data'!$U:$U,'Processed Non-zero TRI Data'!$I:$I,$H232), "N/A - Facility Does Not Report to TRI")</f>
        <v>N/A - Facility Does Not Report to TRI</v>
      </c>
      <c r="AJ232" s="33" t="str">
        <f t="shared" si="49"/>
        <v>N/A - Facility Does Not Report to TRI</v>
      </c>
      <c r="AK232" s="110" t="str" cm="1">
        <f t="array" ref="AK232">IF(B232="TRI Form A",AD232,IF(AI232=0,"Facility has no transfers to POTWs between 2019-2023.",IF(COUNTIF('Processed Non-zero TRI Data'!$I:$I,$H232)&gt;0,INDEX('Processed Non-zero TRI Data'!$A:$A,MATCH(1,($H232='Processed Non-zero TRI Data'!$I:$I)*(AI232='Processed Non-zero TRI Data'!$U:$U),0)),"N/A - Facility Does Not Report to TRI")))</f>
        <v>N/A - Facility Does Not Report to TRI</v>
      </c>
      <c r="AL232" s="109" cm="1">
        <f t="array" ref="AL232">IFERROR(_xlfn.XLOOKUP(1,  (MAX(IF(H232 = 'Processed Non-zero TRI Data'!$I$2:$I$23,'Processed Non-zero TRI Data'!$A$2:$A$23)) = 'Processed Non-zero TRI Data'!$A$2:$A$23)*('Processed Non-zero TRI Data'!$I$2:$I$23 = H232), 'Processed Non-zero TRI Data'!$W$2:$W$23), "N/A- Facility Does Not Report to TRI")</f>
        <v>0</v>
      </c>
      <c r="AM232" s="33">
        <f t="shared" si="50"/>
        <v>0</v>
      </c>
      <c r="AN232" s="33" t="str" cm="1">
        <f t="array" ref="AN232">IF(COUNTIF('Processed Non-zero TRI Data'!$I:$I,$H232)&gt;0,MEDIAN(IF('Processed Non-zero TRI Data'!$I:$I=H232,'Processed Non-zero TRI Data'!$W:$W)), "N/A - Facility Does Not Report to TRI")</f>
        <v>N/A - Facility Does Not Report to TRI</v>
      </c>
      <c r="AO232" s="33" t="str">
        <f t="shared" si="51"/>
        <v>N/A - Facility Does Not Report to TRI</v>
      </c>
      <c r="AP232" s="33" t="str">
        <f>IF(COUNTIF('Processed Non-zero TRI Data'!$I:$I,$H232)&gt;0,_xlfn.MAXIFS('Processed Non-zero TRI Data'!$W:$W,'Processed Non-zero TRI Data'!$I:$I,$H232), "N/A - Facility Does Not Report to TRI")</f>
        <v>N/A - Facility Does Not Report to TRI</v>
      </c>
      <c r="AQ232" s="33" t="str">
        <f t="shared" si="52"/>
        <v>N/A - Facility Does Not Report to TRI</v>
      </c>
      <c r="AR232" s="110" t="str" cm="1">
        <f t="array" ref="AR232">IF(B232="TRI Form A",AD232,IF(AP232=0,"Facility has no transfers to non-POTWs between 2019-2023.",IF(COUNTIF('Processed Non-zero TRI Data'!$I:$I,$H232)&gt;0,INDEX('Processed Non-zero TRI Data'!$A:$A,MATCH(1,($H232='Processed Non-zero TRI Data'!$I:$I)*(AP232='Processed Non-zero TRI Data'!$W:$W),0)),"N/A - Facility Does Not Report to TRI")))</f>
        <v>N/A - Facility Does Not Report to TRI</v>
      </c>
    </row>
    <row r="233" spans="1:44" ht="29" x14ac:dyDescent="0.35">
      <c r="A233" s="34">
        <v>230</v>
      </c>
      <c r="B233" s="33" t="str">
        <f>IFERROR("TRI Form "&amp;VLOOKUP(H233,'Processed Non-zero TRI Data'!$I$2:$K$23,3,FALSE),"DMR")</f>
        <v>DMR</v>
      </c>
      <c r="C233" s="33" t="str">
        <f>VLOOKUP($D233, 'COU.OES Summary'!C:D, 2, FALSE)</f>
        <v> </v>
      </c>
      <c r="D233" s="33" t="str">
        <f>IFERROR(VLOOKUP($H233, 'Processed Non-zero TRI Data'!$I:$O, 7, FALSE), VLOOKUP($I233, 'Processed Non-zero DMR Data'!$K:$R, 8, FALSE))</f>
        <v>Waste handling, treatment, and disposal - POTW</v>
      </c>
      <c r="E233" s="34" t="s">
        <v>537</v>
      </c>
      <c r="F233" s="34" t="s">
        <v>538</v>
      </c>
      <c r="G233" s="34" t="s">
        <v>451</v>
      </c>
      <c r="H233" s="34"/>
      <c r="I233" s="105">
        <v>110071514272</v>
      </c>
      <c r="J233" s="33" t="str">
        <f>IFERROR(VLOOKUP($I233, 'Processed Non-zero DMR Data'!$K:$U, 11, FALSE),"")</f>
        <v>MAG912067</v>
      </c>
      <c r="K233" s="33" t="str">
        <f>IFERROR(VLOOKUP($I233, 'Processed Non-zero DMR Data'!$K:$V, 12, FALSE),"Not Reported")</f>
        <v>Mystic River-Frontal Boston Harbor</v>
      </c>
      <c r="L233" s="106" t="str">
        <f>IFERROR(VLOOKUP($I233, 'Processed Non-zero DMR Data'!$K:$W, 13, FALSE),"No Reach Code Reported")</f>
        <v>010900010502</v>
      </c>
      <c r="M233" s="107" t="str">
        <f>IFERROR(IFERROR(VLOOKUP(H233, 'Off-site Locations'!$K$3:$O$5, 5, FALSE), VLOOKUP(H233, 'Off-site Locations'!$B$3:$E$4, 4, FALSE)), "No Offsite Transfers")</f>
        <v>No Offsite Transfers</v>
      </c>
      <c r="N233" s="33">
        <f>VLOOKUP($D233, 'COU.OES Summary'!C:E, 3, FALSE)</f>
        <v>365</v>
      </c>
      <c r="O233" s="108">
        <f t="shared" si="42"/>
        <v>0</v>
      </c>
      <c r="P233" s="108">
        <f t="shared" si="43"/>
        <v>3.2979462000000001E-2</v>
      </c>
      <c r="Q233" s="109" cm="1">
        <f t="array" ref="Q233">IFERROR(_xlfn.XLOOKUP(1,  (MAX(IF(I233 = 'Processed Non-zero DMR Data'!$K:$K,'Processed Non-zero DMR Data'!$A:$A)) = 'Processed Non-zero DMR Data'!$A:$A)*('Processed Non-zero DMR Data'!$K:$K = I233),'Processed Non-zero DMR Data'!$T:$T), "N/A- Facility Does Not Report DMRs")</f>
        <v>3.2979462000000001E-2</v>
      </c>
      <c r="R233" s="33">
        <f t="shared" si="53"/>
        <v>9.0354690410958909E-5</v>
      </c>
      <c r="S233" s="33" cm="1">
        <f t="array" ref="S233">IF(COUNTIF('Processed Non-zero DMR Data'!$K:$K,$I233)&gt;0,MEDIAN(IF('Processed Non-zero DMR Data'!$K:$K=I233,'Processed Non-zero DMR Data'!$T:$T)),"N/A - Facility Does Not Report DMRs")</f>
        <v>3.2979462000000001E-2</v>
      </c>
      <c r="T233" s="33">
        <f t="shared" si="54"/>
        <v>9.0354690410958909E-5</v>
      </c>
      <c r="U233" s="33">
        <f>IF(COUNTIF('Processed Non-zero DMR Data'!$K:$K,$I233)&gt;0,_xlfn.MAXIFS('Processed Non-zero DMR Data'!$T:$T,'Processed Non-zero DMR Data'!$K:$K,$I233), "N/A - Facility Does Not Report DMRs")</f>
        <v>3.2979462000000001E-2</v>
      </c>
      <c r="V233" s="33">
        <f t="shared" si="55"/>
        <v>9.0354690410958909E-5</v>
      </c>
      <c r="W233" s="110" cm="1">
        <f t="array" ref="W233">IF(COUNTIF('Processed Non-zero DMR Data'!$K:$K,$I233)&gt;0,INDEX('Processed Non-zero DMR Data'!$A:$A,MATCH(1,($I233='Processed Non-zero DMR Data'!$K:$K)*($U233='Processed Non-zero DMR Data'!$T:$T),0)), "N/A - Facility Does Not Report DMRs")</f>
        <v>2023</v>
      </c>
      <c r="X233" s="109" cm="1">
        <f t="array" ref="X233">IFERROR(_xlfn.XLOOKUP(1,  (MAX(IF(H233 = 'Processed Non-zero TRI Data'!$I:$I,'Processed Non-zero TRI Data'!$A:$A)) = 'Processed Non-zero TRI Data'!$A:$A)*('Processed Non-zero TRI Data'!$I:$I = H233), 'Processed Non-zero TRI Data'!$S:$S), "N/A- Facility Does Not Report to TRI")</f>
        <v>0</v>
      </c>
      <c r="Y233" s="33">
        <f t="shared" si="44"/>
        <v>0</v>
      </c>
      <c r="Z233" s="33" t="str" cm="1">
        <f t="array" ref="Z233">IF(COUNTIF('Processed Non-zero TRI Data'!$I:$I,$H233)&gt;0,MEDIAN(IF('Processed Non-zero TRI Data'!$I:$I=H233,'Processed Non-zero TRI Data'!$S:$S)), "N/A - Facility Does Not Report to TRI")</f>
        <v>N/A - Facility Does Not Report to TRI</v>
      </c>
      <c r="AA233" s="33" t="str">
        <f t="shared" si="45"/>
        <v>N/A - Facility Does Not Report to TRI</v>
      </c>
      <c r="AB233" s="33" t="str">
        <f>IF(COUNTIF('Processed Non-zero TRI Data'!$I:$I,$H233)&gt;0,_xlfn.MAXIFS('Processed Non-zero TRI Data'!$S:$S,'Processed Non-zero TRI Data'!$I:$I,$H233), "N/A - Facility Does Not Report to TRI")</f>
        <v>N/A - Facility Does Not Report to TRI</v>
      </c>
      <c r="AC233" s="33" t="str">
        <f t="shared" si="46"/>
        <v>N/A - Facility Does Not Report to TRI</v>
      </c>
      <c r="AD233" s="110" t="str" cm="1">
        <f t="array" ref="AD233">IFERROR(IF(B233 = "TRI Form R", IF(AB233 = 0, "Facility has no on-site water discharges between 2019-2023.",  IF(COUNTIF('Processed Non-zero TRI Data'!$I:$I,$H233)&gt;0,INDEX('Processed Non-zero TRI Data'!$A:$A,MATCH(1,($H233='Processed Non-zero TRI Data'!$I:$I)*(AB233='Processed Non-zero TRI Data'!$S:$S),0)))), VLOOKUP(H233, 'Form A Recent Reporting'!$L:$M, 2, FALSE)), ("N/A - Facility Does Not Report to TRI"))</f>
        <v>N/A - Facility Does Not Report to TRI</v>
      </c>
      <c r="AE233" s="109" cm="1">
        <f t="array" ref="AE233">IFERROR(_xlfn.XLOOKUP(1,  (MAX(IF(H233 = 'Processed Non-zero TRI Data'!$I:$I,'Processed Non-zero TRI Data'!$A:$A)) = 'Processed Non-zero TRI Data'!$A:$A)*('Processed Non-zero TRI Data'!$I:$I = H233), 'Processed Non-zero TRI Data'!$U:$U), "N/A- Facility Does Not Report to TRI")</f>
        <v>0</v>
      </c>
      <c r="AF233" s="33">
        <f t="shared" si="47"/>
        <v>0</v>
      </c>
      <c r="AG233" s="33" t="str" cm="1">
        <f t="array" ref="AG233">IF(COUNTIF('Processed Non-zero TRI Data'!$I:$I,$H233)&gt;0,MEDIAN(IF('Processed Non-zero TRI Data'!$I:$I=H233,'Processed Non-zero TRI Data'!$U:$U)), "N/A - Facility Does Not Report to TRI")</f>
        <v>N/A - Facility Does Not Report to TRI</v>
      </c>
      <c r="AH233" s="33" t="str">
        <f t="shared" si="48"/>
        <v>N/A - Facility Does Not Report to TRI</v>
      </c>
      <c r="AI233" s="33" t="str">
        <f>IF(COUNTIF('Processed Non-zero TRI Data'!$I:$I,$H233)&gt;0,_xlfn.MAXIFS('Processed Non-zero TRI Data'!$U:$U,'Processed Non-zero TRI Data'!$I:$I,$H233), "N/A - Facility Does Not Report to TRI")</f>
        <v>N/A - Facility Does Not Report to TRI</v>
      </c>
      <c r="AJ233" s="33" t="str">
        <f t="shared" si="49"/>
        <v>N/A - Facility Does Not Report to TRI</v>
      </c>
      <c r="AK233" s="110" t="str" cm="1">
        <f t="array" ref="AK233">IF(B233="TRI Form A",AD233,IF(AI233=0,"Facility has no transfers to POTWs between 2019-2023.",IF(COUNTIF('Processed Non-zero TRI Data'!$I:$I,$H233)&gt;0,INDEX('Processed Non-zero TRI Data'!$A:$A,MATCH(1,($H233='Processed Non-zero TRI Data'!$I:$I)*(AI233='Processed Non-zero TRI Data'!$U:$U),0)),"N/A - Facility Does Not Report to TRI")))</f>
        <v>N/A - Facility Does Not Report to TRI</v>
      </c>
      <c r="AL233" s="109" cm="1">
        <f t="array" ref="AL233">IFERROR(_xlfn.XLOOKUP(1,  (MAX(IF(H233 = 'Processed Non-zero TRI Data'!$I$2:$I$23,'Processed Non-zero TRI Data'!$A$2:$A$23)) = 'Processed Non-zero TRI Data'!$A$2:$A$23)*('Processed Non-zero TRI Data'!$I$2:$I$23 = H233), 'Processed Non-zero TRI Data'!$W$2:$W$23), "N/A- Facility Does Not Report to TRI")</f>
        <v>0</v>
      </c>
      <c r="AM233" s="33">
        <f t="shared" si="50"/>
        <v>0</v>
      </c>
      <c r="AN233" s="33" t="str" cm="1">
        <f t="array" ref="AN233">IF(COUNTIF('Processed Non-zero TRI Data'!$I:$I,$H233)&gt;0,MEDIAN(IF('Processed Non-zero TRI Data'!$I:$I=H233,'Processed Non-zero TRI Data'!$W:$W)), "N/A - Facility Does Not Report to TRI")</f>
        <v>N/A - Facility Does Not Report to TRI</v>
      </c>
      <c r="AO233" s="33" t="str">
        <f t="shared" si="51"/>
        <v>N/A - Facility Does Not Report to TRI</v>
      </c>
      <c r="AP233" s="33" t="str">
        <f>IF(COUNTIF('Processed Non-zero TRI Data'!$I:$I,$H233)&gt;0,_xlfn.MAXIFS('Processed Non-zero TRI Data'!$W:$W,'Processed Non-zero TRI Data'!$I:$I,$H233), "N/A - Facility Does Not Report to TRI")</f>
        <v>N/A - Facility Does Not Report to TRI</v>
      </c>
      <c r="AQ233" s="33" t="str">
        <f t="shared" si="52"/>
        <v>N/A - Facility Does Not Report to TRI</v>
      </c>
      <c r="AR233" s="110" t="str" cm="1">
        <f t="array" ref="AR233">IF(B233="TRI Form A",AD233,IF(AP233=0,"Facility has no transfers to non-POTWs between 2019-2023.",IF(COUNTIF('Processed Non-zero TRI Data'!$I:$I,$H233)&gt;0,INDEX('Processed Non-zero TRI Data'!$A:$A,MATCH(1,($H233='Processed Non-zero TRI Data'!$I:$I)*(AP233='Processed Non-zero TRI Data'!$W:$W),0)),"N/A - Facility Does Not Report to TRI")))</f>
        <v>N/A - Facility Does Not Report to TRI</v>
      </c>
    </row>
    <row r="234" spans="1:44" ht="29" x14ac:dyDescent="0.35">
      <c r="A234" s="34">
        <v>231</v>
      </c>
      <c r="B234" s="33" t="str">
        <f>IFERROR("TRI Form "&amp;VLOOKUP(H234,'Processed Non-zero TRI Data'!$I$2:$K$23,3,FALSE),"DMR")</f>
        <v>DMR</v>
      </c>
      <c r="C234" s="33" t="str">
        <f>VLOOKUP($D234, 'COU.OES Summary'!C:D, 2, FALSE)</f>
        <v> </v>
      </c>
      <c r="D234" s="33" t="str">
        <f>IFERROR(VLOOKUP($H234, 'Processed Non-zero TRI Data'!$I:$O, 7, FALSE), VLOOKUP($I234, 'Processed Non-zero DMR Data'!$K:$R, 8, FALSE))</f>
        <v>Waste handling, treatment, and disposal - Remediation or Monitoring</v>
      </c>
      <c r="E234" s="34" t="s">
        <v>539</v>
      </c>
      <c r="F234" s="34" t="s">
        <v>540</v>
      </c>
      <c r="G234" s="34" t="s">
        <v>91</v>
      </c>
      <c r="H234" s="34"/>
      <c r="I234" s="105">
        <v>110000575244</v>
      </c>
      <c r="J234" s="33" t="str">
        <f>IFERROR(VLOOKUP($I234, 'Processed Non-zero DMR Data'!$K:$U, 11, FALSE),"")</f>
        <v>LA0005738</v>
      </c>
      <c r="K234" s="33" t="str">
        <f>IFERROR(VLOOKUP($I234, 'Processed Non-zero DMR Data'!$K:$V, 12, FALSE),"Not Reported")</f>
        <v>Planters Canal</v>
      </c>
      <c r="L234" s="106">
        <f>IFERROR(VLOOKUP($I234, 'Processed Non-zero DMR Data'!$K:$W, 13, FALSE),"No Reach Code Reported")</f>
        <v>80903010404</v>
      </c>
      <c r="M234" s="107" t="str">
        <f>IFERROR(IFERROR(VLOOKUP(H234, 'Off-site Locations'!$K$3:$O$5, 5, FALSE), VLOOKUP(H234, 'Off-site Locations'!$B$3:$E$4, 4, FALSE)), "No Offsite Transfers")</f>
        <v>No Offsite Transfers</v>
      </c>
      <c r="N234" s="33">
        <f>VLOOKUP($D234, 'COU.OES Summary'!C:E, 3, FALSE)</f>
        <v>365</v>
      </c>
      <c r="O234" s="108">
        <f t="shared" si="42"/>
        <v>0</v>
      </c>
      <c r="P234" s="108">
        <f t="shared" si="43"/>
        <v>3.1064280387500001E-2</v>
      </c>
      <c r="Q234" s="109" cm="1">
        <f t="array" ref="Q234">IFERROR(_xlfn.XLOOKUP(1,  (MAX(IF(I234 = 'Processed Non-zero DMR Data'!$K:$K,'Processed Non-zero DMR Data'!$A:$A)) = 'Processed Non-zero DMR Data'!$A:$A)*('Processed Non-zero DMR Data'!$K:$K = I234),'Processed Non-zero DMR Data'!$T:$T), "N/A- Facility Does Not Report DMRs")</f>
        <v>3.1064280387500001E-2</v>
      </c>
      <c r="R234" s="33">
        <f t="shared" si="53"/>
        <v>8.5107617499999996E-5</v>
      </c>
      <c r="S234" s="33" cm="1">
        <f t="array" ref="S234">IF(COUNTIF('Processed Non-zero DMR Data'!$K:$K,$I234)&gt;0,MEDIAN(IF('Processed Non-zero DMR Data'!$K:$K=I234,'Processed Non-zero DMR Data'!$T:$T)),"N/A - Facility Does Not Report DMRs")</f>
        <v>3.1064280387500001E-2</v>
      </c>
      <c r="T234" s="33">
        <f t="shared" si="54"/>
        <v>8.5107617499999996E-5</v>
      </c>
      <c r="U234" s="33">
        <f>IF(COUNTIF('Processed Non-zero DMR Data'!$K:$K,$I234)&gt;0,_xlfn.MAXIFS('Processed Non-zero DMR Data'!$T:$T,'Processed Non-zero DMR Data'!$K:$K,$I234), "N/A - Facility Does Not Report DMRs")</f>
        <v>3.1064280387500001E-2</v>
      </c>
      <c r="V234" s="33">
        <f t="shared" si="55"/>
        <v>8.5107617499999996E-5</v>
      </c>
      <c r="W234" s="110" cm="1">
        <f t="array" ref="W234">IF(COUNTIF('Processed Non-zero DMR Data'!$K:$K,$I234)&gt;0,INDEX('Processed Non-zero DMR Data'!$A:$A,MATCH(1,($I234='Processed Non-zero DMR Data'!$K:$K)*($U234='Processed Non-zero DMR Data'!$T:$T),0)), "N/A - Facility Does Not Report DMRs")</f>
        <v>2020</v>
      </c>
      <c r="X234" s="109" cm="1">
        <f t="array" ref="X234">IFERROR(_xlfn.XLOOKUP(1,  (MAX(IF(H234 = 'Processed Non-zero TRI Data'!$I:$I,'Processed Non-zero TRI Data'!$A:$A)) = 'Processed Non-zero TRI Data'!$A:$A)*('Processed Non-zero TRI Data'!$I:$I = H234), 'Processed Non-zero TRI Data'!$S:$S), "N/A- Facility Does Not Report to TRI")</f>
        <v>0</v>
      </c>
      <c r="Y234" s="33">
        <f t="shared" si="44"/>
        <v>0</v>
      </c>
      <c r="Z234" s="33" t="str" cm="1">
        <f t="array" ref="Z234">IF(COUNTIF('Processed Non-zero TRI Data'!$I:$I,$H234)&gt;0,MEDIAN(IF('Processed Non-zero TRI Data'!$I:$I=H234,'Processed Non-zero TRI Data'!$S:$S)), "N/A - Facility Does Not Report to TRI")</f>
        <v>N/A - Facility Does Not Report to TRI</v>
      </c>
      <c r="AA234" s="33" t="str">
        <f t="shared" si="45"/>
        <v>N/A - Facility Does Not Report to TRI</v>
      </c>
      <c r="AB234" s="33" t="str">
        <f>IF(COUNTIF('Processed Non-zero TRI Data'!$I:$I,$H234)&gt;0,_xlfn.MAXIFS('Processed Non-zero TRI Data'!$S:$S,'Processed Non-zero TRI Data'!$I:$I,$H234), "N/A - Facility Does Not Report to TRI")</f>
        <v>N/A - Facility Does Not Report to TRI</v>
      </c>
      <c r="AC234" s="33" t="str">
        <f t="shared" si="46"/>
        <v>N/A - Facility Does Not Report to TRI</v>
      </c>
      <c r="AD234" s="110" t="str" cm="1">
        <f t="array" ref="AD234">IFERROR(IF(B234 = "TRI Form R", IF(AB234 = 0, "Facility has no on-site water discharges between 2019-2023.",  IF(COUNTIF('Processed Non-zero TRI Data'!$I:$I,$H234)&gt;0,INDEX('Processed Non-zero TRI Data'!$A:$A,MATCH(1,($H234='Processed Non-zero TRI Data'!$I:$I)*(AB234='Processed Non-zero TRI Data'!$S:$S),0)))), VLOOKUP(H234, 'Form A Recent Reporting'!$L:$M, 2, FALSE)), ("N/A - Facility Does Not Report to TRI"))</f>
        <v>N/A - Facility Does Not Report to TRI</v>
      </c>
      <c r="AE234" s="109" cm="1">
        <f t="array" ref="AE234">IFERROR(_xlfn.XLOOKUP(1,  (MAX(IF(H234 = 'Processed Non-zero TRI Data'!$I:$I,'Processed Non-zero TRI Data'!$A:$A)) = 'Processed Non-zero TRI Data'!$A:$A)*('Processed Non-zero TRI Data'!$I:$I = H234), 'Processed Non-zero TRI Data'!$U:$U), "N/A- Facility Does Not Report to TRI")</f>
        <v>0</v>
      </c>
      <c r="AF234" s="33">
        <f t="shared" si="47"/>
        <v>0</v>
      </c>
      <c r="AG234" s="33" t="str" cm="1">
        <f t="array" ref="AG234">IF(COUNTIF('Processed Non-zero TRI Data'!$I:$I,$H234)&gt;0,MEDIAN(IF('Processed Non-zero TRI Data'!$I:$I=H234,'Processed Non-zero TRI Data'!$U:$U)), "N/A - Facility Does Not Report to TRI")</f>
        <v>N/A - Facility Does Not Report to TRI</v>
      </c>
      <c r="AH234" s="33" t="str">
        <f t="shared" si="48"/>
        <v>N/A - Facility Does Not Report to TRI</v>
      </c>
      <c r="AI234" s="33" t="str">
        <f>IF(COUNTIF('Processed Non-zero TRI Data'!$I:$I,$H234)&gt;0,_xlfn.MAXIFS('Processed Non-zero TRI Data'!$U:$U,'Processed Non-zero TRI Data'!$I:$I,$H234), "N/A - Facility Does Not Report to TRI")</f>
        <v>N/A - Facility Does Not Report to TRI</v>
      </c>
      <c r="AJ234" s="33" t="str">
        <f t="shared" si="49"/>
        <v>N/A - Facility Does Not Report to TRI</v>
      </c>
      <c r="AK234" s="110" t="str" cm="1">
        <f t="array" ref="AK234">IF(B234="TRI Form A",AD234,IF(AI234=0,"Facility has no transfers to POTWs between 2019-2023.",IF(COUNTIF('Processed Non-zero TRI Data'!$I:$I,$H234)&gt;0,INDEX('Processed Non-zero TRI Data'!$A:$A,MATCH(1,($H234='Processed Non-zero TRI Data'!$I:$I)*(AI234='Processed Non-zero TRI Data'!$U:$U),0)),"N/A - Facility Does Not Report to TRI")))</f>
        <v>N/A - Facility Does Not Report to TRI</v>
      </c>
      <c r="AL234" s="109" cm="1">
        <f t="array" ref="AL234">IFERROR(_xlfn.XLOOKUP(1,  (MAX(IF(H234 = 'Processed Non-zero TRI Data'!$I$2:$I$23,'Processed Non-zero TRI Data'!$A$2:$A$23)) = 'Processed Non-zero TRI Data'!$A$2:$A$23)*('Processed Non-zero TRI Data'!$I$2:$I$23 = H234), 'Processed Non-zero TRI Data'!$W$2:$W$23), "N/A- Facility Does Not Report to TRI")</f>
        <v>0</v>
      </c>
      <c r="AM234" s="33">
        <f t="shared" si="50"/>
        <v>0</v>
      </c>
      <c r="AN234" s="33" t="str" cm="1">
        <f t="array" ref="AN234">IF(COUNTIF('Processed Non-zero TRI Data'!$I:$I,$H234)&gt;0,MEDIAN(IF('Processed Non-zero TRI Data'!$I:$I=H234,'Processed Non-zero TRI Data'!$W:$W)), "N/A - Facility Does Not Report to TRI")</f>
        <v>N/A - Facility Does Not Report to TRI</v>
      </c>
      <c r="AO234" s="33" t="str">
        <f t="shared" si="51"/>
        <v>N/A - Facility Does Not Report to TRI</v>
      </c>
      <c r="AP234" s="33" t="str">
        <f>IF(COUNTIF('Processed Non-zero TRI Data'!$I:$I,$H234)&gt;0,_xlfn.MAXIFS('Processed Non-zero TRI Data'!$W:$W,'Processed Non-zero TRI Data'!$I:$I,$H234), "N/A - Facility Does Not Report to TRI")</f>
        <v>N/A - Facility Does Not Report to TRI</v>
      </c>
      <c r="AQ234" s="33" t="str">
        <f t="shared" si="52"/>
        <v>N/A - Facility Does Not Report to TRI</v>
      </c>
      <c r="AR234" s="110" t="str" cm="1">
        <f t="array" ref="AR234">IF(B234="TRI Form A",AD234,IF(AP234=0,"Facility has no transfers to non-POTWs between 2019-2023.",IF(COUNTIF('Processed Non-zero TRI Data'!$I:$I,$H234)&gt;0,INDEX('Processed Non-zero TRI Data'!$A:$A,MATCH(1,($H234='Processed Non-zero TRI Data'!$I:$I)*(AP234='Processed Non-zero TRI Data'!$W:$W),0)),"N/A - Facility Does Not Report to TRI")))</f>
        <v>N/A - Facility Does Not Report to TRI</v>
      </c>
    </row>
    <row r="235" spans="1:44" ht="29" x14ac:dyDescent="0.35">
      <c r="A235" s="34">
        <v>232</v>
      </c>
      <c r="B235" s="33" t="str">
        <f>IFERROR("TRI Form "&amp;VLOOKUP(H235,'Processed Non-zero TRI Data'!$I$2:$K$23,3,FALSE),"DMR")</f>
        <v>DMR</v>
      </c>
      <c r="C235" s="33" t="str">
        <f>VLOOKUP($D235, 'COU.OES Summary'!C:D, 2, FALSE)</f>
        <v> </v>
      </c>
      <c r="D235" s="33" t="str">
        <f>IFERROR(VLOOKUP($H235, 'Processed Non-zero TRI Data'!$I:$O, 7, FALSE), VLOOKUP($I235, 'Processed Non-zero DMR Data'!$K:$R, 8, FALSE))</f>
        <v>Waste handling, treatment, and disposal - Remediation or Monitoring</v>
      </c>
      <c r="E235" s="34" t="s">
        <v>541</v>
      </c>
      <c r="F235" s="34" t="s">
        <v>542</v>
      </c>
      <c r="G235" s="34" t="s">
        <v>254</v>
      </c>
      <c r="H235" s="34"/>
      <c r="I235" s="105">
        <v>110000321651</v>
      </c>
      <c r="J235" s="33" t="str">
        <f>IFERROR(VLOOKUP($I235, 'Processed Non-zero DMR Data'!$K:$U, 11, FALSE),"")</f>
        <v>NJ0031445</v>
      </c>
      <c r="K235" s="33" t="str">
        <f>IFERROR(VLOOKUP($I235, 'Processed Non-zero DMR Data'!$K:$V, 12, FALSE),"Not Reported")</f>
        <v>Devils Brook</v>
      </c>
      <c r="L235" s="106">
        <f>IFERROR(VLOOKUP($I235, 'Processed Non-zero DMR Data'!$K:$W, 13, FALSE),"No Reach Code Reported")</f>
        <v>20301050306</v>
      </c>
      <c r="M235" s="107" t="str">
        <f>IFERROR(IFERROR(VLOOKUP(H235, 'Off-site Locations'!$K$3:$O$5, 5, FALSE), VLOOKUP(H235, 'Off-site Locations'!$B$3:$E$4, 4, FALSE)), "No Offsite Transfers")</f>
        <v>No Offsite Transfers</v>
      </c>
      <c r="N235" s="33">
        <f>VLOOKUP($D235, 'COU.OES Summary'!C:E, 3, FALSE)</f>
        <v>365</v>
      </c>
      <c r="O235" s="108">
        <f t="shared" si="42"/>
        <v>0</v>
      </c>
      <c r="P235" s="108">
        <f t="shared" si="43"/>
        <v>3.0695E-2</v>
      </c>
      <c r="Q235" s="109" cm="1">
        <f t="array" ref="Q235">IFERROR(_xlfn.XLOOKUP(1,  (MAX(IF(I235 = 'Processed Non-zero DMR Data'!$K:$K,'Processed Non-zero DMR Data'!$A:$A)) = 'Processed Non-zero DMR Data'!$A:$A)*('Processed Non-zero DMR Data'!$K:$K = I235),'Processed Non-zero DMR Data'!$T:$T), "N/A- Facility Does Not Report DMRs")</f>
        <v>3.0999999999999999E-3</v>
      </c>
      <c r="R235" s="33">
        <f t="shared" si="53"/>
        <v>8.4931506849315072E-6</v>
      </c>
      <c r="S235" s="33" cm="1">
        <f t="array" ref="S235">IF(COUNTIF('Processed Non-zero DMR Data'!$K:$K,$I235)&gt;0,MEDIAN(IF('Processed Non-zero DMR Data'!$K:$K=I235,'Processed Non-zero DMR Data'!$T:$T)),"N/A - Facility Does Not Report DMRs")</f>
        <v>8.6149999999999994E-3</v>
      </c>
      <c r="T235" s="33">
        <f t="shared" si="54"/>
        <v>2.3602739726027396E-5</v>
      </c>
      <c r="U235" s="33">
        <f>IF(COUNTIF('Processed Non-zero DMR Data'!$K:$K,$I235)&gt;0,_xlfn.MAXIFS('Processed Non-zero DMR Data'!$T:$T,'Processed Non-zero DMR Data'!$K:$K,$I235), "N/A - Facility Does Not Report DMRs")</f>
        <v>3.0695E-2</v>
      </c>
      <c r="V235" s="33">
        <f t="shared" si="55"/>
        <v>8.40958904109589E-5</v>
      </c>
      <c r="W235" s="110" cm="1">
        <f t="array" ref="W235">IF(COUNTIF('Processed Non-zero DMR Data'!$K:$K,$I235)&gt;0,INDEX('Processed Non-zero DMR Data'!$A:$A,MATCH(1,($I235='Processed Non-zero DMR Data'!$K:$K)*($U235='Processed Non-zero DMR Data'!$T:$T),0)), "N/A - Facility Does Not Report DMRs")</f>
        <v>2022</v>
      </c>
      <c r="X235" s="109" cm="1">
        <f t="array" ref="X235">IFERROR(_xlfn.XLOOKUP(1,  (MAX(IF(H235 = 'Processed Non-zero TRI Data'!$I:$I,'Processed Non-zero TRI Data'!$A:$A)) = 'Processed Non-zero TRI Data'!$A:$A)*('Processed Non-zero TRI Data'!$I:$I = H235), 'Processed Non-zero TRI Data'!$S:$S), "N/A- Facility Does Not Report to TRI")</f>
        <v>0</v>
      </c>
      <c r="Y235" s="33">
        <f t="shared" si="44"/>
        <v>0</v>
      </c>
      <c r="Z235" s="33" t="str" cm="1">
        <f t="array" ref="Z235">IF(COUNTIF('Processed Non-zero TRI Data'!$I:$I,$H235)&gt;0,MEDIAN(IF('Processed Non-zero TRI Data'!$I:$I=H235,'Processed Non-zero TRI Data'!$S:$S)), "N/A - Facility Does Not Report to TRI")</f>
        <v>N/A - Facility Does Not Report to TRI</v>
      </c>
      <c r="AA235" s="33" t="str">
        <f t="shared" si="45"/>
        <v>N/A - Facility Does Not Report to TRI</v>
      </c>
      <c r="AB235" s="33" t="str">
        <f>IF(COUNTIF('Processed Non-zero TRI Data'!$I:$I,$H235)&gt;0,_xlfn.MAXIFS('Processed Non-zero TRI Data'!$S:$S,'Processed Non-zero TRI Data'!$I:$I,$H235), "N/A - Facility Does Not Report to TRI")</f>
        <v>N/A - Facility Does Not Report to TRI</v>
      </c>
      <c r="AC235" s="33" t="str">
        <f t="shared" si="46"/>
        <v>N/A - Facility Does Not Report to TRI</v>
      </c>
      <c r="AD235" s="110" t="str" cm="1">
        <f t="array" ref="AD235">IFERROR(IF(B235 = "TRI Form R", IF(AB235 = 0, "Facility has no on-site water discharges between 2019-2023.",  IF(COUNTIF('Processed Non-zero TRI Data'!$I:$I,$H235)&gt;0,INDEX('Processed Non-zero TRI Data'!$A:$A,MATCH(1,($H235='Processed Non-zero TRI Data'!$I:$I)*(AB235='Processed Non-zero TRI Data'!$S:$S),0)))), VLOOKUP(H235, 'Form A Recent Reporting'!$L:$M, 2, FALSE)), ("N/A - Facility Does Not Report to TRI"))</f>
        <v>N/A - Facility Does Not Report to TRI</v>
      </c>
      <c r="AE235" s="109" cm="1">
        <f t="array" ref="AE235">IFERROR(_xlfn.XLOOKUP(1,  (MAX(IF(H235 = 'Processed Non-zero TRI Data'!$I:$I,'Processed Non-zero TRI Data'!$A:$A)) = 'Processed Non-zero TRI Data'!$A:$A)*('Processed Non-zero TRI Data'!$I:$I = H235), 'Processed Non-zero TRI Data'!$U:$U), "N/A- Facility Does Not Report to TRI")</f>
        <v>0</v>
      </c>
      <c r="AF235" s="33">
        <f t="shared" si="47"/>
        <v>0</v>
      </c>
      <c r="AG235" s="33" t="str" cm="1">
        <f t="array" ref="AG235">IF(COUNTIF('Processed Non-zero TRI Data'!$I:$I,$H235)&gt;0,MEDIAN(IF('Processed Non-zero TRI Data'!$I:$I=H235,'Processed Non-zero TRI Data'!$U:$U)), "N/A - Facility Does Not Report to TRI")</f>
        <v>N/A - Facility Does Not Report to TRI</v>
      </c>
      <c r="AH235" s="33" t="str">
        <f t="shared" si="48"/>
        <v>N/A - Facility Does Not Report to TRI</v>
      </c>
      <c r="AI235" s="33" t="str">
        <f>IF(COUNTIF('Processed Non-zero TRI Data'!$I:$I,$H235)&gt;0,_xlfn.MAXIFS('Processed Non-zero TRI Data'!$U:$U,'Processed Non-zero TRI Data'!$I:$I,$H235), "N/A - Facility Does Not Report to TRI")</f>
        <v>N/A - Facility Does Not Report to TRI</v>
      </c>
      <c r="AJ235" s="33" t="str">
        <f t="shared" si="49"/>
        <v>N/A - Facility Does Not Report to TRI</v>
      </c>
      <c r="AK235" s="110" t="str" cm="1">
        <f t="array" ref="AK235">IF(B235="TRI Form A",AD235,IF(AI235=0,"Facility has no transfers to POTWs between 2019-2023.",IF(COUNTIF('Processed Non-zero TRI Data'!$I:$I,$H235)&gt;0,INDEX('Processed Non-zero TRI Data'!$A:$A,MATCH(1,($H235='Processed Non-zero TRI Data'!$I:$I)*(AI235='Processed Non-zero TRI Data'!$U:$U),0)),"N/A - Facility Does Not Report to TRI")))</f>
        <v>N/A - Facility Does Not Report to TRI</v>
      </c>
      <c r="AL235" s="109" cm="1">
        <f t="array" ref="AL235">IFERROR(_xlfn.XLOOKUP(1,  (MAX(IF(H235 = 'Processed Non-zero TRI Data'!$I$2:$I$23,'Processed Non-zero TRI Data'!$A$2:$A$23)) = 'Processed Non-zero TRI Data'!$A$2:$A$23)*('Processed Non-zero TRI Data'!$I$2:$I$23 = H235), 'Processed Non-zero TRI Data'!$W$2:$W$23), "N/A- Facility Does Not Report to TRI")</f>
        <v>0</v>
      </c>
      <c r="AM235" s="33">
        <f t="shared" si="50"/>
        <v>0</v>
      </c>
      <c r="AN235" s="33" t="str" cm="1">
        <f t="array" ref="AN235">IF(COUNTIF('Processed Non-zero TRI Data'!$I:$I,$H235)&gt;0,MEDIAN(IF('Processed Non-zero TRI Data'!$I:$I=H235,'Processed Non-zero TRI Data'!$W:$W)), "N/A - Facility Does Not Report to TRI")</f>
        <v>N/A - Facility Does Not Report to TRI</v>
      </c>
      <c r="AO235" s="33" t="str">
        <f t="shared" si="51"/>
        <v>N/A - Facility Does Not Report to TRI</v>
      </c>
      <c r="AP235" s="33" t="str">
        <f>IF(COUNTIF('Processed Non-zero TRI Data'!$I:$I,$H235)&gt;0,_xlfn.MAXIFS('Processed Non-zero TRI Data'!$W:$W,'Processed Non-zero TRI Data'!$I:$I,$H235), "N/A - Facility Does Not Report to TRI")</f>
        <v>N/A - Facility Does Not Report to TRI</v>
      </c>
      <c r="AQ235" s="33" t="str">
        <f t="shared" si="52"/>
        <v>N/A - Facility Does Not Report to TRI</v>
      </c>
      <c r="AR235" s="110" t="str" cm="1">
        <f t="array" ref="AR235">IF(B235="TRI Form A",AD235,IF(AP235=0,"Facility has no transfers to non-POTWs between 2019-2023.",IF(COUNTIF('Processed Non-zero TRI Data'!$I:$I,$H235)&gt;0,INDEX('Processed Non-zero TRI Data'!$A:$A,MATCH(1,($H235='Processed Non-zero TRI Data'!$I:$I)*(AP235='Processed Non-zero TRI Data'!$W:$W),0)),"N/A - Facility Does Not Report to TRI")))</f>
        <v>N/A - Facility Does Not Report to TRI</v>
      </c>
    </row>
    <row r="236" spans="1:44" ht="29" x14ac:dyDescent="0.35">
      <c r="A236" s="34">
        <v>233</v>
      </c>
      <c r="B236" s="33" t="str">
        <f>IFERROR("TRI Form "&amp;VLOOKUP(H236,'Processed Non-zero TRI Data'!$I$2:$K$23,3,FALSE),"DMR")</f>
        <v>DMR</v>
      </c>
      <c r="C236" s="33" t="str">
        <f>VLOOKUP($D236, 'COU.OES Summary'!C:D, 2, FALSE)</f>
        <v> </v>
      </c>
      <c r="D236" s="33" t="str">
        <f>IFERROR(VLOOKUP($H236, 'Processed Non-zero TRI Data'!$I:$O, 7, FALSE), VLOOKUP($I236, 'Processed Non-zero DMR Data'!$K:$R, 8, FALSE))</f>
        <v>Waste handling, treatment, and disposal - Remediation or Monitoring</v>
      </c>
      <c r="E236" s="34" t="s">
        <v>543</v>
      </c>
      <c r="F236" s="34" t="s">
        <v>544</v>
      </c>
      <c r="G236" s="34" t="s">
        <v>545</v>
      </c>
      <c r="H236" s="34"/>
      <c r="I236" s="105">
        <v>110007915505</v>
      </c>
      <c r="J236" s="33" t="str">
        <f>IFERROR(VLOOKUP($I236, 'Processed Non-zero DMR Data'!$K:$U, 11, FALSE),"")</f>
        <v>AL0069787</v>
      </c>
      <c r="K236" s="33" t="str">
        <f>IFERROR(VLOOKUP($I236, 'Processed Non-zero DMR Data'!$K:$V, 12, FALSE),"Not Reported")</f>
        <v>Cannon Mill Creek-Beaver Creek</v>
      </c>
      <c r="L236" s="106">
        <f>IFERROR(VLOOKUP($I236, 'Processed Non-zero DMR Data'!$K:$W, 13, FALSE),"No Reach Code Reported")</f>
        <v>31601030202</v>
      </c>
      <c r="M236" s="107" t="str">
        <f>IFERROR(IFERROR(VLOOKUP(H236, 'Off-site Locations'!$K$3:$O$5, 5, FALSE), VLOOKUP(H236, 'Off-site Locations'!$B$3:$E$4, 4, FALSE)), "No Offsite Transfers")</f>
        <v>No Offsite Transfers</v>
      </c>
      <c r="N236" s="33">
        <f>VLOOKUP($D236, 'COU.OES Summary'!C:E, 3, FALSE)</f>
        <v>365</v>
      </c>
      <c r="O236" s="108">
        <f t="shared" si="42"/>
        <v>0</v>
      </c>
      <c r="P236" s="108">
        <f t="shared" si="43"/>
        <v>2.93924175E-2</v>
      </c>
      <c r="Q236" s="109" cm="1">
        <f t="array" ref="Q236">IFERROR(_xlfn.XLOOKUP(1,  (MAX(IF(I236 = 'Processed Non-zero DMR Data'!$K:$K,'Processed Non-zero DMR Data'!$A:$A)) = 'Processed Non-zero DMR Data'!$A:$A)*('Processed Non-zero DMR Data'!$K:$K = I236),'Processed Non-zero DMR Data'!$T:$T), "N/A- Facility Does Not Report DMRs")</f>
        <v>1.3312189090908999E-2</v>
      </c>
      <c r="R236" s="33">
        <f t="shared" si="53"/>
        <v>3.6471750933997259E-5</v>
      </c>
      <c r="S236" s="33" cm="1">
        <f t="array" ref="S236">IF(COUNTIF('Processed Non-zero DMR Data'!$K:$K,$I236)&gt;0,MEDIAN(IF('Processed Non-zero DMR Data'!$K:$K=I236,'Processed Non-zero DMR Data'!$T:$T)),"N/A - Facility Does Not Report DMRs")</f>
        <v>1.3312189090908999E-2</v>
      </c>
      <c r="T236" s="33">
        <f t="shared" si="54"/>
        <v>3.6471750933997259E-5</v>
      </c>
      <c r="U236" s="33">
        <f>IF(COUNTIF('Processed Non-zero DMR Data'!$K:$K,$I236)&gt;0,_xlfn.MAXIFS('Processed Non-zero DMR Data'!$T:$T,'Processed Non-zero DMR Data'!$K:$K,$I236), "N/A - Facility Does Not Report DMRs")</f>
        <v>2.93924175E-2</v>
      </c>
      <c r="V236" s="33">
        <f t="shared" si="55"/>
        <v>8.0527171232876711E-5</v>
      </c>
      <c r="W236" s="110" cm="1">
        <f t="array" ref="W236">IF(COUNTIF('Processed Non-zero DMR Data'!$K:$K,$I236)&gt;0,INDEX('Processed Non-zero DMR Data'!$A:$A,MATCH(1,($I236='Processed Non-zero DMR Data'!$K:$K)*($U236='Processed Non-zero DMR Data'!$T:$T),0)), "N/A - Facility Does Not Report DMRs")</f>
        <v>2021</v>
      </c>
      <c r="X236" s="109" cm="1">
        <f t="array" ref="X236">IFERROR(_xlfn.XLOOKUP(1,  (MAX(IF(H236 = 'Processed Non-zero TRI Data'!$I:$I,'Processed Non-zero TRI Data'!$A:$A)) = 'Processed Non-zero TRI Data'!$A:$A)*('Processed Non-zero TRI Data'!$I:$I = H236), 'Processed Non-zero TRI Data'!$S:$S), "N/A- Facility Does Not Report to TRI")</f>
        <v>0</v>
      </c>
      <c r="Y236" s="33">
        <f t="shared" si="44"/>
        <v>0</v>
      </c>
      <c r="Z236" s="33" t="str" cm="1">
        <f t="array" ref="Z236">IF(COUNTIF('Processed Non-zero TRI Data'!$I:$I,$H236)&gt;0,MEDIAN(IF('Processed Non-zero TRI Data'!$I:$I=H236,'Processed Non-zero TRI Data'!$S:$S)), "N/A - Facility Does Not Report to TRI")</f>
        <v>N/A - Facility Does Not Report to TRI</v>
      </c>
      <c r="AA236" s="33" t="str">
        <f t="shared" si="45"/>
        <v>N/A - Facility Does Not Report to TRI</v>
      </c>
      <c r="AB236" s="33" t="str">
        <f>IF(COUNTIF('Processed Non-zero TRI Data'!$I:$I,$H236)&gt;0,_xlfn.MAXIFS('Processed Non-zero TRI Data'!$S:$S,'Processed Non-zero TRI Data'!$I:$I,$H236), "N/A - Facility Does Not Report to TRI")</f>
        <v>N/A - Facility Does Not Report to TRI</v>
      </c>
      <c r="AC236" s="33" t="str">
        <f t="shared" si="46"/>
        <v>N/A - Facility Does Not Report to TRI</v>
      </c>
      <c r="AD236" s="110" t="str" cm="1">
        <f t="array" ref="AD236">IFERROR(IF(B236 = "TRI Form R", IF(AB236 = 0, "Facility has no on-site water discharges between 2019-2023.",  IF(COUNTIF('Processed Non-zero TRI Data'!$I:$I,$H236)&gt;0,INDEX('Processed Non-zero TRI Data'!$A:$A,MATCH(1,($H236='Processed Non-zero TRI Data'!$I:$I)*(AB236='Processed Non-zero TRI Data'!$S:$S),0)))), VLOOKUP(H236, 'Form A Recent Reporting'!$L:$M, 2, FALSE)), ("N/A - Facility Does Not Report to TRI"))</f>
        <v>N/A - Facility Does Not Report to TRI</v>
      </c>
      <c r="AE236" s="109" cm="1">
        <f t="array" ref="AE236">IFERROR(_xlfn.XLOOKUP(1,  (MAX(IF(H236 = 'Processed Non-zero TRI Data'!$I:$I,'Processed Non-zero TRI Data'!$A:$A)) = 'Processed Non-zero TRI Data'!$A:$A)*('Processed Non-zero TRI Data'!$I:$I = H236), 'Processed Non-zero TRI Data'!$U:$U), "N/A- Facility Does Not Report to TRI")</f>
        <v>0</v>
      </c>
      <c r="AF236" s="33">
        <f t="shared" si="47"/>
        <v>0</v>
      </c>
      <c r="AG236" s="33" t="str" cm="1">
        <f t="array" ref="AG236">IF(COUNTIF('Processed Non-zero TRI Data'!$I:$I,$H236)&gt;0,MEDIAN(IF('Processed Non-zero TRI Data'!$I:$I=H236,'Processed Non-zero TRI Data'!$U:$U)), "N/A - Facility Does Not Report to TRI")</f>
        <v>N/A - Facility Does Not Report to TRI</v>
      </c>
      <c r="AH236" s="33" t="str">
        <f t="shared" si="48"/>
        <v>N/A - Facility Does Not Report to TRI</v>
      </c>
      <c r="AI236" s="33" t="str">
        <f>IF(COUNTIF('Processed Non-zero TRI Data'!$I:$I,$H236)&gt;0,_xlfn.MAXIFS('Processed Non-zero TRI Data'!$U:$U,'Processed Non-zero TRI Data'!$I:$I,$H236), "N/A - Facility Does Not Report to TRI")</f>
        <v>N/A - Facility Does Not Report to TRI</v>
      </c>
      <c r="AJ236" s="33" t="str">
        <f t="shared" si="49"/>
        <v>N/A - Facility Does Not Report to TRI</v>
      </c>
      <c r="AK236" s="110" t="str" cm="1">
        <f t="array" ref="AK236">IF(B236="TRI Form A",AD236,IF(AI236=0,"Facility has no transfers to POTWs between 2019-2023.",IF(COUNTIF('Processed Non-zero TRI Data'!$I:$I,$H236)&gt;0,INDEX('Processed Non-zero TRI Data'!$A:$A,MATCH(1,($H236='Processed Non-zero TRI Data'!$I:$I)*(AI236='Processed Non-zero TRI Data'!$U:$U),0)),"N/A - Facility Does Not Report to TRI")))</f>
        <v>N/A - Facility Does Not Report to TRI</v>
      </c>
      <c r="AL236" s="109" cm="1">
        <f t="array" ref="AL236">IFERROR(_xlfn.XLOOKUP(1,  (MAX(IF(H236 = 'Processed Non-zero TRI Data'!$I$2:$I$23,'Processed Non-zero TRI Data'!$A$2:$A$23)) = 'Processed Non-zero TRI Data'!$A$2:$A$23)*('Processed Non-zero TRI Data'!$I$2:$I$23 = H236), 'Processed Non-zero TRI Data'!$W$2:$W$23), "N/A- Facility Does Not Report to TRI")</f>
        <v>0</v>
      </c>
      <c r="AM236" s="33">
        <f t="shared" si="50"/>
        <v>0</v>
      </c>
      <c r="AN236" s="33" t="str" cm="1">
        <f t="array" ref="AN236">IF(COUNTIF('Processed Non-zero TRI Data'!$I:$I,$H236)&gt;0,MEDIAN(IF('Processed Non-zero TRI Data'!$I:$I=H236,'Processed Non-zero TRI Data'!$W:$W)), "N/A - Facility Does Not Report to TRI")</f>
        <v>N/A - Facility Does Not Report to TRI</v>
      </c>
      <c r="AO236" s="33" t="str">
        <f t="shared" si="51"/>
        <v>N/A - Facility Does Not Report to TRI</v>
      </c>
      <c r="AP236" s="33" t="str">
        <f>IF(COUNTIF('Processed Non-zero TRI Data'!$I:$I,$H236)&gt;0,_xlfn.MAXIFS('Processed Non-zero TRI Data'!$W:$W,'Processed Non-zero TRI Data'!$I:$I,$H236), "N/A - Facility Does Not Report to TRI")</f>
        <v>N/A - Facility Does Not Report to TRI</v>
      </c>
      <c r="AQ236" s="33" t="str">
        <f t="shared" si="52"/>
        <v>N/A - Facility Does Not Report to TRI</v>
      </c>
      <c r="AR236" s="110" t="str" cm="1">
        <f t="array" ref="AR236">IF(B236="TRI Form A",AD236,IF(AP236=0,"Facility has no transfers to non-POTWs between 2019-2023.",IF(COUNTIF('Processed Non-zero TRI Data'!$I:$I,$H236)&gt;0,INDEX('Processed Non-zero TRI Data'!$A:$A,MATCH(1,($H236='Processed Non-zero TRI Data'!$I:$I)*(AP236='Processed Non-zero TRI Data'!$W:$W),0)),"N/A - Facility Does Not Report to TRI")))</f>
        <v>N/A - Facility Does Not Report to TRI</v>
      </c>
    </row>
    <row r="237" spans="1:44" ht="29" x14ac:dyDescent="0.35">
      <c r="A237" s="34">
        <v>234</v>
      </c>
      <c r="B237" s="33" t="str">
        <f>IFERROR("TRI Form "&amp;VLOOKUP(H237,'Processed Non-zero TRI Data'!$I$2:$K$23,3,FALSE),"DMR")</f>
        <v>DMR</v>
      </c>
      <c r="C237" s="33" t="str">
        <f>VLOOKUP($D237, 'COU.OES Summary'!C:D, 2, FALSE)</f>
        <v> </v>
      </c>
      <c r="D237" s="33" t="str">
        <f>IFERROR(VLOOKUP($H237, 'Processed Non-zero TRI Data'!$I:$O, 7, FALSE), VLOOKUP($I237, 'Processed Non-zero DMR Data'!$K:$R, 8, FALSE))</f>
        <v>Waste handling, treatment, and disposal - Remediation or Monitoring</v>
      </c>
      <c r="E237" s="34" t="s">
        <v>546</v>
      </c>
      <c r="F237" s="34" t="s">
        <v>402</v>
      </c>
      <c r="G237" s="34" t="s">
        <v>276</v>
      </c>
      <c r="H237" s="34"/>
      <c r="I237" s="105">
        <v>110071426611</v>
      </c>
      <c r="J237" s="33" t="str">
        <f>IFERROR(VLOOKUP($I237, 'Processed Non-zero DMR Data'!$K:$U, 11, FALSE),"")</f>
        <v>VAG830597</v>
      </c>
      <c r="K237" s="33" t="str">
        <f>IFERROR(VLOOKUP($I237, 'Processed Non-zero DMR Data'!$K:$V, 12, FALSE),"Not Reported")</f>
        <v>Cameron Run</v>
      </c>
      <c r="L237" s="106" t="str">
        <f>IFERROR(VLOOKUP($I237, 'Processed Non-zero DMR Data'!$K:$W, 13, FALSE),"No Reach Code Reported")</f>
        <v>020700100302</v>
      </c>
      <c r="M237" s="107" t="str">
        <f>IFERROR(IFERROR(VLOOKUP(H237, 'Off-site Locations'!$K$3:$O$5, 5, FALSE), VLOOKUP(H237, 'Off-site Locations'!$B$3:$E$4, 4, FALSE)), "No Offsite Transfers")</f>
        <v>No Offsite Transfers</v>
      </c>
      <c r="N237" s="33">
        <f>VLOOKUP($D237, 'COU.OES Summary'!C:E, 3, FALSE)</f>
        <v>365</v>
      </c>
      <c r="O237" s="108">
        <f t="shared" si="42"/>
        <v>0</v>
      </c>
      <c r="P237" s="108">
        <f t="shared" si="43"/>
        <v>2.8831967142857101E-2</v>
      </c>
      <c r="Q237" s="109" cm="1">
        <f t="array" ref="Q237">IFERROR(_xlfn.XLOOKUP(1,  (MAX(IF(I237 = 'Processed Non-zero DMR Data'!$K:$K,'Processed Non-zero DMR Data'!$A:$A)) = 'Processed Non-zero DMR Data'!$A:$A)*('Processed Non-zero DMR Data'!$K:$K = I237),'Processed Non-zero DMR Data'!$T:$T), "N/A- Facility Does Not Report DMRs")</f>
        <v>2.8831967142857101E-2</v>
      </c>
      <c r="R237" s="33">
        <f t="shared" si="53"/>
        <v>7.8991690802348216E-5</v>
      </c>
      <c r="S237" s="33" cm="1">
        <f t="array" ref="S237">IF(COUNTIF('Processed Non-zero DMR Data'!$K:$K,$I237)&gt;0,MEDIAN(IF('Processed Non-zero DMR Data'!$K:$K=I237,'Processed Non-zero DMR Data'!$T:$T)),"N/A - Facility Does Not Report DMRs")</f>
        <v>2.8831967142857101E-2</v>
      </c>
      <c r="T237" s="33">
        <f t="shared" si="54"/>
        <v>7.8991690802348216E-5</v>
      </c>
      <c r="U237" s="33">
        <f>IF(COUNTIF('Processed Non-zero DMR Data'!$K:$K,$I237)&gt;0,_xlfn.MAXIFS('Processed Non-zero DMR Data'!$T:$T,'Processed Non-zero DMR Data'!$K:$K,$I237), "N/A - Facility Does Not Report DMRs")</f>
        <v>2.8831967142857101E-2</v>
      </c>
      <c r="V237" s="33">
        <f t="shared" si="55"/>
        <v>7.8991690802348216E-5</v>
      </c>
      <c r="W237" s="110" cm="1">
        <f t="array" ref="W237">IF(COUNTIF('Processed Non-zero DMR Data'!$K:$K,$I237)&gt;0,INDEX('Processed Non-zero DMR Data'!$A:$A,MATCH(1,($I237='Processed Non-zero DMR Data'!$K:$K)*($U237='Processed Non-zero DMR Data'!$T:$T),0)), "N/A - Facility Does Not Report DMRs")</f>
        <v>2023</v>
      </c>
      <c r="X237" s="109" cm="1">
        <f t="array" ref="X237">IFERROR(_xlfn.XLOOKUP(1,  (MAX(IF(H237 = 'Processed Non-zero TRI Data'!$I:$I,'Processed Non-zero TRI Data'!$A:$A)) = 'Processed Non-zero TRI Data'!$A:$A)*('Processed Non-zero TRI Data'!$I:$I = H237), 'Processed Non-zero TRI Data'!$S:$S), "N/A- Facility Does Not Report to TRI")</f>
        <v>0</v>
      </c>
      <c r="Y237" s="33">
        <f t="shared" si="44"/>
        <v>0</v>
      </c>
      <c r="Z237" s="33" t="str" cm="1">
        <f t="array" ref="Z237">IF(COUNTIF('Processed Non-zero TRI Data'!$I:$I,$H237)&gt;0,MEDIAN(IF('Processed Non-zero TRI Data'!$I:$I=H237,'Processed Non-zero TRI Data'!$S:$S)), "N/A - Facility Does Not Report to TRI")</f>
        <v>N/A - Facility Does Not Report to TRI</v>
      </c>
      <c r="AA237" s="33" t="str">
        <f t="shared" si="45"/>
        <v>N/A - Facility Does Not Report to TRI</v>
      </c>
      <c r="AB237" s="33" t="str">
        <f>IF(COUNTIF('Processed Non-zero TRI Data'!$I:$I,$H237)&gt;0,_xlfn.MAXIFS('Processed Non-zero TRI Data'!$S:$S,'Processed Non-zero TRI Data'!$I:$I,$H237), "N/A - Facility Does Not Report to TRI")</f>
        <v>N/A - Facility Does Not Report to TRI</v>
      </c>
      <c r="AC237" s="33" t="str">
        <f t="shared" si="46"/>
        <v>N/A - Facility Does Not Report to TRI</v>
      </c>
      <c r="AD237" s="110" t="str" cm="1">
        <f t="array" ref="AD237">IFERROR(IF(B237 = "TRI Form R", IF(AB237 = 0, "Facility has no on-site water discharges between 2019-2023.",  IF(COUNTIF('Processed Non-zero TRI Data'!$I:$I,$H237)&gt;0,INDEX('Processed Non-zero TRI Data'!$A:$A,MATCH(1,($H237='Processed Non-zero TRI Data'!$I:$I)*(AB237='Processed Non-zero TRI Data'!$S:$S),0)))), VLOOKUP(H237, 'Form A Recent Reporting'!$L:$M, 2, FALSE)), ("N/A - Facility Does Not Report to TRI"))</f>
        <v>N/A - Facility Does Not Report to TRI</v>
      </c>
      <c r="AE237" s="109" cm="1">
        <f t="array" ref="AE237">IFERROR(_xlfn.XLOOKUP(1,  (MAX(IF(H237 = 'Processed Non-zero TRI Data'!$I:$I,'Processed Non-zero TRI Data'!$A:$A)) = 'Processed Non-zero TRI Data'!$A:$A)*('Processed Non-zero TRI Data'!$I:$I = H237), 'Processed Non-zero TRI Data'!$U:$U), "N/A- Facility Does Not Report to TRI")</f>
        <v>0</v>
      </c>
      <c r="AF237" s="33">
        <f t="shared" si="47"/>
        <v>0</v>
      </c>
      <c r="AG237" s="33" t="str" cm="1">
        <f t="array" ref="AG237">IF(COUNTIF('Processed Non-zero TRI Data'!$I:$I,$H237)&gt;0,MEDIAN(IF('Processed Non-zero TRI Data'!$I:$I=H237,'Processed Non-zero TRI Data'!$U:$U)), "N/A - Facility Does Not Report to TRI")</f>
        <v>N/A - Facility Does Not Report to TRI</v>
      </c>
      <c r="AH237" s="33" t="str">
        <f t="shared" si="48"/>
        <v>N/A - Facility Does Not Report to TRI</v>
      </c>
      <c r="AI237" s="33" t="str">
        <f>IF(COUNTIF('Processed Non-zero TRI Data'!$I:$I,$H237)&gt;0,_xlfn.MAXIFS('Processed Non-zero TRI Data'!$U:$U,'Processed Non-zero TRI Data'!$I:$I,$H237), "N/A - Facility Does Not Report to TRI")</f>
        <v>N/A - Facility Does Not Report to TRI</v>
      </c>
      <c r="AJ237" s="33" t="str">
        <f t="shared" si="49"/>
        <v>N/A - Facility Does Not Report to TRI</v>
      </c>
      <c r="AK237" s="110" t="str" cm="1">
        <f t="array" ref="AK237">IF(B237="TRI Form A",AD237,IF(AI237=0,"Facility has no transfers to POTWs between 2019-2023.",IF(COUNTIF('Processed Non-zero TRI Data'!$I:$I,$H237)&gt;0,INDEX('Processed Non-zero TRI Data'!$A:$A,MATCH(1,($H237='Processed Non-zero TRI Data'!$I:$I)*(AI237='Processed Non-zero TRI Data'!$U:$U),0)),"N/A - Facility Does Not Report to TRI")))</f>
        <v>N/A - Facility Does Not Report to TRI</v>
      </c>
      <c r="AL237" s="109" cm="1">
        <f t="array" ref="AL237">IFERROR(_xlfn.XLOOKUP(1,  (MAX(IF(H237 = 'Processed Non-zero TRI Data'!$I$2:$I$23,'Processed Non-zero TRI Data'!$A$2:$A$23)) = 'Processed Non-zero TRI Data'!$A$2:$A$23)*('Processed Non-zero TRI Data'!$I$2:$I$23 = H237), 'Processed Non-zero TRI Data'!$W$2:$W$23), "N/A- Facility Does Not Report to TRI")</f>
        <v>0</v>
      </c>
      <c r="AM237" s="33">
        <f t="shared" si="50"/>
        <v>0</v>
      </c>
      <c r="AN237" s="33" t="str" cm="1">
        <f t="array" ref="AN237">IF(COUNTIF('Processed Non-zero TRI Data'!$I:$I,$H237)&gt;0,MEDIAN(IF('Processed Non-zero TRI Data'!$I:$I=H237,'Processed Non-zero TRI Data'!$W:$W)), "N/A - Facility Does Not Report to TRI")</f>
        <v>N/A - Facility Does Not Report to TRI</v>
      </c>
      <c r="AO237" s="33" t="str">
        <f t="shared" si="51"/>
        <v>N/A - Facility Does Not Report to TRI</v>
      </c>
      <c r="AP237" s="33" t="str">
        <f>IF(COUNTIF('Processed Non-zero TRI Data'!$I:$I,$H237)&gt;0,_xlfn.MAXIFS('Processed Non-zero TRI Data'!$W:$W,'Processed Non-zero TRI Data'!$I:$I,$H237), "N/A - Facility Does Not Report to TRI")</f>
        <v>N/A - Facility Does Not Report to TRI</v>
      </c>
      <c r="AQ237" s="33" t="str">
        <f t="shared" si="52"/>
        <v>N/A - Facility Does Not Report to TRI</v>
      </c>
      <c r="AR237" s="110" t="str" cm="1">
        <f t="array" ref="AR237">IF(B237="TRI Form A",AD237,IF(AP237=0,"Facility has no transfers to non-POTWs between 2019-2023.",IF(COUNTIF('Processed Non-zero TRI Data'!$I:$I,$H237)&gt;0,INDEX('Processed Non-zero TRI Data'!$A:$A,MATCH(1,($H237='Processed Non-zero TRI Data'!$I:$I)*(AP237='Processed Non-zero TRI Data'!$W:$W),0)),"N/A - Facility Does Not Report to TRI")))</f>
        <v>N/A - Facility Does Not Report to TRI</v>
      </c>
    </row>
    <row r="238" spans="1:44" ht="29" x14ac:dyDescent="0.35">
      <c r="A238" s="34">
        <v>235</v>
      </c>
      <c r="B238" s="33" t="str">
        <f>IFERROR("TRI Form "&amp;VLOOKUP(H238,'Processed Non-zero TRI Data'!$I$2:$K$23,3,FALSE),"DMR")</f>
        <v>DMR</v>
      </c>
      <c r="C238" s="33" t="str">
        <f>VLOOKUP($D238, 'COU.OES Summary'!C:D, 2, FALSE)</f>
        <v> </v>
      </c>
      <c r="D238" s="33" t="str">
        <f>IFERROR(VLOOKUP($H238, 'Processed Non-zero TRI Data'!$I:$O, 7, FALSE), VLOOKUP($I238, 'Processed Non-zero DMR Data'!$K:$R, 8, FALSE))</f>
        <v>Waste handling, treatment, and disposal - POTW</v>
      </c>
      <c r="E238" s="34" t="s">
        <v>547</v>
      </c>
      <c r="F238" s="34" t="s">
        <v>337</v>
      </c>
      <c r="G238" s="34" t="s">
        <v>221</v>
      </c>
      <c r="H238" s="34"/>
      <c r="I238" s="105">
        <v>110064134459</v>
      </c>
      <c r="J238" s="33" t="str">
        <f>IFERROR(VLOOKUP($I238, 'Processed Non-zero DMR Data'!$K:$U, 11, FALSE),"")</f>
        <v>NV0023761</v>
      </c>
      <c r="K238" s="33" t="str">
        <f>IFERROR(VLOOKUP($I238, 'Processed Non-zero DMR Data'!$K:$V, 12, FALSE),"Not Reported")</f>
        <v>Duck Creek</v>
      </c>
      <c r="L238" s="106">
        <f>IFERROR(VLOOKUP($I238, 'Processed Non-zero DMR Data'!$K:$W, 13, FALSE),"No Reach Code Reported")</f>
        <v>150100150704</v>
      </c>
      <c r="M238" s="107" t="str">
        <f>IFERROR(IFERROR(VLOOKUP(H238, 'Off-site Locations'!$K$3:$O$5, 5, FALSE), VLOOKUP(H238, 'Off-site Locations'!$B$3:$E$4, 4, FALSE)), "No Offsite Transfers")</f>
        <v>No Offsite Transfers</v>
      </c>
      <c r="N238" s="33">
        <f>VLOOKUP($D238, 'COU.OES Summary'!C:E, 3, FALSE)</f>
        <v>365</v>
      </c>
      <c r="O238" s="108">
        <f t="shared" si="42"/>
        <v>0</v>
      </c>
      <c r="P238" s="108">
        <f t="shared" si="43"/>
        <v>4.8375895749999995E-2</v>
      </c>
      <c r="Q238" s="109" cm="1">
        <f t="array" ref="Q238">IFERROR(_xlfn.XLOOKUP(1,  (MAX(IF(I238 = 'Processed Non-zero DMR Data'!$K:$K,'Processed Non-zero DMR Data'!$A:$A)) = 'Processed Non-zero DMR Data'!$A:$A)*('Processed Non-zero DMR Data'!$K:$K = I238),'Processed Non-zero DMR Data'!$T:$T), "N/A- Facility Does Not Report DMRs")</f>
        <v>1.116858875E-2</v>
      </c>
      <c r="R238" s="33">
        <f t="shared" si="53"/>
        <v>3.0598873287671229E-5</v>
      </c>
      <c r="S238" s="33" cm="1">
        <f t="array" ref="S238">IF(COUNTIF('Processed Non-zero DMR Data'!$K:$K,$I238)&gt;0,MEDIAN(IF('Processed Non-zero DMR Data'!$K:$K=I238,'Processed Non-zero DMR Data'!$T:$T)),"N/A - Facility Does Not Report DMRs")</f>
        <v>1.116858875E-2</v>
      </c>
      <c r="T238" s="33">
        <f t="shared" si="54"/>
        <v>3.0598873287671229E-5</v>
      </c>
      <c r="U238" s="33">
        <f>IF(COUNTIF('Processed Non-zero DMR Data'!$K:$K,$I238)&gt;0,_xlfn.MAXIFS('Processed Non-zero DMR Data'!$T:$T,'Processed Non-zero DMR Data'!$K:$K,$I238), "N/A - Facility Does Not Report DMRs")</f>
        <v>4.8375895749999995E-2</v>
      </c>
      <c r="V238" s="33">
        <f t="shared" si="55"/>
        <v>1.3253670068493148E-4</v>
      </c>
      <c r="W238" s="110" cm="1">
        <f t="array" ref="W238">IF(COUNTIF('Processed Non-zero DMR Data'!$K:$K,$I238)&gt;0,INDEX('Processed Non-zero DMR Data'!$A:$A,MATCH(1,($I238='Processed Non-zero DMR Data'!$K:$K)*($U238='Processed Non-zero DMR Data'!$T:$T),0)), "N/A - Facility Does Not Report DMRs")</f>
        <v>2020</v>
      </c>
      <c r="X238" s="109" cm="1">
        <f t="array" ref="X238">IFERROR(_xlfn.XLOOKUP(1,  (MAX(IF(H238 = 'Processed Non-zero TRI Data'!$I:$I,'Processed Non-zero TRI Data'!$A:$A)) = 'Processed Non-zero TRI Data'!$A:$A)*('Processed Non-zero TRI Data'!$I:$I = H238), 'Processed Non-zero TRI Data'!$S:$S), "N/A- Facility Does Not Report to TRI")</f>
        <v>0</v>
      </c>
      <c r="Y238" s="33">
        <f t="shared" si="44"/>
        <v>0</v>
      </c>
      <c r="Z238" s="33" t="str" cm="1">
        <f t="array" ref="Z238">IF(COUNTIF('Processed Non-zero TRI Data'!$I:$I,$H238)&gt;0,MEDIAN(IF('Processed Non-zero TRI Data'!$I:$I=H238,'Processed Non-zero TRI Data'!$S:$S)), "N/A - Facility Does Not Report to TRI")</f>
        <v>N/A - Facility Does Not Report to TRI</v>
      </c>
      <c r="AA238" s="33" t="str">
        <f t="shared" si="45"/>
        <v>N/A - Facility Does Not Report to TRI</v>
      </c>
      <c r="AB238" s="33" t="str">
        <f>IF(COUNTIF('Processed Non-zero TRI Data'!$I:$I,$H238)&gt;0,_xlfn.MAXIFS('Processed Non-zero TRI Data'!$S:$S,'Processed Non-zero TRI Data'!$I:$I,$H238), "N/A - Facility Does Not Report to TRI")</f>
        <v>N/A - Facility Does Not Report to TRI</v>
      </c>
      <c r="AC238" s="33" t="str">
        <f t="shared" si="46"/>
        <v>N/A - Facility Does Not Report to TRI</v>
      </c>
      <c r="AD238" s="110" t="str" cm="1">
        <f t="array" ref="AD238">IFERROR(IF(B238 = "TRI Form R", IF(AB238 = 0, "Facility has no on-site water discharges between 2019-2023.",  IF(COUNTIF('Processed Non-zero TRI Data'!$I:$I,$H238)&gt;0,INDEX('Processed Non-zero TRI Data'!$A:$A,MATCH(1,($H238='Processed Non-zero TRI Data'!$I:$I)*(AB238='Processed Non-zero TRI Data'!$S:$S),0)))), VLOOKUP(H238, 'Form A Recent Reporting'!$L:$M, 2, FALSE)), ("N/A - Facility Does Not Report to TRI"))</f>
        <v>N/A - Facility Does Not Report to TRI</v>
      </c>
      <c r="AE238" s="109" cm="1">
        <f t="array" ref="AE238">IFERROR(_xlfn.XLOOKUP(1,  (MAX(IF(H238 = 'Processed Non-zero TRI Data'!$I:$I,'Processed Non-zero TRI Data'!$A:$A)) = 'Processed Non-zero TRI Data'!$A:$A)*('Processed Non-zero TRI Data'!$I:$I = H238), 'Processed Non-zero TRI Data'!$U:$U), "N/A- Facility Does Not Report to TRI")</f>
        <v>0</v>
      </c>
      <c r="AF238" s="33">
        <f t="shared" si="47"/>
        <v>0</v>
      </c>
      <c r="AG238" s="33" t="str" cm="1">
        <f t="array" ref="AG238">IF(COUNTIF('Processed Non-zero TRI Data'!$I:$I,$H238)&gt;0,MEDIAN(IF('Processed Non-zero TRI Data'!$I:$I=H238,'Processed Non-zero TRI Data'!$U:$U)), "N/A - Facility Does Not Report to TRI")</f>
        <v>N/A - Facility Does Not Report to TRI</v>
      </c>
      <c r="AH238" s="33" t="str">
        <f t="shared" si="48"/>
        <v>N/A - Facility Does Not Report to TRI</v>
      </c>
      <c r="AI238" s="33" t="str">
        <f>IF(COUNTIF('Processed Non-zero TRI Data'!$I:$I,$H238)&gt;0,_xlfn.MAXIFS('Processed Non-zero TRI Data'!$U:$U,'Processed Non-zero TRI Data'!$I:$I,$H238), "N/A - Facility Does Not Report to TRI")</f>
        <v>N/A - Facility Does Not Report to TRI</v>
      </c>
      <c r="AJ238" s="33" t="str">
        <f t="shared" si="49"/>
        <v>N/A - Facility Does Not Report to TRI</v>
      </c>
      <c r="AK238" s="110" t="str" cm="1">
        <f t="array" ref="AK238">IF(B238="TRI Form A",AD238,IF(AI238=0,"Facility has no transfers to POTWs between 2019-2023.",IF(COUNTIF('Processed Non-zero TRI Data'!$I:$I,$H238)&gt;0,INDEX('Processed Non-zero TRI Data'!$A:$A,MATCH(1,($H238='Processed Non-zero TRI Data'!$I:$I)*(AI238='Processed Non-zero TRI Data'!$U:$U),0)),"N/A - Facility Does Not Report to TRI")))</f>
        <v>N/A - Facility Does Not Report to TRI</v>
      </c>
      <c r="AL238" s="109" cm="1">
        <f t="array" ref="AL238">IFERROR(_xlfn.XLOOKUP(1,  (MAX(IF(H238 = 'Processed Non-zero TRI Data'!$I$2:$I$23,'Processed Non-zero TRI Data'!$A$2:$A$23)) = 'Processed Non-zero TRI Data'!$A$2:$A$23)*('Processed Non-zero TRI Data'!$I$2:$I$23 = H238), 'Processed Non-zero TRI Data'!$W$2:$W$23), "N/A- Facility Does Not Report to TRI")</f>
        <v>0</v>
      </c>
      <c r="AM238" s="33">
        <f t="shared" si="50"/>
        <v>0</v>
      </c>
      <c r="AN238" s="33" t="str" cm="1">
        <f t="array" ref="AN238">IF(COUNTIF('Processed Non-zero TRI Data'!$I:$I,$H238)&gt;0,MEDIAN(IF('Processed Non-zero TRI Data'!$I:$I=H238,'Processed Non-zero TRI Data'!$W:$W)), "N/A - Facility Does Not Report to TRI")</f>
        <v>N/A - Facility Does Not Report to TRI</v>
      </c>
      <c r="AO238" s="33" t="str">
        <f t="shared" si="51"/>
        <v>N/A - Facility Does Not Report to TRI</v>
      </c>
      <c r="AP238" s="33" t="str">
        <f>IF(COUNTIF('Processed Non-zero TRI Data'!$I:$I,$H238)&gt;0,_xlfn.MAXIFS('Processed Non-zero TRI Data'!$W:$W,'Processed Non-zero TRI Data'!$I:$I,$H238), "N/A - Facility Does Not Report to TRI")</f>
        <v>N/A - Facility Does Not Report to TRI</v>
      </c>
      <c r="AQ238" s="33" t="str">
        <f t="shared" si="52"/>
        <v>N/A - Facility Does Not Report to TRI</v>
      </c>
      <c r="AR238" s="110" t="str" cm="1">
        <f t="array" ref="AR238">IF(B238="TRI Form A",AD238,IF(AP238=0,"Facility has no transfers to non-POTWs between 2019-2023.",IF(COUNTIF('Processed Non-zero TRI Data'!$I:$I,$H238)&gt;0,INDEX('Processed Non-zero TRI Data'!$A:$A,MATCH(1,($H238='Processed Non-zero TRI Data'!$I:$I)*(AP238='Processed Non-zero TRI Data'!$W:$W),0)),"N/A - Facility Does Not Report to TRI")))</f>
        <v>N/A - Facility Does Not Report to TRI</v>
      </c>
    </row>
    <row r="239" spans="1:44" ht="29" x14ac:dyDescent="0.35">
      <c r="A239" s="34">
        <v>236</v>
      </c>
      <c r="B239" s="33" t="str">
        <f>IFERROR("TRI Form "&amp;VLOOKUP(H239,'Processed Non-zero TRI Data'!$I$2:$K$23,3,FALSE),"DMR")</f>
        <v>DMR</v>
      </c>
      <c r="C239" s="33" t="str">
        <f>VLOOKUP($D239, 'COU.OES Summary'!C:D, 2, FALSE)</f>
        <v> </v>
      </c>
      <c r="D239" s="33" t="str">
        <f>IFERROR(VLOOKUP($H239, 'Processed Non-zero TRI Data'!$I:$O, 7, FALSE), VLOOKUP($I239, 'Processed Non-zero DMR Data'!$K:$R, 8, FALSE))</f>
        <v>Waste handling, treatment, and disposal - Remediation or Monitoring</v>
      </c>
      <c r="E239" s="34" t="s">
        <v>548</v>
      </c>
      <c r="F239" s="34" t="s">
        <v>339</v>
      </c>
      <c r="G239" s="34" t="s">
        <v>340</v>
      </c>
      <c r="H239" s="34"/>
      <c r="I239" s="105">
        <v>110000329038</v>
      </c>
      <c r="J239" s="33" t="str">
        <f>IFERROR(VLOOKUP($I239, 'Processed Non-zero DMR Data'!$K:$U, 11, FALSE),"")</f>
        <v>PA0002208</v>
      </c>
      <c r="K239" s="33" t="str">
        <f>IFERROR(VLOOKUP($I239, 'Processed Non-zero DMR Data'!$K:$V, 12, FALSE),"Not Reported")</f>
        <v>Sixmile Run-Ohio River</v>
      </c>
      <c r="L239" s="106" t="str">
        <f>IFERROR(VLOOKUP($I239, 'Processed Non-zero DMR Data'!$K:$W, 13, FALSE),"No Reach Code Reported")</f>
        <v>050301010310</v>
      </c>
      <c r="M239" s="107" t="str">
        <f>IFERROR(IFERROR(VLOOKUP(H239, 'Off-site Locations'!$K$3:$O$5, 5, FALSE), VLOOKUP(H239, 'Off-site Locations'!$B$3:$E$4, 4, FALSE)), "No Offsite Transfers")</f>
        <v>No Offsite Transfers</v>
      </c>
      <c r="N239" s="33">
        <f>VLOOKUP($D239, 'COU.OES Summary'!C:E, 3, FALSE)</f>
        <v>365</v>
      </c>
      <c r="O239" s="108">
        <f t="shared" si="42"/>
        <v>0</v>
      </c>
      <c r="P239" s="108">
        <f t="shared" si="43"/>
        <v>2.8147999999999999E-2</v>
      </c>
      <c r="Q239" s="109" cm="1">
        <f t="array" ref="Q239">IFERROR(_xlfn.XLOOKUP(1,  (MAX(IF(I239 = 'Processed Non-zero DMR Data'!$K:$K,'Processed Non-zero DMR Data'!$A:$A)) = 'Processed Non-zero DMR Data'!$A:$A)*('Processed Non-zero DMR Data'!$K:$K = I239),'Processed Non-zero DMR Data'!$T:$T), "N/A- Facility Does Not Report DMRs")</f>
        <v>2.8147999999999999E-2</v>
      </c>
      <c r="R239" s="33">
        <f t="shared" si="53"/>
        <v>7.711780821917808E-5</v>
      </c>
      <c r="S239" s="33" cm="1">
        <f t="array" ref="S239">IF(COUNTIF('Processed Non-zero DMR Data'!$K:$K,$I239)&gt;0,MEDIAN(IF('Processed Non-zero DMR Data'!$K:$K=I239,'Processed Non-zero DMR Data'!$T:$T)),"N/A - Facility Does Not Report DMRs")</f>
        <v>1.7479000000000001E-2</v>
      </c>
      <c r="T239" s="33">
        <f t="shared" si="54"/>
        <v>4.7887671232876719E-5</v>
      </c>
      <c r="U239" s="33">
        <f>IF(COUNTIF('Processed Non-zero DMR Data'!$K:$K,$I239)&gt;0,_xlfn.MAXIFS('Processed Non-zero DMR Data'!$T:$T,'Processed Non-zero DMR Data'!$K:$K,$I239), "N/A - Facility Does Not Report DMRs")</f>
        <v>2.8147999999999999E-2</v>
      </c>
      <c r="V239" s="33">
        <f t="shared" si="55"/>
        <v>7.711780821917808E-5</v>
      </c>
      <c r="W239" s="110" cm="1">
        <f t="array" ref="W239">IF(COUNTIF('Processed Non-zero DMR Data'!$K:$K,$I239)&gt;0,INDEX('Processed Non-zero DMR Data'!$A:$A,MATCH(1,($I239='Processed Non-zero DMR Data'!$K:$K)*($U239='Processed Non-zero DMR Data'!$T:$T),0)), "N/A - Facility Does Not Report DMRs")</f>
        <v>2023</v>
      </c>
      <c r="X239" s="109" cm="1">
        <f t="array" ref="X239">IFERROR(_xlfn.XLOOKUP(1,  (MAX(IF(H239 = 'Processed Non-zero TRI Data'!$I:$I,'Processed Non-zero TRI Data'!$A:$A)) = 'Processed Non-zero TRI Data'!$A:$A)*('Processed Non-zero TRI Data'!$I:$I = H239), 'Processed Non-zero TRI Data'!$S:$S), "N/A- Facility Does Not Report to TRI")</f>
        <v>0</v>
      </c>
      <c r="Y239" s="33">
        <f t="shared" si="44"/>
        <v>0</v>
      </c>
      <c r="Z239" s="33" t="str" cm="1">
        <f t="array" ref="Z239">IF(COUNTIF('Processed Non-zero TRI Data'!$I:$I,$H239)&gt;0,MEDIAN(IF('Processed Non-zero TRI Data'!$I:$I=H239,'Processed Non-zero TRI Data'!$S:$S)), "N/A - Facility Does Not Report to TRI")</f>
        <v>N/A - Facility Does Not Report to TRI</v>
      </c>
      <c r="AA239" s="33" t="str">
        <f t="shared" si="45"/>
        <v>N/A - Facility Does Not Report to TRI</v>
      </c>
      <c r="AB239" s="33" t="str">
        <f>IF(COUNTIF('Processed Non-zero TRI Data'!$I:$I,$H239)&gt;0,_xlfn.MAXIFS('Processed Non-zero TRI Data'!$S:$S,'Processed Non-zero TRI Data'!$I:$I,$H239), "N/A - Facility Does Not Report to TRI")</f>
        <v>N/A - Facility Does Not Report to TRI</v>
      </c>
      <c r="AC239" s="33" t="str">
        <f t="shared" si="46"/>
        <v>N/A - Facility Does Not Report to TRI</v>
      </c>
      <c r="AD239" s="110" t="str" cm="1">
        <f t="array" ref="AD239">IFERROR(IF(B239 = "TRI Form R", IF(AB239 = 0, "Facility has no on-site water discharges between 2019-2023.",  IF(COUNTIF('Processed Non-zero TRI Data'!$I:$I,$H239)&gt;0,INDEX('Processed Non-zero TRI Data'!$A:$A,MATCH(1,($H239='Processed Non-zero TRI Data'!$I:$I)*(AB239='Processed Non-zero TRI Data'!$S:$S),0)))), VLOOKUP(H239, 'Form A Recent Reporting'!$L:$M, 2, FALSE)), ("N/A - Facility Does Not Report to TRI"))</f>
        <v>N/A - Facility Does Not Report to TRI</v>
      </c>
      <c r="AE239" s="109" cm="1">
        <f t="array" ref="AE239">IFERROR(_xlfn.XLOOKUP(1,  (MAX(IF(H239 = 'Processed Non-zero TRI Data'!$I:$I,'Processed Non-zero TRI Data'!$A:$A)) = 'Processed Non-zero TRI Data'!$A:$A)*('Processed Non-zero TRI Data'!$I:$I = H239), 'Processed Non-zero TRI Data'!$U:$U), "N/A- Facility Does Not Report to TRI")</f>
        <v>0</v>
      </c>
      <c r="AF239" s="33">
        <f t="shared" si="47"/>
        <v>0</v>
      </c>
      <c r="AG239" s="33" t="str" cm="1">
        <f t="array" ref="AG239">IF(COUNTIF('Processed Non-zero TRI Data'!$I:$I,$H239)&gt;0,MEDIAN(IF('Processed Non-zero TRI Data'!$I:$I=H239,'Processed Non-zero TRI Data'!$U:$U)), "N/A - Facility Does Not Report to TRI")</f>
        <v>N/A - Facility Does Not Report to TRI</v>
      </c>
      <c r="AH239" s="33" t="str">
        <f t="shared" si="48"/>
        <v>N/A - Facility Does Not Report to TRI</v>
      </c>
      <c r="AI239" s="33" t="str">
        <f>IF(COUNTIF('Processed Non-zero TRI Data'!$I:$I,$H239)&gt;0,_xlfn.MAXIFS('Processed Non-zero TRI Data'!$U:$U,'Processed Non-zero TRI Data'!$I:$I,$H239), "N/A - Facility Does Not Report to TRI")</f>
        <v>N/A - Facility Does Not Report to TRI</v>
      </c>
      <c r="AJ239" s="33" t="str">
        <f t="shared" si="49"/>
        <v>N/A - Facility Does Not Report to TRI</v>
      </c>
      <c r="AK239" s="110" t="str" cm="1">
        <f t="array" ref="AK239">IF(B239="TRI Form A",AD239,IF(AI239=0,"Facility has no transfers to POTWs between 2019-2023.",IF(COUNTIF('Processed Non-zero TRI Data'!$I:$I,$H239)&gt;0,INDEX('Processed Non-zero TRI Data'!$A:$A,MATCH(1,($H239='Processed Non-zero TRI Data'!$I:$I)*(AI239='Processed Non-zero TRI Data'!$U:$U),0)),"N/A - Facility Does Not Report to TRI")))</f>
        <v>N/A - Facility Does Not Report to TRI</v>
      </c>
      <c r="AL239" s="109" cm="1">
        <f t="array" ref="AL239">IFERROR(_xlfn.XLOOKUP(1,  (MAX(IF(H239 = 'Processed Non-zero TRI Data'!$I$2:$I$23,'Processed Non-zero TRI Data'!$A$2:$A$23)) = 'Processed Non-zero TRI Data'!$A$2:$A$23)*('Processed Non-zero TRI Data'!$I$2:$I$23 = H239), 'Processed Non-zero TRI Data'!$W$2:$W$23), "N/A- Facility Does Not Report to TRI")</f>
        <v>0</v>
      </c>
      <c r="AM239" s="33">
        <f t="shared" si="50"/>
        <v>0</v>
      </c>
      <c r="AN239" s="33" t="str" cm="1">
        <f t="array" ref="AN239">IF(COUNTIF('Processed Non-zero TRI Data'!$I:$I,$H239)&gt;0,MEDIAN(IF('Processed Non-zero TRI Data'!$I:$I=H239,'Processed Non-zero TRI Data'!$W:$W)), "N/A - Facility Does Not Report to TRI")</f>
        <v>N/A - Facility Does Not Report to TRI</v>
      </c>
      <c r="AO239" s="33" t="str">
        <f t="shared" si="51"/>
        <v>N/A - Facility Does Not Report to TRI</v>
      </c>
      <c r="AP239" s="33" t="str">
        <f>IF(COUNTIF('Processed Non-zero TRI Data'!$I:$I,$H239)&gt;0,_xlfn.MAXIFS('Processed Non-zero TRI Data'!$W:$W,'Processed Non-zero TRI Data'!$I:$I,$H239), "N/A - Facility Does Not Report to TRI")</f>
        <v>N/A - Facility Does Not Report to TRI</v>
      </c>
      <c r="AQ239" s="33" t="str">
        <f t="shared" si="52"/>
        <v>N/A - Facility Does Not Report to TRI</v>
      </c>
      <c r="AR239" s="110" t="str" cm="1">
        <f t="array" ref="AR239">IF(B239="TRI Form A",AD239,IF(AP239=0,"Facility has no transfers to non-POTWs between 2019-2023.",IF(COUNTIF('Processed Non-zero TRI Data'!$I:$I,$H239)&gt;0,INDEX('Processed Non-zero TRI Data'!$A:$A,MATCH(1,($H239='Processed Non-zero TRI Data'!$I:$I)*(AP239='Processed Non-zero TRI Data'!$W:$W),0)),"N/A - Facility Does Not Report to TRI")))</f>
        <v>N/A - Facility Does Not Report to TRI</v>
      </c>
    </row>
    <row r="240" spans="1:44" ht="29" x14ac:dyDescent="0.35">
      <c r="A240" s="34">
        <v>237</v>
      </c>
      <c r="B240" s="33" t="str">
        <f>IFERROR("TRI Form "&amp;VLOOKUP(H240,'Processed Non-zero TRI Data'!$I$2:$K$23,3,FALSE),"DMR")</f>
        <v>DMR</v>
      </c>
      <c r="C240" s="33" t="str">
        <f>VLOOKUP($D240, 'COU.OES Summary'!C:D, 2, FALSE)</f>
        <v> </v>
      </c>
      <c r="D240" s="33" t="str">
        <f>IFERROR(VLOOKUP($H240, 'Processed Non-zero TRI Data'!$I:$O, 7, FALSE), VLOOKUP($I240, 'Processed Non-zero DMR Data'!$K:$R, 8, FALSE))</f>
        <v>Waste handling, treatment, and disposal - Remediation or Monitoring</v>
      </c>
      <c r="E240" s="34" t="s">
        <v>549</v>
      </c>
      <c r="F240" s="34" t="s">
        <v>507</v>
      </c>
      <c r="G240" s="34" t="s">
        <v>181</v>
      </c>
      <c r="H240" s="34"/>
      <c r="I240" s="105">
        <v>110006739789</v>
      </c>
      <c r="J240" s="33" t="str">
        <f>IFERROR(VLOOKUP($I240, 'Processed Non-zero DMR Data'!$K:$U, 11, FALSE),"")</f>
        <v>MI0055531</v>
      </c>
      <c r="K240" s="33" t="str">
        <f>IFERROR(VLOOKUP($I240, 'Processed Non-zero DMR Data'!$K:$V, 12, FALSE),"Not Reported")</f>
        <v>Lincoln Lake-Lincoln River</v>
      </c>
      <c r="L240" s="106">
        <f>IFERROR(VLOOKUP($I240, 'Processed Non-zero DMR Data'!$K:$W, 13, FALSE),"No Reach Code Reported")</f>
        <v>40601010203</v>
      </c>
      <c r="M240" s="107" t="str">
        <f>IFERROR(IFERROR(VLOOKUP(H240, 'Off-site Locations'!$K$3:$O$5, 5, FALSE), VLOOKUP(H240, 'Off-site Locations'!$B$3:$E$4, 4, FALSE)), "No Offsite Transfers")</f>
        <v>No Offsite Transfers</v>
      </c>
      <c r="N240" s="33">
        <f>VLOOKUP($D240, 'COU.OES Summary'!C:E, 3, FALSE)</f>
        <v>365</v>
      </c>
      <c r="O240" s="108">
        <f t="shared" si="42"/>
        <v>0</v>
      </c>
      <c r="P240" s="108">
        <f t="shared" si="43"/>
        <v>2.7437465000000001E-2</v>
      </c>
      <c r="Q240" s="109" cm="1">
        <f t="array" ref="Q240">IFERROR(_xlfn.XLOOKUP(1,  (MAX(IF(I240 = 'Processed Non-zero DMR Data'!$K:$K,'Processed Non-zero DMR Data'!$A:$A)) = 'Processed Non-zero DMR Data'!$A:$A)*('Processed Non-zero DMR Data'!$K:$K = I240),'Processed Non-zero DMR Data'!$T:$T), "N/A- Facility Does Not Report DMRs")</f>
        <v>2.7437465000000001E-2</v>
      </c>
      <c r="R240" s="33">
        <f t="shared" si="53"/>
        <v>7.5171136986301374E-5</v>
      </c>
      <c r="S240" s="33" cm="1">
        <f t="array" ref="S240">IF(COUNTIF('Processed Non-zero DMR Data'!$K:$K,$I240)&gt;0,MEDIAN(IF('Processed Non-zero DMR Data'!$K:$K=I240,'Processed Non-zero DMR Data'!$T:$T)),"N/A - Facility Does Not Report DMRs")</f>
        <v>2.6652456000000001E-2</v>
      </c>
      <c r="T240" s="33">
        <f t="shared" si="54"/>
        <v>7.3020427397260272E-5</v>
      </c>
      <c r="U240" s="33">
        <f>IF(COUNTIF('Processed Non-zero DMR Data'!$K:$K,$I240)&gt;0,_xlfn.MAXIFS('Processed Non-zero DMR Data'!$T:$T,'Processed Non-zero DMR Data'!$K:$K,$I240), "N/A - Facility Does Not Report DMRs")</f>
        <v>2.7437465000000001E-2</v>
      </c>
      <c r="V240" s="33">
        <f t="shared" si="55"/>
        <v>7.5171136986301374E-5</v>
      </c>
      <c r="W240" s="110" cm="1">
        <f t="array" ref="W240">IF(COUNTIF('Processed Non-zero DMR Data'!$K:$K,$I240)&gt;0,INDEX('Processed Non-zero DMR Data'!$A:$A,MATCH(1,($I240='Processed Non-zero DMR Data'!$K:$K)*($U240='Processed Non-zero DMR Data'!$T:$T),0)), "N/A - Facility Does Not Report DMRs")</f>
        <v>2023</v>
      </c>
      <c r="X240" s="109" cm="1">
        <f t="array" ref="X240">IFERROR(_xlfn.XLOOKUP(1,  (MAX(IF(H240 = 'Processed Non-zero TRI Data'!$I:$I,'Processed Non-zero TRI Data'!$A:$A)) = 'Processed Non-zero TRI Data'!$A:$A)*('Processed Non-zero TRI Data'!$I:$I = H240), 'Processed Non-zero TRI Data'!$S:$S), "N/A- Facility Does Not Report to TRI")</f>
        <v>0</v>
      </c>
      <c r="Y240" s="33">
        <f t="shared" si="44"/>
        <v>0</v>
      </c>
      <c r="Z240" s="33" t="str" cm="1">
        <f t="array" ref="Z240">IF(COUNTIF('Processed Non-zero TRI Data'!$I:$I,$H240)&gt;0,MEDIAN(IF('Processed Non-zero TRI Data'!$I:$I=H240,'Processed Non-zero TRI Data'!$S:$S)), "N/A - Facility Does Not Report to TRI")</f>
        <v>N/A - Facility Does Not Report to TRI</v>
      </c>
      <c r="AA240" s="33" t="str">
        <f t="shared" si="45"/>
        <v>N/A - Facility Does Not Report to TRI</v>
      </c>
      <c r="AB240" s="33" t="str">
        <f>IF(COUNTIF('Processed Non-zero TRI Data'!$I:$I,$H240)&gt;0,_xlfn.MAXIFS('Processed Non-zero TRI Data'!$S:$S,'Processed Non-zero TRI Data'!$I:$I,$H240), "N/A - Facility Does Not Report to TRI")</f>
        <v>N/A - Facility Does Not Report to TRI</v>
      </c>
      <c r="AC240" s="33" t="str">
        <f t="shared" si="46"/>
        <v>N/A - Facility Does Not Report to TRI</v>
      </c>
      <c r="AD240" s="110" t="str" cm="1">
        <f t="array" ref="AD240">IFERROR(IF(B240 = "TRI Form R", IF(AB240 = 0, "Facility has no on-site water discharges between 2019-2023.",  IF(COUNTIF('Processed Non-zero TRI Data'!$I:$I,$H240)&gt;0,INDEX('Processed Non-zero TRI Data'!$A:$A,MATCH(1,($H240='Processed Non-zero TRI Data'!$I:$I)*(AB240='Processed Non-zero TRI Data'!$S:$S),0)))), VLOOKUP(H240, 'Form A Recent Reporting'!$L:$M, 2, FALSE)), ("N/A - Facility Does Not Report to TRI"))</f>
        <v>N/A - Facility Does Not Report to TRI</v>
      </c>
      <c r="AE240" s="109" cm="1">
        <f t="array" ref="AE240">IFERROR(_xlfn.XLOOKUP(1,  (MAX(IF(H240 = 'Processed Non-zero TRI Data'!$I:$I,'Processed Non-zero TRI Data'!$A:$A)) = 'Processed Non-zero TRI Data'!$A:$A)*('Processed Non-zero TRI Data'!$I:$I = H240), 'Processed Non-zero TRI Data'!$U:$U), "N/A- Facility Does Not Report to TRI")</f>
        <v>0</v>
      </c>
      <c r="AF240" s="33">
        <f t="shared" si="47"/>
        <v>0</v>
      </c>
      <c r="AG240" s="33" t="str" cm="1">
        <f t="array" ref="AG240">IF(COUNTIF('Processed Non-zero TRI Data'!$I:$I,$H240)&gt;0,MEDIAN(IF('Processed Non-zero TRI Data'!$I:$I=H240,'Processed Non-zero TRI Data'!$U:$U)), "N/A - Facility Does Not Report to TRI")</f>
        <v>N/A - Facility Does Not Report to TRI</v>
      </c>
      <c r="AH240" s="33" t="str">
        <f t="shared" si="48"/>
        <v>N/A - Facility Does Not Report to TRI</v>
      </c>
      <c r="AI240" s="33" t="str">
        <f>IF(COUNTIF('Processed Non-zero TRI Data'!$I:$I,$H240)&gt;0,_xlfn.MAXIFS('Processed Non-zero TRI Data'!$U:$U,'Processed Non-zero TRI Data'!$I:$I,$H240), "N/A - Facility Does Not Report to TRI")</f>
        <v>N/A - Facility Does Not Report to TRI</v>
      </c>
      <c r="AJ240" s="33" t="str">
        <f t="shared" si="49"/>
        <v>N/A - Facility Does Not Report to TRI</v>
      </c>
      <c r="AK240" s="110" t="str" cm="1">
        <f t="array" ref="AK240">IF(B240="TRI Form A",AD240,IF(AI240=0,"Facility has no transfers to POTWs between 2019-2023.",IF(COUNTIF('Processed Non-zero TRI Data'!$I:$I,$H240)&gt;0,INDEX('Processed Non-zero TRI Data'!$A:$A,MATCH(1,($H240='Processed Non-zero TRI Data'!$I:$I)*(AI240='Processed Non-zero TRI Data'!$U:$U),0)),"N/A - Facility Does Not Report to TRI")))</f>
        <v>N/A - Facility Does Not Report to TRI</v>
      </c>
      <c r="AL240" s="109" cm="1">
        <f t="array" ref="AL240">IFERROR(_xlfn.XLOOKUP(1,  (MAX(IF(H240 = 'Processed Non-zero TRI Data'!$I$2:$I$23,'Processed Non-zero TRI Data'!$A$2:$A$23)) = 'Processed Non-zero TRI Data'!$A$2:$A$23)*('Processed Non-zero TRI Data'!$I$2:$I$23 = H240), 'Processed Non-zero TRI Data'!$W$2:$W$23), "N/A- Facility Does Not Report to TRI")</f>
        <v>0</v>
      </c>
      <c r="AM240" s="33">
        <f t="shared" si="50"/>
        <v>0</v>
      </c>
      <c r="AN240" s="33" t="str" cm="1">
        <f t="array" ref="AN240">IF(COUNTIF('Processed Non-zero TRI Data'!$I:$I,$H240)&gt;0,MEDIAN(IF('Processed Non-zero TRI Data'!$I:$I=H240,'Processed Non-zero TRI Data'!$W:$W)), "N/A - Facility Does Not Report to TRI")</f>
        <v>N/A - Facility Does Not Report to TRI</v>
      </c>
      <c r="AO240" s="33" t="str">
        <f t="shared" si="51"/>
        <v>N/A - Facility Does Not Report to TRI</v>
      </c>
      <c r="AP240" s="33" t="str">
        <f>IF(COUNTIF('Processed Non-zero TRI Data'!$I:$I,$H240)&gt;0,_xlfn.MAXIFS('Processed Non-zero TRI Data'!$W:$W,'Processed Non-zero TRI Data'!$I:$I,$H240), "N/A - Facility Does Not Report to TRI")</f>
        <v>N/A - Facility Does Not Report to TRI</v>
      </c>
      <c r="AQ240" s="33" t="str">
        <f t="shared" si="52"/>
        <v>N/A - Facility Does Not Report to TRI</v>
      </c>
      <c r="AR240" s="110" t="str" cm="1">
        <f t="array" ref="AR240">IF(B240="TRI Form A",AD240,IF(AP240=0,"Facility has no transfers to non-POTWs between 2019-2023.",IF(COUNTIF('Processed Non-zero TRI Data'!$I:$I,$H240)&gt;0,INDEX('Processed Non-zero TRI Data'!$A:$A,MATCH(1,($H240='Processed Non-zero TRI Data'!$I:$I)*(AP240='Processed Non-zero TRI Data'!$W:$W),0)),"N/A - Facility Does Not Report to TRI")))</f>
        <v>N/A - Facility Does Not Report to TRI</v>
      </c>
    </row>
    <row r="241" spans="1:44" ht="29" x14ac:dyDescent="0.35">
      <c r="A241" s="34">
        <v>238</v>
      </c>
      <c r="B241" s="33" t="str">
        <f>IFERROR("TRI Form "&amp;VLOOKUP(H241,'Processed Non-zero TRI Data'!$I$2:$K$23,3,FALSE),"DMR")</f>
        <v>DMR</v>
      </c>
      <c r="C241" s="33" t="str">
        <f>VLOOKUP($D241, 'COU.OES Summary'!C:D, 2, FALSE)</f>
        <v> </v>
      </c>
      <c r="D241" s="33" t="str">
        <f>IFERROR(VLOOKUP($H241, 'Processed Non-zero TRI Data'!$I:$O, 7, FALSE), VLOOKUP($I241, 'Processed Non-zero DMR Data'!$K:$R, 8, FALSE))</f>
        <v>Waste handling, treatment, and disposal - Remediation or Monitoring</v>
      </c>
      <c r="E241" s="34" t="s">
        <v>550</v>
      </c>
      <c r="F241" s="34" t="s">
        <v>551</v>
      </c>
      <c r="G241" s="34" t="s">
        <v>340</v>
      </c>
      <c r="H241" s="34"/>
      <c r="I241" s="105">
        <v>110000701973</v>
      </c>
      <c r="J241" s="33" t="str">
        <f>IFERROR(VLOOKUP($I241, 'Processed Non-zero DMR Data'!$K:$U, 11, FALSE),"")</f>
        <v>PA0000914</v>
      </c>
      <c r="K241" s="33" t="str">
        <f>IFERROR(VLOOKUP($I241, 'Processed Non-zero DMR Data'!$K:$V, 12, FALSE),"Not Reported")</f>
        <v>Streets Run-Monongahela River</v>
      </c>
      <c r="L241" s="106">
        <f>IFERROR(VLOOKUP($I241, 'Processed Non-zero DMR Data'!$K:$W, 13, FALSE),"No Reach Code Reported")</f>
        <v>50200050808</v>
      </c>
      <c r="M241" s="107" t="str">
        <f>IFERROR(IFERROR(VLOOKUP(H241, 'Off-site Locations'!$K$3:$O$5, 5, FALSE), VLOOKUP(H241, 'Off-site Locations'!$B$3:$E$4, 4, FALSE)), "No Offsite Transfers")</f>
        <v>No Offsite Transfers</v>
      </c>
      <c r="N241" s="33">
        <f>VLOOKUP($D241, 'COU.OES Summary'!C:E, 3, FALSE)</f>
        <v>365</v>
      </c>
      <c r="O241" s="108">
        <f t="shared" si="42"/>
        <v>0</v>
      </c>
      <c r="P241" s="108">
        <f t="shared" si="43"/>
        <v>2.6203555E-2</v>
      </c>
      <c r="Q241" s="109" cm="1">
        <f t="array" ref="Q241">IFERROR(_xlfn.XLOOKUP(1,  (MAX(IF(I241 = 'Processed Non-zero DMR Data'!$K:$K,'Processed Non-zero DMR Data'!$A:$A)) = 'Processed Non-zero DMR Data'!$A:$A)*('Processed Non-zero DMR Data'!$K:$K = I241),'Processed Non-zero DMR Data'!$T:$T), "N/A- Facility Does Not Report DMRs")</f>
        <v>1.3949617500000001E-2</v>
      </c>
      <c r="R241" s="33">
        <f t="shared" si="53"/>
        <v>3.8218130136986303E-5</v>
      </c>
      <c r="S241" s="33" cm="1">
        <f t="array" ref="S241">IF(COUNTIF('Processed Non-zero DMR Data'!$K:$K,$I241)&gt;0,MEDIAN(IF('Processed Non-zero DMR Data'!$K:$K=I241,'Processed Non-zero DMR Data'!$T:$T)),"N/A - Facility Does Not Report DMRs")</f>
        <v>2.077965E-2</v>
      </c>
      <c r="T241" s="33">
        <f t="shared" si="54"/>
        <v>5.6930547945205477E-5</v>
      </c>
      <c r="U241" s="33">
        <f>IF(COUNTIF('Processed Non-zero DMR Data'!$K:$K,$I241)&gt;0,_xlfn.MAXIFS('Processed Non-zero DMR Data'!$T:$T,'Processed Non-zero DMR Data'!$K:$K,$I241), "N/A - Facility Does Not Report DMRs")</f>
        <v>2.6203555E-2</v>
      </c>
      <c r="V241" s="33">
        <f t="shared" si="55"/>
        <v>7.1790561643835622E-5</v>
      </c>
      <c r="W241" s="110" cm="1">
        <f t="array" ref="W241">IF(COUNTIF('Processed Non-zero DMR Data'!$K:$K,$I241)&gt;0,INDEX('Processed Non-zero DMR Data'!$A:$A,MATCH(1,($I241='Processed Non-zero DMR Data'!$K:$K)*($U241='Processed Non-zero DMR Data'!$T:$T),0)), "N/A - Facility Does Not Report DMRs")</f>
        <v>2019</v>
      </c>
      <c r="X241" s="109" cm="1">
        <f t="array" ref="X241">IFERROR(_xlfn.XLOOKUP(1,  (MAX(IF(H241 = 'Processed Non-zero TRI Data'!$I:$I,'Processed Non-zero TRI Data'!$A:$A)) = 'Processed Non-zero TRI Data'!$A:$A)*('Processed Non-zero TRI Data'!$I:$I = H241), 'Processed Non-zero TRI Data'!$S:$S), "N/A- Facility Does Not Report to TRI")</f>
        <v>0</v>
      </c>
      <c r="Y241" s="33">
        <f t="shared" si="44"/>
        <v>0</v>
      </c>
      <c r="Z241" s="33" t="str" cm="1">
        <f t="array" ref="Z241">IF(COUNTIF('Processed Non-zero TRI Data'!$I:$I,$H241)&gt;0,MEDIAN(IF('Processed Non-zero TRI Data'!$I:$I=H241,'Processed Non-zero TRI Data'!$S:$S)), "N/A - Facility Does Not Report to TRI")</f>
        <v>N/A - Facility Does Not Report to TRI</v>
      </c>
      <c r="AA241" s="33" t="str">
        <f t="shared" si="45"/>
        <v>N/A - Facility Does Not Report to TRI</v>
      </c>
      <c r="AB241" s="33" t="str">
        <f>IF(COUNTIF('Processed Non-zero TRI Data'!$I:$I,$H241)&gt;0,_xlfn.MAXIFS('Processed Non-zero TRI Data'!$S:$S,'Processed Non-zero TRI Data'!$I:$I,$H241), "N/A - Facility Does Not Report to TRI")</f>
        <v>N/A - Facility Does Not Report to TRI</v>
      </c>
      <c r="AC241" s="33" t="str">
        <f t="shared" si="46"/>
        <v>N/A - Facility Does Not Report to TRI</v>
      </c>
      <c r="AD241" s="110" t="str" cm="1">
        <f t="array" ref="AD241">IFERROR(IF(B241 = "TRI Form R", IF(AB241 = 0, "Facility has no on-site water discharges between 2019-2023.",  IF(COUNTIF('Processed Non-zero TRI Data'!$I:$I,$H241)&gt;0,INDEX('Processed Non-zero TRI Data'!$A:$A,MATCH(1,($H241='Processed Non-zero TRI Data'!$I:$I)*(AB241='Processed Non-zero TRI Data'!$S:$S),0)))), VLOOKUP(H241, 'Form A Recent Reporting'!$L:$M, 2, FALSE)), ("N/A - Facility Does Not Report to TRI"))</f>
        <v>N/A - Facility Does Not Report to TRI</v>
      </c>
      <c r="AE241" s="109" cm="1">
        <f t="array" ref="AE241">IFERROR(_xlfn.XLOOKUP(1,  (MAX(IF(H241 = 'Processed Non-zero TRI Data'!$I:$I,'Processed Non-zero TRI Data'!$A:$A)) = 'Processed Non-zero TRI Data'!$A:$A)*('Processed Non-zero TRI Data'!$I:$I = H241), 'Processed Non-zero TRI Data'!$U:$U), "N/A- Facility Does Not Report to TRI")</f>
        <v>0</v>
      </c>
      <c r="AF241" s="33">
        <f t="shared" si="47"/>
        <v>0</v>
      </c>
      <c r="AG241" s="33" t="str" cm="1">
        <f t="array" ref="AG241">IF(COUNTIF('Processed Non-zero TRI Data'!$I:$I,$H241)&gt;0,MEDIAN(IF('Processed Non-zero TRI Data'!$I:$I=H241,'Processed Non-zero TRI Data'!$U:$U)), "N/A - Facility Does Not Report to TRI")</f>
        <v>N/A - Facility Does Not Report to TRI</v>
      </c>
      <c r="AH241" s="33" t="str">
        <f t="shared" si="48"/>
        <v>N/A - Facility Does Not Report to TRI</v>
      </c>
      <c r="AI241" s="33" t="str">
        <f>IF(COUNTIF('Processed Non-zero TRI Data'!$I:$I,$H241)&gt;0,_xlfn.MAXIFS('Processed Non-zero TRI Data'!$U:$U,'Processed Non-zero TRI Data'!$I:$I,$H241), "N/A - Facility Does Not Report to TRI")</f>
        <v>N/A - Facility Does Not Report to TRI</v>
      </c>
      <c r="AJ241" s="33" t="str">
        <f t="shared" si="49"/>
        <v>N/A - Facility Does Not Report to TRI</v>
      </c>
      <c r="AK241" s="110" t="str" cm="1">
        <f t="array" ref="AK241">IF(B241="TRI Form A",AD241,IF(AI241=0,"Facility has no transfers to POTWs between 2019-2023.",IF(COUNTIF('Processed Non-zero TRI Data'!$I:$I,$H241)&gt;0,INDEX('Processed Non-zero TRI Data'!$A:$A,MATCH(1,($H241='Processed Non-zero TRI Data'!$I:$I)*(AI241='Processed Non-zero TRI Data'!$U:$U),0)),"N/A - Facility Does Not Report to TRI")))</f>
        <v>N/A - Facility Does Not Report to TRI</v>
      </c>
      <c r="AL241" s="109" cm="1">
        <f t="array" ref="AL241">IFERROR(_xlfn.XLOOKUP(1,  (MAX(IF(H241 = 'Processed Non-zero TRI Data'!$I$2:$I$23,'Processed Non-zero TRI Data'!$A$2:$A$23)) = 'Processed Non-zero TRI Data'!$A$2:$A$23)*('Processed Non-zero TRI Data'!$I$2:$I$23 = H241), 'Processed Non-zero TRI Data'!$W$2:$W$23), "N/A- Facility Does Not Report to TRI")</f>
        <v>0</v>
      </c>
      <c r="AM241" s="33">
        <f t="shared" si="50"/>
        <v>0</v>
      </c>
      <c r="AN241" s="33" t="str" cm="1">
        <f t="array" ref="AN241">IF(COUNTIF('Processed Non-zero TRI Data'!$I:$I,$H241)&gt;0,MEDIAN(IF('Processed Non-zero TRI Data'!$I:$I=H241,'Processed Non-zero TRI Data'!$W:$W)), "N/A - Facility Does Not Report to TRI")</f>
        <v>N/A - Facility Does Not Report to TRI</v>
      </c>
      <c r="AO241" s="33" t="str">
        <f t="shared" si="51"/>
        <v>N/A - Facility Does Not Report to TRI</v>
      </c>
      <c r="AP241" s="33" t="str">
        <f>IF(COUNTIF('Processed Non-zero TRI Data'!$I:$I,$H241)&gt;0,_xlfn.MAXIFS('Processed Non-zero TRI Data'!$W:$W,'Processed Non-zero TRI Data'!$I:$I,$H241), "N/A - Facility Does Not Report to TRI")</f>
        <v>N/A - Facility Does Not Report to TRI</v>
      </c>
      <c r="AQ241" s="33" t="str">
        <f t="shared" si="52"/>
        <v>N/A - Facility Does Not Report to TRI</v>
      </c>
      <c r="AR241" s="110" t="str" cm="1">
        <f t="array" ref="AR241">IF(B241="TRI Form A",AD241,IF(AP241=0,"Facility has no transfers to non-POTWs between 2019-2023.",IF(COUNTIF('Processed Non-zero TRI Data'!$I:$I,$H241)&gt;0,INDEX('Processed Non-zero TRI Data'!$A:$A,MATCH(1,($H241='Processed Non-zero TRI Data'!$I:$I)*(AP241='Processed Non-zero TRI Data'!$W:$W),0)),"N/A - Facility Does Not Report to TRI")))</f>
        <v>N/A - Facility Does Not Report to TRI</v>
      </c>
    </row>
    <row r="242" spans="1:44" ht="29" x14ac:dyDescent="0.35">
      <c r="A242" s="34">
        <v>239</v>
      </c>
      <c r="B242" s="33" t="str">
        <f>IFERROR("TRI Form "&amp;VLOOKUP(H242,'Processed Non-zero TRI Data'!$I$2:$K$23,3,FALSE),"DMR")</f>
        <v>DMR</v>
      </c>
      <c r="C242" s="33" t="str">
        <f>VLOOKUP($D242, 'COU.OES Summary'!C:D, 2, FALSE)</f>
        <v> </v>
      </c>
      <c r="D242" s="33" t="str">
        <f>IFERROR(VLOOKUP($H242, 'Processed Non-zero TRI Data'!$I:$O, 7, FALSE), VLOOKUP($I242, 'Processed Non-zero DMR Data'!$K:$R, 8, FALSE))</f>
        <v>Waste handling, treatment, and disposal - Remediation or Monitoring</v>
      </c>
      <c r="E242" s="34" t="s">
        <v>552</v>
      </c>
      <c r="F242" s="34" t="s">
        <v>553</v>
      </c>
      <c r="G242" s="34" t="s">
        <v>102</v>
      </c>
      <c r="H242" s="34"/>
      <c r="I242" s="105">
        <v>110000520026</v>
      </c>
      <c r="J242" s="33" t="str">
        <f>IFERROR(VLOOKUP($I242, 'Processed Non-zero DMR Data'!$K:$U, 11, FALSE),"")</f>
        <v>CA0083488</v>
      </c>
      <c r="K242" s="33" t="str">
        <f>IFERROR(VLOOKUP($I242, 'Processed Non-zero DMR Data'!$K:$V, 12, FALSE),"Not Reported")</f>
        <v>Little Butte Creek</v>
      </c>
      <c r="L242" s="106">
        <f>IFERROR(VLOOKUP($I242, 'Processed Non-zero DMR Data'!$K:$W, 13, FALSE),"No Reach Code Reported")</f>
        <v>180201580201</v>
      </c>
      <c r="M242" s="107" t="str">
        <f>IFERROR(IFERROR(VLOOKUP(H242, 'Off-site Locations'!$K$3:$O$5, 5, FALSE), VLOOKUP(H242, 'Off-site Locations'!$B$3:$E$4, 4, FALSE)), "No Offsite Transfers")</f>
        <v>No Offsite Transfers</v>
      </c>
      <c r="N242" s="33">
        <f>VLOOKUP($D242, 'COU.OES Summary'!C:E, 3, FALSE)</f>
        <v>365</v>
      </c>
      <c r="O242" s="108">
        <f t="shared" si="42"/>
        <v>0</v>
      </c>
      <c r="P242" s="108">
        <f t="shared" si="43"/>
        <v>2.6169385912499999E-2</v>
      </c>
      <c r="Q242" s="109" cm="1">
        <f t="array" ref="Q242">IFERROR(_xlfn.XLOOKUP(1,  (MAX(IF(I242 = 'Processed Non-zero DMR Data'!$K:$K,'Processed Non-zero DMR Data'!$A:$A)) = 'Processed Non-zero DMR Data'!$A:$A)*('Processed Non-zero DMR Data'!$K:$K = I242),'Processed Non-zero DMR Data'!$T:$T), "N/A- Facility Does Not Report DMRs")</f>
        <v>2.6169385912499999E-2</v>
      </c>
      <c r="R242" s="33">
        <f t="shared" si="53"/>
        <v>7.1696947705479454E-5</v>
      </c>
      <c r="S242" s="33" cm="1">
        <f t="array" ref="S242">IF(COUNTIF('Processed Non-zero DMR Data'!$K:$K,$I242)&gt;0,MEDIAN(IF('Processed Non-zero DMR Data'!$K:$K=I242,'Processed Non-zero DMR Data'!$T:$T)),"N/A - Facility Does Not Report DMRs")</f>
        <v>2.6169385912499999E-2</v>
      </c>
      <c r="T242" s="33">
        <f t="shared" si="54"/>
        <v>7.1696947705479454E-5</v>
      </c>
      <c r="U242" s="33">
        <f>IF(COUNTIF('Processed Non-zero DMR Data'!$K:$K,$I242)&gt;0,_xlfn.MAXIFS('Processed Non-zero DMR Data'!$T:$T,'Processed Non-zero DMR Data'!$K:$K,$I242), "N/A - Facility Does Not Report DMRs")</f>
        <v>2.6169385912499999E-2</v>
      </c>
      <c r="V242" s="33">
        <f t="shared" si="55"/>
        <v>7.1696947705479454E-5</v>
      </c>
      <c r="W242" s="110" cm="1">
        <f t="array" ref="W242">IF(COUNTIF('Processed Non-zero DMR Data'!$K:$K,$I242)&gt;0,INDEX('Processed Non-zero DMR Data'!$A:$A,MATCH(1,($I242='Processed Non-zero DMR Data'!$K:$K)*($U242='Processed Non-zero DMR Data'!$T:$T),0)), "N/A - Facility Does Not Report DMRs")</f>
        <v>2021</v>
      </c>
      <c r="X242" s="109" cm="1">
        <f t="array" ref="X242">IFERROR(_xlfn.XLOOKUP(1,  (MAX(IF(H242 = 'Processed Non-zero TRI Data'!$I:$I,'Processed Non-zero TRI Data'!$A:$A)) = 'Processed Non-zero TRI Data'!$A:$A)*('Processed Non-zero TRI Data'!$I:$I = H242), 'Processed Non-zero TRI Data'!$S:$S), "N/A- Facility Does Not Report to TRI")</f>
        <v>0</v>
      </c>
      <c r="Y242" s="33">
        <f t="shared" si="44"/>
        <v>0</v>
      </c>
      <c r="Z242" s="33" t="str" cm="1">
        <f t="array" ref="Z242">IF(COUNTIF('Processed Non-zero TRI Data'!$I:$I,$H242)&gt;0,MEDIAN(IF('Processed Non-zero TRI Data'!$I:$I=H242,'Processed Non-zero TRI Data'!$S:$S)), "N/A - Facility Does Not Report to TRI")</f>
        <v>N/A - Facility Does Not Report to TRI</v>
      </c>
      <c r="AA242" s="33" t="str">
        <f t="shared" si="45"/>
        <v>N/A - Facility Does Not Report to TRI</v>
      </c>
      <c r="AB242" s="33" t="str">
        <f>IF(COUNTIF('Processed Non-zero TRI Data'!$I:$I,$H242)&gt;0,_xlfn.MAXIFS('Processed Non-zero TRI Data'!$S:$S,'Processed Non-zero TRI Data'!$I:$I,$H242), "N/A - Facility Does Not Report to TRI")</f>
        <v>N/A - Facility Does Not Report to TRI</v>
      </c>
      <c r="AC242" s="33" t="str">
        <f t="shared" si="46"/>
        <v>N/A - Facility Does Not Report to TRI</v>
      </c>
      <c r="AD242" s="110" t="str" cm="1">
        <f t="array" ref="AD242">IFERROR(IF(B242 = "TRI Form R", IF(AB242 = 0, "Facility has no on-site water discharges between 2019-2023.",  IF(COUNTIF('Processed Non-zero TRI Data'!$I:$I,$H242)&gt;0,INDEX('Processed Non-zero TRI Data'!$A:$A,MATCH(1,($H242='Processed Non-zero TRI Data'!$I:$I)*(AB242='Processed Non-zero TRI Data'!$S:$S),0)))), VLOOKUP(H242, 'Form A Recent Reporting'!$L:$M, 2, FALSE)), ("N/A - Facility Does Not Report to TRI"))</f>
        <v>N/A - Facility Does Not Report to TRI</v>
      </c>
      <c r="AE242" s="109" cm="1">
        <f t="array" ref="AE242">IFERROR(_xlfn.XLOOKUP(1,  (MAX(IF(H242 = 'Processed Non-zero TRI Data'!$I:$I,'Processed Non-zero TRI Data'!$A:$A)) = 'Processed Non-zero TRI Data'!$A:$A)*('Processed Non-zero TRI Data'!$I:$I = H242), 'Processed Non-zero TRI Data'!$U:$U), "N/A- Facility Does Not Report to TRI")</f>
        <v>0</v>
      </c>
      <c r="AF242" s="33">
        <f t="shared" si="47"/>
        <v>0</v>
      </c>
      <c r="AG242" s="33" t="str" cm="1">
        <f t="array" ref="AG242">IF(COUNTIF('Processed Non-zero TRI Data'!$I:$I,$H242)&gt;0,MEDIAN(IF('Processed Non-zero TRI Data'!$I:$I=H242,'Processed Non-zero TRI Data'!$U:$U)), "N/A - Facility Does Not Report to TRI")</f>
        <v>N/A - Facility Does Not Report to TRI</v>
      </c>
      <c r="AH242" s="33" t="str">
        <f t="shared" si="48"/>
        <v>N/A - Facility Does Not Report to TRI</v>
      </c>
      <c r="AI242" s="33" t="str">
        <f>IF(COUNTIF('Processed Non-zero TRI Data'!$I:$I,$H242)&gt;0,_xlfn.MAXIFS('Processed Non-zero TRI Data'!$U:$U,'Processed Non-zero TRI Data'!$I:$I,$H242), "N/A - Facility Does Not Report to TRI")</f>
        <v>N/A - Facility Does Not Report to TRI</v>
      </c>
      <c r="AJ242" s="33" t="str">
        <f t="shared" si="49"/>
        <v>N/A - Facility Does Not Report to TRI</v>
      </c>
      <c r="AK242" s="110" t="str" cm="1">
        <f t="array" ref="AK242">IF(B242="TRI Form A",AD242,IF(AI242=0,"Facility has no transfers to POTWs between 2019-2023.",IF(COUNTIF('Processed Non-zero TRI Data'!$I:$I,$H242)&gt;0,INDEX('Processed Non-zero TRI Data'!$A:$A,MATCH(1,($H242='Processed Non-zero TRI Data'!$I:$I)*(AI242='Processed Non-zero TRI Data'!$U:$U),0)),"N/A - Facility Does Not Report to TRI")))</f>
        <v>N/A - Facility Does Not Report to TRI</v>
      </c>
      <c r="AL242" s="109" cm="1">
        <f t="array" ref="AL242">IFERROR(_xlfn.XLOOKUP(1,  (MAX(IF(H242 = 'Processed Non-zero TRI Data'!$I$2:$I$23,'Processed Non-zero TRI Data'!$A$2:$A$23)) = 'Processed Non-zero TRI Data'!$A$2:$A$23)*('Processed Non-zero TRI Data'!$I$2:$I$23 = H242), 'Processed Non-zero TRI Data'!$W$2:$W$23), "N/A- Facility Does Not Report to TRI")</f>
        <v>0</v>
      </c>
      <c r="AM242" s="33">
        <f t="shared" si="50"/>
        <v>0</v>
      </c>
      <c r="AN242" s="33" t="str" cm="1">
        <f t="array" ref="AN242">IF(COUNTIF('Processed Non-zero TRI Data'!$I:$I,$H242)&gt;0,MEDIAN(IF('Processed Non-zero TRI Data'!$I:$I=H242,'Processed Non-zero TRI Data'!$W:$W)), "N/A - Facility Does Not Report to TRI")</f>
        <v>N/A - Facility Does Not Report to TRI</v>
      </c>
      <c r="AO242" s="33" t="str">
        <f t="shared" si="51"/>
        <v>N/A - Facility Does Not Report to TRI</v>
      </c>
      <c r="AP242" s="33" t="str">
        <f>IF(COUNTIF('Processed Non-zero TRI Data'!$I:$I,$H242)&gt;0,_xlfn.MAXIFS('Processed Non-zero TRI Data'!$W:$W,'Processed Non-zero TRI Data'!$I:$I,$H242), "N/A - Facility Does Not Report to TRI")</f>
        <v>N/A - Facility Does Not Report to TRI</v>
      </c>
      <c r="AQ242" s="33" t="str">
        <f t="shared" si="52"/>
        <v>N/A - Facility Does Not Report to TRI</v>
      </c>
      <c r="AR242" s="110" t="str" cm="1">
        <f t="array" ref="AR242">IF(B242="TRI Form A",AD242,IF(AP242=0,"Facility has no transfers to non-POTWs between 2019-2023.",IF(COUNTIF('Processed Non-zero TRI Data'!$I:$I,$H242)&gt;0,INDEX('Processed Non-zero TRI Data'!$A:$A,MATCH(1,($H242='Processed Non-zero TRI Data'!$I:$I)*(AP242='Processed Non-zero TRI Data'!$W:$W),0)),"N/A - Facility Does Not Report to TRI")))</f>
        <v>N/A - Facility Does Not Report to TRI</v>
      </c>
    </row>
    <row r="243" spans="1:44" ht="29" x14ac:dyDescent="0.35">
      <c r="A243" s="34">
        <v>240</v>
      </c>
      <c r="B243" s="33" t="str">
        <f>IFERROR("TRI Form "&amp;VLOOKUP(H243,'Processed Non-zero TRI Data'!$I$2:$K$23,3,FALSE),"DMR")</f>
        <v>DMR</v>
      </c>
      <c r="C243" s="33" t="str">
        <f>VLOOKUP($D243, 'COU.OES Summary'!C:D, 2, FALSE)</f>
        <v> </v>
      </c>
      <c r="D243" s="33" t="str">
        <f>IFERROR(VLOOKUP($H243, 'Processed Non-zero TRI Data'!$I:$O, 7, FALSE), VLOOKUP($I243, 'Processed Non-zero DMR Data'!$K:$R, 8, FALSE))</f>
        <v>Waste handling, treatment, and disposal - Remediation or Monitoring</v>
      </c>
      <c r="E243" s="34" t="s">
        <v>554</v>
      </c>
      <c r="F243" s="34" t="s">
        <v>555</v>
      </c>
      <c r="G243" s="34" t="s">
        <v>102</v>
      </c>
      <c r="H243" s="34"/>
      <c r="I243" s="105">
        <v>110000484039</v>
      </c>
      <c r="J243" s="33" t="str">
        <f>IFERROR(VLOOKUP($I243, 'Processed Non-zero DMR Data'!$K:$U, 11, FALSE),"")</f>
        <v>CA0030210</v>
      </c>
      <c r="K243" s="33" t="str">
        <f>IFERROR(VLOOKUP($I243, 'Processed Non-zero DMR Data'!$K:$V, 12, FALSE),"Not Reported")</f>
        <v>Permanente Creek-Frontal San Francisco Bay Estuaries</v>
      </c>
      <c r="L243" s="106">
        <f>IFERROR(VLOOKUP($I243, 'Processed Non-zero DMR Data'!$K:$W, 13, FALSE),"No Reach Code Reported")</f>
        <v>180500030406</v>
      </c>
      <c r="M243" s="107" t="str">
        <f>IFERROR(IFERROR(VLOOKUP(H243, 'Off-site Locations'!$K$3:$O$5, 5, FALSE), VLOOKUP(H243, 'Off-site Locations'!$B$3:$E$4, 4, FALSE)), "No Offsite Transfers")</f>
        <v>No Offsite Transfers</v>
      </c>
      <c r="N243" s="33">
        <f>VLOOKUP($D243, 'COU.OES Summary'!C:E, 3, FALSE)</f>
        <v>365</v>
      </c>
      <c r="O243" s="108">
        <f t="shared" si="42"/>
        <v>0</v>
      </c>
      <c r="P243" s="108">
        <f t="shared" si="43"/>
        <v>2.5298485799999999E-2</v>
      </c>
      <c r="Q243" s="109" cm="1">
        <f t="array" ref="Q243">IFERROR(_xlfn.XLOOKUP(1,  (MAX(IF(I243 = 'Processed Non-zero DMR Data'!$K:$K,'Processed Non-zero DMR Data'!$A:$A)) = 'Processed Non-zero DMR Data'!$A:$A)*('Processed Non-zero DMR Data'!$K:$K = I243),'Processed Non-zero DMR Data'!$T:$T), "N/A- Facility Does Not Report DMRs")</f>
        <v>2.5298485799999999E-2</v>
      </c>
      <c r="R243" s="33">
        <f t="shared" si="53"/>
        <v>6.9310919999999995E-5</v>
      </c>
      <c r="S243" s="33" cm="1">
        <f t="array" ref="S243">IF(COUNTIF('Processed Non-zero DMR Data'!$K:$K,$I243)&gt;0,MEDIAN(IF('Processed Non-zero DMR Data'!$K:$K=I243,'Processed Non-zero DMR Data'!$T:$T)),"N/A - Facility Does Not Report DMRs")</f>
        <v>2.3093571899999998E-2</v>
      </c>
      <c r="T243" s="33">
        <f t="shared" si="54"/>
        <v>6.327006E-5</v>
      </c>
      <c r="U243" s="33">
        <f>IF(COUNTIF('Processed Non-zero DMR Data'!$K:$K,$I243)&gt;0,_xlfn.MAXIFS('Processed Non-zero DMR Data'!$T:$T,'Processed Non-zero DMR Data'!$K:$K,$I243), "N/A - Facility Does Not Report DMRs")</f>
        <v>2.5298485799999999E-2</v>
      </c>
      <c r="V243" s="33">
        <f t="shared" si="55"/>
        <v>6.9310919999999995E-5</v>
      </c>
      <c r="W243" s="110" cm="1">
        <f t="array" ref="W243">IF(COUNTIF('Processed Non-zero DMR Data'!$K:$K,$I243)&gt;0,INDEX('Processed Non-zero DMR Data'!$A:$A,MATCH(1,($I243='Processed Non-zero DMR Data'!$K:$K)*($U243='Processed Non-zero DMR Data'!$T:$T),0)), "N/A - Facility Does Not Report DMRs")</f>
        <v>2023</v>
      </c>
      <c r="X243" s="109" cm="1">
        <f t="array" ref="X243">IFERROR(_xlfn.XLOOKUP(1,  (MAX(IF(H243 = 'Processed Non-zero TRI Data'!$I:$I,'Processed Non-zero TRI Data'!$A:$A)) = 'Processed Non-zero TRI Data'!$A:$A)*('Processed Non-zero TRI Data'!$I:$I = H243), 'Processed Non-zero TRI Data'!$S:$S), "N/A- Facility Does Not Report to TRI")</f>
        <v>0</v>
      </c>
      <c r="Y243" s="33">
        <f t="shared" si="44"/>
        <v>0</v>
      </c>
      <c r="Z243" s="33" t="str" cm="1">
        <f t="array" ref="Z243">IF(COUNTIF('Processed Non-zero TRI Data'!$I:$I,$H243)&gt;0,MEDIAN(IF('Processed Non-zero TRI Data'!$I:$I=H243,'Processed Non-zero TRI Data'!$S:$S)), "N/A - Facility Does Not Report to TRI")</f>
        <v>N/A - Facility Does Not Report to TRI</v>
      </c>
      <c r="AA243" s="33" t="str">
        <f t="shared" si="45"/>
        <v>N/A - Facility Does Not Report to TRI</v>
      </c>
      <c r="AB243" s="33" t="str">
        <f>IF(COUNTIF('Processed Non-zero TRI Data'!$I:$I,$H243)&gt;0,_xlfn.MAXIFS('Processed Non-zero TRI Data'!$S:$S,'Processed Non-zero TRI Data'!$I:$I,$H243), "N/A - Facility Does Not Report to TRI")</f>
        <v>N/A - Facility Does Not Report to TRI</v>
      </c>
      <c r="AC243" s="33" t="str">
        <f t="shared" si="46"/>
        <v>N/A - Facility Does Not Report to TRI</v>
      </c>
      <c r="AD243" s="110" t="str" cm="1">
        <f t="array" ref="AD243">IFERROR(IF(B243 = "TRI Form R", IF(AB243 = 0, "Facility has no on-site water discharges between 2019-2023.",  IF(COUNTIF('Processed Non-zero TRI Data'!$I:$I,$H243)&gt;0,INDEX('Processed Non-zero TRI Data'!$A:$A,MATCH(1,($H243='Processed Non-zero TRI Data'!$I:$I)*(AB243='Processed Non-zero TRI Data'!$S:$S),0)))), VLOOKUP(H243, 'Form A Recent Reporting'!$L:$M, 2, FALSE)), ("N/A - Facility Does Not Report to TRI"))</f>
        <v>N/A - Facility Does Not Report to TRI</v>
      </c>
      <c r="AE243" s="109" cm="1">
        <f t="array" ref="AE243">IFERROR(_xlfn.XLOOKUP(1,  (MAX(IF(H243 = 'Processed Non-zero TRI Data'!$I:$I,'Processed Non-zero TRI Data'!$A:$A)) = 'Processed Non-zero TRI Data'!$A:$A)*('Processed Non-zero TRI Data'!$I:$I = H243), 'Processed Non-zero TRI Data'!$U:$U), "N/A- Facility Does Not Report to TRI")</f>
        <v>0</v>
      </c>
      <c r="AF243" s="33">
        <f t="shared" si="47"/>
        <v>0</v>
      </c>
      <c r="AG243" s="33" t="str" cm="1">
        <f t="array" ref="AG243">IF(COUNTIF('Processed Non-zero TRI Data'!$I:$I,$H243)&gt;0,MEDIAN(IF('Processed Non-zero TRI Data'!$I:$I=H243,'Processed Non-zero TRI Data'!$U:$U)), "N/A - Facility Does Not Report to TRI")</f>
        <v>N/A - Facility Does Not Report to TRI</v>
      </c>
      <c r="AH243" s="33" t="str">
        <f t="shared" si="48"/>
        <v>N/A - Facility Does Not Report to TRI</v>
      </c>
      <c r="AI243" s="33" t="str">
        <f>IF(COUNTIF('Processed Non-zero TRI Data'!$I:$I,$H243)&gt;0,_xlfn.MAXIFS('Processed Non-zero TRI Data'!$U:$U,'Processed Non-zero TRI Data'!$I:$I,$H243), "N/A - Facility Does Not Report to TRI")</f>
        <v>N/A - Facility Does Not Report to TRI</v>
      </c>
      <c r="AJ243" s="33" t="str">
        <f t="shared" si="49"/>
        <v>N/A - Facility Does Not Report to TRI</v>
      </c>
      <c r="AK243" s="110" t="str" cm="1">
        <f t="array" ref="AK243">IF(B243="TRI Form A",AD243,IF(AI243=0,"Facility has no transfers to POTWs between 2019-2023.",IF(COUNTIF('Processed Non-zero TRI Data'!$I:$I,$H243)&gt;0,INDEX('Processed Non-zero TRI Data'!$A:$A,MATCH(1,($H243='Processed Non-zero TRI Data'!$I:$I)*(AI243='Processed Non-zero TRI Data'!$U:$U),0)),"N/A - Facility Does Not Report to TRI")))</f>
        <v>N/A - Facility Does Not Report to TRI</v>
      </c>
      <c r="AL243" s="109" cm="1">
        <f t="array" ref="AL243">IFERROR(_xlfn.XLOOKUP(1,  (MAX(IF(H243 = 'Processed Non-zero TRI Data'!$I$2:$I$23,'Processed Non-zero TRI Data'!$A$2:$A$23)) = 'Processed Non-zero TRI Data'!$A$2:$A$23)*('Processed Non-zero TRI Data'!$I$2:$I$23 = H243), 'Processed Non-zero TRI Data'!$W$2:$W$23), "N/A- Facility Does Not Report to TRI")</f>
        <v>0</v>
      </c>
      <c r="AM243" s="33">
        <f t="shared" si="50"/>
        <v>0</v>
      </c>
      <c r="AN243" s="33" t="str" cm="1">
        <f t="array" ref="AN243">IF(COUNTIF('Processed Non-zero TRI Data'!$I:$I,$H243)&gt;0,MEDIAN(IF('Processed Non-zero TRI Data'!$I:$I=H243,'Processed Non-zero TRI Data'!$W:$W)), "N/A - Facility Does Not Report to TRI")</f>
        <v>N/A - Facility Does Not Report to TRI</v>
      </c>
      <c r="AO243" s="33" t="str">
        <f t="shared" si="51"/>
        <v>N/A - Facility Does Not Report to TRI</v>
      </c>
      <c r="AP243" s="33" t="str">
        <f>IF(COUNTIF('Processed Non-zero TRI Data'!$I:$I,$H243)&gt;0,_xlfn.MAXIFS('Processed Non-zero TRI Data'!$W:$W,'Processed Non-zero TRI Data'!$I:$I,$H243), "N/A - Facility Does Not Report to TRI")</f>
        <v>N/A - Facility Does Not Report to TRI</v>
      </c>
      <c r="AQ243" s="33" t="str">
        <f t="shared" si="52"/>
        <v>N/A - Facility Does Not Report to TRI</v>
      </c>
      <c r="AR243" s="110" t="str" cm="1">
        <f t="array" ref="AR243">IF(B243="TRI Form A",AD243,IF(AP243=0,"Facility has no transfers to non-POTWs between 2019-2023.",IF(COUNTIF('Processed Non-zero TRI Data'!$I:$I,$H243)&gt;0,INDEX('Processed Non-zero TRI Data'!$A:$A,MATCH(1,($H243='Processed Non-zero TRI Data'!$I:$I)*(AP243='Processed Non-zero TRI Data'!$W:$W),0)),"N/A - Facility Does Not Report to TRI")))</f>
        <v>N/A - Facility Does Not Report to TRI</v>
      </c>
    </row>
    <row r="244" spans="1:44" ht="29" x14ac:dyDescent="0.35">
      <c r="A244" s="34">
        <v>241</v>
      </c>
      <c r="B244" s="33" t="str">
        <f>IFERROR("TRI Form "&amp;VLOOKUP(H244,'Processed Non-zero TRI Data'!$I$2:$K$23,3,FALSE),"DMR")</f>
        <v>DMR</v>
      </c>
      <c r="C244" s="33" t="str">
        <f>VLOOKUP($D244, 'COU.OES Summary'!C:D, 2, FALSE)</f>
        <v> </v>
      </c>
      <c r="D244" s="33" t="str">
        <f>IFERROR(VLOOKUP($H244, 'Processed Non-zero TRI Data'!$I:$O, 7, FALSE), VLOOKUP($I244, 'Processed Non-zero DMR Data'!$K:$R, 8, FALSE))</f>
        <v>Waste handling, treatment, and disposal - Remediation or Monitoring</v>
      </c>
      <c r="E244" s="34" t="s">
        <v>556</v>
      </c>
      <c r="F244" s="34" t="s">
        <v>557</v>
      </c>
      <c r="G244" s="34" t="s">
        <v>254</v>
      </c>
      <c r="H244" s="34"/>
      <c r="I244" s="105">
        <v>110070220772</v>
      </c>
      <c r="J244" s="33" t="str">
        <f>IFERROR(VLOOKUP($I244, 'Processed Non-zero DMR Data'!$K:$U, 11, FALSE),"")</f>
        <v>NJG129526</v>
      </c>
      <c r="K244" s="33" t="str">
        <f>IFERROR(VLOOKUP($I244, 'Processed Non-zero DMR Data'!$K:$V, 12, FALSE),"Not Reported")</f>
        <v>Lawrence Brook</v>
      </c>
      <c r="L244" s="106">
        <f>IFERROR(VLOOKUP($I244, 'Processed Non-zero DMR Data'!$K:$W, 13, FALSE),"No Reach Code Reported")</f>
        <v>20301050505</v>
      </c>
      <c r="M244" s="107" t="str">
        <f>IFERROR(IFERROR(VLOOKUP(H244, 'Off-site Locations'!$K$3:$O$5, 5, FALSE), VLOOKUP(H244, 'Off-site Locations'!$B$3:$E$4, 4, FALSE)), "No Offsite Transfers")</f>
        <v>No Offsite Transfers</v>
      </c>
      <c r="N244" s="33">
        <f>VLOOKUP($D244, 'COU.OES Summary'!C:E, 3, FALSE)</f>
        <v>365</v>
      </c>
      <c r="O244" s="108">
        <f t="shared" si="42"/>
        <v>0</v>
      </c>
      <c r="P244" s="108">
        <f t="shared" si="43"/>
        <v>2.42508224025E-2</v>
      </c>
      <c r="Q244" s="109" cm="1">
        <f t="array" ref="Q244">IFERROR(_xlfn.XLOOKUP(1,  (MAX(IF(I244 = 'Processed Non-zero DMR Data'!$K:$K,'Processed Non-zero DMR Data'!$A:$A)) = 'Processed Non-zero DMR Data'!$A:$A)*('Processed Non-zero DMR Data'!$K:$K = I244),'Processed Non-zero DMR Data'!$T:$T), "N/A- Facility Does Not Report DMRs")</f>
        <v>1.865648453E-2</v>
      </c>
      <c r="R244" s="33">
        <f t="shared" si="53"/>
        <v>5.1113656246575341E-5</v>
      </c>
      <c r="S244" s="33" cm="1">
        <f t="array" ref="S244">IF(COUNTIF('Processed Non-zero DMR Data'!$K:$K,$I244)&gt;0,MEDIAN(IF('Processed Non-zero DMR Data'!$K:$K=I244,'Processed Non-zero DMR Data'!$T:$T)),"N/A - Facility Does Not Report DMRs")</f>
        <v>2.1941722592500001E-2</v>
      </c>
      <c r="T244" s="33">
        <f t="shared" si="54"/>
        <v>6.0114308472602741E-5</v>
      </c>
      <c r="U244" s="33">
        <f>IF(COUNTIF('Processed Non-zero DMR Data'!$K:$K,$I244)&gt;0,_xlfn.MAXIFS('Processed Non-zero DMR Data'!$T:$T,'Processed Non-zero DMR Data'!$K:$K,$I244), "N/A - Facility Does Not Report DMRs")</f>
        <v>2.42508224025E-2</v>
      </c>
      <c r="V244" s="33">
        <f t="shared" si="55"/>
        <v>6.6440609321917813E-5</v>
      </c>
      <c r="W244" s="110" cm="1">
        <f t="array" ref="W244">IF(COUNTIF('Processed Non-zero DMR Data'!$K:$K,$I244)&gt;0,INDEX('Processed Non-zero DMR Data'!$A:$A,MATCH(1,($I244='Processed Non-zero DMR Data'!$K:$K)*($U244='Processed Non-zero DMR Data'!$T:$T),0)), "N/A - Facility Does Not Report DMRs")</f>
        <v>2021</v>
      </c>
      <c r="X244" s="109" cm="1">
        <f t="array" ref="X244">IFERROR(_xlfn.XLOOKUP(1,  (MAX(IF(H244 = 'Processed Non-zero TRI Data'!$I:$I,'Processed Non-zero TRI Data'!$A:$A)) = 'Processed Non-zero TRI Data'!$A:$A)*('Processed Non-zero TRI Data'!$I:$I = H244), 'Processed Non-zero TRI Data'!$S:$S), "N/A- Facility Does Not Report to TRI")</f>
        <v>0</v>
      </c>
      <c r="Y244" s="33">
        <f t="shared" si="44"/>
        <v>0</v>
      </c>
      <c r="Z244" s="33" t="str" cm="1">
        <f t="array" ref="Z244">IF(COUNTIF('Processed Non-zero TRI Data'!$I:$I,$H244)&gt;0,MEDIAN(IF('Processed Non-zero TRI Data'!$I:$I=H244,'Processed Non-zero TRI Data'!$S:$S)), "N/A - Facility Does Not Report to TRI")</f>
        <v>N/A - Facility Does Not Report to TRI</v>
      </c>
      <c r="AA244" s="33" t="str">
        <f t="shared" si="45"/>
        <v>N/A - Facility Does Not Report to TRI</v>
      </c>
      <c r="AB244" s="33" t="str">
        <f>IF(COUNTIF('Processed Non-zero TRI Data'!$I:$I,$H244)&gt;0,_xlfn.MAXIFS('Processed Non-zero TRI Data'!$S:$S,'Processed Non-zero TRI Data'!$I:$I,$H244), "N/A - Facility Does Not Report to TRI")</f>
        <v>N/A - Facility Does Not Report to TRI</v>
      </c>
      <c r="AC244" s="33" t="str">
        <f t="shared" si="46"/>
        <v>N/A - Facility Does Not Report to TRI</v>
      </c>
      <c r="AD244" s="110" t="str" cm="1">
        <f t="array" ref="AD244">IFERROR(IF(B244 = "TRI Form R", IF(AB244 = 0, "Facility has no on-site water discharges between 2019-2023.",  IF(COUNTIF('Processed Non-zero TRI Data'!$I:$I,$H244)&gt;0,INDEX('Processed Non-zero TRI Data'!$A:$A,MATCH(1,($H244='Processed Non-zero TRI Data'!$I:$I)*(AB244='Processed Non-zero TRI Data'!$S:$S),0)))), VLOOKUP(H244, 'Form A Recent Reporting'!$L:$M, 2, FALSE)), ("N/A - Facility Does Not Report to TRI"))</f>
        <v>N/A - Facility Does Not Report to TRI</v>
      </c>
      <c r="AE244" s="109" cm="1">
        <f t="array" ref="AE244">IFERROR(_xlfn.XLOOKUP(1,  (MAX(IF(H244 = 'Processed Non-zero TRI Data'!$I:$I,'Processed Non-zero TRI Data'!$A:$A)) = 'Processed Non-zero TRI Data'!$A:$A)*('Processed Non-zero TRI Data'!$I:$I = H244), 'Processed Non-zero TRI Data'!$U:$U), "N/A- Facility Does Not Report to TRI")</f>
        <v>0</v>
      </c>
      <c r="AF244" s="33">
        <f t="shared" si="47"/>
        <v>0</v>
      </c>
      <c r="AG244" s="33" t="str" cm="1">
        <f t="array" ref="AG244">IF(COUNTIF('Processed Non-zero TRI Data'!$I:$I,$H244)&gt;0,MEDIAN(IF('Processed Non-zero TRI Data'!$I:$I=H244,'Processed Non-zero TRI Data'!$U:$U)), "N/A - Facility Does Not Report to TRI")</f>
        <v>N/A - Facility Does Not Report to TRI</v>
      </c>
      <c r="AH244" s="33" t="str">
        <f t="shared" si="48"/>
        <v>N/A - Facility Does Not Report to TRI</v>
      </c>
      <c r="AI244" s="33" t="str">
        <f>IF(COUNTIF('Processed Non-zero TRI Data'!$I:$I,$H244)&gt;0,_xlfn.MAXIFS('Processed Non-zero TRI Data'!$U:$U,'Processed Non-zero TRI Data'!$I:$I,$H244), "N/A - Facility Does Not Report to TRI")</f>
        <v>N/A - Facility Does Not Report to TRI</v>
      </c>
      <c r="AJ244" s="33" t="str">
        <f t="shared" si="49"/>
        <v>N/A - Facility Does Not Report to TRI</v>
      </c>
      <c r="AK244" s="110" t="str" cm="1">
        <f t="array" ref="AK244">IF(B244="TRI Form A",AD244,IF(AI244=0,"Facility has no transfers to POTWs between 2019-2023.",IF(COUNTIF('Processed Non-zero TRI Data'!$I:$I,$H244)&gt;0,INDEX('Processed Non-zero TRI Data'!$A:$A,MATCH(1,($H244='Processed Non-zero TRI Data'!$I:$I)*(AI244='Processed Non-zero TRI Data'!$U:$U),0)),"N/A - Facility Does Not Report to TRI")))</f>
        <v>N/A - Facility Does Not Report to TRI</v>
      </c>
      <c r="AL244" s="109" cm="1">
        <f t="array" ref="AL244">IFERROR(_xlfn.XLOOKUP(1,  (MAX(IF(H244 = 'Processed Non-zero TRI Data'!$I$2:$I$23,'Processed Non-zero TRI Data'!$A$2:$A$23)) = 'Processed Non-zero TRI Data'!$A$2:$A$23)*('Processed Non-zero TRI Data'!$I$2:$I$23 = H244), 'Processed Non-zero TRI Data'!$W$2:$W$23), "N/A- Facility Does Not Report to TRI")</f>
        <v>0</v>
      </c>
      <c r="AM244" s="33">
        <f t="shared" si="50"/>
        <v>0</v>
      </c>
      <c r="AN244" s="33" t="str" cm="1">
        <f t="array" ref="AN244">IF(COUNTIF('Processed Non-zero TRI Data'!$I:$I,$H244)&gt;0,MEDIAN(IF('Processed Non-zero TRI Data'!$I:$I=H244,'Processed Non-zero TRI Data'!$W:$W)), "N/A - Facility Does Not Report to TRI")</f>
        <v>N/A - Facility Does Not Report to TRI</v>
      </c>
      <c r="AO244" s="33" t="str">
        <f t="shared" si="51"/>
        <v>N/A - Facility Does Not Report to TRI</v>
      </c>
      <c r="AP244" s="33" t="str">
        <f>IF(COUNTIF('Processed Non-zero TRI Data'!$I:$I,$H244)&gt;0,_xlfn.MAXIFS('Processed Non-zero TRI Data'!$W:$W,'Processed Non-zero TRI Data'!$I:$I,$H244), "N/A - Facility Does Not Report to TRI")</f>
        <v>N/A - Facility Does Not Report to TRI</v>
      </c>
      <c r="AQ244" s="33" t="str">
        <f t="shared" si="52"/>
        <v>N/A - Facility Does Not Report to TRI</v>
      </c>
      <c r="AR244" s="110" t="str" cm="1">
        <f t="array" ref="AR244">IF(B244="TRI Form A",AD244,IF(AP244=0,"Facility has no transfers to non-POTWs between 2019-2023.",IF(COUNTIF('Processed Non-zero TRI Data'!$I:$I,$H244)&gt;0,INDEX('Processed Non-zero TRI Data'!$A:$A,MATCH(1,($H244='Processed Non-zero TRI Data'!$I:$I)*(AP244='Processed Non-zero TRI Data'!$W:$W),0)),"N/A - Facility Does Not Report to TRI")))</f>
        <v>N/A - Facility Does Not Report to TRI</v>
      </c>
    </row>
    <row r="245" spans="1:44" ht="29" x14ac:dyDescent="0.35">
      <c r="A245" s="34">
        <v>242</v>
      </c>
      <c r="B245" s="33" t="str">
        <f>IFERROR("TRI Form "&amp;VLOOKUP(H245,'Processed Non-zero TRI Data'!$I$2:$K$23,3,FALSE),"DMR")</f>
        <v>DMR</v>
      </c>
      <c r="C245" s="33" t="str">
        <f>VLOOKUP($D245, 'COU.OES Summary'!C:D, 2, FALSE)</f>
        <v> </v>
      </c>
      <c r="D245" s="33" t="str">
        <f>IFERROR(VLOOKUP($H245, 'Processed Non-zero TRI Data'!$I:$O, 7, FALSE), VLOOKUP($I245, 'Processed Non-zero DMR Data'!$K:$R, 8, FALSE))</f>
        <v>Waste handling, treatment, and disposal - POTW</v>
      </c>
      <c r="E245" s="34" t="s">
        <v>558</v>
      </c>
      <c r="F245" s="34" t="s">
        <v>559</v>
      </c>
      <c r="G245" s="34" t="s">
        <v>560</v>
      </c>
      <c r="H245" s="34"/>
      <c r="I245" s="105">
        <v>110001512603</v>
      </c>
      <c r="J245" s="33" t="str">
        <f>IFERROR(VLOOKUP($I245, 'Processed Non-zero DMR Data'!$K:$U, 11, FALSE),"")</f>
        <v>NE0121789</v>
      </c>
      <c r="K245" s="33" t="str">
        <f>IFERROR(VLOOKUP($I245, 'Processed Non-zero DMR Data'!$K:$V, 12, FALSE),"Not Reported")</f>
        <v>Mud Creek-Papillion Creek</v>
      </c>
      <c r="L245" s="106">
        <f>IFERROR(VLOOKUP($I245, 'Processed Non-zero DMR Data'!$K:$W, 13, FALSE),"No Reach Code Reported")</f>
        <v>102300060206</v>
      </c>
      <c r="M245" s="107" t="str">
        <f>IFERROR(IFERROR(VLOOKUP(H245, 'Off-site Locations'!$K$3:$O$5, 5, FALSE), VLOOKUP(H245, 'Off-site Locations'!$B$3:$E$4, 4, FALSE)), "No Offsite Transfers")</f>
        <v>No Offsite Transfers</v>
      </c>
      <c r="N245" s="33">
        <f>VLOOKUP($D245, 'COU.OES Summary'!C:E, 3, FALSE)</f>
        <v>365</v>
      </c>
      <c r="O245" s="108">
        <f t="shared" si="42"/>
        <v>0</v>
      </c>
      <c r="P245" s="108">
        <f t="shared" si="43"/>
        <v>2.2814844500000001E-2</v>
      </c>
      <c r="Q245" s="109" cm="1">
        <f t="array" ref="Q245">IFERROR(_xlfn.XLOOKUP(1,  (MAX(IF(I245 = 'Processed Non-zero DMR Data'!$K:$K,'Processed Non-zero DMR Data'!$A:$A)) = 'Processed Non-zero DMR Data'!$A:$A)*('Processed Non-zero DMR Data'!$K:$K = I245),'Processed Non-zero DMR Data'!$T:$T), "N/A- Facility Does Not Report DMRs")</f>
        <v>5.0842012499999999E-3</v>
      </c>
      <c r="R245" s="33">
        <f t="shared" si="53"/>
        <v>1.3929318493150684E-5</v>
      </c>
      <c r="S245" s="33" cm="1">
        <f t="array" ref="S245">IF(COUNTIF('Processed Non-zero DMR Data'!$K:$K,$I245)&gt;0,MEDIAN(IF('Processed Non-zero DMR Data'!$K:$K=I245,'Processed Non-zero DMR Data'!$T:$T)),"N/A - Facility Does Not Report DMRs")</f>
        <v>5.0842012499999999E-3</v>
      </c>
      <c r="T245" s="33">
        <f t="shared" si="54"/>
        <v>1.3929318493150684E-5</v>
      </c>
      <c r="U245" s="33">
        <f>IF(COUNTIF('Processed Non-zero DMR Data'!$K:$K,$I245)&gt;0,_xlfn.MAXIFS('Processed Non-zero DMR Data'!$T:$T,'Processed Non-zero DMR Data'!$K:$K,$I245), "N/A - Facility Does Not Report DMRs")</f>
        <v>2.2814844500000001E-2</v>
      </c>
      <c r="V245" s="33">
        <f t="shared" si="55"/>
        <v>6.2506423287671232E-5</v>
      </c>
      <c r="W245" s="110" cm="1">
        <f t="array" ref="W245">IF(COUNTIF('Processed Non-zero DMR Data'!$K:$K,$I245)&gt;0,INDEX('Processed Non-zero DMR Data'!$A:$A,MATCH(1,($I245='Processed Non-zero DMR Data'!$K:$K)*($U245='Processed Non-zero DMR Data'!$T:$T),0)), "N/A - Facility Does Not Report DMRs")</f>
        <v>2019</v>
      </c>
      <c r="X245" s="109" cm="1">
        <f t="array" ref="X245">IFERROR(_xlfn.XLOOKUP(1,  (MAX(IF(H245 = 'Processed Non-zero TRI Data'!$I:$I,'Processed Non-zero TRI Data'!$A:$A)) = 'Processed Non-zero TRI Data'!$A:$A)*('Processed Non-zero TRI Data'!$I:$I = H245), 'Processed Non-zero TRI Data'!$S:$S), "N/A- Facility Does Not Report to TRI")</f>
        <v>0</v>
      </c>
      <c r="Y245" s="33">
        <f t="shared" si="44"/>
        <v>0</v>
      </c>
      <c r="Z245" s="33" t="str" cm="1">
        <f t="array" ref="Z245">IF(COUNTIF('Processed Non-zero TRI Data'!$I:$I,$H245)&gt;0,MEDIAN(IF('Processed Non-zero TRI Data'!$I:$I=H245,'Processed Non-zero TRI Data'!$S:$S)), "N/A - Facility Does Not Report to TRI")</f>
        <v>N/A - Facility Does Not Report to TRI</v>
      </c>
      <c r="AA245" s="33" t="str">
        <f t="shared" si="45"/>
        <v>N/A - Facility Does Not Report to TRI</v>
      </c>
      <c r="AB245" s="33" t="str">
        <f>IF(COUNTIF('Processed Non-zero TRI Data'!$I:$I,$H245)&gt;0,_xlfn.MAXIFS('Processed Non-zero TRI Data'!$S:$S,'Processed Non-zero TRI Data'!$I:$I,$H245), "N/A - Facility Does Not Report to TRI")</f>
        <v>N/A - Facility Does Not Report to TRI</v>
      </c>
      <c r="AC245" s="33" t="str">
        <f t="shared" si="46"/>
        <v>N/A - Facility Does Not Report to TRI</v>
      </c>
      <c r="AD245" s="110" t="str" cm="1">
        <f t="array" ref="AD245">IFERROR(IF(B245 = "TRI Form R", IF(AB245 = 0, "Facility has no on-site water discharges between 2019-2023.",  IF(COUNTIF('Processed Non-zero TRI Data'!$I:$I,$H245)&gt;0,INDEX('Processed Non-zero TRI Data'!$A:$A,MATCH(1,($H245='Processed Non-zero TRI Data'!$I:$I)*(AB245='Processed Non-zero TRI Data'!$S:$S),0)))), VLOOKUP(H245, 'Form A Recent Reporting'!$L:$M, 2, FALSE)), ("N/A - Facility Does Not Report to TRI"))</f>
        <v>N/A - Facility Does Not Report to TRI</v>
      </c>
      <c r="AE245" s="109" cm="1">
        <f t="array" ref="AE245">IFERROR(_xlfn.XLOOKUP(1,  (MAX(IF(H245 = 'Processed Non-zero TRI Data'!$I:$I,'Processed Non-zero TRI Data'!$A:$A)) = 'Processed Non-zero TRI Data'!$A:$A)*('Processed Non-zero TRI Data'!$I:$I = H245), 'Processed Non-zero TRI Data'!$U:$U), "N/A- Facility Does Not Report to TRI")</f>
        <v>0</v>
      </c>
      <c r="AF245" s="33">
        <f t="shared" si="47"/>
        <v>0</v>
      </c>
      <c r="AG245" s="33" t="str" cm="1">
        <f t="array" ref="AG245">IF(COUNTIF('Processed Non-zero TRI Data'!$I:$I,$H245)&gt;0,MEDIAN(IF('Processed Non-zero TRI Data'!$I:$I=H245,'Processed Non-zero TRI Data'!$U:$U)), "N/A - Facility Does Not Report to TRI")</f>
        <v>N/A - Facility Does Not Report to TRI</v>
      </c>
      <c r="AH245" s="33" t="str">
        <f t="shared" si="48"/>
        <v>N/A - Facility Does Not Report to TRI</v>
      </c>
      <c r="AI245" s="33" t="str">
        <f>IF(COUNTIF('Processed Non-zero TRI Data'!$I:$I,$H245)&gt;0,_xlfn.MAXIFS('Processed Non-zero TRI Data'!$U:$U,'Processed Non-zero TRI Data'!$I:$I,$H245), "N/A - Facility Does Not Report to TRI")</f>
        <v>N/A - Facility Does Not Report to TRI</v>
      </c>
      <c r="AJ245" s="33" t="str">
        <f t="shared" si="49"/>
        <v>N/A - Facility Does Not Report to TRI</v>
      </c>
      <c r="AK245" s="110" t="str" cm="1">
        <f t="array" ref="AK245">IF(B245="TRI Form A",AD245,IF(AI245=0,"Facility has no transfers to POTWs between 2019-2023.",IF(COUNTIF('Processed Non-zero TRI Data'!$I:$I,$H245)&gt;0,INDEX('Processed Non-zero TRI Data'!$A:$A,MATCH(1,($H245='Processed Non-zero TRI Data'!$I:$I)*(AI245='Processed Non-zero TRI Data'!$U:$U),0)),"N/A - Facility Does Not Report to TRI")))</f>
        <v>N/A - Facility Does Not Report to TRI</v>
      </c>
      <c r="AL245" s="109" cm="1">
        <f t="array" ref="AL245">IFERROR(_xlfn.XLOOKUP(1,  (MAX(IF(H245 = 'Processed Non-zero TRI Data'!$I$2:$I$23,'Processed Non-zero TRI Data'!$A$2:$A$23)) = 'Processed Non-zero TRI Data'!$A$2:$A$23)*('Processed Non-zero TRI Data'!$I$2:$I$23 = H245), 'Processed Non-zero TRI Data'!$W$2:$W$23), "N/A- Facility Does Not Report to TRI")</f>
        <v>0</v>
      </c>
      <c r="AM245" s="33">
        <f t="shared" si="50"/>
        <v>0</v>
      </c>
      <c r="AN245" s="33" t="str" cm="1">
        <f t="array" ref="AN245">IF(COUNTIF('Processed Non-zero TRI Data'!$I:$I,$H245)&gt;0,MEDIAN(IF('Processed Non-zero TRI Data'!$I:$I=H245,'Processed Non-zero TRI Data'!$W:$W)), "N/A - Facility Does Not Report to TRI")</f>
        <v>N/A - Facility Does Not Report to TRI</v>
      </c>
      <c r="AO245" s="33" t="str">
        <f t="shared" si="51"/>
        <v>N/A - Facility Does Not Report to TRI</v>
      </c>
      <c r="AP245" s="33" t="str">
        <f>IF(COUNTIF('Processed Non-zero TRI Data'!$I:$I,$H245)&gt;0,_xlfn.MAXIFS('Processed Non-zero TRI Data'!$W:$W,'Processed Non-zero TRI Data'!$I:$I,$H245), "N/A - Facility Does Not Report to TRI")</f>
        <v>N/A - Facility Does Not Report to TRI</v>
      </c>
      <c r="AQ245" s="33" t="str">
        <f t="shared" si="52"/>
        <v>N/A - Facility Does Not Report to TRI</v>
      </c>
      <c r="AR245" s="110" t="str" cm="1">
        <f t="array" ref="AR245">IF(B245="TRI Form A",AD245,IF(AP245=0,"Facility has no transfers to non-POTWs between 2019-2023.",IF(COUNTIF('Processed Non-zero TRI Data'!$I:$I,$H245)&gt;0,INDEX('Processed Non-zero TRI Data'!$A:$A,MATCH(1,($H245='Processed Non-zero TRI Data'!$I:$I)*(AP245='Processed Non-zero TRI Data'!$W:$W),0)),"N/A - Facility Does Not Report to TRI")))</f>
        <v>N/A - Facility Does Not Report to TRI</v>
      </c>
    </row>
    <row r="246" spans="1:44" ht="29" x14ac:dyDescent="0.35">
      <c r="A246" s="34">
        <v>243</v>
      </c>
      <c r="B246" s="33" t="str">
        <f>IFERROR("TRI Form "&amp;VLOOKUP(H246,'Processed Non-zero TRI Data'!$I$2:$K$23,3,FALSE),"DMR")</f>
        <v>DMR</v>
      </c>
      <c r="C246" s="33" t="str">
        <f>VLOOKUP($D246, 'COU.OES Summary'!C:D, 2, FALSE)</f>
        <v> </v>
      </c>
      <c r="D246" s="33" t="str">
        <f>IFERROR(VLOOKUP($H246, 'Processed Non-zero TRI Data'!$I:$O, 7, FALSE), VLOOKUP($I246, 'Processed Non-zero DMR Data'!$K:$R, 8, FALSE))</f>
        <v>Waste handling, treatment, and disposal - Remediation or Monitoring</v>
      </c>
      <c r="E246" s="34" t="s">
        <v>561</v>
      </c>
      <c r="F246" s="34" t="s">
        <v>562</v>
      </c>
      <c r="G246" s="34" t="s">
        <v>254</v>
      </c>
      <c r="H246" s="34"/>
      <c r="I246" s="105">
        <v>110013317614</v>
      </c>
      <c r="J246" s="33" t="str">
        <f>IFERROR(VLOOKUP($I246, 'Processed Non-zero DMR Data'!$K:$U, 11, FALSE),"")</f>
        <v>NJ0005185</v>
      </c>
      <c r="K246" s="33" t="str">
        <f>IFERROR(VLOOKUP($I246, 'Processed Non-zero DMR Data'!$K:$V, 12, FALSE),"Not Reported")</f>
        <v>Woodbury Creek-Delaware River</v>
      </c>
      <c r="L246" s="106">
        <f>IFERROR(VLOOKUP($I246, 'Processed Non-zero DMR Data'!$K:$W, 13, FALSE),"No Reach Code Reported")</f>
        <v>20402020507</v>
      </c>
      <c r="M246" s="107" t="str">
        <f>IFERROR(IFERROR(VLOOKUP(H246, 'Off-site Locations'!$K$3:$O$5, 5, FALSE), VLOOKUP(H246, 'Off-site Locations'!$B$3:$E$4, 4, FALSE)), "No Offsite Transfers")</f>
        <v>No Offsite Transfers</v>
      </c>
      <c r="N246" s="33">
        <f>VLOOKUP($D246, 'COU.OES Summary'!C:E, 3, FALSE)</f>
        <v>365</v>
      </c>
      <c r="O246" s="108">
        <f t="shared" si="42"/>
        <v>0</v>
      </c>
      <c r="P246" s="108">
        <f t="shared" si="43"/>
        <v>2.2561850000000001E-2</v>
      </c>
      <c r="Q246" s="109" cm="1">
        <f t="array" ref="Q246">IFERROR(_xlfn.XLOOKUP(1,  (MAX(IF(I246 = 'Processed Non-zero DMR Data'!$K:$K,'Processed Non-zero DMR Data'!$A:$A)) = 'Processed Non-zero DMR Data'!$A:$A)*('Processed Non-zero DMR Data'!$K:$K = I246),'Processed Non-zero DMR Data'!$T:$T), "N/A- Facility Does Not Report DMRs")</f>
        <v>2.2561850000000001E-2</v>
      </c>
      <c r="R246" s="33">
        <f t="shared" si="53"/>
        <v>6.1813287671232876E-5</v>
      </c>
      <c r="S246" s="33" cm="1">
        <f t="array" ref="S246">IF(COUNTIF('Processed Non-zero DMR Data'!$K:$K,$I246)&gt;0,MEDIAN(IF('Processed Non-zero DMR Data'!$K:$K=I246,'Processed Non-zero DMR Data'!$T:$T)),"N/A - Facility Does Not Report DMRs")</f>
        <v>1.3873275000000001E-2</v>
      </c>
      <c r="T246" s="33">
        <f t="shared" si="54"/>
        <v>3.8008972602739726E-5</v>
      </c>
      <c r="U246" s="33">
        <f>IF(COUNTIF('Processed Non-zero DMR Data'!$K:$K,$I246)&gt;0,_xlfn.MAXIFS('Processed Non-zero DMR Data'!$T:$T,'Processed Non-zero DMR Data'!$K:$K,$I246), "N/A - Facility Does Not Report DMRs")</f>
        <v>2.2561850000000001E-2</v>
      </c>
      <c r="V246" s="33">
        <f t="shared" si="55"/>
        <v>6.1813287671232876E-5</v>
      </c>
      <c r="W246" s="110" cm="1">
        <f t="array" ref="W246">IF(COUNTIF('Processed Non-zero DMR Data'!$K:$K,$I246)&gt;0,INDEX('Processed Non-zero DMR Data'!$A:$A,MATCH(1,($I246='Processed Non-zero DMR Data'!$K:$K)*($U246='Processed Non-zero DMR Data'!$T:$T),0)), "N/A - Facility Does Not Report DMRs")</f>
        <v>2023</v>
      </c>
      <c r="X246" s="109" cm="1">
        <f t="array" ref="X246">IFERROR(_xlfn.XLOOKUP(1,  (MAX(IF(H246 = 'Processed Non-zero TRI Data'!$I:$I,'Processed Non-zero TRI Data'!$A:$A)) = 'Processed Non-zero TRI Data'!$A:$A)*('Processed Non-zero TRI Data'!$I:$I = H246), 'Processed Non-zero TRI Data'!$S:$S), "N/A- Facility Does Not Report to TRI")</f>
        <v>0</v>
      </c>
      <c r="Y246" s="33">
        <f t="shared" si="44"/>
        <v>0</v>
      </c>
      <c r="Z246" s="33" t="str" cm="1">
        <f t="array" ref="Z246">IF(COUNTIF('Processed Non-zero TRI Data'!$I:$I,$H246)&gt;0,MEDIAN(IF('Processed Non-zero TRI Data'!$I:$I=H246,'Processed Non-zero TRI Data'!$S:$S)), "N/A - Facility Does Not Report to TRI")</f>
        <v>N/A - Facility Does Not Report to TRI</v>
      </c>
      <c r="AA246" s="33" t="str">
        <f t="shared" si="45"/>
        <v>N/A - Facility Does Not Report to TRI</v>
      </c>
      <c r="AB246" s="33" t="str">
        <f>IF(COUNTIF('Processed Non-zero TRI Data'!$I:$I,$H246)&gt;0,_xlfn.MAXIFS('Processed Non-zero TRI Data'!$S:$S,'Processed Non-zero TRI Data'!$I:$I,$H246), "N/A - Facility Does Not Report to TRI")</f>
        <v>N/A - Facility Does Not Report to TRI</v>
      </c>
      <c r="AC246" s="33" t="str">
        <f t="shared" si="46"/>
        <v>N/A - Facility Does Not Report to TRI</v>
      </c>
      <c r="AD246" s="110" t="str" cm="1">
        <f t="array" ref="AD246">IFERROR(IF(B246 = "TRI Form R", IF(AB246 = 0, "Facility has no on-site water discharges between 2019-2023.",  IF(COUNTIF('Processed Non-zero TRI Data'!$I:$I,$H246)&gt;0,INDEX('Processed Non-zero TRI Data'!$A:$A,MATCH(1,($H246='Processed Non-zero TRI Data'!$I:$I)*(AB246='Processed Non-zero TRI Data'!$S:$S),0)))), VLOOKUP(H246, 'Form A Recent Reporting'!$L:$M, 2, FALSE)), ("N/A - Facility Does Not Report to TRI"))</f>
        <v>N/A - Facility Does Not Report to TRI</v>
      </c>
      <c r="AE246" s="109" cm="1">
        <f t="array" ref="AE246">IFERROR(_xlfn.XLOOKUP(1,  (MAX(IF(H246 = 'Processed Non-zero TRI Data'!$I:$I,'Processed Non-zero TRI Data'!$A:$A)) = 'Processed Non-zero TRI Data'!$A:$A)*('Processed Non-zero TRI Data'!$I:$I = H246), 'Processed Non-zero TRI Data'!$U:$U), "N/A- Facility Does Not Report to TRI")</f>
        <v>0</v>
      </c>
      <c r="AF246" s="33">
        <f t="shared" si="47"/>
        <v>0</v>
      </c>
      <c r="AG246" s="33" t="str" cm="1">
        <f t="array" ref="AG246">IF(COUNTIF('Processed Non-zero TRI Data'!$I:$I,$H246)&gt;0,MEDIAN(IF('Processed Non-zero TRI Data'!$I:$I=H246,'Processed Non-zero TRI Data'!$U:$U)), "N/A - Facility Does Not Report to TRI")</f>
        <v>N/A - Facility Does Not Report to TRI</v>
      </c>
      <c r="AH246" s="33" t="str">
        <f t="shared" si="48"/>
        <v>N/A - Facility Does Not Report to TRI</v>
      </c>
      <c r="AI246" s="33" t="str">
        <f>IF(COUNTIF('Processed Non-zero TRI Data'!$I:$I,$H246)&gt;0,_xlfn.MAXIFS('Processed Non-zero TRI Data'!$U:$U,'Processed Non-zero TRI Data'!$I:$I,$H246), "N/A - Facility Does Not Report to TRI")</f>
        <v>N/A - Facility Does Not Report to TRI</v>
      </c>
      <c r="AJ246" s="33" t="str">
        <f t="shared" si="49"/>
        <v>N/A - Facility Does Not Report to TRI</v>
      </c>
      <c r="AK246" s="110" t="str" cm="1">
        <f t="array" ref="AK246">IF(B246="TRI Form A",AD246,IF(AI246=0,"Facility has no transfers to POTWs between 2019-2023.",IF(COUNTIF('Processed Non-zero TRI Data'!$I:$I,$H246)&gt;0,INDEX('Processed Non-zero TRI Data'!$A:$A,MATCH(1,($H246='Processed Non-zero TRI Data'!$I:$I)*(AI246='Processed Non-zero TRI Data'!$U:$U),0)),"N/A - Facility Does Not Report to TRI")))</f>
        <v>N/A - Facility Does Not Report to TRI</v>
      </c>
      <c r="AL246" s="109" cm="1">
        <f t="array" ref="AL246">IFERROR(_xlfn.XLOOKUP(1,  (MAX(IF(H246 = 'Processed Non-zero TRI Data'!$I$2:$I$23,'Processed Non-zero TRI Data'!$A$2:$A$23)) = 'Processed Non-zero TRI Data'!$A$2:$A$23)*('Processed Non-zero TRI Data'!$I$2:$I$23 = H246), 'Processed Non-zero TRI Data'!$W$2:$W$23), "N/A- Facility Does Not Report to TRI")</f>
        <v>0</v>
      </c>
      <c r="AM246" s="33">
        <f t="shared" si="50"/>
        <v>0</v>
      </c>
      <c r="AN246" s="33" t="str" cm="1">
        <f t="array" ref="AN246">IF(COUNTIF('Processed Non-zero TRI Data'!$I:$I,$H246)&gt;0,MEDIAN(IF('Processed Non-zero TRI Data'!$I:$I=H246,'Processed Non-zero TRI Data'!$W:$W)), "N/A - Facility Does Not Report to TRI")</f>
        <v>N/A - Facility Does Not Report to TRI</v>
      </c>
      <c r="AO246" s="33" t="str">
        <f t="shared" si="51"/>
        <v>N/A - Facility Does Not Report to TRI</v>
      </c>
      <c r="AP246" s="33" t="str">
        <f>IF(COUNTIF('Processed Non-zero TRI Data'!$I:$I,$H246)&gt;0,_xlfn.MAXIFS('Processed Non-zero TRI Data'!$W:$W,'Processed Non-zero TRI Data'!$I:$I,$H246), "N/A - Facility Does Not Report to TRI")</f>
        <v>N/A - Facility Does Not Report to TRI</v>
      </c>
      <c r="AQ246" s="33" t="str">
        <f t="shared" si="52"/>
        <v>N/A - Facility Does Not Report to TRI</v>
      </c>
      <c r="AR246" s="110" t="str" cm="1">
        <f t="array" ref="AR246">IF(B246="TRI Form A",AD246,IF(AP246=0,"Facility has no transfers to non-POTWs between 2019-2023.",IF(COUNTIF('Processed Non-zero TRI Data'!$I:$I,$H246)&gt;0,INDEX('Processed Non-zero TRI Data'!$A:$A,MATCH(1,($H246='Processed Non-zero TRI Data'!$I:$I)*(AP246='Processed Non-zero TRI Data'!$W:$W),0)),"N/A - Facility Does Not Report to TRI")))</f>
        <v>N/A - Facility Does Not Report to TRI</v>
      </c>
    </row>
    <row r="247" spans="1:44" ht="29" x14ac:dyDescent="0.35">
      <c r="A247" s="34">
        <v>244</v>
      </c>
      <c r="B247" s="33" t="str">
        <f>IFERROR("TRI Form "&amp;VLOOKUP(H247,'Processed Non-zero TRI Data'!$I$2:$K$23,3,FALSE),"DMR")</f>
        <v>DMR</v>
      </c>
      <c r="C247" s="33" t="str">
        <f>VLOOKUP($D247, 'COU.OES Summary'!C:D, 2, FALSE)</f>
        <v> </v>
      </c>
      <c r="D247" s="33" t="str">
        <f>IFERROR(VLOOKUP($H247, 'Processed Non-zero TRI Data'!$I:$O, 7, FALSE), VLOOKUP($I247, 'Processed Non-zero DMR Data'!$K:$R, 8, FALSE))</f>
        <v>Waste handling, treatment, and disposal - Remediation or Monitoring</v>
      </c>
      <c r="E247" s="34" t="s">
        <v>563</v>
      </c>
      <c r="F247" s="34" t="s">
        <v>564</v>
      </c>
      <c r="G247" s="34" t="s">
        <v>340</v>
      </c>
      <c r="H247" s="34"/>
      <c r="I247" s="105">
        <v>110020036209</v>
      </c>
      <c r="J247" s="33" t="str">
        <f>IFERROR(VLOOKUP($I247, 'Processed Non-zero DMR Data'!$K:$U, 11, FALSE),"")</f>
        <v>PA0114332</v>
      </c>
      <c r="K247" s="33" t="str">
        <f>IFERROR(VLOOKUP($I247, 'Processed Non-zero DMR Data'!$K:$V, 12, FALSE),"Not Reported")</f>
        <v>Marsh Creek-Pine Creek</v>
      </c>
      <c r="L247" s="106">
        <f>IFERROR(VLOOKUP($I247, 'Processed Non-zero DMR Data'!$K:$W, 13, FALSE),"No Reach Code Reported")</f>
        <v>20502050303</v>
      </c>
      <c r="M247" s="107" t="str">
        <f>IFERROR(IFERROR(VLOOKUP(H247, 'Off-site Locations'!$K$3:$O$5, 5, FALSE), VLOOKUP(H247, 'Off-site Locations'!$B$3:$E$4, 4, FALSE)), "No Offsite Transfers")</f>
        <v>No Offsite Transfers</v>
      </c>
      <c r="N247" s="33">
        <f>VLOOKUP($D247, 'COU.OES Summary'!C:E, 3, FALSE)</f>
        <v>365</v>
      </c>
      <c r="O247" s="108">
        <f t="shared" si="42"/>
        <v>0</v>
      </c>
      <c r="P247" s="108">
        <f t="shared" si="43"/>
        <v>2.15573034833333E-2</v>
      </c>
      <c r="Q247" s="109" cm="1">
        <f t="array" ref="Q247">IFERROR(_xlfn.XLOOKUP(1,  (MAX(IF(I247 = 'Processed Non-zero DMR Data'!$K:$K,'Processed Non-zero DMR Data'!$A:$A)) = 'Processed Non-zero DMR Data'!$A:$A)*('Processed Non-zero DMR Data'!$K:$K = I247),'Processed Non-zero DMR Data'!$T:$T), "N/A- Facility Does Not Report DMRs")</f>
        <v>7.1127719999999998E-3</v>
      </c>
      <c r="R247" s="33">
        <f t="shared" si="53"/>
        <v>1.9487046575342465E-5</v>
      </c>
      <c r="S247" s="33" cm="1">
        <f t="array" ref="S247">IF(COUNTIF('Processed Non-zero DMR Data'!$K:$K,$I247)&gt;0,MEDIAN(IF('Processed Non-zero DMR Data'!$K:$K=I247,'Processed Non-zero DMR Data'!$T:$T)),"N/A - Facility Does Not Report DMRs")</f>
        <v>1.8145377679524999E-2</v>
      </c>
      <c r="T247" s="33">
        <f t="shared" si="54"/>
        <v>4.9713363505547945E-5</v>
      </c>
      <c r="U247" s="33">
        <f>IF(COUNTIF('Processed Non-zero DMR Data'!$K:$K,$I247)&gt;0,_xlfn.MAXIFS('Processed Non-zero DMR Data'!$T:$T,'Processed Non-zero DMR Data'!$K:$K,$I247), "N/A - Facility Does Not Report DMRs")</f>
        <v>2.15573034833333E-2</v>
      </c>
      <c r="V247" s="33">
        <f t="shared" si="55"/>
        <v>5.9061105433789862E-5</v>
      </c>
      <c r="W247" s="110" cm="1">
        <f t="array" ref="W247">IF(COUNTIF('Processed Non-zero DMR Data'!$K:$K,$I247)&gt;0,INDEX('Processed Non-zero DMR Data'!$A:$A,MATCH(1,($I247='Processed Non-zero DMR Data'!$K:$K)*($U247='Processed Non-zero DMR Data'!$T:$T),0)), "N/A - Facility Does Not Report DMRs")</f>
        <v>2019</v>
      </c>
      <c r="X247" s="109" cm="1">
        <f t="array" ref="X247">IFERROR(_xlfn.XLOOKUP(1,  (MAX(IF(H247 = 'Processed Non-zero TRI Data'!$I:$I,'Processed Non-zero TRI Data'!$A:$A)) = 'Processed Non-zero TRI Data'!$A:$A)*('Processed Non-zero TRI Data'!$I:$I = H247), 'Processed Non-zero TRI Data'!$S:$S), "N/A- Facility Does Not Report to TRI")</f>
        <v>0</v>
      </c>
      <c r="Y247" s="33">
        <f t="shared" si="44"/>
        <v>0</v>
      </c>
      <c r="Z247" s="33" t="str" cm="1">
        <f t="array" ref="Z247">IF(COUNTIF('Processed Non-zero TRI Data'!$I:$I,$H247)&gt;0,MEDIAN(IF('Processed Non-zero TRI Data'!$I:$I=H247,'Processed Non-zero TRI Data'!$S:$S)), "N/A - Facility Does Not Report to TRI")</f>
        <v>N/A - Facility Does Not Report to TRI</v>
      </c>
      <c r="AA247" s="33" t="str">
        <f t="shared" si="45"/>
        <v>N/A - Facility Does Not Report to TRI</v>
      </c>
      <c r="AB247" s="33" t="str">
        <f>IF(COUNTIF('Processed Non-zero TRI Data'!$I:$I,$H247)&gt;0,_xlfn.MAXIFS('Processed Non-zero TRI Data'!$S:$S,'Processed Non-zero TRI Data'!$I:$I,$H247), "N/A - Facility Does Not Report to TRI")</f>
        <v>N/A - Facility Does Not Report to TRI</v>
      </c>
      <c r="AC247" s="33" t="str">
        <f t="shared" si="46"/>
        <v>N/A - Facility Does Not Report to TRI</v>
      </c>
      <c r="AD247" s="110" t="str" cm="1">
        <f t="array" ref="AD247">IFERROR(IF(B247 = "TRI Form R", IF(AB247 = 0, "Facility has no on-site water discharges between 2019-2023.",  IF(COUNTIF('Processed Non-zero TRI Data'!$I:$I,$H247)&gt;0,INDEX('Processed Non-zero TRI Data'!$A:$A,MATCH(1,($H247='Processed Non-zero TRI Data'!$I:$I)*(AB247='Processed Non-zero TRI Data'!$S:$S),0)))), VLOOKUP(H247, 'Form A Recent Reporting'!$L:$M, 2, FALSE)), ("N/A - Facility Does Not Report to TRI"))</f>
        <v>N/A - Facility Does Not Report to TRI</v>
      </c>
      <c r="AE247" s="109" cm="1">
        <f t="array" ref="AE247">IFERROR(_xlfn.XLOOKUP(1,  (MAX(IF(H247 = 'Processed Non-zero TRI Data'!$I:$I,'Processed Non-zero TRI Data'!$A:$A)) = 'Processed Non-zero TRI Data'!$A:$A)*('Processed Non-zero TRI Data'!$I:$I = H247), 'Processed Non-zero TRI Data'!$U:$U), "N/A- Facility Does Not Report to TRI")</f>
        <v>0</v>
      </c>
      <c r="AF247" s="33">
        <f t="shared" si="47"/>
        <v>0</v>
      </c>
      <c r="AG247" s="33" t="str" cm="1">
        <f t="array" ref="AG247">IF(COUNTIF('Processed Non-zero TRI Data'!$I:$I,$H247)&gt;0,MEDIAN(IF('Processed Non-zero TRI Data'!$I:$I=H247,'Processed Non-zero TRI Data'!$U:$U)), "N/A - Facility Does Not Report to TRI")</f>
        <v>N/A - Facility Does Not Report to TRI</v>
      </c>
      <c r="AH247" s="33" t="str">
        <f t="shared" si="48"/>
        <v>N/A - Facility Does Not Report to TRI</v>
      </c>
      <c r="AI247" s="33" t="str">
        <f>IF(COUNTIF('Processed Non-zero TRI Data'!$I:$I,$H247)&gt;0,_xlfn.MAXIFS('Processed Non-zero TRI Data'!$U:$U,'Processed Non-zero TRI Data'!$I:$I,$H247), "N/A - Facility Does Not Report to TRI")</f>
        <v>N/A - Facility Does Not Report to TRI</v>
      </c>
      <c r="AJ247" s="33" t="str">
        <f t="shared" si="49"/>
        <v>N/A - Facility Does Not Report to TRI</v>
      </c>
      <c r="AK247" s="110" t="str" cm="1">
        <f t="array" ref="AK247">IF(B247="TRI Form A",AD247,IF(AI247=0,"Facility has no transfers to POTWs between 2019-2023.",IF(COUNTIF('Processed Non-zero TRI Data'!$I:$I,$H247)&gt;0,INDEX('Processed Non-zero TRI Data'!$A:$A,MATCH(1,($H247='Processed Non-zero TRI Data'!$I:$I)*(AI247='Processed Non-zero TRI Data'!$U:$U),0)),"N/A - Facility Does Not Report to TRI")))</f>
        <v>N/A - Facility Does Not Report to TRI</v>
      </c>
      <c r="AL247" s="109" cm="1">
        <f t="array" ref="AL247">IFERROR(_xlfn.XLOOKUP(1,  (MAX(IF(H247 = 'Processed Non-zero TRI Data'!$I$2:$I$23,'Processed Non-zero TRI Data'!$A$2:$A$23)) = 'Processed Non-zero TRI Data'!$A$2:$A$23)*('Processed Non-zero TRI Data'!$I$2:$I$23 = H247), 'Processed Non-zero TRI Data'!$W$2:$W$23), "N/A- Facility Does Not Report to TRI")</f>
        <v>0</v>
      </c>
      <c r="AM247" s="33">
        <f t="shared" si="50"/>
        <v>0</v>
      </c>
      <c r="AN247" s="33" t="str" cm="1">
        <f t="array" ref="AN247">IF(COUNTIF('Processed Non-zero TRI Data'!$I:$I,$H247)&gt;0,MEDIAN(IF('Processed Non-zero TRI Data'!$I:$I=H247,'Processed Non-zero TRI Data'!$W:$W)), "N/A - Facility Does Not Report to TRI")</f>
        <v>N/A - Facility Does Not Report to TRI</v>
      </c>
      <c r="AO247" s="33" t="str">
        <f t="shared" si="51"/>
        <v>N/A - Facility Does Not Report to TRI</v>
      </c>
      <c r="AP247" s="33" t="str">
        <f>IF(COUNTIF('Processed Non-zero TRI Data'!$I:$I,$H247)&gt;0,_xlfn.MAXIFS('Processed Non-zero TRI Data'!$W:$W,'Processed Non-zero TRI Data'!$I:$I,$H247), "N/A - Facility Does Not Report to TRI")</f>
        <v>N/A - Facility Does Not Report to TRI</v>
      </c>
      <c r="AQ247" s="33" t="str">
        <f t="shared" si="52"/>
        <v>N/A - Facility Does Not Report to TRI</v>
      </c>
      <c r="AR247" s="110" t="str" cm="1">
        <f t="array" ref="AR247">IF(B247="TRI Form A",AD247,IF(AP247=0,"Facility has no transfers to non-POTWs between 2019-2023.",IF(COUNTIF('Processed Non-zero TRI Data'!$I:$I,$H247)&gt;0,INDEX('Processed Non-zero TRI Data'!$A:$A,MATCH(1,($H247='Processed Non-zero TRI Data'!$I:$I)*(AP247='Processed Non-zero TRI Data'!$W:$W),0)),"N/A - Facility Does Not Report to TRI")))</f>
        <v>N/A - Facility Does Not Report to TRI</v>
      </c>
    </row>
    <row r="248" spans="1:44" ht="29" x14ac:dyDescent="0.35">
      <c r="A248" s="34">
        <v>245</v>
      </c>
      <c r="B248" s="33" t="str">
        <f>IFERROR("TRI Form "&amp;VLOOKUP(H248,'Processed Non-zero TRI Data'!$I$2:$K$23,3,FALSE),"DMR")</f>
        <v>DMR</v>
      </c>
      <c r="C248" s="33" t="str">
        <f>VLOOKUP($D248, 'COU.OES Summary'!C:D, 2, FALSE)</f>
        <v> </v>
      </c>
      <c r="D248" s="33" t="str">
        <f>IFERROR(VLOOKUP($H248, 'Processed Non-zero TRI Data'!$I:$O, 7, FALSE), VLOOKUP($I248, 'Processed Non-zero DMR Data'!$K:$R, 8, FALSE))</f>
        <v>Waste handling, treatment, and disposal - Remediation or Monitoring</v>
      </c>
      <c r="E248" s="34" t="s">
        <v>565</v>
      </c>
      <c r="F248" s="34" t="s">
        <v>566</v>
      </c>
      <c r="G248" s="34" t="s">
        <v>567</v>
      </c>
      <c r="H248" s="34"/>
      <c r="I248" s="105">
        <v>110000611703</v>
      </c>
      <c r="J248" s="33" t="str">
        <f>IFERROR(VLOOKUP($I248, 'Processed Non-zero DMR Data'!$K:$U, 11, FALSE),"")</f>
        <v>GA0000426</v>
      </c>
      <c r="K248" s="33" t="str">
        <f>IFERROR(VLOOKUP($I248, 'Processed Non-zero DMR Data'!$K:$V, 12, FALSE),"Not Reported")</f>
        <v>Jobs Creek-Conasauga River</v>
      </c>
      <c r="L248" s="106">
        <f>IFERROR(VLOOKUP($I248, 'Processed Non-zero DMR Data'!$K:$W, 13, FALSE),"No Reach Code Reported")</f>
        <v>31501010504</v>
      </c>
      <c r="M248" s="107" t="str">
        <f>IFERROR(IFERROR(VLOOKUP(H248, 'Off-site Locations'!$K$3:$O$5, 5, FALSE), VLOOKUP(H248, 'Off-site Locations'!$B$3:$E$4, 4, FALSE)), "No Offsite Transfers")</f>
        <v>No Offsite Transfers</v>
      </c>
      <c r="N248" s="33">
        <f>VLOOKUP($D248, 'COU.OES Summary'!C:E, 3, FALSE)</f>
        <v>365</v>
      </c>
      <c r="O248" s="108">
        <f t="shared" si="42"/>
        <v>0</v>
      </c>
      <c r="P248" s="108">
        <f t="shared" si="43"/>
        <v>2.1111000000000001E-2</v>
      </c>
      <c r="Q248" s="109" cm="1">
        <f t="array" ref="Q248">IFERROR(_xlfn.XLOOKUP(1,  (MAX(IF(I248 = 'Processed Non-zero DMR Data'!$K:$K,'Processed Non-zero DMR Data'!$A:$A)) = 'Processed Non-zero DMR Data'!$A:$A)*('Processed Non-zero DMR Data'!$K:$K = I248),'Processed Non-zero DMR Data'!$T:$T), "N/A- Facility Does Not Report DMRs")</f>
        <v>7.0369999999999999E-3</v>
      </c>
      <c r="R248" s="33">
        <f t="shared" si="53"/>
        <v>1.927945205479452E-5</v>
      </c>
      <c r="S248" s="33" cm="1">
        <f t="array" ref="S248">IF(COUNTIF('Processed Non-zero DMR Data'!$K:$K,$I248)&gt;0,MEDIAN(IF('Processed Non-zero DMR Data'!$K:$K=I248,'Processed Non-zero DMR Data'!$T:$T)),"N/A - Facility Does Not Report DMRs")</f>
        <v>1.4074E-2</v>
      </c>
      <c r="T248" s="33">
        <f t="shared" si="54"/>
        <v>3.855890410958904E-5</v>
      </c>
      <c r="U248" s="33">
        <f>IF(COUNTIF('Processed Non-zero DMR Data'!$K:$K,$I248)&gt;0,_xlfn.MAXIFS('Processed Non-zero DMR Data'!$T:$T,'Processed Non-zero DMR Data'!$K:$K,$I248), "N/A - Facility Does Not Report DMRs")</f>
        <v>2.1111000000000001E-2</v>
      </c>
      <c r="V248" s="33">
        <f t="shared" si="55"/>
        <v>5.7838356164383567E-5</v>
      </c>
      <c r="W248" s="110" cm="1">
        <f t="array" ref="W248">IF(COUNTIF('Processed Non-zero DMR Data'!$K:$K,$I248)&gt;0,INDEX('Processed Non-zero DMR Data'!$A:$A,MATCH(1,($I248='Processed Non-zero DMR Data'!$K:$K)*($U248='Processed Non-zero DMR Data'!$T:$T),0)), "N/A - Facility Does Not Report DMRs")</f>
        <v>2019</v>
      </c>
      <c r="X248" s="109" cm="1">
        <f t="array" ref="X248">IFERROR(_xlfn.XLOOKUP(1,  (MAX(IF(H248 = 'Processed Non-zero TRI Data'!$I:$I,'Processed Non-zero TRI Data'!$A:$A)) = 'Processed Non-zero TRI Data'!$A:$A)*('Processed Non-zero TRI Data'!$I:$I = H248), 'Processed Non-zero TRI Data'!$S:$S), "N/A- Facility Does Not Report to TRI")</f>
        <v>0</v>
      </c>
      <c r="Y248" s="33">
        <f t="shared" si="44"/>
        <v>0</v>
      </c>
      <c r="Z248" s="33" t="str" cm="1">
        <f t="array" ref="Z248">IF(COUNTIF('Processed Non-zero TRI Data'!$I:$I,$H248)&gt;0,MEDIAN(IF('Processed Non-zero TRI Data'!$I:$I=H248,'Processed Non-zero TRI Data'!$S:$S)), "N/A - Facility Does Not Report to TRI")</f>
        <v>N/A - Facility Does Not Report to TRI</v>
      </c>
      <c r="AA248" s="33" t="str">
        <f t="shared" si="45"/>
        <v>N/A - Facility Does Not Report to TRI</v>
      </c>
      <c r="AB248" s="33" t="str">
        <f>IF(COUNTIF('Processed Non-zero TRI Data'!$I:$I,$H248)&gt;0,_xlfn.MAXIFS('Processed Non-zero TRI Data'!$S:$S,'Processed Non-zero TRI Data'!$I:$I,$H248), "N/A - Facility Does Not Report to TRI")</f>
        <v>N/A - Facility Does Not Report to TRI</v>
      </c>
      <c r="AC248" s="33" t="str">
        <f t="shared" si="46"/>
        <v>N/A - Facility Does Not Report to TRI</v>
      </c>
      <c r="AD248" s="110" t="str" cm="1">
        <f t="array" ref="AD248">IFERROR(IF(B248 = "TRI Form R", IF(AB248 = 0, "Facility has no on-site water discharges between 2019-2023.",  IF(COUNTIF('Processed Non-zero TRI Data'!$I:$I,$H248)&gt;0,INDEX('Processed Non-zero TRI Data'!$A:$A,MATCH(1,($H248='Processed Non-zero TRI Data'!$I:$I)*(AB248='Processed Non-zero TRI Data'!$S:$S),0)))), VLOOKUP(H248, 'Form A Recent Reporting'!$L:$M, 2, FALSE)), ("N/A - Facility Does Not Report to TRI"))</f>
        <v>N/A - Facility Does Not Report to TRI</v>
      </c>
      <c r="AE248" s="109" cm="1">
        <f t="array" ref="AE248">IFERROR(_xlfn.XLOOKUP(1,  (MAX(IF(H248 = 'Processed Non-zero TRI Data'!$I:$I,'Processed Non-zero TRI Data'!$A:$A)) = 'Processed Non-zero TRI Data'!$A:$A)*('Processed Non-zero TRI Data'!$I:$I = H248), 'Processed Non-zero TRI Data'!$U:$U), "N/A- Facility Does Not Report to TRI")</f>
        <v>0</v>
      </c>
      <c r="AF248" s="33">
        <f t="shared" si="47"/>
        <v>0</v>
      </c>
      <c r="AG248" s="33" t="str" cm="1">
        <f t="array" ref="AG248">IF(COUNTIF('Processed Non-zero TRI Data'!$I:$I,$H248)&gt;0,MEDIAN(IF('Processed Non-zero TRI Data'!$I:$I=H248,'Processed Non-zero TRI Data'!$U:$U)), "N/A - Facility Does Not Report to TRI")</f>
        <v>N/A - Facility Does Not Report to TRI</v>
      </c>
      <c r="AH248" s="33" t="str">
        <f t="shared" si="48"/>
        <v>N/A - Facility Does Not Report to TRI</v>
      </c>
      <c r="AI248" s="33" t="str">
        <f>IF(COUNTIF('Processed Non-zero TRI Data'!$I:$I,$H248)&gt;0,_xlfn.MAXIFS('Processed Non-zero TRI Data'!$U:$U,'Processed Non-zero TRI Data'!$I:$I,$H248), "N/A - Facility Does Not Report to TRI")</f>
        <v>N/A - Facility Does Not Report to TRI</v>
      </c>
      <c r="AJ248" s="33" t="str">
        <f t="shared" si="49"/>
        <v>N/A - Facility Does Not Report to TRI</v>
      </c>
      <c r="AK248" s="110" t="str" cm="1">
        <f t="array" ref="AK248">IF(B248="TRI Form A",AD248,IF(AI248=0,"Facility has no transfers to POTWs between 2019-2023.",IF(COUNTIF('Processed Non-zero TRI Data'!$I:$I,$H248)&gt;0,INDEX('Processed Non-zero TRI Data'!$A:$A,MATCH(1,($H248='Processed Non-zero TRI Data'!$I:$I)*(AI248='Processed Non-zero TRI Data'!$U:$U),0)),"N/A - Facility Does Not Report to TRI")))</f>
        <v>N/A - Facility Does Not Report to TRI</v>
      </c>
      <c r="AL248" s="109" cm="1">
        <f t="array" ref="AL248">IFERROR(_xlfn.XLOOKUP(1,  (MAX(IF(H248 = 'Processed Non-zero TRI Data'!$I$2:$I$23,'Processed Non-zero TRI Data'!$A$2:$A$23)) = 'Processed Non-zero TRI Data'!$A$2:$A$23)*('Processed Non-zero TRI Data'!$I$2:$I$23 = H248), 'Processed Non-zero TRI Data'!$W$2:$W$23), "N/A- Facility Does Not Report to TRI")</f>
        <v>0</v>
      </c>
      <c r="AM248" s="33">
        <f t="shared" si="50"/>
        <v>0</v>
      </c>
      <c r="AN248" s="33" t="str" cm="1">
        <f t="array" ref="AN248">IF(COUNTIF('Processed Non-zero TRI Data'!$I:$I,$H248)&gt;0,MEDIAN(IF('Processed Non-zero TRI Data'!$I:$I=H248,'Processed Non-zero TRI Data'!$W:$W)), "N/A - Facility Does Not Report to TRI")</f>
        <v>N/A - Facility Does Not Report to TRI</v>
      </c>
      <c r="AO248" s="33" t="str">
        <f t="shared" si="51"/>
        <v>N/A - Facility Does Not Report to TRI</v>
      </c>
      <c r="AP248" s="33" t="str">
        <f>IF(COUNTIF('Processed Non-zero TRI Data'!$I:$I,$H248)&gt;0,_xlfn.MAXIFS('Processed Non-zero TRI Data'!$W:$W,'Processed Non-zero TRI Data'!$I:$I,$H248), "N/A - Facility Does Not Report to TRI")</f>
        <v>N/A - Facility Does Not Report to TRI</v>
      </c>
      <c r="AQ248" s="33" t="str">
        <f t="shared" si="52"/>
        <v>N/A - Facility Does Not Report to TRI</v>
      </c>
      <c r="AR248" s="110" t="str" cm="1">
        <f t="array" ref="AR248">IF(B248="TRI Form A",AD248,IF(AP248=0,"Facility has no transfers to non-POTWs between 2019-2023.",IF(COUNTIF('Processed Non-zero TRI Data'!$I:$I,$H248)&gt;0,INDEX('Processed Non-zero TRI Data'!$A:$A,MATCH(1,($H248='Processed Non-zero TRI Data'!$I:$I)*(AP248='Processed Non-zero TRI Data'!$W:$W),0)),"N/A - Facility Does Not Report to TRI")))</f>
        <v>N/A - Facility Does Not Report to TRI</v>
      </c>
    </row>
    <row r="249" spans="1:44" ht="29" x14ac:dyDescent="0.35">
      <c r="A249" s="34">
        <v>246</v>
      </c>
      <c r="B249" s="33" t="str">
        <f>IFERROR("TRI Form "&amp;VLOOKUP(H249,'Processed Non-zero TRI Data'!$I$2:$K$23,3,FALSE),"DMR")</f>
        <v>DMR</v>
      </c>
      <c r="C249" s="33" t="str">
        <f>VLOOKUP($D249, 'COU.OES Summary'!C:D, 2, FALSE)</f>
        <v> </v>
      </c>
      <c r="D249" s="33" t="str">
        <f>IFERROR(VLOOKUP($H249, 'Processed Non-zero TRI Data'!$I:$O, 7, FALSE), VLOOKUP($I249, 'Processed Non-zero DMR Data'!$K:$R, 8, FALSE))</f>
        <v>Waste handling, treatment, and disposal - Remediation or Monitoring</v>
      </c>
      <c r="E249" s="34" t="s">
        <v>568</v>
      </c>
      <c r="F249" s="34" t="s">
        <v>300</v>
      </c>
      <c r="G249" s="34" t="s">
        <v>254</v>
      </c>
      <c r="H249" s="34"/>
      <c r="I249" s="105">
        <v>110009721836</v>
      </c>
      <c r="J249" s="33" t="str">
        <f>IFERROR(VLOOKUP($I249, 'Processed Non-zero DMR Data'!$K:$U, 11, FALSE),"")</f>
        <v>NJG105589</v>
      </c>
      <c r="K249" s="33" t="str">
        <f>IFERROR(VLOOKUP($I249, 'Processed Non-zero DMR Data'!$K:$V, 12, FALSE),"Not Reported")</f>
        <v>Repaupo Creek-Delaware River</v>
      </c>
      <c r="L249" s="106">
        <f>IFERROR(VLOOKUP($I249, 'Processed Non-zero DMR Data'!$K:$W, 13, FALSE),"No Reach Code Reported")</f>
        <v>20402020607</v>
      </c>
      <c r="M249" s="107" t="str">
        <f>IFERROR(IFERROR(VLOOKUP(H249, 'Off-site Locations'!$K$3:$O$5, 5, FALSE), VLOOKUP(H249, 'Off-site Locations'!$B$3:$E$4, 4, FALSE)), "No Offsite Transfers")</f>
        <v>No Offsite Transfers</v>
      </c>
      <c r="N249" s="33">
        <f>VLOOKUP($D249, 'COU.OES Summary'!C:E, 3, FALSE)</f>
        <v>365</v>
      </c>
      <c r="O249" s="108">
        <f t="shared" si="42"/>
        <v>0</v>
      </c>
      <c r="P249" s="108">
        <f t="shared" si="43"/>
        <v>2.0696048263675E-2</v>
      </c>
      <c r="Q249" s="109" cm="1">
        <f t="array" ref="Q249">IFERROR(_xlfn.XLOOKUP(1,  (MAX(IF(I249 = 'Processed Non-zero DMR Data'!$K:$K,'Processed Non-zero DMR Data'!$A:$A)) = 'Processed Non-zero DMR Data'!$A:$A)*('Processed Non-zero DMR Data'!$K:$K = I249),'Processed Non-zero DMR Data'!$T:$T), "N/A- Facility Does Not Report DMRs")</f>
        <v>1.15182685488E-2</v>
      </c>
      <c r="R249" s="33">
        <f t="shared" si="53"/>
        <v>3.1556900133698631E-5</v>
      </c>
      <c r="S249" s="33" cm="1">
        <f t="array" ref="S249">IF(COUNTIF('Processed Non-zero DMR Data'!$K:$K,$I249)&gt;0,MEDIAN(IF('Processed Non-zero DMR Data'!$K:$K=I249,'Processed Non-zero DMR Data'!$T:$T)),"N/A - Facility Does Not Report DMRs")</f>
        <v>1.47777715636E-2</v>
      </c>
      <c r="T249" s="33">
        <f t="shared" si="54"/>
        <v>4.0487045379726026E-5</v>
      </c>
      <c r="U249" s="33">
        <f>IF(COUNTIF('Processed Non-zero DMR Data'!$K:$K,$I249)&gt;0,_xlfn.MAXIFS('Processed Non-zero DMR Data'!$T:$T,'Processed Non-zero DMR Data'!$K:$K,$I249), "N/A - Facility Does Not Report DMRs")</f>
        <v>2.0696048263675E-2</v>
      </c>
      <c r="V249" s="33">
        <f t="shared" si="55"/>
        <v>5.6701502092260277E-5</v>
      </c>
      <c r="W249" s="110" cm="1">
        <f t="array" ref="W249">IF(COUNTIF('Processed Non-zero DMR Data'!$K:$K,$I249)&gt;0,INDEX('Processed Non-zero DMR Data'!$A:$A,MATCH(1,($I249='Processed Non-zero DMR Data'!$K:$K)*($U249='Processed Non-zero DMR Data'!$T:$T),0)), "N/A - Facility Does Not Report DMRs")</f>
        <v>2019</v>
      </c>
      <c r="X249" s="109" cm="1">
        <f t="array" ref="X249">IFERROR(_xlfn.XLOOKUP(1,  (MAX(IF(H249 = 'Processed Non-zero TRI Data'!$I:$I,'Processed Non-zero TRI Data'!$A:$A)) = 'Processed Non-zero TRI Data'!$A:$A)*('Processed Non-zero TRI Data'!$I:$I = H249), 'Processed Non-zero TRI Data'!$S:$S), "N/A- Facility Does Not Report to TRI")</f>
        <v>0</v>
      </c>
      <c r="Y249" s="33">
        <f t="shared" si="44"/>
        <v>0</v>
      </c>
      <c r="Z249" s="33" t="str" cm="1">
        <f t="array" ref="Z249">IF(COUNTIF('Processed Non-zero TRI Data'!$I:$I,$H249)&gt;0,MEDIAN(IF('Processed Non-zero TRI Data'!$I:$I=H249,'Processed Non-zero TRI Data'!$S:$S)), "N/A - Facility Does Not Report to TRI")</f>
        <v>N/A - Facility Does Not Report to TRI</v>
      </c>
      <c r="AA249" s="33" t="str">
        <f t="shared" si="45"/>
        <v>N/A - Facility Does Not Report to TRI</v>
      </c>
      <c r="AB249" s="33" t="str">
        <f>IF(COUNTIF('Processed Non-zero TRI Data'!$I:$I,$H249)&gt;0,_xlfn.MAXIFS('Processed Non-zero TRI Data'!$S:$S,'Processed Non-zero TRI Data'!$I:$I,$H249), "N/A - Facility Does Not Report to TRI")</f>
        <v>N/A - Facility Does Not Report to TRI</v>
      </c>
      <c r="AC249" s="33" t="str">
        <f t="shared" si="46"/>
        <v>N/A - Facility Does Not Report to TRI</v>
      </c>
      <c r="AD249" s="110" t="str" cm="1">
        <f t="array" ref="AD249">IFERROR(IF(B249 = "TRI Form R", IF(AB249 = 0, "Facility has no on-site water discharges between 2019-2023.",  IF(COUNTIF('Processed Non-zero TRI Data'!$I:$I,$H249)&gt;0,INDEX('Processed Non-zero TRI Data'!$A:$A,MATCH(1,($H249='Processed Non-zero TRI Data'!$I:$I)*(AB249='Processed Non-zero TRI Data'!$S:$S),0)))), VLOOKUP(H249, 'Form A Recent Reporting'!$L:$M, 2, FALSE)), ("N/A - Facility Does Not Report to TRI"))</f>
        <v>N/A - Facility Does Not Report to TRI</v>
      </c>
      <c r="AE249" s="109" cm="1">
        <f t="array" ref="AE249">IFERROR(_xlfn.XLOOKUP(1,  (MAX(IF(H249 = 'Processed Non-zero TRI Data'!$I:$I,'Processed Non-zero TRI Data'!$A:$A)) = 'Processed Non-zero TRI Data'!$A:$A)*('Processed Non-zero TRI Data'!$I:$I = H249), 'Processed Non-zero TRI Data'!$U:$U), "N/A- Facility Does Not Report to TRI")</f>
        <v>0</v>
      </c>
      <c r="AF249" s="33">
        <f t="shared" si="47"/>
        <v>0</v>
      </c>
      <c r="AG249" s="33" t="str" cm="1">
        <f t="array" ref="AG249">IF(COUNTIF('Processed Non-zero TRI Data'!$I:$I,$H249)&gt;0,MEDIAN(IF('Processed Non-zero TRI Data'!$I:$I=H249,'Processed Non-zero TRI Data'!$U:$U)), "N/A - Facility Does Not Report to TRI")</f>
        <v>N/A - Facility Does Not Report to TRI</v>
      </c>
      <c r="AH249" s="33" t="str">
        <f t="shared" si="48"/>
        <v>N/A - Facility Does Not Report to TRI</v>
      </c>
      <c r="AI249" s="33" t="str">
        <f>IF(COUNTIF('Processed Non-zero TRI Data'!$I:$I,$H249)&gt;0,_xlfn.MAXIFS('Processed Non-zero TRI Data'!$U:$U,'Processed Non-zero TRI Data'!$I:$I,$H249), "N/A - Facility Does Not Report to TRI")</f>
        <v>N/A - Facility Does Not Report to TRI</v>
      </c>
      <c r="AJ249" s="33" t="str">
        <f t="shared" si="49"/>
        <v>N/A - Facility Does Not Report to TRI</v>
      </c>
      <c r="AK249" s="110" t="str" cm="1">
        <f t="array" ref="AK249">IF(B249="TRI Form A",AD249,IF(AI249=0,"Facility has no transfers to POTWs between 2019-2023.",IF(COUNTIF('Processed Non-zero TRI Data'!$I:$I,$H249)&gt;0,INDEX('Processed Non-zero TRI Data'!$A:$A,MATCH(1,($H249='Processed Non-zero TRI Data'!$I:$I)*(AI249='Processed Non-zero TRI Data'!$U:$U),0)),"N/A - Facility Does Not Report to TRI")))</f>
        <v>N/A - Facility Does Not Report to TRI</v>
      </c>
      <c r="AL249" s="109" cm="1">
        <f t="array" ref="AL249">IFERROR(_xlfn.XLOOKUP(1,  (MAX(IF(H249 = 'Processed Non-zero TRI Data'!$I$2:$I$23,'Processed Non-zero TRI Data'!$A$2:$A$23)) = 'Processed Non-zero TRI Data'!$A$2:$A$23)*('Processed Non-zero TRI Data'!$I$2:$I$23 = H249), 'Processed Non-zero TRI Data'!$W$2:$W$23), "N/A- Facility Does Not Report to TRI")</f>
        <v>0</v>
      </c>
      <c r="AM249" s="33">
        <f t="shared" si="50"/>
        <v>0</v>
      </c>
      <c r="AN249" s="33" t="str" cm="1">
        <f t="array" ref="AN249">IF(COUNTIF('Processed Non-zero TRI Data'!$I:$I,$H249)&gt;0,MEDIAN(IF('Processed Non-zero TRI Data'!$I:$I=H249,'Processed Non-zero TRI Data'!$W:$W)), "N/A - Facility Does Not Report to TRI")</f>
        <v>N/A - Facility Does Not Report to TRI</v>
      </c>
      <c r="AO249" s="33" t="str">
        <f t="shared" si="51"/>
        <v>N/A - Facility Does Not Report to TRI</v>
      </c>
      <c r="AP249" s="33" t="str">
        <f>IF(COUNTIF('Processed Non-zero TRI Data'!$I:$I,$H249)&gt;0,_xlfn.MAXIFS('Processed Non-zero TRI Data'!$W:$W,'Processed Non-zero TRI Data'!$I:$I,$H249), "N/A - Facility Does Not Report to TRI")</f>
        <v>N/A - Facility Does Not Report to TRI</v>
      </c>
      <c r="AQ249" s="33" t="str">
        <f t="shared" si="52"/>
        <v>N/A - Facility Does Not Report to TRI</v>
      </c>
      <c r="AR249" s="110" t="str" cm="1">
        <f t="array" ref="AR249">IF(B249="TRI Form A",AD249,IF(AP249=0,"Facility has no transfers to non-POTWs between 2019-2023.",IF(COUNTIF('Processed Non-zero TRI Data'!$I:$I,$H249)&gt;0,INDEX('Processed Non-zero TRI Data'!$A:$A,MATCH(1,($H249='Processed Non-zero TRI Data'!$I:$I)*(AP249='Processed Non-zero TRI Data'!$W:$W),0)),"N/A - Facility Does Not Report to TRI")))</f>
        <v>N/A - Facility Does Not Report to TRI</v>
      </c>
    </row>
    <row r="250" spans="1:44" ht="29" x14ac:dyDescent="0.35">
      <c r="A250" s="34">
        <v>247</v>
      </c>
      <c r="B250" s="33" t="str">
        <f>IFERROR("TRI Form "&amp;VLOOKUP(H250,'Processed Non-zero TRI Data'!$I$2:$K$23,3,FALSE),"DMR")</f>
        <v>DMR</v>
      </c>
      <c r="C250" s="33" t="str">
        <f>VLOOKUP($D250, 'COU.OES Summary'!C:D, 2, FALSE)</f>
        <v> </v>
      </c>
      <c r="D250" s="33" t="str">
        <f>IFERROR(VLOOKUP($H250, 'Processed Non-zero TRI Data'!$I:$O, 7, FALSE), VLOOKUP($I250, 'Processed Non-zero DMR Data'!$K:$R, 8, FALSE))</f>
        <v>Waste handling, treatment, and disposal - Remediation or Monitoring</v>
      </c>
      <c r="E250" s="34" t="s">
        <v>569</v>
      </c>
      <c r="F250" s="34" t="s">
        <v>570</v>
      </c>
      <c r="G250" s="34" t="s">
        <v>102</v>
      </c>
      <c r="H250" s="34"/>
      <c r="I250" s="105">
        <v>110028243791</v>
      </c>
      <c r="J250" s="33" t="str">
        <f>IFERROR(VLOOKUP($I250, 'Processed Non-zero DMR Data'!$K:$U, 11, FALSE),"")</f>
        <v>CA0063177</v>
      </c>
      <c r="K250" s="33" t="str">
        <f>IFERROR(VLOOKUP($I250, 'Processed Non-zero DMR Data'!$K:$V, 12, FALSE),"Not Reported")</f>
        <v>Long Beach Harbor</v>
      </c>
      <c r="L250" s="106">
        <f>IFERROR(VLOOKUP($I250, 'Processed Non-zero DMR Data'!$K:$W, 13, FALSE),"No Reach Code Reported")</f>
        <v>180701060701</v>
      </c>
      <c r="M250" s="107" t="str">
        <f>IFERROR(IFERROR(VLOOKUP(H250, 'Off-site Locations'!$K$3:$O$5, 5, FALSE), VLOOKUP(H250, 'Off-site Locations'!$B$3:$E$4, 4, FALSE)), "No Offsite Transfers")</f>
        <v>No Offsite Transfers</v>
      </c>
      <c r="N250" s="33">
        <f>VLOOKUP($D250, 'COU.OES Summary'!C:E, 3, FALSE)</f>
        <v>365</v>
      </c>
      <c r="O250" s="108">
        <f t="shared" si="42"/>
        <v>0</v>
      </c>
      <c r="P250" s="108">
        <f t="shared" si="43"/>
        <v>2.02980560625E-2</v>
      </c>
      <c r="Q250" s="109" cm="1">
        <f t="array" ref="Q250">IFERROR(_xlfn.XLOOKUP(1,  (MAX(IF(I250 = 'Processed Non-zero DMR Data'!$K:$K,'Processed Non-zero DMR Data'!$A:$A)) = 'Processed Non-zero DMR Data'!$A:$A)*('Processed Non-zero DMR Data'!$K:$K = I250),'Processed Non-zero DMR Data'!$T:$T), "N/A- Facility Does Not Report DMRs")</f>
        <v>2.02980560625E-2</v>
      </c>
      <c r="R250" s="33">
        <f t="shared" si="53"/>
        <v>5.5611112499999998E-5</v>
      </c>
      <c r="S250" s="33" cm="1">
        <f t="array" ref="S250">IF(COUNTIF('Processed Non-zero DMR Data'!$K:$K,$I250)&gt;0,MEDIAN(IF('Processed Non-zero DMR Data'!$K:$K=I250,'Processed Non-zero DMR Data'!$T:$T)),"N/A - Facility Does Not Report DMRs")</f>
        <v>2.02980560625E-2</v>
      </c>
      <c r="T250" s="33">
        <f t="shared" si="54"/>
        <v>5.5611112499999998E-5</v>
      </c>
      <c r="U250" s="33">
        <f>IF(COUNTIF('Processed Non-zero DMR Data'!$K:$K,$I250)&gt;0,_xlfn.MAXIFS('Processed Non-zero DMR Data'!$T:$T,'Processed Non-zero DMR Data'!$K:$K,$I250), "N/A - Facility Does Not Report DMRs")</f>
        <v>2.02980560625E-2</v>
      </c>
      <c r="V250" s="33">
        <f t="shared" si="55"/>
        <v>5.5611112499999998E-5</v>
      </c>
      <c r="W250" s="110" cm="1">
        <f t="array" ref="W250">IF(COUNTIF('Processed Non-zero DMR Data'!$K:$K,$I250)&gt;0,INDEX('Processed Non-zero DMR Data'!$A:$A,MATCH(1,($I250='Processed Non-zero DMR Data'!$K:$K)*($U250='Processed Non-zero DMR Data'!$T:$T),0)), "N/A - Facility Does Not Report DMRs")</f>
        <v>2019</v>
      </c>
      <c r="X250" s="109" cm="1">
        <f t="array" ref="X250">IFERROR(_xlfn.XLOOKUP(1,  (MAX(IF(H250 = 'Processed Non-zero TRI Data'!$I:$I,'Processed Non-zero TRI Data'!$A:$A)) = 'Processed Non-zero TRI Data'!$A:$A)*('Processed Non-zero TRI Data'!$I:$I = H250), 'Processed Non-zero TRI Data'!$S:$S), "N/A- Facility Does Not Report to TRI")</f>
        <v>0</v>
      </c>
      <c r="Y250" s="33">
        <f t="shared" si="44"/>
        <v>0</v>
      </c>
      <c r="Z250" s="33" t="str" cm="1">
        <f t="array" ref="Z250">IF(COUNTIF('Processed Non-zero TRI Data'!$I:$I,$H250)&gt;0,MEDIAN(IF('Processed Non-zero TRI Data'!$I:$I=H250,'Processed Non-zero TRI Data'!$S:$S)), "N/A - Facility Does Not Report to TRI")</f>
        <v>N/A - Facility Does Not Report to TRI</v>
      </c>
      <c r="AA250" s="33" t="str">
        <f t="shared" si="45"/>
        <v>N/A - Facility Does Not Report to TRI</v>
      </c>
      <c r="AB250" s="33" t="str">
        <f>IF(COUNTIF('Processed Non-zero TRI Data'!$I:$I,$H250)&gt;0,_xlfn.MAXIFS('Processed Non-zero TRI Data'!$S:$S,'Processed Non-zero TRI Data'!$I:$I,$H250), "N/A - Facility Does Not Report to TRI")</f>
        <v>N/A - Facility Does Not Report to TRI</v>
      </c>
      <c r="AC250" s="33" t="str">
        <f t="shared" si="46"/>
        <v>N/A - Facility Does Not Report to TRI</v>
      </c>
      <c r="AD250" s="110" t="str" cm="1">
        <f t="array" ref="AD250">IFERROR(IF(B250 = "TRI Form R", IF(AB250 = 0, "Facility has no on-site water discharges between 2019-2023.",  IF(COUNTIF('Processed Non-zero TRI Data'!$I:$I,$H250)&gt;0,INDEX('Processed Non-zero TRI Data'!$A:$A,MATCH(1,($H250='Processed Non-zero TRI Data'!$I:$I)*(AB250='Processed Non-zero TRI Data'!$S:$S),0)))), VLOOKUP(H250, 'Form A Recent Reporting'!$L:$M, 2, FALSE)), ("N/A - Facility Does Not Report to TRI"))</f>
        <v>N/A - Facility Does Not Report to TRI</v>
      </c>
      <c r="AE250" s="109" cm="1">
        <f t="array" ref="AE250">IFERROR(_xlfn.XLOOKUP(1,  (MAX(IF(H250 = 'Processed Non-zero TRI Data'!$I:$I,'Processed Non-zero TRI Data'!$A:$A)) = 'Processed Non-zero TRI Data'!$A:$A)*('Processed Non-zero TRI Data'!$I:$I = H250), 'Processed Non-zero TRI Data'!$U:$U), "N/A- Facility Does Not Report to TRI")</f>
        <v>0</v>
      </c>
      <c r="AF250" s="33">
        <f t="shared" si="47"/>
        <v>0</v>
      </c>
      <c r="AG250" s="33" t="str" cm="1">
        <f t="array" ref="AG250">IF(COUNTIF('Processed Non-zero TRI Data'!$I:$I,$H250)&gt;0,MEDIAN(IF('Processed Non-zero TRI Data'!$I:$I=H250,'Processed Non-zero TRI Data'!$U:$U)), "N/A - Facility Does Not Report to TRI")</f>
        <v>N/A - Facility Does Not Report to TRI</v>
      </c>
      <c r="AH250" s="33" t="str">
        <f t="shared" si="48"/>
        <v>N/A - Facility Does Not Report to TRI</v>
      </c>
      <c r="AI250" s="33" t="str">
        <f>IF(COUNTIF('Processed Non-zero TRI Data'!$I:$I,$H250)&gt;0,_xlfn.MAXIFS('Processed Non-zero TRI Data'!$U:$U,'Processed Non-zero TRI Data'!$I:$I,$H250), "N/A - Facility Does Not Report to TRI")</f>
        <v>N/A - Facility Does Not Report to TRI</v>
      </c>
      <c r="AJ250" s="33" t="str">
        <f t="shared" si="49"/>
        <v>N/A - Facility Does Not Report to TRI</v>
      </c>
      <c r="AK250" s="110" t="str" cm="1">
        <f t="array" ref="AK250">IF(B250="TRI Form A",AD250,IF(AI250=0,"Facility has no transfers to POTWs between 2019-2023.",IF(COUNTIF('Processed Non-zero TRI Data'!$I:$I,$H250)&gt;0,INDEX('Processed Non-zero TRI Data'!$A:$A,MATCH(1,($H250='Processed Non-zero TRI Data'!$I:$I)*(AI250='Processed Non-zero TRI Data'!$U:$U),0)),"N/A - Facility Does Not Report to TRI")))</f>
        <v>N/A - Facility Does Not Report to TRI</v>
      </c>
      <c r="AL250" s="109" cm="1">
        <f t="array" ref="AL250">IFERROR(_xlfn.XLOOKUP(1,  (MAX(IF(H250 = 'Processed Non-zero TRI Data'!$I$2:$I$23,'Processed Non-zero TRI Data'!$A$2:$A$23)) = 'Processed Non-zero TRI Data'!$A$2:$A$23)*('Processed Non-zero TRI Data'!$I$2:$I$23 = H250), 'Processed Non-zero TRI Data'!$W$2:$W$23), "N/A- Facility Does Not Report to TRI")</f>
        <v>0</v>
      </c>
      <c r="AM250" s="33">
        <f t="shared" si="50"/>
        <v>0</v>
      </c>
      <c r="AN250" s="33" t="str" cm="1">
        <f t="array" ref="AN250">IF(COUNTIF('Processed Non-zero TRI Data'!$I:$I,$H250)&gt;0,MEDIAN(IF('Processed Non-zero TRI Data'!$I:$I=H250,'Processed Non-zero TRI Data'!$W:$W)), "N/A - Facility Does Not Report to TRI")</f>
        <v>N/A - Facility Does Not Report to TRI</v>
      </c>
      <c r="AO250" s="33" t="str">
        <f t="shared" si="51"/>
        <v>N/A - Facility Does Not Report to TRI</v>
      </c>
      <c r="AP250" s="33" t="str">
        <f>IF(COUNTIF('Processed Non-zero TRI Data'!$I:$I,$H250)&gt;0,_xlfn.MAXIFS('Processed Non-zero TRI Data'!$W:$W,'Processed Non-zero TRI Data'!$I:$I,$H250), "N/A - Facility Does Not Report to TRI")</f>
        <v>N/A - Facility Does Not Report to TRI</v>
      </c>
      <c r="AQ250" s="33" t="str">
        <f t="shared" si="52"/>
        <v>N/A - Facility Does Not Report to TRI</v>
      </c>
      <c r="AR250" s="110" t="str" cm="1">
        <f t="array" ref="AR250">IF(B250="TRI Form A",AD250,IF(AP250=0,"Facility has no transfers to non-POTWs between 2019-2023.",IF(COUNTIF('Processed Non-zero TRI Data'!$I:$I,$H250)&gt;0,INDEX('Processed Non-zero TRI Data'!$A:$A,MATCH(1,($H250='Processed Non-zero TRI Data'!$I:$I)*(AP250='Processed Non-zero TRI Data'!$W:$W),0)),"N/A - Facility Does Not Report to TRI")))</f>
        <v>N/A - Facility Does Not Report to TRI</v>
      </c>
    </row>
    <row r="251" spans="1:44" ht="29" x14ac:dyDescent="0.35">
      <c r="A251" s="34">
        <v>248</v>
      </c>
      <c r="B251" s="33" t="str">
        <f>IFERROR("TRI Form "&amp;VLOOKUP(H251,'Processed Non-zero TRI Data'!$I$2:$K$23,3,FALSE),"DMR")</f>
        <v>DMR</v>
      </c>
      <c r="C251" s="33" t="str">
        <f>VLOOKUP($D251, 'COU.OES Summary'!C:D, 2, FALSE)</f>
        <v> </v>
      </c>
      <c r="D251" s="33" t="str">
        <f>IFERROR(VLOOKUP($H251, 'Processed Non-zero TRI Data'!$I:$O, 7, FALSE), VLOOKUP($I251, 'Processed Non-zero DMR Data'!$K:$R, 8, FALSE))</f>
        <v>Waste handling, treatment, and disposal - Remediation or Monitoring</v>
      </c>
      <c r="E251" s="34" t="s">
        <v>571</v>
      </c>
      <c r="F251" s="34" t="s">
        <v>572</v>
      </c>
      <c r="G251" s="34" t="s">
        <v>276</v>
      </c>
      <c r="H251" s="34"/>
      <c r="I251" s="105">
        <v>110070684897</v>
      </c>
      <c r="J251" s="33" t="str">
        <f>IFERROR(VLOOKUP($I251, 'Processed Non-zero DMR Data'!$K:$U, 11, FALSE),"")</f>
        <v>VAG830552</v>
      </c>
      <c r="K251" s="33" t="str">
        <f>IFERROR(VLOOKUP($I251, 'Processed Non-zero DMR Data'!$K:$V, 12, FALSE),"Not Reported")</f>
        <v>Difficult Run</v>
      </c>
      <c r="L251" s="106">
        <f>IFERROR(VLOOKUP($I251, 'Processed Non-zero DMR Data'!$K:$W, 13, FALSE),"No Reach Code Reported")</f>
        <v>20700081004</v>
      </c>
      <c r="M251" s="107" t="str">
        <f>IFERROR(IFERROR(VLOOKUP(H251, 'Off-site Locations'!$K$3:$O$5, 5, FALSE), VLOOKUP(H251, 'Off-site Locations'!$B$3:$E$4, 4, FALSE)), "No Offsite Transfers")</f>
        <v>No Offsite Transfers</v>
      </c>
      <c r="N251" s="33">
        <f>VLOOKUP($D251, 'COU.OES Summary'!C:E, 3, FALSE)</f>
        <v>365</v>
      </c>
      <c r="O251" s="108">
        <f t="shared" si="42"/>
        <v>0</v>
      </c>
      <c r="P251" s="108">
        <f t="shared" si="43"/>
        <v>1.9963328727272699E-2</v>
      </c>
      <c r="Q251" s="109" cm="1">
        <f t="array" ref="Q251">IFERROR(_xlfn.XLOOKUP(1,  (MAX(IF(I251 = 'Processed Non-zero DMR Data'!$K:$K,'Processed Non-zero DMR Data'!$A:$A)) = 'Processed Non-zero DMR Data'!$A:$A)*('Processed Non-zero DMR Data'!$K:$K = I251),'Processed Non-zero DMR Data'!$T:$T), "N/A- Facility Does Not Report DMRs")</f>
        <v>4.3259948672727203E-3</v>
      </c>
      <c r="R251" s="33">
        <f t="shared" si="53"/>
        <v>1.1852040732254029E-5</v>
      </c>
      <c r="S251" s="33" cm="1">
        <f t="array" ref="S251">IF(COUNTIF('Processed Non-zero DMR Data'!$K:$K,$I251)&gt;0,MEDIAN(IF('Processed Non-zero DMR Data'!$K:$K=I251,'Processed Non-zero DMR Data'!$T:$T)),"N/A - Facility Does Not Report DMRs")</f>
        <v>6.9788700550000001E-3</v>
      </c>
      <c r="T251" s="33">
        <f t="shared" si="54"/>
        <v>1.9120191931506851E-5</v>
      </c>
      <c r="U251" s="33">
        <f>IF(COUNTIF('Processed Non-zero DMR Data'!$K:$K,$I251)&gt;0,_xlfn.MAXIFS('Processed Non-zero DMR Data'!$T:$T,'Processed Non-zero DMR Data'!$K:$K,$I251), "N/A - Facility Does Not Report DMRs")</f>
        <v>1.9963328727272699E-2</v>
      </c>
      <c r="V251" s="33">
        <f t="shared" si="55"/>
        <v>5.4694051307596438E-5</v>
      </c>
      <c r="W251" s="110" cm="1">
        <f t="array" ref="W251">IF(COUNTIF('Processed Non-zero DMR Data'!$K:$K,$I251)&gt;0,INDEX('Processed Non-zero DMR Data'!$A:$A,MATCH(1,($I251='Processed Non-zero DMR Data'!$K:$K)*($U251='Processed Non-zero DMR Data'!$T:$T),0)), "N/A - Facility Does Not Report DMRs")</f>
        <v>2020</v>
      </c>
      <c r="X251" s="109" cm="1">
        <f t="array" ref="X251">IFERROR(_xlfn.XLOOKUP(1,  (MAX(IF(H251 = 'Processed Non-zero TRI Data'!$I:$I,'Processed Non-zero TRI Data'!$A:$A)) = 'Processed Non-zero TRI Data'!$A:$A)*('Processed Non-zero TRI Data'!$I:$I = H251), 'Processed Non-zero TRI Data'!$S:$S), "N/A- Facility Does Not Report to TRI")</f>
        <v>0</v>
      </c>
      <c r="Y251" s="33">
        <f t="shared" si="44"/>
        <v>0</v>
      </c>
      <c r="Z251" s="33" t="str" cm="1">
        <f t="array" ref="Z251">IF(COUNTIF('Processed Non-zero TRI Data'!$I:$I,$H251)&gt;0,MEDIAN(IF('Processed Non-zero TRI Data'!$I:$I=H251,'Processed Non-zero TRI Data'!$S:$S)), "N/A - Facility Does Not Report to TRI")</f>
        <v>N/A - Facility Does Not Report to TRI</v>
      </c>
      <c r="AA251" s="33" t="str">
        <f t="shared" si="45"/>
        <v>N/A - Facility Does Not Report to TRI</v>
      </c>
      <c r="AB251" s="33" t="str">
        <f>IF(COUNTIF('Processed Non-zero TRI Data'!$I:$I,$H251)&gt;0,_xlfn.MAXIFS('Processed Non-zero TRI Data'!$S:$S,'Processed Non-zero TRI Data'!$I:$I,$H251), "N/A - Facility Does Not Report to TRI")</f>
        <v>N/A - Facility Does Not Report to TRI</v>
      </c>
      <c r="AC251" s="33" t="str">
        <f t="shared" si="46"/>
        <v>N/A - Facility Does Not Report to TRI</v>
      </c>
      <c r="AD251" s="110" t="str" cm="1">
        <f t="array" ref="AD251">IFERROR(IF(B251 = "TRI Form R", IF(AB251 = 0, "Facility has no on-site water discharges between 2019-2023.",  IF(COUNTIF('Processed Non-zero TRI Data'!$I:$I,$H251)&gt;0,INDEX('Processed Non-zero TRI Data'!$A:$A,MATCH(1,($H251='Processed Non-zero TRI Data'!$I:$I)*(AB251='Processed Non-zero TRI Data'!$S:$S),0)))), VLOOKUP(H251, 'Form A Recent Reporting'!$L:$M, 2, FALSE)), ("N/A - Facility Does Not Report to TRI"))</f>
        <v>N/A - Facility Does Not Report to TRI</v>
      </c>
      <c r="AE251" s="109" cm="1">
        <f t="array" ref="AE251">IFERROR(_xlfn.XLOOKUP(1,  (MAX(IF(H251 = 'Processed Non-zero TRI Data'!$I:$I,'Processed Non-zero TRI Data'!$A:$A)) = 'Processed Non-zero TRI Data'!$A:$A)*('Processed Non-zero TRI Data'!$I:$I = H251), 'Processed Non-zero TRI Data'!$U:$U), "N/A- Facility Does Not Report to TRI")</f>
        <v>0</v>
      </c>
      <c r="AF251" s="33">
        <f t="shared" si="47"/>
        <v>0</v>
      </c>
      <c r="AG251" s="33" t="str" cm="1">
        <f t="array" ref="AG251">IF(COUNTIF('Processed Non-zero TRI Data'!$I:$I,$H251)&gt;0,MEDIAN(IF('Processed Non-zero TRI Data'!$I:$I=H251,'Processed Non-zero TRI Data'!$U:$U)), "N/A - Facility Does Not Report to TRI")</f>
        <v>N/A - Facility Does Not Report to TRI</v>
      </c>
      <c r="AH251" s="33" t="str">
        <f t="shared" si="48"/>
        <v>N/A - Facility Does Not Report to TRI</v>
      </c>
      <c r="AI251" s="33" t="str">
        <f>IF(COUNTIF('Processed Non-zero TRI Data'!$I:$I,$H251)&gt;0,_xlfn.MAXIFS('Processed Non-zero TRI Data'!$U:$U,'Processed Non-zero TRI Data'!$I:$I,$H251), "N/A - Facility Does Not Report to TRI")</f>
        <v>N/A - Facility Does Not Report to TRI</v>
      </c>
      <c r="AJ251" s="33" t="str">
        <f t="shared" si="49"/>
        <v>N/A - Facility Does Not Report to TRI</v>
      </c>
      <c r="AK251" s="110" t="str" cm="1">
        <f t="array" ref="AK251">IF(B251="TRI Form A",AD251,IF(AI251=0,"Facility has no transfers to POTWs between 2019-2023.",IF(COUNTIF('Processed Non-zero TRI Data'!$I:$I,$H251)&gt;0,INDEX('Processed Non-zero TRI Data'!$A:$A,MATCH(1,($H251='Processed Non-zero TRI Data'!$I:$I)*(AI251='Processed Non-zero TRI Data'!$U:$U),0)),"N/A - Facility Does Not Report to TRI")))</f>
        <v>N/A - Facility Does Not Report to TRI</v>
      </c>
      <c r="AL251" s="109" cm="1">
        <f t="array" ref="AL251">IFERROR(_xlfn.XLOOKUP(1,  (MAX(IF(H251 = 'Processed Non-zero TRI Data'!$I$2:$I$23,'Processed Non-zero TRI Data'!$A$2:$A$23)) = 'Processed Non-zero TRI Data'!$A$2:$A$23)*('Processed Non-zero TRI Data'!$I$2:$I$23 = H251), 'Processed Non-zero TRI Data'!$W$2:$W$23), "N/A- Facility Does Not Report to TRI")</f>
        <v>0</v>
      </c>
      <c r="AM251" s="33">
        <f t="shared" si="50"/>
        <v>0</v>
      </c>
      <c r="AN251" s="33" t="str" cm="1">
        <f t="array" ref="AN251">IF(COUNTIF('Processed Non-zero TRI Data'!$I:$I,$H251)&gt;0,MEDIAN(IF('Processed Non-zero TRI Data'!$I:$I=H251,'Processed Non-zero TRI Data'!$W:$W)), "N/A - Facility Does Not Report to TRI")</f>
        <v>N/A - Facility Does Not Report to TRI</v>
      </c>
      <c r="AO251" s="33" t="str">
        <f t="shared" si="51"/>
        <v>N/A - Facility Does Not Report to TRI</v>
      </c>
      <c r="AP251" s="33" t="str">
        <f>IF(COUNTIF('Processed Non-zero TRI Data'!$I:$I,$H251)&gt;0,_xlfn.MAXIFS('Processed Non-zero TRI Data'!$W:$W,'Processed Non-zero TRI Data'!$I:$I,$H251), "N/A - Facility Does Not Report to TRI")</f>
        <v>N/A - Facility Does Not Report to TRI</v>
      </c>
      <c r="AQ251" s="33" t="str">
        <f t="shared" si="52"/>
        <v>N/A - Facility Does Not Report to TRI</v>
      </c>
      <c r="AR251" s="110" t="str" cm="1">
        <f t="array" ref="AR251">IF(B251="TRI Form A",AD251,IF(AP251=0,"Facility has no transfers to non-POTWs between 2019-2023.",IF(COUNTIF('Processed Non-zero TRI Data'!$I:$I,$H251)&gt;0,INDEX('Processed Non-zero TRI Data'!$A:$A,MATCH(1,($H251='Processed Non-zero TRI Data'!$I:$I)*(AP251='Processed Non-zero TRI Data'!$W:$W),0)),"N/A - Facility Does Not Report to TRI")))</f>
        <v>N/A - Facility Does Not Report to TRI</v>
      </c>
    </row>
    <row r="252" spans="1:44" ht="29" x14ac:dyDescent="0.35">
      <c r="A252" s="34">
        <v>249</v>
      </c>
      <c r="B252" s="33" t="str">
        <f>IFERROR("TRI Form "&amp;VLOOKUP(H252,'Processed Non-zero TRI Data'!$I$2:$K$23,3,FALSE),"DMR")</f>
        <v>DMR</v>
      </c>
      <c r="C252" s="33" t="str">
        <f>VLOOKUP($D252, 'COU.OES Summary'!C:D, 2, FALSE)</f>
        <v> </v>
      </c>
      <c r="D252" s="33" t="str">
        <f>IFERROR(VLOOKUP($H252, 'Processed Non-zero TRI Data'!$I:$O, 7, FALSE), VLOOKUP($I252, 'Processed Non-zero DMR Data'!$K:$R, 8, FALSE))</f>
        <v>Waste handling, treatment, and disposal - Remediation or Monitoring</v>
      </c>
      <c r="E252" s="34" t="s">
        <v>573</v>
      </c>
      <c r="F252" s="34" t="s">
        <v>209</v>
      </c>
      <c r="G252" s="34" t="s">
        <v>91</v>
      </c>
      <c r="H252" s="34"/>
      <c r="I252" s="105">
        <v>110000911309</v>
      </c>
      <c r="J252" s="33" t="str">
        <f>IFERROR(VLOOKUP($I252, 'Processed Non-zero DMR Data'!$K:$U, 11, FALSE),"")</f>
        <v>LA0098191</v>
      </c>
      <c r="K252" s="33" t="str">
        <f>IFERROR(VLOOKUP($I252, 'Processed Non-zero DMR Data'!$K:$V, 12, FALSE),"Not Reported")</f>
        <v>Grand Goudine Bayou-New River</v>
      </c>
      <c r="L252" s="106">
        <f>IFERROR(VLOOKUP($I252, 'Processed Non-zero DMR Data'!$K:$W, 13, FALSE),"No Reach Code Reported")</f>
        <v>80702040103</v>
      </c>
      <c r="M252" s="107" t="str">
        <f>IFERROR(IFERROR(VLOOKUP(H252, 'Off-site Locations'!$K$3:$O$5, 5, FALSE), VLOOKUP(H252, 'Off-site Locations'!$B$3:$E$4, 4, FALSE)), "No Offsite Transfers")</f>
        <v>No Offsite Transfers</v>
      </c>
      <c r="N252" s="33">
        <f>VLOOKUP($D252, 'COU.OES Summary'!C:E, 3, FALSE)</f>
        <v>365</v>
      </c>
      <c r="O252" s="108">
        <f t="shared" si="42"/>
        <v>0</v>
      </c>
      <c r="P252" s="108">
        <f t="shared" si="43"/>
        <v>1.9371630000000001E-2</v>
      </c>
      <c r="Q252" s="109" cm="1">
        <f t="array" ref="Q252">IFERROR(_xlfn.XLOOKUP(1,  (MAX(IF(I252 = 'Processed Non-zero DMR Data'!$K:$K,'Processed Non-zero DMR Data'!$A:$A)) = 'Processed Non-zero DMR Data'!$A:$A)*('Processed Non-zero DMR Data'!$K:$K = I252),'Processed Non-zero DMR Data'!$T:$T), "N/A- Facility Does Not Report DMRs")</f>
        <v>1.3200050407300001E-3</v>
      </c>
      <c r="R252" s="33">
        <f t="shared" si="53"/>
        <v>3.6164521663835619E-6</v>
      </c>
      <c r="S252" s="33" cm="1">
        <f t="array" ref="S252">IF(COUNTIF('Processed Non-zero DMR Data'!$K:$K,$I252)&gt;0,MEDIAN(IF('Processed Non-zero DMR Data'!$K:$K=I252,'Processed Non-zero DMR Data'!$T:$T)),"N/A - Facility Does Not Report DMRs")</f>
        <v>7.3060016650733292E-3</v>
      </c>
      <c r="T252" s="33">
        <f t="shared" si="54"/>
        <v>2.001644291800912E-5</v>
      </c>
      <c r="U252" s="33">
        <f>IF(COUNTIF('Processed Non-zero DMR Data'!$K:$K,$I252)&gt;0,_xlfn.MAXIFS('Processed Non-zero DMR Data'!$T:$T,'Processed Non-zero DMR Data'!$K:$K,$I252), "N/A - Facility Does Not Report DMRs")</f>
        <v>1.9371630000000001E-2</v>
      </c>
      <c r="V252" s="33">
        <f t="shared" si="55"/>
        <v>5.3072958904109588E-5</v>
      </c>
      <c r="W252" s="110" cm="1">
        <f t="array" ref="W252">IF(COUNTIF('Processed Non-zero DMR Data'!$K:$K,$I252)&gt;0,INDEX('Processed Non-zero DMR Data'!$A:$A,MATCH(1,($I252='Processed Non-zero DMR Data'!$K:$K)*($U252='Processed Non-zero DMR Data'!$T:$T),0)), "N/A - Facility Does Not Report DMRs")</f>
        <v>2020</v>
      </c>
      <c r="X252" s="109" cm="1">
        <f t="array" ref="X252">IFERROR(_xlfn.XLOOKUP(1,  (MAX(IF(H252 = 'Processed Non-zero TRI Data'!$I:$I,'Processed Non-zero TRI Data'!$A:$A)) = 'Processed Non-zero TRI Data'!$A:$A)*('Processed Non-zero TRI Data'!$I:$I = H252), 'Processed Non-zero TRI Data'!$S:$S), "N/A- Facility Does Not Report to TRI")</f>
        <v>0</v>
      </c>
      <c r="Y252" s="33">
        <f t="shared" si="44"/>
        <v>0</v>
      </c>
      <c r="Z252" s="33" t="str" cm="1">
        <f t="array" ref="Z252">IF(COUNTIF('Processed Non-zero TRI Data'!$I:$I,$H252)&gt;0,MEDIAN(IF('Processed Non-zero TRI Data'!$I:$I=H252,'Processed Non-zero TRI Data'!$S:$S)), "N/A - Facility Does Not Report to TRI")</f>
        <v>N/A - Facility Does Not Report to TRI</v>
      </c>
      <c r="AA252" s="33" t="str">
        <f t="shared" si="45"/>
        <v>N/A - Facility Does Not Report to TRI</v>
      </c>
      <c r="AB252" s="33" t="str">
        <f>IF(COUNTIF('Processed Non-zero TRI Data'!$I:$I,$H252)&gt;0,_xlfn.MAXIFS('Processed Non-zero TRI Data'!$S:$S,'Processed Non-zero TRI Data'!$I:$I,$H252), "N/A - Facility Does Not Report to TRI")</f>
        <v>N/A - Facility Does Not Report to TRI</v>
      </c>
      <c r="AC252" s="33" t="str">
        <f t="shared" si="46"/>
        <v>N/A - Facility Does Not Report to TRI</v>
      </c>
      <c r="AD252" s="110" t="str" cm="1">
        <f t="array" ref="AD252">IFERROR(IF(B252 = "TRI Form R", IF(AB252 = 0, "Facility has no on-site water discharges between 2019-2023.",  IF(COUNTIF('Processed Non-zero TRI Data'!$I:$I,$H252)&gt;0,INDEX('Processed Non-zero TRI Data'!$A:$A,MATCH(1,($H252='Processed Non-zero TRI Data'!$I:$I)*(AB252='Processed Non-zero TRI Data'!$S:$S),0)))), VLOOKUP(H252, 'Form A Recent Reporting'!$L:$M, 2, FALSE)), ("N/A - Facility Does Not Report to TRI"))</f>
        <v>N/A - Facility Does Not Report to TRI</v>
      </c>
      <c r="AE252" s="109" cm="1">
        <f t="array" ref="AE252">IFERROR(_xlfn.XLOOKUP(1,  (MAX(IF(H252 = 'Processed Non-zero TRI Data'!$I:$I,'Processed Non-zero TRI Data'!$A:$A)) = 'Processed Non-zero TRI Data'!$A:$A)*('Processed Non-zero TRI Data'!$I:$I = H252), 'Processed Non-zero TRI Data'!$U:$U), "N/A- Facility Does Not Report to TRI")</f>
        <v>0</v>
      </c>
      <c r="AF252" s="33">
        <f t="shared" si="47"/>
        <v>0</v>
      </c>
      <c r="AG252" s="33" t="str" cm="1">
        <f t="array" ref="AG252">IF(COUNTIF('Processed Non-zero TRI Data'!$I:$I,$H252)&gt;0,MEDIAN(IF('Processed Non-zero TRI Data'!$I:$I=H252,'Processed Non-zero TRI Data'!$U:$U)), "N/A - Facility Does Not Report to TRI")</f>
        <v>N/A - Facility Does Not Report to TRI</v>
      </c>
      <c r="AH252" s="33" t="str">
        <f t="shared" si="48"/>
        <v>N/A - Facility Does Not Report to TRI</v>
      </c>
      <c r="AI252" s="33" t="str">
        <f>IF(COUNTIF('Processed Non-zero TRI Data'!$I:$I,$H252)&gt;0,_xlfn.MAXIFS('Processed Non-zero TRI Data'!$U:$U,'Processed Non-zero TRI Data'!$I:$I,$H252), "N/A - Facility Does Not Report to TRI")</f>
        <v>N/A - Facility Does Not Report to TRI</v>
      </c>
      <c r="AJ252" s="33" t="str">
        <f t="shared" si="49"/>
        <v>N/A - Facility Does Not Report to TRI</v>
      </c>
      <c r="AK252" s="110" t="str" cm="1">
        <f t="array" ref="AK252">IF(B252="TRI Form A",AD252,IF(AI252=0,"Facility has no transfers to POTWs between 2019-2023.",IF(COUNTIF('Processed Non-zero TRI Data'!$I:$I,$H252)&gt;0,INDEX('Processed Non-zero TRI Data'!$A:$A,MATCH(1,($H252='Processed Non-zero TRI Data'!$I:$I)*(AI252='Processed Non-zero TRI Data'!$U:$U),0)),"N/A - Facility Does Not Report to TRI")))</f>
        <v>N/A - Facility Does Not Report to TRI</v>
      </c>
      <c r="AL252" s="109" cm="1">
        <f t="array" ref="AL252">IFERROR(_xlfn.XLOOKUP(1,  (MAX(IF(H252 = 'Processed Non-zero TRI Data'!$I$2:$I$23,'Processed Non-zero TRI Data'!$A$2:$A$23)) = 'Processed Non-zero TRI Data'!$A$2:$A$23)*('Processed Non-zero TRI Data'!$I$2:$I$23 = H252), 'Processed Non-zero TRI Data'!$W$2:$W$23), "N/A- Facility Does Not Report to TRI")</f>
        <v>0</v>
      </c>
      <c r="AM252" s="33">
        <f t="shared" si="50"/>
        <v>0</v>
      </c>
      <c r="AN252" s="33" t="str" cm="1">
        <f t="array" ref="AN252">IF(COUNTIF('Processed Non-zero TRI Data'!$I:$I,$H252)&gt;0,MEDIAN(IF('Processed Non-zero TRI Data'!$I:$I=H252,'Processed Non-zero TRI Data'!$W:$W)), "N/A - Facility Does Not Report to TRI")</f>
        <v>N/A - Facility Does Not Report to TRI</v>
      </c>
      <c r="AO252" s="33" t="str">
        <f t="shared" si="51"/>
        <v>N/A - Facility Does Not Report to TRI</v>
      </c>
      <c r="AP252" s="33" t="str">
        <f>IF(COUNTIF('Processed Non-zero TRI Data'!$I:$I,$H252)&gt;0,_xlfn.MAXIFS('Processed Non-zero TRI Data'!$W:$W,'Processed Non-zero TRI Data'!$I:$I,$H252), "N/A - Facility Does Not Report to TRI")</f>
        <v>N/A - Facility Does Not Report to TRI</v>
      </c>
      <c r="AQ252" s="33" t="str">
        <f t="shared" si="52"/>
        <v>N/A - Facility Does Not Report to TRI</v>
      </c>
      <c r="AR252" s="110" t="str" cm="1">
        <f t="array" ref="AR252">IF(B252="TRI Form A",AD252,IF(AP252=0,"Facility has no transfers to non-POTWs between 2019-2023.",IF(COUNTIF('Processed Non-zero TRI Data'!$I:$I,$H252)&gt;0,INDEX('Processed Non-zero TRI Data'!$A:$A,MATCH(1,($H252='Processed Non-zero TRI Data'!$I:$I)*(AP252='Processed Non-zero TRI Data'!$W:$W),0)),"N/A - Facility Does Not Report to TRI")))</f>
        <v>N/A - Facility Does Not Report to TRI</v>
      </c>
    </row>
    <row r="253" spans="1:44" ht="29" x14ac:dyDescent="0.35">
      <c r="A253" s="34">
        <v>250</v>
      </c>
      <c r="B253" s="33" t="str">
        <f>IFERROR("TRI Form "&amp;VLOOKUP(H253,'Processed Non-zero TRI Data'!$I$2:$K$23,3,FALSE),"DMR")</f>
        <v>DMR</v>
      </c>
      <c r="C253" s="33" t="str">
        <f>VLOOKUP($D253, 'COU.OES Summary'!C:D, 2, FALSE)</f>
        <v> </v>
      </c>
      <c r="D253" s="33" t="str">
        <f>IFERROR(VLOOKUP($H253, 'Processed Non-zero TRI Data'!$I:$O, 7, FALSE), VLOOKUP($I253, 'Processed Non-zero DMR Data'!$K:$R, 8, FALSE))</f>
        <v>Waste handling, treatment, and disposal - Remediation or Monitoring</v>
      </c>
      <c r="E253" s="34" t="s">
        <v>574</v>
      </c>
      <c r="F253" s="34" t="s">
        <v>483</v>
      </c>
      <c r="G253" s="34" t="s">
        <v>102</v>
      </c>
      <c r="H253" s="34"/>
      <c r="I253" s="105">
        <v>110066354359</v>
      </c>
      <c r="J253" s="33" t="str">
        <f>IFERROR(VLOOKUP($I253, 'Processed Non-zero DMR Data'!$K:$U, 11, FALSE),"")</f>
        <v>CA0085332</v>
      </c>
      <c r="K253" s="33" t="str">
        <f>IFERROR(VLOOKUP($I253, 'Processed Non-zero DMR Data'!$K:$V, 12, FALSE),"Not Reported")</f>
        <v>Humbug Creek-South Yuba River</v>
      </c>
      <c r="L253" s="106">
        <f>IFERROR(VLOOKUP($I253, 'Processed Non-zero DMR Data'!$K:$W, 13, FALSE),"No Reach Code Reported")</f>
        <v>180201250702</v>
      </c>
      <c r="M253" s="107" t="str">
        <f>IFERROR(IFERROR(VLOOKUP(H253, 'Off-site Locations'!$K$3:$O$5, 5, FALSE), VLOOKUP(H253, 'Off-site Locations'!$B$3:$E$4, 4, FALSE)), "No Offsite Transfers")</f>
        <v>No Offsite Transfers</v>
      </c>
      <c r="N253" s="33">
        <f>VLOOKUP($D253, 'COU.OES Summary'!C:E, 3, FALSE)</f>
        <v>365</v>
      </c>
      <c r="O253" s="108">
        <f t="shared" si="42"/>
        <v>0</v>
      </c>
      <c r="P253" s="108">
        <f t="shared" si="43"/>
        <v>1.9163133275000001E-2</v>
      </c>
      <c r="Q253" s="109" cm="1">
        <f t="array" ref="Q253">IFERROR(_xlfn.XLOOKUP(1,  (MAX(IF(I253 = 'Processed Non-zero DMR Data'!$K:$K,'Processed Non-zero DMR Data'!$A:$A)) = 'Processed Non-zero DMR Data'!$A:$A)*('Processed Non-zero DMR Data'!$K:$K = I253),'Processed Non-zero DMR Data'!$T:$T), "N/A- Facility Does Not Report DMRs")</f>
        <v>1.9163133275000001E-2</v>
      </c>
      <c r="R253" s="33">
        <f t="shared" si="53"/>
        <v>5.2501735000000002E-5</v>
      </c>
      <c r="S253" s="33" cm="1">
        <f t="array" ref="S253">IF(COUNTIF('Processed Non-zero DMR Data'!$K:$K,$I253)&gt;0,MEDIAN(IF('Processed Non-zero DMR Data'!$K:$K=I253,'Processed Non-zero DMR Data'!$T:$T)),"N/A - Facility Does Not Report DMRs")</f>
        <v>1.9163133275000001E-2</v>
      </c>
      <c r="T253" s="33">
        <f t="shared" si="54"/>
        <v>5.2501735000000002E-5</v>
      </c>
      <c r="U253" s="33">
        <f>IF(COUNTIF('Processed Non-zero DMR Data'!$K:$K,$I253)&gt;0,_xlfn.MAXIFS('Processed Non-zero DMR Data'!$T:$T,'Processed Non-zero DMR Data'!$K:$K,$I253), "N/A - Facility Does Not Report DMRs")</f>
        <v>1.9163133275000001E-2</v>
      </c>
      <c r="V253" s="33">
        <f t="shared" si="55"/>
        <v>5.2501735000000002E-5</v>
      </c>
      <c r="W253" s="110" cm="1">
        <f t="array" ref="W253">IF(COUNTIF('Processed Non-zero DMR Data'!$K:$K,$I253)&gt;0,INDEX('Processed Non-zero DMR Data'!$A:$A,MATCH(1,($I253='Processed Non-zero DMR Data'!$K:$K)*($U253='Processed Non-zero DMR Data'!$T:$T),0)), "N/A - Facility Does Not Report DMRs")</f>
        <v>2019</v>
      </c>
      <c r="X253" s="109" cm="1">
        <f t="array" ref="X253">IFERROR(_xlfn.XLOOKUP(1,  (MAX(IF(H253 = 'Processed Non-zero TRI Data'!$I:$I,'Processed Non-zero TRI Data'!$A:$A)) = 'Processed Non-zero TRI Data'!$A:$A)*('Processed Non-zero TRI Data'!$I:$I = H253), 'Processed Non-zero TRI Data'!$S:$S), "N/A- Facility Does Not Report to TRI")</f>
        <v>0</v>
      </c>
      <c r="Y253" s="33">
        <f t="shared" si="44"/>
        <v>0</v>
      </c>
      <c r="Z253" s="33" t="str" cm="1">
        <f t="array" ref="Z253">IF(COUNTIF('Processed Non-zero TRI Data'!$I:$I,$H253)&gt;0,MEDIAN(IF('Processed Non-zero TRI Data'!$I:$I=H253,'Processed Non-zero TRI Data'!$S:$S)), "N/A - Facility Does Not Report to TRI")</f>
        <v>N/A - Facility Does Not Report to TRI</v>
      </c>
      <c r="AA253" s="33" t="str">
        <f t="shared" si="45"/>
        <v>N/A - Facility Does Not Report to TRI</v>
      </c>
      <c r="AB253" s="33" t="str">
        <f>IF(COUNTIF('Processed Non-zero TRI Data'!$I:$I,$H253)&gt;0,_xlfn.MAXIFS('Processed Non-zero TRI Data'!$S:$S,'Processed Non-zero TRI Data'!$I:$I,$H253), "N/A - Facility Does Not Report to TRI")</f>
        <v>N/A - Facility Does Not Report to TRI</v>
      </c>
      <c r="AC253" s="33" t="str">
        <f t="shared" si="46"/>
        <v>N/A - Facility Does Not Report to TRI</v>
      </c>
      <c r="AD253" s="110" t="str" cm="1">
        <f t="array" ref="AD253">IFERROR(IF(B253 = "TRI Form R", IF(AB253 = 0, "Facility has no on-site water discharges between 2019-2023.",  IF(COUNTIF('Processed Non-zero TRI Data'!$I:$I,$H253)&gt;0,INDEX('Processed Non-zero TRI Data'!$A:$A,MATCH(1,($H253='Processed Non-zero TRI Data'!$I:$I)*(AB253='Processed Non-zero TRI Data'!$S:$S),0)))), VLOOKUP(H253, 'Form A Recent Reporting'!$L:$M, 2, FALSE)), ("N/A - Facility Does Not Report to TRI"))</f>
        <v>N/A - Facility Does Not Report to TRI</v>
      </c>
      <c r="AE253" s="109" cm="1">
        <f t="array" ref="AE253">IFERROR(_xlfn.XLOOKUP(1,  (MAX(IF(H253 = 'Processed Non-zero TRI Data'!$I:$I,'Processed Non-zero TRI Data'!$A:$A)) = 'Processed Non-zero TRI Data'!$A:$A)*('Processed Non-zero TRI Data'!$I:$I = H253), 'Processed Non-zero TRI Data'!$U:$U), "N/A- Facility Does Not Report to TRI")</f>
        <v>0</v>
      </c>
      <c r="AF253" s="33">
        <f t="shared" si="47"/>
        <v>0</v>
      </c>
      <c r="AG253" s="33" t="str" cm="1">
        <f t="array" ref="AG253">IF(COUNTIF('Processed Non-zero TRI Data'!$I:$I,$H253)&gt;0,MEDIAN(IF('Processed Non-zero TRI Data'!$I:$I=H253,'Processed Non-zero TRI Data'!$U:$U)), "N/A - Facility Does Not Report to TRI")</f>
        <v>N/A - Facility Does Not Report to TRI</v>
      </c>
      <c r="AH253" s="33" t="str">
        <f t="shared" si="48"/>
        <v>N/A - Facility Does Not Report to TRI</v>
      </c>
      <c r="AI253" s="33" t="str">
        <f>IF(COUNTIF('Processed Non-zero TRI Data'!$I:$I,$H253)&gt;0,_xlfn.MAXIFS('Processed Non-zero TRI Data'!$U:$U,'Processed Non-zero TRI Data'!$I:$I,$H253), "N/A - Facility Does Not Report to TRI")</f>
        <v>N/A - Facility Does Not Report to TRI</v>
      </c>
      <c r="AJ253" s="33" t="str">
        <f t="shared" si="49"/>
        <v>N/A - Facility Does Not Report to TRI</v>
      </c>
      <c r="AK253" s="110" t="str" cm="1">
        <f t="array" ref="AK253">IF(B253="TRI Form A",AD253,IF(AI253=0,"Facility has no transfers to POTWs between 2019-2023.",IF(COUNTIF('Processed Non-zero TRI Data'!$I:$I,$H253)&gt;0,INDEX('Processed Non-zero TRI Data'!$A:$A,MATCH(1,($H253='Processed Non-zero TRI Data'!$I:$I)*(AI253='Processed Non-zero TRI Data'!$U:$U),0)),"N/A - Facility Does Not Report to TRI")))</f>
        <v>N/A - Facility Does Not Report to TRI</v>
      </c>
      <c r="AL253" s="109" cm="1">
        <f t="array" ref="AL253">IFERROR(_xlfn.XLOOKUP(1,  (MAX(IF(H253 = 'Processed Non-zero TRI Data'!$I$2:$I$23,'Processed Non-zero TRI Data'!$A$2:$A$23)) = 'Processed Non-zero TRI Data'!$A$2:$A$23)*('Processed Non-zero TRI Data'!$I$2:$I$23 = H253), 'Processed Non-zero TRI Data'!$W$2:$W$23), "N/A- Facility Does Not Report to TRI")</f>
        <v>0</v>
      </c>
      <c r="AM253" s="33">
        <f t="shared" si="50"/>
        <v>0</v>
      </c>
      <c r="AN253" s="33" t="str" cm="1">
        <f t="array" ref="AN253">IF(COUNTIF('Processed Non-zero TRI Data'!$I:$I,$H253)&gt;0,MEDIAN(IF('Processed Non-zero TRI Data'!$I:$I=H253,'Processed Non-zero TRI Data'!$W:$W)), "N/A - Facility Does Not Report to TRI")</f>
        <v>N/A - Facility Does Not Report to TRI</v>
      </c>
      <c r="AO253" s="33" t="str">
        <f t="shared" si="51"/>
        <v>N/A - Facility Does Not Report to TRI</v>
      </c>
      <c r="AP253" s="33" t="str">
        <f>IF(COUNTIF('Processed Non-zero TRI Data'!$I:$I,$H253)&gt;0,_xlfn.MAXIFS('Processed Non-zero TRI Data'!$W:$W,'Processed Non-zero TRI Data'!$I:$I,$H253), "N/A - Facility Does Not Report to TRI")</f>
        <v>N/A - Facility Does Not Report to TRI</v>
      </c>
      <c r="AQ253" s="33" t="str">
        <f t="shared" si="52"/>
        <v>N/A - Facility Does Not Report to TRI</v>
      </c>
      <c r="AR253" s="110" t="str" cm="1">
        <f t="array" ref="AR253">IF(B253="TRI Form A",AD253,IF(AP253=0,"Facility has no transfers to non-POTWs between 2019-2023.",IF(COUNTIF('Processed Non-zero TRI Data'!$I:$I,$H253)&gt;0,INDEX('Processed Non-zero TRI Data'!$A:$A,MATCH(1,($H253='Processed Non-zero TRI Data'!$I:$I)*(AP253='Processed Non-zero TRI Data'!$W:$W),0)),"N/A - Facility Does Not Report to TRI")))</f>
        <v>N/A - Facility Does Not Report to TRI</v>
      </c>
    </row>
    <row r="254" spans="1:44" ht="29" x14ac:dyDescent="0.35">
      <c r="A254" s="34">
        <v>251</v>
      </c>
      <c r="B254" s="33" t="str">
        <f>IFERROR("TRI Form "&amp;VLOOKUP(H254,'Processed Non-zero TRI Data'!$I$2:$K$23,3,FALSE),"DMR")</f>
        <v>DMR</v>
      </c>
      <c r="C254" s="33" t="str">
        <f>VLOOKUP($D254, 'COU.OES Summary'!C:D, 2, FALSE)</f>
        <v> </v>
      </c>
      <c r="D254" s="33" t="str">
        <f>IFERROR(VLOOKUP($H254, 'Processed Non-zero TRI Data'!$I:$O, 7, FALSE), VLOOKUP($I254, 'Processed Non-zero DMR Data'!$K:$R, 8, FALSE))</f>
        <v>Waste handling, treatment, and disposal - Remediation or Monitoring</v>
      </c>
      <c r="E254" s="34" t="s">
        <v>575</v>
      </c>
      <c r="F254" s="34" t="s">
        <v>576</v>
      </c>
      <c r="G254" s="34" t="s">
        <v>91</v>
      </c>
      <c r="H254" s="34"/>
      <c r="I254" s="105">
        <v>110001131837</v>
      </c>
      <c r="J254" s="33" t="str">
        <f>IFERROR(VLOOKUP($I254, 'Processed Non-zero DMR Data'!$K:$U, 11, FALSE),"")</f>
        <v>LA0086304</v>
      </c>
      <c r="K254" s="33" t="str">
        <f>IFERROR(VLOOKUP($I254, 'Processed Non-zero DMR Data'!$K:$V, 12, FALSE),"Not Reported")</f>
        <v>Bayou Nicholas</v>
      </c>
      <c r="L254" s="106">
        <f>IFERROR(VLOOKUP($I254, 'Processed Non-zero DMR Data'!$K:$W, 13, FALSE),"No Reach Code Reported")</f>
        <v>111402020203</v>
      </c>
      <c r="M254" s="107" t="str">
        <f>IFERROR(IFERROR(VLOOKUP(H254, 'Off-site Locations'!$K$3:$O$5, 5, FALSE), VLOOKUP(H254, 'Off-site Locations'!$B$3:$E$4, 4, FALSE)), "No Offsite Transfers")</f>
        <v>No Offsite Transfers</v>
      </c>
      <c r="N254" s="33">
        <f>VLOOKUP($D254, 'COU.OES Summary'!C:E, 3, FALSE)</f>
        <v>365</v>
      </c>
      <c r="O254" s="108">
        <f t="shared" si="42"/>
        <v>0</v>
      </c>
      <c r="P254" s="108">
        <f t="shared" si="43"/>
        <v>1.9046542027499998E-2</v>
      </c>
      <c r="Q254" s="109" cm="1">
        <f t="array" ref="Q254">IFERROR(_xlfn.XLOOKUP(1,  (MAX(IF(I254 = 'Processed Non-zero DMR Data'!$K:$K,'Processed Non-zero DMR Data'!$A:$A)) = 'Processed Non-zero DMR Data'!$A:$A)*('Processed Non-zero DMR Data'!$K:$K = I254),'Processed Non-zero DMR Data'!$T:$T), "N/A- Facility Does Not Report DMRs")</f>
        <v>1.1921917299999999E-2</v>
      </c>
      <c r="R254" s="33">
        <f t="shared" si="53"/>
        <v>3.2662787123287671E-5</v>
      </c>
      <c r="S254" s="33" cm="1">
        <f t="array" ref="S254">IF(COUNTIF('Processed Non-zero DMR Data'!$K:$K,$I254)&gt;0,MEDIAN(IF('Processed Non-zero DMR Data'!$K:$K=I254,'Processed Non-zero DMR Data'!$T:$T)),"N/A - Facility Does Not Report DMRs")</f>
        <v>1.5484229663749998E-2</v>
      </c>
      <c r="T254" s="33">
        <f t="shared" si="54"/>
        <v>4.2422547023972595E-5</v>
      </c>
      <c r="U254" s="33">
        <f>IF(COUNTIF('Processed Non-zero DMR Data'!$K:$K,$I254)&gt;0,_xlfn.MAXIFS('Processed Non-zero DMR Data'!$T:$T,'Processed Non-zero DMR Data'!$K:$K,$I254), "N/A - Facility Does Not Report DMRs")</f>
        <v>1.9046542027499998E-2</v>
      </c>
      <c r="V254" s="33">
        <f t="shared" si="55"/>
        <v>5.2182306924657533E-5</v>
      </c>
      <c r="W254" s="110" cm="1">
        <f t="array" ref="W254">IF(COUNTIF('Processed Non-zero DMR Data'!$K:$K,$I254)&gt;0,INDEX('Processed Non-zero DMR Data'!$A:$A,MATCH(1,($I254='Processed Non-zero DMR Data'!$K:$K)*($U254='Processed Non-zero DMR Data'!$T:$T),0)), "N/A - Facility Does Not Report DMRs")</f>
        <v>2019</v>
      </c>
      <c r="X254" s="109" cm="1">
        <f t="array" ref="X254">IFERROR(_xlfn.XLOOKUP(1,  (MAX(IF(H254 = 'Processed Non-zero TRI Data'!$I:$I,'Processed Non-zero TRI Data'!$A:$A)) = 'Processed Non-zero TRI Data'!$A:$A)*('Processed Non-zero TRI Data'!$I:$I = H254), 'Processed Non-zero TRI Data'!$S:$S), "N/A- Facility Does Not Report to TRI")</f>
        <v>0</v>
      </c>
      <c r="Y254" s="33">
        <f t="shared" si="44"/>
        <v>0</v>
      </c>
      <c r="Z254" s="33" t="str" cm="1">
        <f t="array" ref="Z254">IF(COUNTIF('Processed Non-zero TRI Data'!$I:$I,$H254)&gt;0,MEDIAN(IF('Processed Non-zero TRI Data'!$I:$I=H254,'Processed Non-zero TRI Data'!$S:$S)), "N/A - Facility Does Not Report to TRI")</f>
        <v>N/A - Facility Does Not Report to TRI</v>
      </c>
      <c r="AA254" s="33" t="str">
        <f t="shared" si="45"/>
        <v>N/A - Facility Does Not Report to TRI</v>
      </c>
      <c r="AB254" s="33" t="str">
        <f>IF(COUNTIF('Processed Non-zero TRI Data'!$I:$I,$H254)&gt;0,_xlfn.MAXIFS('Processed Non-zero TRI Data'!$S:$S,'Processed Non-zero TRI Data'!$I:$I,$H254), "N/A - Facility Does Not Report to TRI")</f>
        <v>N/A - Facility Does Not Report to TRI</v>
      </c>
      <c r="AC254" s="33" t="str">
        <f t="shared" si="46"/>
        <v>N/A - Facility Does Not Report to TRI</v>
      </c>
      <c r="AD254" s="110" t="str" cm="1">
        <f t="array" ref="AD254">IFERROR(IF(B254 = "TRI Form R", IF(AB254 = 0, "Facility has no on-site water discharges between 2019-2023.",  IF(COUNTIF('Processed Non-zero TRI Data'!$I:$I,$H254)&gt;0,INDEX('Processed Non-zero TRI Data'!$A:$A,MATCH(1,($H254='Processed Non-zero TRI Data'!$I:$I)*(AB254='Processed Non-zero TRI Data'!$S:$S),0)))), VLOOKUP(H254, 'Form A Recent Reporting'!$L:$M, 2, FALSE)), ("N/A - Facility Does Not Report to TRI"))</f>
        <v>N/A - Facility Does Not Report to TRI</v>
      </c>
      <c r="AE254" s="109" cm="1">
        <f t="array" ref="AE254">IFERROR(_xlfn.XLOOKUP(1,  (MAX(IF(H254 = 'Processed Non-zero TRI Data'!$I:$I,'Processed Non-zero TRI Data'!$A:$A)) = 'Processed Non-zero TRI Data'!$A:$A)*('Processed Non-zero TRI Data'!$I:$I = H254), 'Processed Non-zero TRI Data'!$U:$U), "N/A- Facility Does Not Report to TRI")</f>
        <v>0</v>
      </c>
      <c r="AF254" s="33">
        <f t="shared" si="47"/>
        <v>0</v>
      </c>
      <c r="AG254" s="33" t="str" cm="1">
        <f t="array" ref="AG254">IF(COUNTIF('Processed Non-zero TRI Data'!$I:$I,$H254)&gt;0,MEDIAN(IF('Processed Non-zero TRI Data'!$I:$I=H254,'Processed Non-zero TRI Data'!$U:$U)), "N/A - Facility Does Not Report to TRI")</f>
        <v>N/A - Facility Does Not Report to TRI</v>
      </c>
      <c r="AH254" s="33" t="str">
        <f t="shared" si="48"/>
        <v>N/A - Facility Does Not Report to TRI</v>
      </c>
      <c r="AI254" s="33" t="str">
        <f>IF(COUNTIF('Processed Non-zero TRI Data'!$I:$I,$H254)&gt;0,_xlfn.MAXIFS('Processed Non-zero TRI Data'!$U:$U,'Processed Non-zero TRI Data'!$I:$I,$H254), "N/A - Facility Does Not Report to TRI")</f>
        <v>N/A - Facility Does Not Report to TRI</v>
      </c>
      <c r="AJ254" s="33" t="str">
        <f t="shared" si="49"/>
        <v>N/A - Facility Does Not Report to TRI</v>
      </c>
      <c r="AK254" s="110" t="str" cm="1">
        <f t="array" ref="AK254">IF(B254="TRI Form A",AD254,IF(AI254=0,"Facility has no transfers to POTWs between 2019-2023.",IF(COUNTIF('Processed Non-zero TRI Data'!$I:$I,$H254)&gt;0,INDEX('Processed Non-zero TRI Data'!$A:$A,MATCH(1,($H254='Processed Non-zero TRI Data'!$I:$I)*(AI254='Processed Non-zero TRI Data'!$U:$U),0)),"N/A - Facility Does Not Report to TRI")))</f>
        <v>N/A - Facility Does Not Report to TRI</v>
      </c>
      <c r="AL254" s="109" cm="1">
        <f t="array" ref="AL254">IFERROR(_xlfn.XLOOKUP(1,  (MAX(IF(H254 = 'Processed Non-zero TRI Data'!$I$2:$I$23,'Processed Non-zero TRI Data'!$A$2:$A$23)) = 'Processed Non-zero TRI Data'!$A$2:$A$23)*('Processed Non-zero TRI Data'!$I$2:$I$23 = H254), 'Processed Non-zero TRI Data'!$W$2:$W$23), "N/A- Facility Does Not Report to TRI")</f>
        <v>0</v>
      </c>
      <c r="AM254" s="33">
        <f t="shared" si="50"/>
        <v>0</v>
      </c>
      <c r="AN254" s="33" t="str" cm="1">
        <f t="array" ref="AN254">IF(COUNTIF('Processed Non-zero TRI Data'!$I:$I,$H254)&gt;0,MEDIAN(IF('Processed Non-zero TRI Data'!$I:$I=H254,'Processed Non-zero TRI Data'!$W:$W)), "N/A - Facility Does Not Report to TRI")</f>
        <v>N/A - Facility Does Not Report to TRI</v>
      </c>
      <c r="AO254" s="33" t="str">
        <f t="shared" si="51"/>
        <v>N/A - Facility Does Not Report to TRI</v>
      </c>
      <c r="AP254" s="33" t="str">
        <f>IF(COUNTIF('Processed Non-zero TRI Data'!$I:$I,$H254)&gt;0,_xlfn.MAXIFS('Processed Non-zero TRI Data'!$W:$W,'Processed Non-zero TRI Data'!$I:$I,$H254), "N/A - Facility Does Not Report to TRI")</f>
        <v>N/A - Facility Does Not Report to TRI</v>
      </c>
      <c r="AQ254" s="33" t="str">
        <f t="shared" si="52"/>
        <v>N/A - Facility Does Not Report to TRI</v>
      </c>
      <c r="AR254" s="110" t="str" cm="1">
        <f t="array" ref="AR254">IF(B254="TRI Form A",AD254,IF(AP254=0,"Facility has no transfers to non-POTWs between 2019-2023.",IF(COUNTIF('Processed Non-zero TRI Data'!$I:$I,$H254)&gt;0,INDEX('Processed Non-zero TRI Data'!$A:$A,MATCH(1,($H254='Processed Non-zero TRI Data'!$I:$I)*(AP254='Processed Non-zero TRI Data'!$W:$W),0)),"N/A - Facility Does Not Report to TRI")))</f>
        <v>N/A - Facility Does Not Report to TRI</v>
      </c>
    </row>
    <row r="255" spans="1:44" ht="29" x14ac:dyDescent="0.35">
      <c r="A255" s="34">
        <v>252</v>
      </c>
      <c r="B255" s="33" t="str">
        <f>IFERROR("TRI Form "&amp;VLOOKUP(H255,'Processed Non-zero TRI Data'!$I$2:$K$23,3,FALSE),"DMR")</f>
        <v>DMR</v>
      </c>
      <c r="C255" s="33" t="str">
        <f>VLOOKUP($D255, 'COU.OES Summary'!C:D, 2, FALSE)</f>
        <v> </v>
      </c>
      <c r="D255" s="33" t="str">
        <f>IFERROR(VLOOKUP($H255, 'Processed Non-zero TRI Data'!$I:$O, 7, FALSE), VLOOKUP($I255, 'Processed Non-zero DMR Data'!$K:$R, 8, FALSE))</f>
        <v>Waste handling, treatment, and disposal - Remediation or Monitoring</v>
      </c>
      <c r="E255" s="34" t="s">
        <v>577</v>
      </c>
      <c r="F255" s="34" t="s">
        <v>578</v>
      </c>
      <c r="G255" s="34" t="s">
        <v>95</v>
      </c>
      <c r="H255" s="34"/>
      <c r="I255" s="105">
        <v>110035762822</v>
      </c>
      <c r="J255" s="33" t="str">
        <f>IFERROR(VLOOKUP($I255, 'Processed Non-zero DMR Data'!$K:$U, 11, FALSE),"")</f>
        <v>TX0131547</v>
      </c>
      <c r="K255" s="33" t="str">
        <f>IFERROR(VLOOKUP($I255, 'Processed Non-zero DMR Data'!$K:$V, 12, FALSE),"Not Reported")</f>
        <v>Town Lake-Colorado River</v>
      </c>
      <c r="L255" s="106">
        <f>IFERROR(VLOOKUP($I255, 'Processed Non-zero DMR Data'!$K:$W, 13, FALSE),"No Reach Code Reported")</f>
        <v>120902050306</v>
      </c>
      <c r="M255" s="107" t="str">
        <f>IFERROR(IFERROR(VLOOKUP(H255, 'Off-site Locations'!$K$3:$O$5, 5, FALSE), VLOOKUP(H255, 'Off-site Locations'!$B$3:$E$4, 4, FALSE)), "No Offsite Transfers")</f>
        <v>No Offsite Transfers</v>
      </c>
      <c r="N255" s="33">
        <f>VLOOKUP($D255, 'COU.OES Summary'!C:E, 3, FALSE)</f>
        <v>365</v>
      </c>
      <c r="O255" s="108">
        <f t="shared" si="42"/>
        <v>0</v>
      </c>
      <c r="P255" s="108">
        <f t="shared" si="43"/>
        <v>1.8377117464999999E-2</v>
      </c>
      <c r="Q255" s="109" cm="1">
        <f t="array" ref="Q255">IFERROR(_xlfn.XLOOKUP(1,  (MAX(IF(I255 = 'Processed Non-zero DMR Data'!$K:$K,'Processed Non-zero DMR Data'!$A:$A)) = 'Processed Non-zero DMR Data'!$A:$A)*('Processed Non-zero DMR Data'!$K:$K = I255),'Processed Non-zero DMR Data'!$T:$T), "N/A- Facility Does Not Report DMRs")</f>
        <v>1.1077177214999999E-2</v>
      </c>
      <c r="R255" s="33">
        <f t="shared" si="53"/>
        <v>3.0348430726027394E-5</v>
      </c>
      <c r="S255" s="33" cm="1">
        <f t="array" ref="S255">IF(COUNTIF('Processed Non-zero DMR Data'!$K:$K,$I255)&gt;0,MEDIAN(IF('Processed Non-zero DMR Data'!$K:$K=I255,'Processed Non-zero DMR Data'!$T:$T)),"N/A - Facility Does Not Report DMRs")</f>
        <v>1.1077177214999999E-2</v>
      </c>
      <c r="T255" s="33">
        <f t="shared" si="54"/>
        <v>3.0348430726027394E-5</v>
      </c>
      <c r="U255" s="33">
        <f>IF(COUNTIF('Processed Non-zero DMR Data'!$K:$K,$I255)&gt;0,_xlfn.MAXIFS('Processed Non-zero DMR Data'!$T:$T,'Processed Non-zero DMR Data'!$K:$K,$I255), "N/A - Facility Does Not Report DMRs")</f>
        <v>1.8377117464999999E-2</v>
      </c>
      <c r="V255" s="33">
        <f t="shared" si="55"/>
        <v>5.0348267027397257E-5</v>
      </c>
      <c r="W255" s="110" cm="1">
        <f t="array" ref="W255">IF(COUNTIF('Processed Non-zero DMR Data'!$K:$K,$I255)&gt;0,INDEX('Processed Non-zero DMR Data'!$A:$A,MATCH(1,($I255='Processed Non-zero DMR Data'!$K:$K)*($U255='Processed Non-zero DMR Data'!$T:$T),0)), "N/A - Facility Does Not Report DMRs")</f>
        <v>2021</v>
      </c>
      <c r="X255" s="109" cm="1">
        <f t="array" ref="X255">IFERROR(_xlfn.XLOOKUP(1,  (MAX(IF(H255 = 'Processed Non-zero TRI Data'!$I:$I,'Processed Non-zero TRI Data'!$A:$A)) = 'Processed Non-zero TRI Data'!$A:$A)*('Processed Non-zero TRI Data'!$I:$I = H255), 'Processed Non-zero TRI Data'!$S:$S), "N/A- Facility Does Not Report to TRI")</f>
        <v>0</v>
      </c>
      <c r="Y255" s="33">
        <f t="shared" si="44"/>
        <v>0</v>
      </c>
      <c r="Z255" s="33" t="str" cm="1">
        <f t="array" ref="Z255">IF(COUNTIF('Processed Non-zero TRI Data'!$I:$I,$H255)&gt;0,MEDIAN(IF('Processed Non-zero TRI Data'!$I:$I=H255,'Processed Non-zero TRI Data'!$S:$S)), "N/A - Facility Does Not Report to TRI")</f>
        <v>N/A - Facility Does Not Report to TRI</v>
      </c>
      <c r="AA255" s="33" t="str">
        <f t="shared" si="45"/>
        <v>N/A - Facility Does Not Report to TRI</v>
      </c>
      <c r="AB255" s="33" t="str">
        <f>IF(COUNTIF('Processed Non-zero TRI Data'!$I:$I,$H255)&gt;0,_xlfn.MAXIFS('Processed Non-zero TRI Data'!$S:$S,'Processed Non-zero TRI Data'!$I:$I,$H255), "N/A - Facility Does Not Report to TRI")</f>
        <v>N/A - Facility Does Not Report to TRI</v>
      </c>
      <c r="AC255" s="33" t="str">
        <f t="shared" si="46"/>
        <v>N/A - Facility Does Not Report to TRI</v>
      </c>
      <c r="AD255" s="110" t="str" cm="1">
        <f t="array" ref="AD255">IFERROR(IF(B255 = "TRI Form R", IF(AB255 = 0, "Facility has no on-site water discharges between 2019-2023.",  IF(COUNTIF('Processed Non-zero TRI Data'!$I:$I,$H255)&gt;0,INDEX('Processed Non-zero TRI Data'!$A:$A,MATCH(1,($H255='Processed Non-zero TRI Data'!$I:$I)*(AB255='Processed Non-zero TRI Data'!$S:$S),0)))), VLOOKUP(H255, 'Form A Recent Reporting'!$L:$M, 2, FALSE)), ("N/A - Facility Does Not Report to TRI"))</f>
        <v>N/A - Facility Does Not Report to TRI</v>
      </c>
      <c r="AE255" s="109" cm="1">
        <f t="array" ref="AE255">IFERROR(_xlfn.XLOOKUP(1,  (MAX(IF(H255 = 'Processed Non-zero TRI Data'!$I:$I,'Processed Non-zero TRI Data'!$A:$A)) = 'Processed Non-zero TRI Data'!$A:$A)*('Processed Non-zero TRI Data'!$I:$I = H255), 'Processed Non-zero TRI Data'!$U:$U), "N/A- Facility Does Not Report to TRI")</f>
        <v>0</v>
      </c>
      <c r="AF255" s="33">
        <f t="shared" si="47"/>
        <v>0</v>
      </c>
      <c r="AG255" s="33" t="str" cm="1">
        <f t="array" ref="AG255">IF(COUNTIF('Processed Non-zero TRI Data'!$I:$I,$H255)&gt;0,MEDIAN(IF('Processed Non-zero TRI Data'!$I:$I=H255,'Processed Non-zero TRI Data'!$U:$U)), "N/A - Facility Does Not Report to TRI")</f>
        <v>N/A - Facility Does Not Report to TRI</v>
      </c>
      <c r="AH255" s="33" t="str">
        <f t="shared" si="48"/>
        <v>N/A - Facility Does Not Report to TRI</v>
      </c>
      <c r="AI255" s="33" t="str">
        <f>IF(COUNTIF('Processed Non-zero TRI Data'!$I:$I,$H255)&gt;0,_xlfn.MAXIFS('Processed Non-zero TRI Data'!$U:$U,'Processed Non-zero TRI Data'!$I:$I,$H255), "N/A - Facility Does Not Report to TRI")</f>
        <v>N/A - Facility Does Not Report to TRI</v>
      </c>
      <c r="AJ255" s="33" t="str">
        <f t="shared" si="49"/>
        <v>N/A - Facility Does Not Report to TRI</v>
      </c>
      <c r="AK255" s="110" t="str" cm="1">
        <f t="array" ref="AK255">IF(B255="TRI Form A",AD255,IF(AI255=0,"Facility has no transfers to POTWs between 2019-2023.",IF(COUNTIF('Processed Non-zero TRI Data'!$I:$I,$H255)&gt;0,INDEX('Processed Non-zero TRI Data'!$A:$A,MATCH(1,($H255='Processed Non-zero TRI Data'!$I:$I)*(AI255='Processed Non-zero TRI Data'!$U:$U),0)),"N/A - Facility Does Not Report to TRI")))</f>
        <v>N/A - Facility Does Not Report to TRI</v>
      </c>
      <c r="AL255" s="109" cm="1">
        <f t="array" ref="AL255">IFERROR(_xlfn.XLOOKUP(1,  (MAX(IF(H255 = 'Processed Non-zero TRI Data'!$I$2:$I$23,'Processed Non-zero TRI Data'!$A$2:$A$23)) = 'Processed Non-zero TRI Data'!$A$2:$A$23)*('Processed Non-zero TRI Data'!$I$2:$I$23 = H255), 'Processed Non-zero TRI Data'!$W$2:$W$23), "N/A- Facility Does Not Report to TRI")</f>
        <v>0</v>
      </c>
      <c r="AM255" s="33">
        <f t="shared" si="50"/>
        <v>0</v>
      </c>
      <c r="AN255" s="33" t="str" cm="1">
        <f t="array" ref="AN255">IF(COUNTIF('Processed Non-zero TRI Data'!$I:$I,$H255)&gt;0,MEDIAN(IF('Processed Non-zero TRI Data'!$I:$I=H255,'Processed Non-zero TRI Data'!$W:$W)), "N/A - Facility Does Not Report to TRI")</f>
        <v>N/A - Facility Does Not Report to TRI</v>
      </c>
      <c r="AO255" s="33" t="str">
        <f t="shared" si="51"/>
        <v>N/A - Facility Does Not Report to TRI</v>
      </c>
      <c r="AP255" s="33" t="str">
        <f>IF(COUNTIF('Processed Non-zero TRI Data'!$I:$I,$H255)&gt;0,_xlfn.MAXIFS('Processed Non-zero TRI Data'!$W:$W,'Processed Non-zero TRI Data'!$I:$I,$H255), "N/A - Facility Does Not Report to TRI")</f>
        <v>N/A - Facility Does Not Report to TRI</v>
      </c>
      <c r="AQ255" s="33" t="str">
        <f t="shared" si="52"/>
        <v>N/A - Facility Does Not Report to TRI</v>
      </c>
      <c r="AR255" s="110" t="str" cm="1">
        <f t="array" ref="AR255">IF(B255="TRI Form A",AD255,IF(AP255=0,"Facility has no transfers to non-POTWs between 2019-2023.",IF(COUNTIF('Processed Non-zero TRI Data'!$I:$I,$H255)&gt;0,INDEX('Processed Non-zero TRI Data'!$A:$A,MATCH(1,($H255='Processed Non-zero TRI Data'!$I:$I)*(AP255='Processed Non-zero TRI Data'!$W:$W),0)),"N/A - Facility Does Not Report to TRI")))</f>
        <v>N/A - Facility Does Not Report to TRI</v>
      </c>
    </row>
    <row r="256" spans="1:44" ht="29" x14ac:dyDescent="0.35">
      <c r="A256" s="34">
        <v>253</v>
      </c>
      <c r="B256" s="33" t="str">
        <f>IFERROR("TRI Form "&amp;VLOOKUP(H256,'Processed Non-zero TRI Data'!$I$2:$K$23,3,FALSE),"DMR")</f>
        <v>DMR</v>
      </c>
      <c r="C256" s="33" t="str">
        <f>VLOOKUP($D256, 'COU.OES Summary'!C:D, 2, FALSE)</f>
        <v> </v>
      </c>
      <c r="D256" s="33" t="str">
        <f>IFERROR(VLOOKUP($H256, 'Processed Non-zero TRI Data'!$I:$O, 7, FALSE), VLOOKUP($I256, 'Processed Non-zero DMR Data'!$K:$R, 8, FALSE))</f>
        <v>Waste handling, treatment, and disposal - Remediation or Monitoring</v>
      </c>
      <c r="E256" s="34" t="s">
        <v>579</v>
      </c>
      <c r="F256" s="34" t="s">
        <v>275</v>
      </c>
      <c r="G256" s="34" t="s">
        <v>276</v>
      </c>
      <c r="H256" s="34"/>
      <c r="I256" s="105">
        <v>110070884188</v>
      </c>
      <c r="J256" s="33" t="str">
        <f>IFERROR(VLOOKUP($I256, 'Processed Non-zero DMR Data'!$K:$U, 11, FALSE),"")</f>
        <v>VAG830560</v>
      </c>
      <c r="K256" s="33" t="str">
        <f>IFERROR(VLOOKUP($I256, 'Processed Non-zero DMR Data'!$K:$V, 12, FALSE),"Not Reported")</f>
        <v>Pimmit Run-Potomac River</v>
      </c>
      <c r="L256" s="106">
        <f>IFERROR(VLOOKUP($I256, 'Processed Non-zero DMR Data'!$K:$W, 13, FALSE),"No Reach Code Reported")</f>
        <v>20700100103</v>
      </c>
      <c r="M256" s="107" t="str">
        <f>IFERROR(IFERROR(VLOOKUP(H256, 'Off-site Locations'!$K$3:$O$5, 5, FALSE), VLOOKUP(H256, 'Off-site Locations'!$B$3:$E$4, 4, FALSE)), "No Offsite Transfers")</f>
        <v>No Offsite Transfers</v>
      </c>
      <c r="N256" s="33">
        <f>VLOOKUP($D256, 'COU.OES Summary'!C:E, 3, FALSE)</f>
        <v>365</v>
      </c>
      <c r="O256" s="108">
        <f t="shared" si="42"/>
        <v>0</v>
      </c>
      <c r="P256" s="108">
        <f t="shared" si="43"/>
        <v>1.7495784E-2</v>
      </c>
      <c r="Q256" s="109" cm="1">
        <f t="array" ref="Q256">IFERROR(_xlfn.XLOOKUP(1,  (MAX(IF(I256 = 'Processed Non-zero DMR Data'!$K:$K,'Processed Non-zero DMR Data'!$A:$A)) = 'Processed Non-zero DMR Data'!$A:$A)*('Processed Non-zero DMR Data'!$K:$K = I256),'Processed Non-zero DMR Data'!$T:$T), "N/A- Facility Does Not Report DMRs")</f>
        <v>1.4470812E-2</v>
      </c>
      <c r="R256" s="33">
        <f t="shared" si="53"/>
        <v>3.96460602739726E-5</v>
      </c>
      <c r="S256" s="33" cm="1">
        <f t="array" ref="S256">IF(COUNTIF('Processed Non-zero DMR Data'!$K:$K,$I256)&gt;0,MEDIAN(IF('Processed Non-zero DMR Data'!$K:$K=I256,'Processed Non-zero DMR Data'!$T:$T)),"N/A - Facility Does Not Report DMRs")</f>
        <v>1.5983298E-2</v>
      </c>
      <c r="T256" s="33">
        <f t="shared" si="54"/>
        <v>4.3789857534246578E-5</v>
      </c>
      <c r="U256" s="33">
        <f>IF(COUNTIF('Processed Non-zero DMR Data'!$K:$K,$I256)&gt;0,_xlfn.MAXIFS('Processed Non-zero DMR Data'!$T:$T,'Processed Non-zero DMR Data'!$K:$K,$I256), "N/A - Facility Does Not Report DMRs")</f>
        <v>1.7495784E-2</v>
      </c>
      <c r="V256" s="33">
        <f t="shared" si="55"/>
        <v>4.7933654794520549E-5</v>
      </c>
      <c r="W256" s="110" cm="1">
        <f t="array" ref="W256">IF(COUNTIF('Processed Non-zero DMR Data'!$K:$K,$I256)&gt;0,INDEX('Processed Non-zero DMR Data'!$A:$A,MATCH(1,($I256='Processed Non-zero DMR Data'!$K:$K)*($U256='Processed Non-zero DMR Data'!$T:$T),0)), "N/A - Facility Does Not Report DMRs")</f>
        <v>2021</v>
      </c>
      <c r="X256" s="109" cm="1">
        <f t="array" ref="X256">IFERROR(_xlfn.XLOOKUP(1,  (MAX(IF(H256 = 'Processed Non-zero TRI Data'!$I:$I,'Processed Non-zero TRI Data'!$A:$A)) = 'Processed Non-zero TRI Data'!$A:$A)*('Processed Non-zero TRI Data'!$I:$I = H256), 'Processed Non-zero TRI Data'!$S:$S), "N/A- Facility Does Not Report to TRI")</f>
        <v>0</v>
      </c>
      <c r="Y256" s="33">
        <f t="shared" si="44"/>
        <v>0</v>
      </c>
      <c r="Z256" s="33" t="str" cm="1">
        <f t="array" ref="Z256">IF(COUNTIF('Processed Non-zero TRI Data'!$I:$I,$H256)&gt;0,MEDIAN(IF('Processed Non-zero TRI Data'!$I:$I=H256,'Processed Non-zero TRI Data'!$S:$S)), "N/A - Facility Does Not Report to TRI")</f>
        <v>N/A - Facility Does Not Report to TRI</v>
      </c>
      <c r="AA256" s="33" t="str">
        <f t="shared" si="45"/>
        <v>N/A - Facility Does Not Report to TRI</v>
      </c>
      <c r="AB256" s="33" t="str">
        <f>IF(COUNTIF('Processed Non-zero TRI Data'!$I:$I,$H256)&gt;0,_xlfn.MAXIFS('Processed Non-zero TRI Data'!$S:$S,'Processed Non-zero TRI Data'!$I:$I,$H256), "N/A - Facility Does Not Report to TRI")</f>
        <v>N/A - Facility Does Not Report to TRI</v>
      </c>
      <c r="AC256" s="33" t="str">
        <f t="shared" si="46"/>
        <v>N/A - Facility Does Not Report to TRI</v>
      </c>
      <c r="AD256" s="110" t="str" cm="1">
        <f t="array" ref="AD256">IFERROR(IF(B256 = "TRI Form R", IF(AB256 = 0, "Facility has no on-site water discharges between 2019-2023.",  IF(COUNTIF('Processed Non-zero TRI Data'!$I:$I,$H256)&gt;0,INDEX('Processed Non-zero TRI Data'!$A:$A,MATCH(1,($H256='Processed Non-zero TRI Data'!$I:$I)*(AB256='Processed Non-zero TRI Data'!$S:$S),0)))), VLOOKUP(H256, 'Form A Recent Reporting'!$L:$M, 2, FALSE)), ("N/A - Facility Does Not Report to TRI"))</f>
        <v>N/A - Facility Does Not Report to TRI</v>
      </c>
      <c r="AE256" s="109" cm="1">
        <f t="array" ref="AE256">IFERROR(_xlfn.XLOOKUP(1,  (MAX(IF(H256 = 'Processed Non-zero TRI Data'!$I:$I,'Processed Non-zero TRI Data'!$A:$A)) = 'Processed Non-zero TRI Data'!$A:$A)*('Processed Non-zero TRI Data'!$I:$I = H256), 'Processed Non-zero TRI Data'!$U:$U), "N/A- Facility Does Not Report to TRI")</f>
        <v>0</v>
      </c>
      <c r="AF256" s="33">
        <f t="shared" si="47"/>
        <v>0</v>
      </c>
      <c r="AG256" s="33" t="str" cm="1">
        <f t="array" ref="AG256">IF(COUNTIF('Processed Non-zero TRI Data'!$I:$I,$H256)&gt;0,MEDIAN(IF('Processed Non-zero TRI Data'!$I:$I=H256,'Processed Non-zero TRI Data'!$U:$U)), "N/A - Facility Does Not Report to TRI")</f>
        <v>N/A - Facility Does Not Report to TRI</v>
      </c>
      <c r="AH256" s="33" t="str">
        <f t="shared" si="48"/>
        <v>N/A - Facility Does Not Report to TRI</v>
      </c>
      <c r="AI256" s="33" t="str">
        <f>IF(COUNTIF('Processed Non-zero TRI Data'!$I:$I,$H256)&gt;0,_xlfn.MAXIFS('Processed Non-zero TRI Data'!$U:$U,'Processed Non-zero TRI Data'!$I:$I,$H256), "N/A - Facility Does Not Report to TRI")</f>
        <v>N/A - Facility Does Not Report to TRI</v>
      </c>
      <c r="AJ256" s="33" t="str">
        <f t="shared" si="49"/>
        <v>N/A - Facility Does Not Report to TRI</v>
      </c>
      <c r="AK256" s="110" t="str" cm="1">
        <f t="array" ref="AK256">IF(B256="TRI Form A",AD256,IF(AI256=0,"Facility has no transfers to POTWs between 2019-2023.",IF(COUNTIF('Processed Non-zero TRI Data'!$I:$I,$H256)&gt;0,INDEX('Processed Non-zero TRI Data'!$A:$A,MATCH(1,($H256='Processed Non-zero TRI Data'!$I:$I)*(AI256='Processed Non-zero TRI Data'!$U:$U),0)),"N/A - Facility Does Not Report to TRI")))</f>
        <v>N/A - Facility Does Not Report to TRI</v>
      </c>
      <c r="AL256" s="109" cm="1">
        <f t="array" ref="AL256">IFERROR(_xlfn.XLOOKUP(1,  (MAX(IF(H256 = 'Processed Non-zero TRI Data'!$I$2:$I$23,'Processed Non-zero TRI Data'!$A$2:$A$23)) = 'Processed Non-zero TRI Data'!$A$2:$A$23)*('Processed Non-zero TRI Data'!$I$2:$I$23 = H256), 'Processed Non-zero TRI Data'!$W$2:$W$23), "N/A- Facility Does Not Report to TRI")</f>
        <v>0</v>
      </c>
      <c r="AM256" s="33">
        <f t="shared" si="50"/>
        <v>0</v>
      </c>
      <c r="AN256" s="33" t="str" cm="1">
        <f t="array" ref="AN256">IF(COUNTIF('Processed Non-zero TRI Data'!$I:$I,$H256)&gt;0,MEDIAN(IF('Processed Non-zero TRI Data'!$I:$I=H256,'Processed Non-zero TRI Data'!$W:$W)), "N/A - Facility Does Not Report to TRI")</f>
        <v>N/A - Facility Does Not Report to TRI</v>
      </c>
      <c r="AO256" s="33" t="str">
        <f t="shared" si="51"/>
        <v>N/A - Facility Does Not Report to TRI</v>
      </c>
      <c r="AP256" s="33" t="str">
        <f>IF(COUNTIF('Processed Non-zero TRI Data'!$I:$I,$H256)&gt;0,_xlfn.MAXIFS('Processed Non-zero TRI Data'!$W:$W,'Processed Non-zero TRI Data'!$I:$I,$H256), "N/A - Facility Does Not Report to TRI")</f>
        <v>N/A - Facility Does Not Report to TRI</v>
      </c>
      <c r="AQ256" s="33" t="str">
        <f t="shared" si="52"/>
        <v>N/A - Facility Does Not Report to TRI</v>
      </c>
      <c r="AR256" s="110" t="str" cm="1">
        <f t="array" ref="AR256">IF(B256="TRI Form A",AD256,IF(AP256=0,"Facility has no transfers to non-POTWs between 2019-2023.",IF(COUNTIF('Processed Non-zero TRI Data'!$I:$I,$H256)&gt;0,INDEX('Processed Non-zero TRI Data'!$A:$A,MATCH(1,($H256='Processed Non-zero TRI Data'!$I:$I)*(AP256='Processed Non-zero TRI Data'!$W:$W),0)),"N/A - Facility Does Not Report to TRI")))</f>
        <v>N/A - Facility Does Not Report to TRI</v>
      </c>
    </row>
    <row r="257" spans="1:44" ht="29" x14ac:dyDescent="0.35">
      <c r="A257" s="34">
        <v>254</v>
      </c>
      <c r="B257" s="33" t="str">
        <f>IFERROR("TRI Form "&amp;VLOOKUP(H257,'Processed Non-zero TRI Data'!$I$2:$K$23,3,FALSE),"DMR")</f>
        <v>DMR</v>
      </c>
      <c r="C257" s="33" t="str">
        <f>VLOOKUP($D257, 'COU.OES Summary'!C:D, 2, FALSE)</f>
        <v> </v>
      </c>
      <c r="D257" s="33" t="str">
        <f>IFERROR(VLOOKUP($H257, 'Processed Non-zero TRI Data'!$I:$O, 7, FALSE), VLOOKUP($I257, 'Processed Non-zero DMR Data'!$K:$R, 8, FALSE))</f>
        <v>Waste handling, treatment, and disposal - Remediation or Monitoring</v>
      </c>
      <c r="E257" s="34" t="s">
        <v>580</v>
      </c>
      <c r="F257" s="34" t="s">
        <v>581</v>
      </c>
      <c r="G257" s="34" t="s">
        <v>151</v>
      </c>
      <c r="H257" s="34"/>
      <c r="I257" s="105">
        <v>110000400012</v>
      </c>
      <c r="J257" s="33" t="str">
        <f>IFERROR(VLOOKUP($I257, 'Processed Non-zero DMR Data'!$K:$U, 11, FALSE),"")</f>
        <v>IN0062651</v>
      </c>
      <c r="K257" s="33" t="str">
        <f>IFERROR(VLOOKUP($I257, 'Processed Non-zero DMR Data'!$K:$V, 12, FALSE),"Not Reported")</f>
        <v>Town of Andrews-Wabash River</v>
      </c>
      <c r="L257" s="106">
        <f>IFERROR(VLOOKUP($I257, 'Processed Non-zero DMR Data'!$K:$W, 13, FALSE),"No Reach Code Reported")</f>
        <v>51201011303</v>
      </c>
      <c r="M257" s="107" t="str">
        <f>IFERROR(IFERROR(VLOOKUP(H257, 'Off-site Locations'!$K$3:$O$5, 5, FALSE), VLOOKUP(H257, 'Off-site Locations'!$B$3:$E$4, 4, FALSE)), "No Offsite Transfers")</f>
        <v>No Offsite Transfers</v>
      </c>
      <c r="N257" s="33">
        <f>VLOOKUP($D257, 'COU.OES Summary'!C:E, 3, FALSE)</f>
        <v>365</v>
      </c>
      <c r="O257" s="108">
        <f t="shared" si="42"/>
        <v>0</v>
      </c>
      <c r="P257" s="108">
        <f t="shared" si="43"/>
        <v>1.7399523408767499E-2</v>
      </c>
      <c r="Q257" s="109" cm="1">
        <f t="array" ref="Q257">IFERROR(_xlfn.XLOOKUP(1,  (MAX(IF(I257 = 'Processed Non-zero DMR Data'!$K:$K,'Processed Non-zero DMR Data'!$A:$A)) = 'Processed Non-zero DMR Data'!$A:$A)*('Processed Non-zero DMR Data'!$K:$K = I257),'Processed Non-zero DMR Data'!$T:$T), "N/A- Facility Does Not Report DMRs")</f>
        <v>1.7399523408767499E-2</v>
      </c>
      <c r="R257" s="33">
        <f t="shared" si="53"/>
        <v>4.7669927147308214E-5</v>
      </c>
      <c r="S257" s="33" cm="1">
        <f t="array" ref="S257">IF(COUNTIF('Processed Non-zero DMR Data'!$K:$K,$I257)&gt;0,MEDIAN(IF('Processed Non-zero DMR Data'!$K:$K=I257,'Processed Non-zero DMR Data'!$T:$T)),"N/A - Facility Does Not Report DMRs")</f>
        <v>1.5904948499999998E-2</v>
      </c>
      <c r="T257" s="33">
        <f t="shared" si="54"/>
        <v>4.3575201369863006E-5</v>
      </c>
      <c r="U257" s="33">
        <f>IF(COUNTIF('Processed Non-zero DMR Data'!$K:$K,$I257)&gt;0,_xlfn.MAXIFS('Processed Non-zero DMR Data'!$T:$T,'Processed Non-zero DMR Data'!$K:$K,$I257), "N/A - Facility Does Not Report DMRs")</f>
        <v>1.7399523408767499E-2</v>
      </c>
      <c r="V257" s="33">
        <f t="shared" si="55"/>
        <v>4.7669927147308214E-5</v>
      </c>
      <c r="W257" s="110" cm="1">
        <f t="array" ref="W257">IF(COUNTIF('Processed Non-zero DMR Data'!$K:$K,$I257)&gt;0,INDEX('Processed Non-zero DMR Data'!$A:$A,MATCH(1,($I257='Processed Non-zero DMR Data'!$K:$K)*($U257='Processed Non-zero DMR Data'!$T:$T),0)), "N/A - Facility Does Not Report DMRs")</f>
        <v>2023</v>
      </c>
      <c r="X257" s="109" cm="1">
        <f t="array" ref="X257">IFERROR(_xlfn.XLOOKUP(1,  (MAX(IF(H257 = 'Processed Non-zero TRI Data'!$I:$I,'Processed Non-zero TRI Data'!$A:$A)) = 'Processed Non-zero TRI Data'!$A:$A)*('Processed Non-zero TRI Data'!$I:$I = H257), 'Processed Non-zero TRI Data'!$S:$S), "N/A- Facility Does Not Report to TRI")</f>
        <v>0</v>
      </c>
      <c r="Y257" s="33">
        <f t="shared" si="44"/>
        <v>0</v>
      </c>
      <c r="Z257" s="33" t="str" cm="1">
        <f t="array" ref="Z257">IF(COUNTIF('Processed Non-zero TRI Data'!$I:$I,$H257)&gt;0,MEDIAN(IF('Processed Non-zero TRI Data'!$I:$I=H257,'Processed Non-zero TRI Data'!$S:$S)), "N/A - Facility Does Not Report to TRI")</f>
        <v>N/A - Facility Does Not Report to TRI</v>
      </c>
      <c r="AA257" s="33" t="str">
        <f t="shared" si="45"/>
        <v>N/A - Facility Does Not Report to TRI</v>
      </c>
      <c r="AB257" s="33" t="str">
        <f>IF(COUNTIF('Processed Non-zero TRI Data'!$I:$I,$H257)&gt;0,_xlfn.MAXIFS('Processed Non-zero TRI Data'!$S:$S,'Processed Non-zero TRI Data'!$I:$I,$H257), "N/A - Facility Does Not Report to TRI")</f>
        <v>N/A - Facility Does Not Report to TRI</v>
      </c>
      <c r="AC257" s="33" t="str">
        <f t="shared" si="46"/>
        <v>N/A - Facility Does Not Report to TRI</v>
      </c>
      <c r="AD257" s="110" t="str" cm="1">
        <f t="array" ref="AD257">IFERROR(IF(B257 = "TRI Form R", IF(AB257 = 0, "Facility has no on-site water discharges between 2019-2023.",  IF(COUNTIF('Processed Non-zero TRI Data'!$I:$I,$H257)&gt;0,INDEX('Processed Non-zero TRI Data'!$A:$A,MATCH(1,($H257='Processed Non-zero TRI Data'!$I:$I)*(AB257='Processed Non-zero TRI Data'!$S:$S),0)))), VLOOKUP(H257, 'Form A Recent Reporting'!$L:$M, 2, FALSE)), ("N/A - Facility Does Not Report to TRI"))</f>
        <v>N/A - Facility Does Not Report to TRI</v>
      </c>
      <c r="AE257" s="109" cm="1">
        <f t="array" ref="AE257">IFERROR(_xlfn.XLOOKUP(1,  (MAX(IF(H257 = 'Processed Non-zero TRI Data'!$I:$I,'Processed Non-zero TRI Data'!$A:$A)) = 'Processed Non-zero TRI Data'!$A:$A)*('Processed Non-zero TRI Data'!$I:$I = H257), 'Processed Non-zero TRI Data'!$U:$U), "N/A- Facility Does Not Report to TRI")</f>
        <v>0</v>
      </c>
      <c r="AF257" s="33">
        <f t="shared" si="47"/>
        <v>0</v>
      </c>
      <c r="AG257" s="33" t="str" cm="1">
        <f t="array" ref="AG257">IF(COUNTIF('Processed Non-zero TRI Data'!$I:$I,$H257)&gt;0,MEDIAN(IF('Processed Non-zero TRI Data'!$I:$I=H257,'Processed Non-zero TRI Data'!$U:$U)), "N/A - Facility Does Not Report to TRI")</f>
        <v>N/A - Facility Does Not Report to TRI</v>
      </c>
      <c r="AH257" s="33" t="str">
        <f t="shared" si="48"/>
        <v>N/A - Facility Does Not Report to TRI</v>
      </c>
      <c r="AI257" s="33" t="str">
        <f>IF(COUNTIF('Processed Non-zero TRI Data'!$I:$I,$H257)&gt;0,_xlfn.MAXIFS('Processed Non-zero TRI Data'!$U:$U,'Processed Non-zero TRI Data'!$I:$I,$H257), "N/A - Facility Does Not Report to TRI")</f>
        <v>N/A - Facility Does Not Report to TRI</v>
      </c>
      <c r="AJ257" s="33" t="str">
        <f t="shared" si="49"/>
        <v>N/A - Facility Does Not Report to TRI</v>
      </c>
      <c r="AK257" s="110" t="str" cm="1">
        <f t="array" ref="AK257">IF(B257="TRI Form A",AD257,IF(AI257=0,"Facility has no transfers to POTWs between 2019-2023.",IF(COUNTIF('Processed Non-zero TRI Data'!$I:$I,$H257)&gt;0,INDEX('Processed Non-zero TRI Data'!$A:$A,MATCH(1,($H257='Processed Non-zero TRI Data'!$I:$I)*(AI257='Processed Non-zero TRI Data'!$U:$U),0)),"N/A - Facility Does Not Report to TRI")))</f>
        <v>N/A - Facility Does Not Report to TRI</v>
      </c>
      <c r="AL257" s="109" cm="1">
        <f t="array" ref="AL257">IFERROR(_xlfn.XLOOKUP(1,  (MAX(IF(H257 = 'Processed Non-zero TRI Data'!$I$2:$I$23,'Processed Non-zero TRI Data'!$A$2:$A$23)) = 'Processed Non-zero TRI Data'!$A$2:$A$23)*('Processed Non-zero TRI Data'!$I$2:$I$23 = H257), 'Processed Non-zero TRI Data'!$W$2:$W$23), "N/A- Facility Does Not Report to TRI")</f>
        <v>0</v>
      </c>
      <c r="AM257" s="33">
        <f t="shared" si="50"/>
        <v>0</v>
      </c>
      <c r="AN257" s="33" t="str" cm="1">
        <f t="array" ref="AN257">IF(COUNTIF('Processed Non-zero TRI Data'!$I:$I,$H257)&gt;0,MEDIAN(IF('Processed Non-zero TRI Data'!$I:$I=H257,'Processed Non-zero TRI Data'!$W:$W)), "N/A - Facility Does Not Report to TRI")</f>
        <v>N/A - Facility Does Not Report to TRI</v>
      </c>
      <c r="AO257" s="33" t="str">
        <f t="shared" si="51"/>
        <v>N/A - Facility Does Not Report to TRI</v>
      </c>
      <c r="AP257" s="33" t="str">
        <f>IF(COUNTIF('Processed Non-zero TRI Data'!$I:$I,$H257)&gt;0,_xlfn.MAXIFS('Processed Non-zero TRI Data'!$W:$W,'Processed Non-zero TRI Data'!$I:$I,$H257), "N/A - Facility Does Not Report to TRI")</f>
        <v>N/A - Facility Does Not Report to TRI</v>
      </c>
      <c r="AQ257" s="33" t="str">
        <f t="shared" si="52"/>
        <v>N/A - Facility Does Not Report to TRI</v>
      </c>
      <c r="AR257" s="110" t="str" cm="1">
        <f t="array" ref="AR257">IF(B257="TRI Form A",AD257,IF(AP257=0,"Facility has no transfers to non-POTWs between 2019-2023.",IF(COUNTIF('Processed Non-zero TRI Data'!$I:$I,$H257)&gt;0,INDEX('Processed Non-zero TRI Data'!$A:$A,MATCH(1,($H257='Processed Non-zero TRI Data'!$I:$I)*(AP257='Processed Non-zero TRI Data'!$W:$W),0)),"N/A - Facility Does Not Report to TRI")))</f>
        <v>N/A - Facility Does Not Report to TRI</v>
      </c>
    </row>
    <row r="258" spans="1:44" ht="29" x14ac:dyDescent="0.35">
      <c r="A258" s="34">
        <v>255</v>
      </c>
      <c r="B258" s="33" t="str">
        <f>IFERROR("TRI Form "&amp;VLOOKUP(H258,'Processed Non-zero TRI Data'!$I$2:$K$23,3,FALSE),"DMR")</f>
        <v>DMR</v>
      </c>
      <c r="C258" s="33" t="str">
        <f>VLOOKUP($D258, 'COU.OES Summary'!C:D, 2, FALSE)</f>
        <v> </v>
      </c>
      <c r="D258" s="33" t="str">
        <f>IFERROR(VLOOKUP($H258, 'Processed Non-zero TRI Data'!$I:$O, 7, FALSE), VLOOKUP($I258, 'Processed Non-zero DMR Data'!$K:$R, 8, FALSE))</f>
        <v>Waste handling, treatment, and disposal - non-POTW WWT</v>
      </c>
      <c r="E258" s="34" t="s">
        <v>582</v>
      </c>
      <c r="F258" s="34" t="s">
        <v>583</v>
      </c>
      <c r="G258" s="34" t="s">
        <v>102</v>
      </c>
      <c r="H258" s="34"/>
      <c r="I258" s="105">
        <v>110064616296</v>
      </c>
      <c r="J258" s="33" t="str">
        <f>IFERROR(VLOOKUP($I258, 'Processed Non-zero DMR Data'!$K:$U, 11, FALSE),"")</f>
        <v>CA0049675</v>
      </c>
      <c r="K258" s="33" t="str">
        <f>IFERROR(VLOOKUP($I258, 'Processed Non-zero DMR Data'!$K:$V, 12, FALSE),"Not Reported")</f>
        <v>Lower Jackson Creek</v>
      </c>
      <c r="L258" s="106">
        <f>IFERROR(VLOOKUP($I258, 'Processed Non-zero DMR Data'!$K:$W, 13, FALSE),"No Reach Code Reported")</f>
        <v>180400120703</v>
      </c>
      <c r="M258" s="107" t="str">
        <f>IFERROR(IFERROR(VLOOKUP(H258, 'Off-site Locations'!$K$3:$O$5, 5, FALSE), VLOOKUP(H258, 'Off-site Locations'!$B$3:$E$4, 4, FALSE)), "No Offsite Transfers")</f>
        <v>No Offsite Transfers</v>
      </c>
      <c r="N258" s="33">
        <f>VLOOKUP($D258, 'COU.OES Summary'!C:E, 3, FALSE)</f>
        <v>365</v>
      </c>
      <c r="O258" s="108">
        <f t="shared" si="42"/>
        <v>0</v>
      </c>
      <c r="P258" s="108">
        <f t="shared" si="43"/>
        <v>1.7269062500000001E-2</v>
      </c>
      <c r="Q258" s="109" cm="1">
        <f t="array" ref="Q258">IFERROR(_xlfn.XLOOKUP(1,  (MAX(IF(I258 = 'Processed Non-zero DMR Data'!$K:$K,'Processed Non-zero DMR Data'!$A:$A)) = 'Processed Non-zero DMR Data'!$A:$A)*('Processed Non-zero DMR Data'!$K:$K = I258),'Processed Non-zero DMR Data'!$T:$T), "N/A- Facility Does Not Report DMRs")</f>
        <v>5.1807187500000004E-3</v>
      </c>
      <c r="R258" s="33">
        <f t="shared" si="53"/>
        <v>1.4193750000000001E-5</v>
      </c>
      <c r="S258" s="33" cm="1">
        <f t="array" ref="S258">IF(COUNTIF('Processed Non-zero DMR Data'!$K:$K,$I258)&gt;0,MEDIAN(IF('Processed Non-zero DMR Data'!$K:$K=I258,'Processed Non-zero DMR Data'!$T:$T)),"N/A - Facility Does Not Report DMRs")</f>
        <v>1.1224890625000001E-2</v>
      </c>
      <c r="T258" s="33">
        <f t="shared" si="54"/>
        <v>3.0753125000000004E-5</v>
      </c>
      <c r="U258" s="33">
        <f>IF(COUNTIF('Processed Non-zero DMR Data'!$K:$K,$I258)&gt;0,_xlfn.MAXIFS('Processed Non-zero DMR Data'!$T:$T,'Processed Non-zero DMR Data'!$K:$K,$I258), "N/A - Facility Does Not Report DMRs")</f>
        <v>1.7269062500000001E-2</v>
      </c>
      <c r="V258" s="33">
        <f t="shared" si="55"/>
        <v>4.7312500000000005E-5</v>
      </c>
      <c r="W258" s="110" cm="1">
        <f t="array" ref="W258">IF(COUNTIF('Processed Non-zero DMR Data'!$K:$K,$I258)&gt;0,INDEX('Processed Non-zero DMR Data'!$A:$A,MATCH(1,($I258='Processed Non-zero DMR Data'!$K:$K)*($U258='Processed Non-zero DMR Data'!$T:$T),0)), "N/A - Facility Does Not Report DMRs")</f>
        <v>2019</v>
      </c>
      <c r="X258" s="109" cm="1">
        <f t="array" ref="X258">IFERROR(_xlfn.XLOOKUP(1,  (MAX(IF(H258 = 'Processed Non-zero TRI Data'!$I:$I,'Processed Non-zero TRI Data'!$A:$A)) = 'Processed Non-zero TRI Data'!$A:$A)*('Processed Non-zero TRI Data'!$I:$I = H258), 'Processed Non-zero TRI Data'!$S:$S), "N/A- Facility Does Not Report to TRI")</f>
        <v>0</v>
      </c>
      <c r="Y258" s="33">
        <f t="shared" si="44"/>
        <v>0</v>
      </c>
      <c r="Z258" s="33" t="str" cm="1">
        <f t="array" ref="Z258">IF(COUNTIF('Processed Non-zero TRI Data'!$I:$I,$H258)&gt;0,MEDIAN(IF('Processed Non-zero TRI Data'!$I:$I=H258,'Processed Non-zero TRI Data'!$S:$S)), "N/A - Facility Does Not Report to TRI")</f>
        <v>N/A - Facility Does Not Report to TRI</v>
      </c>
      <c r="AA258" s="33" t="str">
        <f t="shared" si="45"/>
        <v>N/A - Facility Does Not Report to TRI</v>
      </c>
      <c r="AB258" s="33" t="str">
        <f>IF(COUNTIF('Processed Non-zero TRI Data'!$I:$I,$H258)&gt;0,_xlfn.MAXIFS('Processed Non-zero TRI Data'!$S:$S,'Processed Non-zero TRI Data'!$I:$I,$H258), "N/A - Facility Does Not Report to TRI")</f>
        <v>N/A - Facility Does Not Report to TRI</v>
      </c>
      <c r="AC258" s="33" t="str">
        <f t="shared" si="46"/>
        <v>N/A - Facility Does Not Report to TRI</v>
      </c>
      <c r="AD258" s="110" t="str" cm="1">
        <f t="array" ref="AD258">IFERROR(IF(B258 = "TRI Form R", IF(AB258 = 0, "Facility has no on-site water discharges between 2019-2023.",  IF(COUNTIF('Processed Non-zero TRI Data'!$I:$I,$H258)&gt;0,INDEX('Processed Non-zero TRI Data'!$A:$A,MATCH(1,($H258='Processed Non-zero TRI Data'!$I:$I)*(AB258='Processed Non-zero TRI Data'!$S:$S),0)))), VLOOKUP(H258, 'Form A Recent Reporting'!$L:$M, 2, FALSE)), ("N/A - Facility Does Not Report to TRI"))</f>
        <v>N/A - Facility Does Not Report to TRI</v>
      </c>
      <c r="AE258" s="109" cm="1">
        <f t="array" ref="AE258">IFERROR(_xlfn.XLOOKUP(1,  (MAX(IF(H258 = 'Processed Non-zero TRI Data'!$I:$I,'Processed Non-zero TRI Data'!$A:$A)) = 'Processed Non-zero TRI Data'!$A:$A)*('Processed Non-zero TRI Data'!$I:$I = H258), 'Processed Non-zero TRI Data'!$U:$U), "N/A- Facility Does Not Report to TRI")</f>
        <v>0</v>
      </c>
      <c r="AF258" s="33">
        <f t="shared" si="47"/>
        <v>0</v>
      </c>
      <c r="AG258" s="33" t="str" cm="1">
        <f t="array" ref="AG258">IF(COUNTIF('Processed Non-zero TRI Data'!$I:$I,$H258)&gt;0,MEDIAN(IF('Processed Non-zero TRI Data'!$I:$I=H258,'Processed Non-zero TRI Data'!$U:$U)), "N/A - Facility Does Not Report to TRI")</f>
        <v>N/A - Facility Does Not Report to TRI</v>
      </c>
      <c r="AH258" s="33" t="str">
        <f t="shared" si="48"/>
        <v>N/A - Facility Does Not Report to TRI</v>
      </c>
      <c r="AI258" s="33" t="str">
        <f>IF(COUNTIF('Processed Non-zero TRI Data'!$I:$I,$H258)&gt;0,_xlfn.MAXIFS('Processed Non-zero TRI Data'!$U:$U,'Processed Non-zero TRI Data'!$I:$I,$H258), "N/A - Facility Does Not Report to TRI")</f>
        <v>N/A - Facility Does Not Report to TRI</v>
      </c>
      <c r="AJ258" s="33" t="str">
        <f t="shared" si="49"/>
        <v>N/A - Facility Does Not Report to TRI</v>
      </c>
      <c r="AK258" s="110" t="str" cm="1">
        <f t="array" ref="AK258">IF(B258="TRI Form A",AD258,IF(AI258=0,"Facility has no transfers to POTWs between 2019-2023.",IF(COUNTIF('Processed Non-zero TRI Data'!$I:$I,$H258)&gt;0,INDEX('Processed Non-zero TRI Data'!$A:$A,MATCH(1,($H258='Processed Non-zero TRI Data'!$I:$I)*(AI258='Processed Non-zero TRI Data'!$U:$U),0)),"N/A - Facility Does Not Report to TRI")))</f>
        <v>N/A - Facility Does Not Report to TRI</v>
      </c>
      <c r="AL258" s="109" cm="1">
        <f t="array" ref="AL258">IFERROR(_xlfn.XLOOKUP(1,  (MAX(IF(H258 = 'Processed Non-zero TRI Data'!$I$2:$I$23,'Processed Non-zero TRI Data'!$A$2:$A$23)) = 'Processed Non-zero TRI Data'!$A$2:$A$23)*('Processed Non-zero TRI Data'!$I$2:$I$23 = H258), 'Processed Non-zero TRI Data'!$W$2:$W$23), "N/A- Facility Does Not Report to TRI")</f>
        <v>0</v>
      </c>
      <c r="AM258" s="33">
        <f t="shared" si="50"/>
        <v>0</v>
      </c>
      <c r="AN258" s="33" t="str" cm="1">
        <f t="array" ref="AN258">IF(COUNTIF('Processed Non-zero TRI Data'!$I:$I,$H258)&gt;0,MEDIAN(IF('Processed Non-zero TRI Data'!$I:$I=H258,'Processed Non-zero TRI Data'!$W:$W)), "N/A - Facility Does Not Report to TRI")</f>
        <v>N/A - Facility Does Not Report to TRI</v>
      </c>
      <c r="AO258" s="33" t="str">
        <f t="shared" si="51"/>
        <v>N/A - Facility Does Not Report to TRI</v>
      </c>
      <c r="AP258" s="33" t="str">
        <f>IF(COUNTIF('Processed Non-zero TRI Data'!$I:$I,$H258)&gt;0,_xlfn.MAXIFS('Processed Non-zero TRI Data'!$W:$W,'Processed Non-zero TRI Data'!$I:$I,$H258), "N/A - Facility Does Not Report to TRI")</f>
        <v>N/A - Facility Does Not Report to TRI</v>
      </c>
      <c r="AQ258" s="33" t="str">
        <f t="shared" si="52"/>
        <v>N/A - Facility Does Not Report to TRI</v>
      </c>
      <c r="AR258" s="110" t="str" cm="1">
        <f t="array" ref="AR258">IF(B258="TRI Form A",AD258,IF(AP258=0,"Facility has no transfers to non-POTWs between 2019-2023.",IF(COUNTIF('Processed Non-zero TRI Data'!$I:$I,$H258)&gt;0,INDEX('Processed Non-zero TRI Data'!$A:$A,MATCH(1,($H258='Processed Non-zero TRI Data'!$I:$I)*(AP258='Processed Non-zero TRI Data'!$W:$W),0)),"N/A - Facility Does Not Report to TRI")))</f>
        <v>N/A - Facility Does Not Report to TRI</v>
      </c>
    </row>
    <row r="259" spans="1:44" ht="29" x14ac:dyDescent="0.35">
      <c r="A259" s="34">
        <v>256</v>
      </c>
      <c r="B259" s="33" t="str">
        <f>IFERROR("TRI Form "&amp;VLOOKUP(H259,'Processed Non-zero TRI Data'!$I$2:$K$23,3,FALSE),"DMR")</f>
        <v>DMR</v>
      </c>
      <c r="C259" s="33" t="str">
        <f>VLOOKUP($D259, 'COU.OES Summary'!C:D, 2, FALSE)</f>
        <v> </v>
      </c>
      <c r="D259" s="33" t="str">
        <f>IFERROR(VLOOKUP($H259, 'Processed Non-zero TRI Data'!$I:$O, 7, FALSE), VLOOKUP($I259, 'Processed Non-zero DMR Data'!$K:$R, 8, FALSE))</f>
        <v>Waste handling, treatment, and disposal - non-POTW WWT</v>
      </c>
      <c r="E259" s="34" t="s">
        <v>584</v>
      </c>
      <c r="F259" s="34" t="s">
        <v>585</v>
      </c>
      <c r="G259" s="34" t="s">
        <v>181</v>
      </c>
      <c r="H259" s="34"/>
      <c r="I259" s="105">
        <v>110034151450</v>
      </c>
      <c r="J259" s="33" t="str">
        <f>IFERROR(VLOOKUP($I259, 'Processed Non-zero DMR Data'!$K:$U, 11, FALSE),"")</f>
        <v>MI0050199</v>
      </c>
      <c r="K259" s="33" t="str">
        <f>IFERROR(VLOOKUP($I259, 'Processed Non-zero DMR Data'!$K:$V, 12, FALSE),"Not Reported")</f>
        <v>Butler Creek-Thornapple River</v>
      </c>
      <c r="L259" s="106">
        <f>IFERROR(VLOOKUP($I259, 'Processed Non-zero DMR Data'!$K:$W, 13, FALSE),"No Reach Code Reported")</f>
        <v>40500070402</v>
      </c>
      <c r="M259" s="107" t="str">
        <f>IFERROR(IFERROR(VLOOKUP(H259, 'Off-site Locations'!$K$3:$O$5, 5, FALSE), VLOOKUP(H259, 'Off-site Locations'!$B$3:$E$4, 4, FALSE)), "No Offsite Transfers")</f>
        <v>No Offsite Transfers</v>
      </c>
      <c r="N259" s="33">
        <f>VLOOKUP($D259, 'COU.OES Summary'!C:E, 3, FALSE)</f>
        <v>365</v>
      </c>
      <c r="O259" s="108">
        <f t="shared" si="42"/>
        <v>0</v>
      </c>
      <c r="P259" s="108">
        <f t="shared" si="43"/>
        <v>1.71933625E-2</v>
      </c>
      <c r="Q259" s="109" cm="1">
        <f t="array" ref="Q259">IFERROR(_xlfn.XLOOKUP(1,  (MAX(IF(I259 = 'Processed Non-zero DMR Data'!$K:$K,'Processed Non-zero DMR Data'!$A:$A)) = 'Processed Non-zero DMR Data'!$A:$A)*('Processed Non-zero DMR Data'!$K:$K = I259),'Processed Non-zero DMR Data'!$T:$T), "N/A- Facility Does Not Report DMRs")</f>
        <v>1.0739937499999999E-2</v>
      </c>
      <c r="R259" s="33">
        <f t="shared" si="53"/>
        <v>2.9424486301369861E-5</v>
      </c>
      <c r="S259" s="33" cm="1">
        <f t="array" ref="S259">IF(COUNTIF('Processed Non-zero DMR Data'!$K:$K,$I259)&gt;0,MEDIAN(IF('Processed Non-zero DMR Data'!$K:$K=I259,'Processed Non-zero DMR Data'!$T:$T)),"N/A - Facility Does Not Report DMRs")</f>
        <v>1.5158925E-2</v>
      </c>
      <c r="T259" s="33">
        <f t="shared" si="54"/>
        <v>4.1531301369863017E-5</v>
      </c>
      <c r="U259" s="33">
        <f>IF(COUNTIF('Processed Non-zero DMR Data'!$K:$K,$I259)&gt;0,_xlfn.MAXIFS('Processed Non-zero DMR Data'!$T:$T,'Processed Non-zero DMR Data'!$K:$K,$I259), "N/A - Facility Does Not Report DMRs")</f>
        <v>1.71933625E-2</v>
      </c>
      <c r="V259" s="33">
        <f t="shared" si="55"/>
        <v>4.7105102739726026E-5</v>
      </c>
      <c r="W259" s="110" cm="1">
        <f t="array" ref="W259">IF(COUNTIF('Processed Non-zero DMR Data'!$K:$K,$I259)&gt;0,INDEX('Processed Non-zero DMR Data'!$A:$A,MATCH(1,($I259='Processed Non-zero DMR Data'!$K:$K)*($U259='Processed Non-zero DMR Data'!$T:$T),0)), "N/A - Facility Does Not Report DMRs")</f>
        <v>2020</v>
      </c>
      <c r="X259" s="109" cm="1">
        <f t="array" ref="X259">IFERROR(_xlfn.XLOOKUP(1,  (MAX(IF(H259 = 'Processed Non-zero TRI Data'!$I:$I,'Processed Non-zero TRI Data'!$A:$A)) = 'Processed Non-zero TRI Data'!$A:$A)*('Processed Non-zero TRI Data'!$I:$I = H259), 'Processed Non-zero TRI Data'!$S:$S), "N/A- Facility Does Not Report to TRI")</f>
        <v>0</v>
      </c>
      <c r="Y259" s="33">
        <f t="shared" si="44"/>
        <v>0</v>
      </c>
      <c r="Z259" s="33" t="str" cm="1">
        <f t="array" ref="Z259">IF(COUNTIF('Processed Non-zero TRI Data'!$I:$I,$H259)&gt;0,MEDIAN(IF('Processed Non-zero TRI Data'!$I:$I=H259,'Processed Non-zero TRI Data'!$S:$S)), "N/A - Facility Does Not Report to TRI")</f>
        <v>N/A - Facility Does Not Report to TRI</v>
      </c>
      <c r="AA259" s="33" t="str">
        <f t="shared" si="45"/>
        <v>N/A - Facility Does Not Report to TRI</v>
      </c>
      <c r="AB259" s="33" t="str">
        <f>IF(COUNTIF('Processed Non-zero TRI Data'!$I:$I,$H259)&gt;0,_xlfn.MAXIFS('Processed Non-zero TRI Data'!$S:$S,'Processed Non-zero TRI Data'!$I:$I,$H259), "N/A - Facility Does Not Report to TRI")</f>
        <v>N/A - Facility Does Not Report to TRI</v>
      </c>
      <c r="AC259" s="33" t="str">
        <f t="shared" si="46"/>
        <v>N/A - Facility Does Not Report to TRI</v>
      </c>
      <c r="AD259" s="110" t="str" cm="1">
        <f t="array" ref="AD259">IFERROR(IF(B259 = "TRI Form R", IF(AB259 = 0, "Facility has no on-site water discharges between 2019-2023.",  IF(COUNTIF('Processed Non-zero TRI Data'!$I:$I,$H259)&gt;0,INDEX('Processed Non-zero TRI Data'!$A:$A,MATCH(1,($H259='Processed Non-zero TRI Data'!$I:$I)*(AB259='Processed Non-zero TRI Data'!$S:$S),0)))), VLOOKUP(H259, 'Form A Recent Reporting'!$L:$M, 2, FALSE)), ("N/A - Facility Does Not Report to TRI"))</f>
        <v>N/A - Facility Does Not Report to TRI</v>
      </c>
      <c r="AE259" s="109" cm="1">
        <f t="array" ref="AE259">IFERROR(_xlfn.XLOOKUP(1,  (MAX(IF(H259 = 'Processed Non-zero TRI Data'!$I:$I,'Processed Non-zero TRI Data'!$A:$A)) = 'Processed Non-zero TRI Data'!$A:$A)*('Processed Non-zero TRI Data'!$I:$I = H259), 'Processed Non-zero TRI Data'!$U:$U), "N/A- Facility Does Not Report to TRI")</f>
        <v>0</v>
      </c>
      <c r="AF259" s="33">
        <f t="shared" si="47"/>
        <v>0</v>
      </c>
      <c r="AG259" s="33" t="str" cm="1">
        <f t="array" ref="AG259">IF(COUNTIF('Processed Non-zero TRI Data'!$I:$I,$H259)&gt;0,MEDIAN(IF('Processed Non-zero TRI Data'!$I:$I=H259,'Processed Non-zero TRI Data'!$U:$U)), "N/A - Facility Does Not Report to TRI")</f>
        <v>N/A - Facility Does Not Report to TRI</v>
      </c>
      <c r="AH259" s="33" t="str">
        <f t="shared" si="48"/>
        <v>N/A - Facility Does Not Report to TRI</v>
      </c>
      <c r="AI259" s="33" t="str">
        <f>IF(COUNTIF('Processed Non-zero TRI Data'!$I:$I,$H259)&gt;0,_xlfn.MAXIFS('Processed Non-zero TRI Data'!$U:$U,'Processed Non-zero TRI Data'!$I:$I,$H259), "N/A - Facility Does Not Report to TRI")</f>
        <v>N/A - Facility Does Not Report to TRI</v>
      </c>
      <c r="AJ259" s="33" t="str">
        <f t="shared" si="49"/>
        <v>N/A - Facility Does Not Report to TRI</v>
      </c>
      <c r="AK259" s="110" t="str" cm="1">
        <f t="array" ref="AK259">IF(B259="TRI Form A",AD259,IF(AI259=0,"Facility has no transfers to POTWs between 2019-2023.",IF(COUNTIF('Processed Non-zero TRI Data'!$I:$I,$H259)&gt;0,INDEX('Processed Non-zero TRI Data'!$A:$A,MATCH(1,($H259='Processed Non-zero TRI Data'!$I:$I)*(AI259='Processed Non-zero TRI Data'!$U:$U),0)),"N/A - Facility Does Not Report to TRI")))</f>
        <v>N/A - Facility Does Not Report to TRI</v>
      </c>
      <c r="AL259" s="109" cm="1">
        <f t="array" ref="AL259">IFERROR(_xlfn.XLOOKUP(1,  (MAX(IF(H259 = 'Processed Non-zero TRI Data'!$I$2:$I$23,'Processed Non-zero TRI Data'!$A$2:$A$23)) = 'Processed Non-zero TRI Data'!$A$2:$A$23)*('Processed Non-zero TRI Data'!$I$2:$I$23 = H259), 'Processed Non-zero TRI Data'!$W$2:$W$23), "N/A- Facility Does Not Report to TRI")</f>
        <v>0</v>
      </c>
      <c r="AM259" s="33">
        <f t="shared" si="50"/>
        <v>0</v>
      </c>
      <c r="AN259" s="33" t="str" cm="1">
        <f t="array" ref="AN259">IF(COUNTIF('Processed Non-zero TRI Data'!$I:$I,$H259)&gt;0,MEDIAN(IF('Processed Non-zero TRI Data'!$I:$I=H259,'Processed Non-zero TRI Data'!$W:$W)), "N/A - Facility Does Not Report to TRI")</f>
        <v>N/A - Facility Does Not Report to TRI</v>
      </c>
      <c r="AO259" s="33" t="str">
        <f t="shared" si="51"/>
        <v>N/A - Facility Does Not Report to TRI</v>
      </c>
      <c r="AP259" s="33" t="str">
        <f>IF(COUNTIF('Processed Non-zero TRI Data'!$I:$I,$H259)&gt;0,_xlfn.MAXIFS('Processed Non-zero TRI Data'!$W:$W,'Processed Non-zero TRI Data'!$I:$I,$H259), "N/A - Facility Does Not Report to TRI")</f>
        <v>N/A - Facility Does Not Report to TRI</v>
      </c>
      <c r="AQ259" s="33" t="str">
        <f t="shared" si="52"/>
        <v>N/A - Facility Does Not Report to TRI</v>
      </c>
      <c r="AR259" s="110" t="str" cm="1">
        <f t="array" ref="AR259">IF(B259="TRI Form A",AD259,IF(AP259=0,"Facility has no transfers to non-POTWs between 2019-2023.",IF(COUNTIF('Processed Non-zero TRI Data'!$I:$I,$H259)&gt;0,INDEX('Processed Non-zero TRI Data'!$A:$A,MATCH(1,($H259='Processed Non-zero TRI Data'!$I:$I)*(AP259='Processed Non-zero TRI Data'!$W:$W),0)),"N/A - Facility Does Not Report to TRI")))</f>
        <v>N/A - Facility Does Not Report to TRI</v>
      </c>
    </row>
    <row r="260" spans="1:44" ht="29" x14ac:dyDescent="0.35">
      <c r="A260" s="34">
        <v>257</v>
      </c>
      <c r="B260" s="33" t="str">
        <f>IFERROR("TRI Form "&amp;VLOOKUP(H260,'Processed Non-zero TRI Data'!$I$2:$K$23,3,FALSE),"DMR")</f>
        <v>DMR</v>
      </c>
      <c r="C260" s="33" t="str">
        <f>VLOOKUP($D260, 'COU.OES Summary'!C:D, 2, FALSE)</f>
        <v> </v>
      </c>
      <c r="D260" s="33" t="str">
        <f>IFERROR(VLOOKUP($H260, 'Processed Non-zero TRI Data'!$I:$O, 7, FALSE), VLOOKUP($I260, 'Processed Non-zero DMR Data'!$K:$R, 8, FALSE))</f>
        <v>Waste handling, treatment, and disposal - Remediation or Monitoring</v>
      </c>
      <c r="E260" s="34" t="s">
        <v>586</v>
      </c>
      <c r="F260" s="34" t="s">
        <v>587</v>
      </c>
      <c r="G260" s="34" t="s">
        <v>108</v>
      </c>
      <c r="H260" s="34"/>
      <c r="I260" s="105">
        <v>110043544144</v>
      </c>
      <c r="J260" s="33" t="str">
        <f>IFERROR(VLOOKUP($I260, 'Processed Non-zero DMR Data'!$K:$U, 11, FALSE),"")</f>
        <v>KY0097624</v>
      </c>
      <c r="K260" s="33" t="str">
        <f>IFERROR(VLOOKUP($I260, 'Processed Non-zero DMR Data'!$K:$V, 12, FALSE),"Not Reported")</f>
        <v>Cane Run</v>
      </c>
      <c r="L260" s="106">
        <f>IFERROR(VLOOKUP($I260, 'Processed Non-zero DMR Data'!$K:$W, 13, FALSE),"No Reach Code Reported")</f>
        <v>51002050804</v>
      </c>
      <c r="M260" s="107" t="str">
        <f>IFERROR(IFERROR(VLOOKUP(H260, 'Off-site Locations'!$K$3:$O$5, 5, FALSE), VLOOKUP(H260, 'Off-site Locations'!$B$3:$E$4, 4, FALSE)), "No Offsite Transfers")</f>
        <v>No Offsite Transfers</v>
      </c>
      <c r="N260" s="33">
        <f>VLOOKUP($D260, 'COU.OES Summary'!C:E, 3, FALSE)</f>
        <v>365</v>
      </c>
      <c r="O260" s="108">
        <f t="shared" ref="O260:O323" si="56">MAX(AB260,AI260,AP260)</f>
        <v>0</v>
      </c>
      <c r="P260" s="108">
        <f t="shared" ref="P260:P323" si="57">MAX(U260)</f>
        <v>1.690816275E-2</v>
      </c>
      <c r="Q260" s="109" cm="1">
        <f t="array" ref="Q260">IFERROR(_xlfn.XLOOKUP(1,  (MAX(IF(I260 = 'Processed Non-zero DMR Data'!$K:$K,'Processed Non-zero DMR Data'!$A:$A)) = 'Processed Non-zero DMR Data'!$A:$A)*('Processed Non-zero DMR Data'!$K:$K = I260),'Processed Non-zero DMR Data'!$T:$T), "N/A- Facility Does Not Report DMRs")</f>
        <v>1.2351969000000001E-2</v>
      </c>
      <c r="R260" s="33">
        <f t="shared" si="53"/>
        <v>3.384101095890411E-5</v>
      </c>
      <c r="S260" s="33" cm="1">
        <f t="array" ref="S260">IF(COUNTIF('Processed Non-zero DMR Data'!$K:$K,$I260)&gt;0,MEDIAN(IF('Processed Non-zero DMR Data'!$K:$K=I260,'Processed Non-zero DMR Data'!$T:$T)),"N/A - Facility Does Not Report DMRs")</f>
        <v>9.1674592499999992E-3</v>
      </c>
      <c r="T260" s="33">
        <f t="shared" si="54"/>
        <v>2.5116326712328766E-5</v>
      </c>
      <c r="U260" s="33">
        <f>IF(COUNTIF('Processed Non-zero DMR Data'!$K:$K,$I260)&gt;0,_xlfn.MAXIFS('Processed Non-zero DMR Data'!$T:$T,'Processed Non-zero DMR Data'!$K:$K,$I260), "N/A - Facility Does Not Report DMRs")</f>
        <v>1.690816275E-2</v>
      </c>
      <c r="V260" s="33">
        <f t="shared" si="55"/>
        <v>4.6323733561643839E-5</v>
      </c>
      <c r="W260" s="110" cm="1">
        <f t="array" ref="W260">IF(COUNTIF('Processed Non-zero DMR Data'!$K:$K,$I260)&gt;0,INDEX('Processed Non-zero DMR Data'!$A:$A,MATCH(1,($I260='Processed Non-zero DMR Data'!$K:$K)*($U260='Processed Non-zero DMR Data'!$T:$T),0)), "N/A - Facility Does Not Report DMRs")</f>
        <v>2020</v>
      </c>
      <c r="X260" s="109" cm="1">
        <f t="array" ref="X260">IFERROR(_xlfn.XLOOKUP(1,  (MAX(IF(H260 = 'Processed Non-zero TRI Data'!$I:$I,'Processed Non-zero TRI Data'!$A:$A)) = 'Processed Non-zero TRI Data'!$A:$A)*('Processed Non-zero TRI Data'!$I:$I = H260), 'Processed Non-zero TRI Data'!$S:$S), "N/A- Facility Does Not Report to TRI")</f>
        <v>0</v>
      </c>
      <c r="Y260" s="33">
        <f t="shared" ref="Y260:Y323" si="58">IFERROR(X260/$N260, "N/A - Facility Does Not Report to TRI")</f>
        <v>0</v>
      </c>
      <c r="Z260" s="33" t="str" cm="1">
        <f t="array" ref="Z260">IF(COUNTIF('Processed Non-zero TRI Data'!$I:$I,$H260)&gt;0,MEDIAN(IF('Processed Non-zero TRI Data'!$I:$I=H260,'Processed Non-zero TRI Data'!$S:$S)), "N/A - Facility Does Not Report to TRI")</f>
        <v>N/A - Facility Does Not Report to TRI</v>
      </c>
      <c r="AA260" s="33" t="str">
        <f t="shared" ref="AA260:AA323" si="59">IFERROR(Z260/$N260, "N/A - Facility Does Not Report to TRI")</f>
        <v>N/A - Facility Does Not Report to TRI</v>
      </c>
      <c r="AB260" s="33" t="str">
        <f>IF(COUNTIF('Processed Non-zero TRI Data'!$I:$I,$H260)&gt;0,_xlfn.MAXIFS('Processed Non-zero TRI Data'!$S:$S,'Processed Non-zero TRI Data'!$I:$I,$H260), "N/A - Facility Does Not Report to TRI")</f>
        <v>N/A - Facility Does Not Report to TRI</v>
      </c>
      <c r="AC260" s="33" t="str">
        <f t="shared" ref="AC260:AC323" si="60">IFERROR(AB260/$N260, "N/A - Facility Does Not Report to TRI")</f>
        <v>N/A - Facility Does Not Report to TRI</v>
      </c>
      <c r="AD260" s="110" t="str" cm="1">
        <f t="array" ref="AD260">IFERROR(IF(B260 = "TRI Form R", IF(AB260 = 0, "Facility has no on-site water discharges between 2019-2023.",  IF(COUNTIF('Processed Non-zero TRI Data'!$I:$I,$H260)&gt;0,INDEX('Processed Non-zero TRI Data'!$A:$A,MATCH(1,($H260='Processed Non-zero TRI Data'!$I:$I)*(AB260='Processed Non-zero TRI Data'!$S:$S),0)))), VLOOKUP(H260, 'Form A Recent Reporting'!$L:$M, 2, FALSE)), ("N/A - Facility Does Not Report to TRI"))</f>
        <v>N/A - Facility Does Not Report to TRI</v>
      </c>
      <c r="AE260" s="109" cm="1">
        <f t="array" ref="AE260">IFERROR(_xlfn.XLOOKUP(1,  (MAX(IF(H260 = 'Processed Non-zero TRI Data'!$I:$I,'Processed Non-zero TRI Data'!$A:$A)) = 'Processed Non-zero TRI Data'!$A:$A)*('Processed Non-zero TRI Data'!$I:$I = H260), 'Processed Non-zero TRI Data'!$U:$U), "N/A- Facility Does Not Report to TRI")</f>
        <v>0</v>
      </c>
      <c r="AF260" s="33">
        <f t="shared" ref="AF260:AF323" si="61">IFERROR(AE260/$N260, "N/A - Facility Does Not Report to TRI")</f>
        <v>0</v>
      </c>
      <c r="AG260" s="33" t="str" cm="1">
        <f t="array" ref="AG260">IF(COUNTIF('Processed Non-zero TRI Data'!$I:$I,$H260)&gt;0,MEDIAN(IF('Processed Non-zero TRI Data'!$I:$I=H260,'Processed Non-zero TRI Data'!$U:$U)), "N/A - Facility Does Not Report to TRI")</f>
        <v>N/A - Facility Does Not Report to TRI</v>
      </c>
      <c r="AH260" s="33" t="str">
        <f t="shared" ref="AH260:AH323" si="62">IFERROR(AG260/$N260, "N/A - Facility Does Not Report to TRI")</f>
        <v>N/A - Facility Does Not Report to TRI</v>
      </c>
      <c r="AI260" s="33" t="str">
        <f>IF(COUNTIF('Processed Non-zero TRI Data'!$I:$I,$H260)&gt;0,_xlfn.MAXIFS('Processed Non-zero TRI Data'!$U:$U,'Processed Non-zero TRI Data'!$I:$I,$H260), "N/A - Facility Does Not Report to TRI")</f>
        <v>N/A - Facility Does Not Report to TRI</v>
      </c>
      <c r="AJ260" s="33" t="str">
        <f t="shared" ref="AJ260:AJ323" si="63">IFERROR(AI260/$N260, "N/A - Facility Does Not Report to TRI")</f>
        <v>N/A - Facility Does Not Report to TRI</v>
      </c>
      <c r="AK260" s="110" t="str" cm="1">
        <f t="array" ref="AK260">IF(B260="TRI Form A",AD260,IF(AI260=0,"Facility has no transfers to POTWs between 2019-2023.",IF(COUNTIF('Processed Non-zero TRI Data'!$I:$I,$H260)&gt;0,INDEX('Processed Non-zero TRI Data'!$A:$A,MATCH(1,($H260='Processed Non-zero TRI Data'!$I:$I)*(AI260='Processed Non-zero TRI Data'!$U:$U),0)),"N/A - Facility Does Not Report to TRI")))</f>
        <v>N/A - Facility Does Not Report to TRI</v>
      </c>
      <c r="AL260" s="109" cm="1">
        <f t="array" ref="AL260">IFERROR(_xlfn.XLOOKUP(1,  (MAX(IF(H260 = 'Processed Non-zero TRI Data'!$I$2:$I$23,'Processed Non-zero TRI Data'!$A$2:$A$23)) = 'Processed Non-zero TRI Data'!$A$2:$A$23)*('Processed Non-zero TRI Data'!$I$2:$I$23 = H260), 'Processed Non-zero TRI Data'!$W$2:$W$23), "N/A- Facility Does Not Report to TRI")</f>
        <v>0</v>
      </c>
      <c r="AM260" s="33">
        <f t="shared" ref="AM260:AM323" si="64">IFERROR(AL260/$N260, "N/A - Facility Does Not Report to TRI")</f>
        <v>0</v>
      </c>
      <c r="AN260" s="33" t="str" cm="1">
        <f t="array" ref="AN260">IF(COUNTIF('Processed Non-zero TRI Data'!$I:$I,$H260)&gt;0,MEDIAN(IF('Processed Non-zero TRI Data'!$I:$I=H260,'Processed Non-zero TRI Data'!$W:$W)), "N/A - Facility Does Not Report to TRI")</f>
        <v>N/A - Facility Does Not Report to TRI</v>
      </c>
      <c r="AO260" s="33" t="str">
        <f t="shared" ref="AO260:AO323" si="65">IFERROR(AN260/$N260, "N/A - Facility Does Not Report to TRI")</f>
        <v>N/A - Facility Does Not Report to TRI</v>
      </c>
      <c r="AP260" s="33" t="str">
        <f>IF(COUNTIF('Processed Non-zero TRI Data'!$I:$I,$H260)&gt;0,_xlfn.MAXIFS('Processed Non-zero TRI Data'!$W:$W,'Processed Non-zero TRI Data'!$I:$I,$H260), "N/A - Facility Does Not Report to TRI")</f>
        <v>N/A - Facility Does Not Report to TRI</v>
      </c>
      <c r="AQ260" s="33" t="str">
        <f t="shared" ref="AQ260:AQ323" si="66">IFERROR(AP260/$N260, "N/A - Facility Does Not Report to TRI")</f>
        <v>N/A - Facility Does Not Report to TRI</v>
      </c>
      <c r="AR260" s="110" t="str" cm="1">
        <f t="array" ref="AR260">IF(B260="TRI Form A",AD260,IF(AP260=0,"Facility has no transfers to non-POTWs between 2019-2023.",IF(COUNTIF('Processed Non-zero TRI Data'!$I:$I,$H260)&gt;0,INDEX('Processed Non-zero TRI Data'!$A:$A,MATCH(1,($H260='Processed Non-zero TRI Data'!$I:$I)*(AP260='Processed Non-zero TRI Data'!$W:$W),0)),"N/A - Facility Does Not Report to TRI")))</f>
        <v>N/A - Facility Does Not Report to TRI</v>
      </c>
    </row>
    <row r="261" spans="1:44" ht="29" x14ac:dyDescent="0.35">
      <c r="A261" s="34">
        <v>258</v>
      </c>
      <c r="B261" s="33" t="str">
        <f>IFERROR("TRI Form "&amp;VLOOKUP(H261,'Processed Non-zero TRI Data'!$I$2:$K$23,3,FALSE),"DMR")</f>
        <v>DMR</v>
      </c>
      <c r="C261" s="33" t="str">
        <f>VLOOKUP($D261, 'COU.OES Summary'!C:D, 2, FALSE)</f>
        <v> </v>
      </c>
      <c r="D261" s="33" t="str">
        <f>IFERROR(VLOOKUP($H261, 'Processed Non-zero TRI Data'!$I:$O, 7, FALSE), VLOOKUP($I261, 'Processed Non-zero DMR Data'!$K:$R, 8, FALSE))</f>
        <v>Waste handling, treatment, and disposal - Remediation or Monitoring</v>
      </c>
      <c r="E261" s="34" t="s">
        <v>588</v>
      </c>
      <c r="F261" s="34" t="s">
        <v>589</v>
      </c>
      <c r="G261" s="34" t="s">
        <v>126</v>
      </c>
      <c r="H261" s="34"/>
      <c r="I261" s="105">
        <v>110000737365</v>
      </c>
      <c r="J261" s="33" t="str">
        <f>IFERROR(VLOOKUP($I261, 'Processed Non-zero DMR Data'!$K:$U, 11, FALSE),"")</f>
        <v>NY0001988</v>
      </c>
      <c r="K261" s="33" t="str">
        <f>IFERROR(VLOOKUP($I261, 'Processed Non-zero DMR Data'!$K:$V, 12, FALSE),"Not Reported")</f>
        <v>Cayuga Creek</v>
      </c>
      <c r="L261" s="106">
        <f>IFERROR(VLOOKUP($I261, 'Processed Non-zero DMR Data'!$K:$W, 13, FALSE),"No Reach Code Reported")</f>
        <v>41201040603</v>
      </c>
      <c r="M261" s="107" t="str">
        <f>IFERROR(IFERROR(VLOOKUP(H261, 'Off-site Locations'!$K$3:$O$5, 5, FALSE), VLOOKUP(H261, 'Off-site Locations'!$B$3:$E$4, 4, FALSE)), "No Offsite Transfers")</f>
        <v>No Offsite Transfers</v>
      </c>
      <c r="N261" s="33">
        <f>VLOOKUP($D261, 'COU.OES Summary'!C:E, 3, FALSE)</f>
        <v>365</v>
      </c>
      <c r="O261" s="108">
        <f t="shared" si="56"/>
        <v>0</v>
      </c>
      <c r="P261" s="108">
        <f t="shared" si="57"/>
        <v>1.6525279360424999E-2</v>
      </c>
      <c r="Q261" s="109" cm="1">
        <f t="array" ref="Q261">IFERROR(_xlfn.XLOOKUP(1,  (MAX(IF(I261 = 'Processed Non-zero DMR Data'!$K:$K,'Processed Non-zero DMR Data'!$A:$A)) = 'Processed Non-zero DMR Data'!$A:$A)*('Processed Non-zero DMR Data'!$K:$K = I261),'Processed Non-zero DMR Data'!$T:$T), "N/A- Facility Does Not Report DMRs")</f>
        <v>1.26163431501E-2</v>
      </c>
      <c r="R261" s="33">
        <f t="shared" ref="R261:R324" si="67">IFERROR(Q261/$N261, "N/A - Facility Does Not Report DMRs")</f>
        <v>3.4565323698904112E-5</v>
      </c>
      <c r="S261" s="33" cm="1">
        <f t="array" ref="S261">IF(COUNTIF('Processed Non-zero DMR Data'!$K:$K,$I261)&gt;0,MEDIAN(IF('Processed Non-zero DMR Data'!$K:$K=I261,'Processed Non-zero DMR Data'!$T:$T)),"N/A - Facility Does Not Report DMRs")</f>
        <v>1.26163431501E-2</v>
      </c>
      <c r="T261" s="33">
        <f t="shared" ref="T261:T324" si="68">IFERROR(S261/$N261, "N/A - Facility Does Not Report DMRs")</f>
        <v>3.4565323698904112E-5</v>
      </c>
      <c r="U261" s="33">
        <f>IF(COUNTIF('Processed Non-zero DMR Data'!$K:$K,$I261)&gt;0,_xlfn.MAXIFS('Processed Non-zero DMR Data'!$T:$T,'Processed Non-zero DMR Data'!$K:$K,$I261), "N/A - Facility Does Not Report DMRs")</f>
        <v>1.6525279360424999E-2</v>
      </c>
      <c r="V261" s="33">
        <f t="shared" ref="V261:V324" si="69">IFERROR(U261/$N261, "N/A - Facility Does Not Report DMRs")</f>
        <v>4.5274737973767118E-5</v>
      </c>
      <c r="W261" s="110" cm="1">
        <f t="array" ref="W261">IF(COUNTIF('Processed Non-zero DMR Data'!$K:$K,$I261)&gt;0,INDEX('Processed Non-zero DMR Data'!$A:$A,MATCH(1,($I261='Processed Non-zero DMR Data'!$K:$K)*($U261='Processed Non-zero DMR Data'!$T:$T),0)), "N/A - Facility Does Not Report DMRs")</f>
        <v>2022</v>
      </c>
      <c r="X261" s="109" cm="1">
        <f t="array" ref="X261">IFERROR(_xlfn.XLOOKUP(1,  (MAX(IF(H261 = 'Processed Non-zero TRI Data'!$I:$I,'Processed Non-zero TRI Data'!$A:$A)) = 'Processed Non-zero TRI Data'!$A:$A)*('Processed Non-zero TRI Data'!$I:$I = H261), 'Processed Non-zero TRI Data'!$S:$S), "N/A- Facility Does Not Report to TRI")</f>
        <v>0</v>
      </c>
      <c r="Y261" s="33">
        <f t="shared" si="58"/>
        <v>0</v>
      </c>
      <c r="Z261" s="33" t="str" cm="1">
        <f t="array" ref="Z261">IF(COUNTIF('Processed Non-zero TRI Data'!$I:$I,$H261)&gt;0,MEDIAN(IF('Processed Non-zero TRI Data'!$I:$I=H261,'Processed Non-zero TRI Data'!$S:$S)), "N/A - Facility Does Not Report to TRI")</f>
        <v>N/A - Facility Does Not Report to TRI</v>
      </c>
      <c r="AA261" s="33" t="str">
        <f t="shared" si="59"/>
        <v>N/A - Facility Does Not Report to TRI</v>
      </c>
      <c r="AB261" s="33" t="str">
        <f>IF(COUNTIF('Processed Non-zero TRI Data'!$I:$I,$H261)&gt;0,_xlfn.MAXIFS('Processed Non-zero TRI Data'!$S:$S,'Processed Non-zero TRI Data'!$I:$I,$H261), "N/A - Facility Does Not Report to TRI")</f>
        <v>N/A - Facility Does Not Report to TRI</v>
      </c>
      <c r="AC261" s="33" t="str">
        <f t="shared" si="60"/>
        <v>N/A - Facility Does Not Report to TRI</v>
      </c>
      <c r="AD261" s="110" t="str" cm="1">
        <f t="array" ref="AD261">IFERROR(IF(B261 = "TRI Form R", IF(AB261 = 0, "Facility has no on-site water discharges between 2019-2023.",  IF(COUNTIF('Processed Non-zero TRI Data'!$I:$I,$H261)&gt;0,INDEX('Processed Non-zero TRI Data'!$A:$A,MATCH(1,($H261='Processed Non-zero TRI Data'!$I:$I)*(AB261='Processed Non-zero TRI Data'!$S:$S),0)))), VLOOKUP(H261, 'Form A Recent Reporting'!$L:$M, 2, FALSE)), ("N/A - Facility Does Not Report to TRI"))</f>
        <v>N/A - Facility Does Not Report to TRI</v>
      </c>
      <c r="AE261" s="109" cm="1">
        <f t="array" ref="AE261">IFERROR(_xlfn.XLOOKUP(1,  (MAX(IF(H261 = 'Processed Non-zero TRI Data'!$I:$I,'Processed Non-zero TRI Data'!$A:$A)) = 'Processed Non-zero TRI Data'!$A:$A)*('Processed Non-zero TRI Data'!$I:$I = H261), 'Processed Non-zero TRI Data'!$U:$U), "N/A- Facility Does Not Report to TRI")</f>
        <v>0</v>
      </c>
      <c r="AF261" s="33">
        <f t="shared" si="61"/>
        <v>0</v>
      </c>
      <c r="AG261" s="33" t="str" cm="1">
        <f t="array" ref="AG261">IF(COUNTIF('Processed Non-zero TRI Data'!$I:$I,$H261)&gt;0,MEDIAN(IF('Processed Non-zero TRI Data'!$I:$I=H261,'Processed Non-zero TRI Data'!$U:$U)), "N/A - Facility Does Not Report to TRI")</f>
        <v>N/A - Facility Does Not Report to TRI</v>
      </c>
      <c r="AH261" s="33" t="str">
        <f t="shared" si="62"/>
        <v>N/A - Facility Does Not Report to TRI</v>
      </c>
      <c r="AI261" s="33" t="str">
        <f>IF(COUNTIF('Processed Non-zero TRI Data'!$I:$I,$H261)&gt;0,_xlfn.MAXIFS('Processed Non-zero TRI Data'!$U:$U,'Processed Non-zero TRI Data'!$I:$I,$H261), "N/A - Facility Does Not Report to TRI")</f>
        <v>N/A - Facility Does Not Report to TRI</v>
      </c>
      <c r="AJ261" s="33" t="str">
        <f t="shared" si="63"/>
        <v>N/A - Facility Does Not Report to TRI</v>
      </c>
      <c r="AK261" s="110" t="str" cm="1">
        <f t="array" ref="AK261">IF(B261="TRI Form A",AD261,IF(AI261=0,"Facility has no transfers to POTWs between 2019-2023.",IF(COUNTIF('Processed Non-zero TRI Data'!$I:$I,$H261)&gt;0,INDEX('Processed Non-zero TRI Data'!$A:$A,MATCH(1,($H261='Processed Non-zero TRI Data'!$I:$I)*(AI261='Processed Non-zero TRI Data'!$U:$U),0)),"N/A - Facility Does Not Report to TRI")))</f>
        <v>N/A - Facility Does Not Report to TRI</v>
      </c>
      <c r="AL261" s="109" cm="1">
        <f t="array" ref="AL261">IFERROR(_xlfn.XLOOKUP(1,  (MAX(IF(H261 = 'Processed Non-zero TRI Data'!$I$2:$I$23,'Processed Non-zero TRI Data'!$A$2:$A$23)) = 'Processed Non-zero TRI Data'!$A$2:$A$23)*('Processed Non-zero TRI Data'!$I$2:$I$23 = H261), 'Processed Non-zero TRI Data'!$W$2:$W$23), "N/A- Facility Does Not Report to TRI")</f>
        <v>0</v>
      </c>
      <c r="AM261" s="33">
        <f t="shared" si="64"/>
        <v>0</v>
      </c>
      <c r="AN261" s="33" t="str" cm="1">
        <f t="array" ref="AN261">IF(COUNTIF('Processed Non-zero TRI Data'!$I:$I,$H261)&gt;0,MEDIAN(IF('Processed Non-zero TRI Data'!$I:$I=H261,'Processed Non-zero TRI Data'!$W:$W)), "N/A - Facility Does Not Report to TRI")</f>
        <v>N/A - Facility Does Not Report to TRI</v>
      </c>
      <c r="AO261" s="33" t="str">
        <f t="shared" si="65"/>
        <v>N/A - Facility Does Not Report to TRI</v>
      </c>
      <c r="AP261" s="33" t="str">
        <f>IF(COUNTIF('Processed Non-zero TRI Data'!$I:$I,$H261)&gt;0,_xlfn.MAXIFS('Processed Non-zero TRI Data'!$W:$W,'Processed Non-zero TRI Data'!$I:$I,$H261), "N/A - Facility Does Not Report to TRI")</f>
        <v>N/A - Facility Does Not Report to TRI</v>
      </c>
      <c r="AQ261" s="33" t="str">
        <f t="shared" si="66"/>
        <v>N/A - Facility Does Not Report to TRI</v>
      </c>
      <c r="AR261" s="110" t="str" cm="1">
        <f t="array" ref="AR261">IF(B261="TRI Form A",AD261,IF(AP261=0,"Facility has no transfers to non-POTWs between 2019-2023.",IF(COUNTIF('Processed Non-zero TRI Data'!$I:$I,$H261)&gt;0,INDEX('Processed Non-zero TRI Data'!$A:$A,MATCH(1,($H261='Processed Non-zero TRI Data'!$I:$I)*(AP261='Processed Non-zero TRI Data'!$W:$W),0)),"N/A - Facility Does Not Report to TRI")))</f>
        <v>N/A - Facility Does Not Report to TRI</v>
      </c>
    </row>
    <row r="262" spans="1:44" ht="29" x14ac:dyDescent="0.35">
      <c r="A262" s="34">
        <v>259</v>
      </c>
      <c r="B262" s="33" t="str">
        <f>IFERROR("TRI Form "&amp;VLOOKUP(H262,'Processed Non-zero TRI Data'!$I$2:$K$23,3,FALSE),"DMR")</f>
        <v>DMR</v>
      </c>
      <c r="C262" s="33" t="str">
        <f>VLOOKUP($D262, 'COU.OES Summary'!C:D, 2, FALSE)</f>
        <v> </v>
      </c>
      <c r="D262" s="33" t="str">
        <f>IFERROR(VLOOKUP($H262, 'Processed Non-zero TRI Data'!$I:$O, 7, FALSE), VLOOKUP($I262, 'Processed Non-zero DMR Data'!$K:$R, 8, FALSE))</f>
        <v>Waste handling, treatment, and disposal - Remediation or Monitoring</v>
      </c>
      <c r="E262" s="34" t="s">
        <v>590</v>
      </c>
      <c r="F262" s="34" t="s">
        <v>591</v>
      </c>
      <c r="G262" s="34" t="s">
        <v>592</v>
      </c>
      <c r="H262" s="34"/>
      <c r="I262" s="105">
        <v>110000314598</v>
      </c>
      <c r="J262" s="33" t="str">
        <f>IFERROR(VLOOKUP($I262, 'Processed Non-zero DMR Data'!$K:$U, 11, FALSE),"")</f>
        <v>ME0000639</v>
      </c>
      <c r="K262" s="33" t="str">
        <f>IFERROR(VLOOKUP($I262, 'Processed Non-zero DMR Data'!$K:$V, 12, FALSE),"Not Reported")</f>
        <v>Cove Brook-Penobscot River</v>
      </c>
      <c r="L262" s="106">
        <f>IFERROR(VLOOKUP($I262, 'Processed Non-zero DMR Data'!$K:$W, 13, FALSE),"No Reach Code Reported")</f>
        <v>10200051007</v>
      </c>
      <c r="M262" s="107" t="str">
        <f>IFERROR(IFERROR(VLOOKUP(H262, 'Off-site Locations'!$K$3:$O$5, 5, FALSE), VLOOKUP(H262, 'Off-site Locations'!$B$3:$E$4, 4, FALSE)), "No Offsite Transfers")</f>
        <v>No Offsite Transfers</v>
      </c>
      <c r="N262" s="33">
        <f>VLOOKUP($D262, 'COU.OES Summary'!C:E, 3, FALSE)</f>
        <v>365</v>
      </c>
      <c r="O262" s="108">
        <f t="shared" si="56"/>
        <v>0</v>
      </c>
      <c r="P262" s="108">
        <f t="shared" si="57"/>
        <v>1.546551E-2</v>
      </c>
      <c r="Q262" s="109" cm="1">
        <f t="array" ref="Q262">IFERROR(_xlfn.XLOOKUP(1,  (MAX(IF(I262 = 'Processed Non-zero DMR Data'!$K:$K,'Processed Non-zero DMR Data'!$A:$A)) = 'Processed Non-zero DMR Data'!$A:$A)*('Processed Non-zero DMR Data'!$K:$K = I262),'Processed Non-zero DMR Data'!$T:$T), "N/A- Facility Does Not Report DMRs")</f>
        <v>1.546551E-2</v>
      </c>
      <c r="R262" s="33">
        <f t="shared" si="67"/>
        <v>4.2371260273972606E-5</v>
      </c>
      <c r="S262" s="33" cm="1">
        <f t="array" ref="S262">IF(COUNTIF('Processed Non-zero DMR Data'!$K:$K,$I262)&gt;0,MEDIAN(IF('Processed Non-zero DMR Data'!$K:$K=I262,'Processed Non-zero DMR Data'!$T:$T)),"N/A - Facility Does Not Report DMRs")</f>
        <v>1.546551E-2</v>
      </c>
      <c r="T262" s="33">
        <f t="shared" si="68"/>
        <v>4.2371260273972606E-5</v>
      </c>
      <c r="U262" s="33">
        <f>IF(COUNTIF('Processed Non-zero DMR Data'!$K:$K,$I262)&gt;0,_xlfn.MAXIFS('Processed Non-zero DMR Data'!$T:$T,'Processed Non-zero DMR Data'!$K:$K,$I262), "N/A - Facility Does Not Report DMRs")</f>
        <v>1.546551E-2</v>
      </c>
      <c r="V262" s="33">
        <f t="shared" si="69"/>
        <v>4.2371260273972606E-5</v>
      </c>
      <c r="W262" s="110" cm="1">
        <f t="array" ref="W262">IF(COUNTIF('Processed Non-zero DMR Data'!$K:$K,$I262)&gt;0,INDEX('Processed Non-zero DMR Data'!$A:$A,MATCH(1,($I262='Processed Non-zero DMR Data'!$K:$K)*($U262='Processed Non-zero DMR Data'!$T:$T),0)), "N/A - Facility Does Not Report DMRs")</f>
        <v>2019</v>
      </c>
      <c r="X262" s="109" cm="1">
        <f t="array" ref="X262">IFERROR(_xlfn.XLOOKUP(1,  (MAX(IF(H262 = 'Processed Non-zero TRI Data'!$I:$I,'Processed Non-zero TRI Data'!$A:$A)) = 'Processed Non-zero TRI Data'!$A:$A)*('Processed Non-zero TRI Data'!$I:$I = H262), 'Processed Non-zero TRI Data'!$S:$S), "N/A- Facility Does Not Report to TRI")</f>
        <v>0</v>
      </c>
      <c r="Y262" s="33">
        <f t="shared" si="58"/>
        <v>0</v>
      </c>
      <c r="Z262" s="33" t="str" cm="1">
        <f t="array" ref="Z262">IF(COUNTIF('Processed Non-zero TRI Data'!$I:$I,$H262)&gt;0,MEDIAN(IF('Processed Non-zero TRI Data'!$I:$I=H262,'Processed Non-zero TRI Data'!$S:$S)), "N/A - Facility Does Not Report to TRI")</f>
        <v>N/A - Facility Does Not Report to TRI</v>
      </c>
      <c r="AA262" s="33" t="str">
        <f t="shared" si="59"/>
        <v>N/A - Facility Does Not Report to TRI</v>
      </c>
      <c r="AB262" s="33" t="str">
        <f>IF(COUNTIF('Processed Non-zero TRI Data'!$I:$I,$H262)&gt;0,_xlfn.MAXIFS('Processed Non-zero TRI Data'!$S:$S,'Processed Non-zero TRI Data'!$I:$I,$H262), "N/A - Facility Does Not Report to TRI")</f>
        <v>N/A - Facility Does Not Report to TRI</v>
      </c>
      <c r="AC262" s="33" t="str">
        <f t="shared" si="60"/>
        <v>N/A - Facility Does Not Report to TRI</v>
      </c>
      <c r="AD262" s="110" t="str" cm="1">
        <f t="array" ref="AD262">IFERROR(IF(B262 = "TRI Form R", IF(AB262 = 0, "Facility has no on-site water discharges between 2019-2023.",  IF(COUNTIF('Processed Non-zero TRI Data'!$I:$I,$H262)&gt;0,INDEX('Processed Non-zero TRI Data'!$A:$A,MATCH(1,($H262='Processed Non-zero TRI Data'!$I:$I)*(AB262='Processed Non-zero TRI Data'!$S:$S),0)))), VLOOKUP(H262, 'Form A Recent Reporting'!$L:$M, 2, FALSE)), ("N/A - Facility Does Not Report to TRI"))</f>
        <v>N/A - Facility Does Not Report to TRI</v>
      </c>
      <c r="AE262" s="109" cm="1">
        <f t="array" ref="AE262">IFERROR(_xlfn.XLOOKUP(1,  (MAX(IF(H262 = 'Processed Non-zero TRI Data'!$I:$I,'Processed Non-zero TRI Data'!$A:$A)) = 'Processed Non-zero TRI Data'!$A:$A)*('Processed Non-zero TRI Data'!$I:$I = H262), 'Processed Non-zero TRI Data'!$U:$U), "N/A- Facility Does Not Report to TRI")</f>
        <v>0</v>
      </c>
      <c r="AF262" s="33">
        <f t="shared" si="61"/>
        <v>0</v>
      </c>
      <c r="AG262" s="33" t="str" cm="1">
        <f t="array" ref="AG262">IF(COUNTIF('Processed Non-zero TRI Data'!$I:$I,$H262)&gt;0,MEDIAN(IF('Processed Non-zero TRI Data'!$I:$I=H262,'Processed Non-zero TRI Data'!$U:$U)), "N/A - Facility Does Not Report to TRI")</f>
        <v>N/A - Facility Does Not Report to TRI</v>
      </c>
      <c r="AH262" s="33" t="str">
        <f t="shared" si="62"/>
        <v>N/A - Facility Does Not Report to TRI</v>
      </c>
      <c r="AI262" s="33" t="str">
        <f>IF(COUNTIF('Processed Non-zero TRI Data'!$I:$I,$H262)&gt;0,_xlfn.MAXIFS('Processed Non-zero TRI Data'!$U:$U,'Processed Non-zero TRI Data'!$I:$I,$H262), "N/A - Facility Does Not Report to TRI")</f>
        <v>N/A - Facility Does Not Report to TRI</v>
      </c>
      <c r="AJ262" s="33" t="str">
        <f t="shared" si="63"/>
        <v>N/A - Facility Does Not Report to TRI</v>
      </c>
      <c r="AK262" s="110" t="str" cm="1">
        <f t="array" ref="AK262">IF(B262="TRI Form A",AD262,IF(AI262=0,"Facility has no transfers to POTWs between 2019-2023.",IF(COUNTIF('Processed Non-zero TRI Data'!$I:$I,$H262)&gt;0,INDEX('Processed Non-zero TRI Data'!$A:$A,MATCH(1,($H262='Processed Non-zero TRI Data'!$I:$I)*(AI262='Processed Non-zero TRI Data'!$U:$U),0)),"N/A - Facility Does Not Report to TRI")))</f>
        <v>N/A - Facility Does Not Report to TRI</v>
      </c>
      <c r="AL262" s="109" cm="1">
        <f t="array" ref="AL262">IFERROR(_xlfn.XLOOKUP(1,  (MAX(IF(H262 = 'Processed Non-zero TRI Data'!$I$2:$I$23,'Processed Non-zero TRI Data'!$A$2:$A$23)) = 'Processed Non-zero TRI Data'!$A$2:$A$23)*('Processed Non-zero TRI Data'!$I$2:$I$23 = H262), 'Processed Non-zero TRI Data'!$W$2:$W$23), "N/A- Facility Does Not Report to TRI")</f>
        <v>0</v>
      </c>
      <c r="AM262" s="33">
        <f t="shared" si="64"/>
        <v>0</v>
      </c>
      <c r="AN262" s="33" t="str" cm="1">
        <f t="array" ref="AN262">IF(COUNTIF('Processed Non-zero TRI Data'!$I:$I,$H262)&gt;0,MEDIAN(IF('Processed Non-zero TRI Data'!$I:$I=H262,'Processed Non-zero TRI Data'!$W:$W)), "N/A - Facility Does Not Report to TRI")</f>
        <v>N/A - Facility Does Not Report to TRI</v>
      </c>
      <c r="AO262" s="33" t="str">
        <f t="shared" si="65"/>
        <v>N/A - Facility Does Not Report to TRI</v>
      </c>
      <c r="AP262" s="33" t="str">
        <f>IF(COUNTIF('Processed Non-zero TRI Data'!$I:$I,$H262)&gt;0,_xlfn.MAXIFS('Processed Non-zero TRI Data'!$W:$W,'Processed Non-zero TRI Data'!$I:$I,$H262), "N/A - Facility Does Not Report to TRI")</f>
        <v>N/A - Facility Does Not Report to TRI</v>
      </c>
      <c r="AQ262" s="33" t="str">
        <f t="shared" si="66"/>
        <v>N/A - Facility Does Not Report to TRI</v>
      </c>
      <c r="AR262" s="110" t="str" cm="1">
        <f t="array" ref="AR262">IF(B262="TRI Form A",AD262,IF(AP262=0,"Facility has no transfers to non-POTWs between 2019-2023.",IF(COUNTIF('Processed Non-zero TRI Data'!$I:$I,$H262)&gt;0,INDEX('Processed Non-zero TRI Data'!$A:$A,MATCH(1,($H262='Processed Non-zero TRI Data'!$I:$I)*(AP262='Processed Non-zero TRI Data'!$W:$W),0)),"N/A - Facility Does Not Report to TRI")))</f>
        <v>N/A - Facility Does Not Report to TRI</v>
      </c>
    </row>
    <row r="263" spans="1:44" ht="29" x14ac:dyDescent="0.35">
      <c r="A263" s="34">
        <v>260</v>
      </c>
      <c r="B263" s="33" t="str">
        <f>IFERROR("TRI Form "&amp;VLOOKUP(H263,'Processed Non-zero TRI Data'!$I$2:$K$23,3,FALSE),"DMR")</f>
        <v>DMR</v>
      </c>
      <c r="C263" s="33" t="str">
        <f>VLOOKUP($D263, 'COU.OES Summary'!C:D, 2, FALSE)</f>
        <v> </v>
      </c>
      <c r="D263" s="33" t="str">
        <f>IFERROR(VLOOKUP($H263, 'Processed Non-zero TRI Data'!$I:$O, 7, FALSE), VLOOKUP($I263, 'Processed Non-zero DMR Data'!$K:$R, 8, FALSE))</f>
        <v>Waste handling, treatment, and disposal - Remediation or Monitoring</v>
      </c>
      <c r="E263" s="34" t="s">
        <v>593</v>
      </c>
      <c r="F263" s="34" t="s">
        <v>594</v>
      </c>
      <c r="G263" s="34" t="s">
        <v>95</v>
      </c>
      <c r="H263" s="34"/>
      <c r="I263" s="105">
        <v>110000599479</v>
      </c>
      <c r="J263" s="33" t="str">
        <f>IFERROR(VLOOKUP($I263, 'Processed Non-zero DMR Data'!$K:$U, 11, FALSE),"")</f>
        <v>TX0072168</v>
      </c>
      <c r="K263" s="33" t="str">
        <f>IFERROR(VLOOKUP($I263, 'Processed Non-zero DMR Data'!$K:$V, 12, FALSE),"Not Reported")</f>
        <v>Mustang Bayou</v>
      </c>
      <c r="L263" s="106">
        <f>IFERROR(VLOOKUP($I263, 'Processed Non-zero DMR Data'!$K:$W, 13, FALSE),"No Reach Code Reported")</f>
        <v>120402040400</v>
      </c>
      <c r="M263" s="107" t="str">
        <f>IFERROR(IFERROR(VLOOKUP(H263, 'Off-site Locations'!$K$3:$O$5, 5, FALSE), VLOOKUP(H263, 'Off-site Locations'!$B$3:$E$4, 4, FALSE)), "No Offsite Transfers")</f>
        <v>No Offsite Transfers</v>
      </c>
      <c r="N263" s="33">
        <f>VLOOKUP($D263, 'COU.OES Summary'!C:E, 3, FALSE)</f>
        <v>365</v>
      </c>
      <c r="O263" s="108">
        <f t="shared" si="56"/>
        <v>0</v>
      </c>
      <c r="P263" s="108">
        <f t="shared" si="57"/>
        <v>1.4913900000000001E-2</v>
      </c>
      <c r="Q263" s="109" cm="1">
        <f t="array" ref="Q263">IFERROR(_xlfn.XLOOKUP(1,  (MAX(IF(I263 = 'Processed Non-zero DMR Data'!$K:$K,'Processed Non-zero DMR Data'!$A:$A)) = 'Processed Non-zero DMR Data'!$A:$A)*('Processed Non-zero DMR Data'!$K:$K = I263),'Processed Non-zero DMR Data'!$T:$T), "N/A- Facility Does Not Report DMRs")</f>
        <v>1.4913900000000001E-2</v>
      </c>
      <c r="R263" s="33">
        <f t="shared" si="67"/>
        <v>4.0860000000000005E-5</v>
      </c>
      <c r="S263" s="33" cm="1">
        <f t="array" ref="S263">IF(COUNTIF('Processed Non-zero DMR Data'!$K:$K,$I263)&gt;0,MEDIAN(IF('Processed Non-zero DMR Data'!$K:$K=I263,'Processed Non-zero DMR Data'!$T:$T)),"N/A - Facility Does Not Report DMRs")</f>
        <v>1.4913900000000001E-2</v>
      </c>
      <c r="T263" s="33">
        <f t="shared" si="68"/>
        <v>4.0860000000000005E-5</v>
      </c>
      <c r="U263" s="33">
        <f>IF(COUNTIF('Processed Non-zero DMR Data'!$K:$K,$I263)&gt;0,_xlfn.MAXIFS('Processed Non-zero DMR Data'!$T:$T,'Processed Non-zero DMR Data'!$K:$K,$I263), "N/A - Facility Does Not Report DMRs")</f>
        <v>1.4913900000000001E-2</v>
      </c>
      <c r="V263" s="33">
        <f t="shared" si="69"/>
        <v>4.0860000000000005E-5</v>
      </c>
      <c r="W263" s="110" cm="1">
        <f t="array" ref="W263">IF(COUNTIF('Processed Non-zero DMR Data'!$K:$K,$I263)&gt;0,INDEX('Processed Non-zero DMR Data'!$A:$A,MATCH(1,($I263='Processed Non-zero DMR Data'!$K:$K)*($U263='Processed Non-zero DMR Data'!$T:$T),0)), "N/A - Facility Does Not Report DMRs")</f>
        <v>2020</v>
      </c>
      <c r="X263" s="109" cm="1">
        <f t="array" ref="X263">IFERROR(_xlfn.XLOOKUP(1,  (MAX(IF(H263 = 'Processed Non-zero TRI Data'!$I:$I,'Processed Non-zero TRI Data'!$A:$A)) = 'Processed Non-zero TRI Data'!$A:$A)*('Processed Non-zero TRI Data'!$I:$I = H263), 'Processed Non-zero TRI Data'!$S:$S), "N/A- Facility Does Not Report to TRI")</f>
        <v>0</v>
      </c>
      <c r="Y263" s="33">
        <f t="shared" si="58"/>
        <v>0</v>
      </c>
      <c r="Z263" s="33" t="str" cm="1">
        <f t="array" ref="Z263">IF(COUNTIF('Processed Non-zero TRI Data'!$I:$I,$H263)&gt;0,MEDIAN(IF('Processed Non-zero TRI Data'!$I:$I=H263,'Processed Non-zero TRI Data'!$S:$S)), "N/A - Facility Does Not Report to TRI")</f>
        <v>N/A - Facility Does Not Report to TRI</v>
      </c>
      <c r="AA263" s="33" t="str">
        <f t="shared" si="59"/>
        <v>N/A - Facility Does Not Report to TRI</v>
      </c>
      <c r="AB263" s="33" t="str">
        <f>IF(COUNTIF('Processed Non-zero TRI Data'!$I:$I,$H263)&gt;0,_xlfn.MAXIFS('Processed Non-zero TRI Data'!$S:$S,'Processed Non-zero TRI Data'!$I:$I,$H263), "N/A - Facility Does Not Report to TRI")</f>
        <v>N/A - Facility Does Not Report to TRI</v>
      </c>
      <c r="AC263" s="33" t="str">
        <f t="shared" si="60"/>
        <v>N/A - Facility Does Not Report to TRI</v>
      </c>
      <c r="AD263" s="110" t="str" cm="1">
        <f t="array" ref="AD263">IFERROR(IF(B263 = "TRI Form R", IF(AB263 = 0, "Facility has no on-site water discharges between 2019-2023.",  IF(COUNTIF('Processed Non-zero TRI Data'!$I:$I,$H263)&gt;0,INDEX('Processed Non-zero TRI Data'!$A:$A,MATCH(1,($H263='Processed Non-zero TRI Data'!$I:$I)*(AB263='Processed Non-zero TRI Data'!$S:$S),0)))), VLOOKUP(H263, 'Form A Recent Reporting'!$L:$M, 2, FALSE)), ("N/A - Facility Does Not Report to TRI"))</f>
        <v>N/A - Facility Does Not Report to TRI</v>
      </c>
      <c r="AE263" s="109" cm="1">
        <f t="array" ref="AE263">IFERROR(_xlfn.XLOOKUP(1,  (MAX(IF(H263 = 'Processed Non-zero TRI Data'!$I:$I,'Processed Non-zero TRI Data'!$A:$A)) = 'Processed Non-zero TRI Data'!$A:$A)*('Processed Non-zero TRI Data'!$I:$I = H263), 'Processed Non-zero TRI Data'!$U:$U), "N/A- Facility Does Not Report to TRI")</f>
        <v>0</v>
      </c>
      <c r="AF263" s="33">
        <f t="shared" si="61"/>
        <v>0</v>
      </c>
      <c r="AG263" s="33" t="str" cm="1">
        <f t="array" ref="AG263">IF(COUNTIF('Processed Non-zero TRI Data'!$I:$I,$H263)&gt;0,MEDIAN(IF('Processed Non-zero TRI Data'!$I:$I=H263,'Processed Non-zero TRI Data'!$U:$U)), "N/A - Facility Does Not Report to TRI")</f>
        <v>N/A - Facility Does Not Report to TRI</v>
      </c>
      <c r="AH263" s="33" t="str">
        <f t="shared" si="62"/>
        <v>N/A - Facility Does Not Report to TRI</v>
      </c>
      <c r="AI263" s="33" t="str">
        <f>IF(COUNTIF('Processed Non-zero TRI Data'!$I:$I,$H263)&gt;0,_xlfn.MAXIFS('Processed Non-zero TRI Data'!$U:$U,'Processed Non-zero TRI Data'!$I:$I,$H263), "N/A - Facility Does Not Report to TRI")</f>
        <v>N/A - Facility Does Not Report to TRI</v>
      </c>
      <c r="AJ263" s="33" t="str">
        <f t="shared" si="63"/>
        <v>N/A - Facility Does Not Report to TRI</v>
      </c>
      <c r="AK263" s="110" t="str" cm="1">
        <f t="array" ref="AK263">IF(B263="TRI Form A",AD263,IF(AI263=0,"Facility has no transfers to POTWs between 2019-2023.",IF(COUNTIF('Processed Non-zero TRI Data'!$I:$I,$H263)&gt;0,INDEX('Processed Non-zero TRI Data'!$A:$A,MATCH(1,($H263='Processed Non-zero TRI Data'!$I:$I)*(AI263='Processed Non-zero TRI Data'!$U:$U),0)),"N/A - Facility Does Not Report to TRI")))</f>
        <v>N/A - Facility Does Not Report to TRI</v>
      </c>
      <c r="AL263" s="109" cm="1">
        <f t="array" ref="AL263">IFERROR(_xlfn.XLOOKUP(1,  (MAX(IF(H263 = 'Processed Non-zero TRI Data'!$I$2:$I$23,'Processed Non-zero TRI Data'!$A$2:$A$23)) = 'Processed Non-zero TRI Data'!$A$2:$A$23)*('Processed Non-zero TRI Data'!$I$2:$I$23 = H263), 'Processed Non-zero TRI Data'!$W$2:$W$23), "N/A- Facility Does Not Report to TRI")</f>
        <v>0</v>
      </c>
      <c r="AM263" s="33">
        <f t="shared" si="64"/>
        <v>0</v>
      </c>
      <c r="AN263" s="33" t="str" cm="1">
        <f t="array" ref="AN263">IF(COUNTIF('Processed Non-zero TRI Data'!$I:$I,$H263)&gt;0,MEDIAN(IF('Processed Non-zero TRI Data'!$I:$I=H263,'Processed Non-zero TRI Data'!$W:$W)), "N/A - Facility Does Not Report to TRI")</f>
        <v>N/A - Facility Does Not Report to TRI</v>
      </c>
      <c r="AO263" s="33" t="str">
        <f t="shared" si="65"/>
        <v>N/A - Facility Does Not Report to TRI</v>
      </c>
      <c r="AP263" s="33" t="str">
        <f>IF(COUNTIF('Processed Non-zero TRI Data'!$I:$I,$H263)&gt;0,_xlfn.MAXIFS('Processed Non-zero TRI Data'!$W:$W,'Processed Non-zero TRI Data'!$I:$I,$H263), "N/A - Facility Does Not Report to TRI")</f>
        <v>N/A - Facility Does Not Report to TRI</v>
      </c>
      <c r="AQ263" s="33" t="str">
        <f t="shared" si="66"/>
        <v>N/A - Facility Does Not Report to TRI</v>
      </c>
      <c r="AR263" s="110" t="str" cm="1">
        <f t="array" ref="AR263">IF(B263="TRI Form A",AD263,IF(AP263=0,"Facility has no transfers to non-POTWs between 2019-2023.",IF(COUNTIF('Processed Non-zero TRI Data'!$I:$I,$H263)&gt;0,INDEX('Processed Non-zero TRI Data'!$A:$A,MATCH(1,($H263='Processed Non-zero TRI Data'!$I:$I)*(AP263='Processed Non-zero TRI Data'!$W:$W),0)),"N/A - Facility Does Not Report to TRI")))</f>
        <v>N/A - Facility Does Not Report to TRI</v>
      </c>
    </row>
    <row r="264" spans="1:44" ht="29" x14ac:dyDescent="0.35">
      <c r="A264" s="34">
        <v>261</v>
      </c>
      <c r="B264" s="33" t="str">
        <f>IFERROR("TRI Form "&amp;VLOOKUP(H264,'Processed Non-zero TRI Data'!$I$2:$K$23,3,FALSE),"DMR")</f>
        <v>DMR</v>
      </c>
      <c r="C264" s="33" t="str">
        <f>VLOOKUP($D264, 'COU.OES Summary'!C:D, 2, FALSE)</f>
        <v> </v>
      </c>
      <c r="D264" s="33" t="str">
        <f>IFERROR(VLOOKUP($H264, 'Processed Non-zero TRI Data'!$I:$O, 7, FALSE), VLOOKUP($I264, 'Processed Non-zero DMR Data'!$K:$R, 8, FALSE))</f>
        <v>Waste handling, treatment, and disposal - Remediation or Monitoring</v>
      </c>
      <c r="E264" s="34" t="s">
        <v>595</v>
      </c>
      <c r="F264" s="34" t="s">
        <v>596</v>
      </c>
      <c r="G264" s="34" t="s">
        <v>126</v>
      </c>
      <c r="H264" s="34"/>
      <c r="I264" s="105">
        <v>110000616414</v>
      </c>
      <c r="J264" s="33" t="str">
        <f>IFERROR(VLOOKUP($I264, 'Processed Non-zero DMR Data'!$K:$U, 11, FALSE),"")</f>
        <v>NY0162540</v>
      </c>
      <c r="K264" s="33" t="str">
        <f>IFERROR(VLOOKUP($I264, 'Processed Non-zero DMR Data'!$K:$V, 12, FALSE),"Not Reported")</f>
        <v>Brockport Creek-Otis Creek</v>
      </c>
      <c r="L264" s="106">
        <f>IFERROR(VLOOKUP($I264, 'Processed Non-zero DMR Data'!$K:$W, 13, FALSE),"No Reach Code Reported")</f>
        <v>41300010202</v>
      </c>
      <c r="M264" s="107" t="str">
        <f>IFERROR(IFERROR(VLOOKUP(H264, 'Off-site Locations'!$K$3:$O$5, 5, FALSE), VLOOKUP(H264, 'Off-site Locations'!$B$3:$E$4, 4, FALSE)), "No Offsite Transfers")</f>
        <v>No Offsite Transfers</v>
      </c>
      <c r="N264" s="33">
        <f>VLOOKUP($D264, 'COU.OES Summary'!C:E, 3, FALSE)</f>
        <v>365</v>
      </c>
      <c r="O264" s="108">
        <f t="shared" si="56"/>
        <v>0</v>
      </c>
      <c r="P264" s="108">
        <f t="shared" si="57"/>
        <v>1.366086E-2</v>
      </c>
      <c r="Q264" s="109" cm="1">
        <f t="array" ref="Q264">IFERROR(_xlfn.XLOOKUP(1,  (MAX(IF(I264 = 'Processed Non-zero DMR Data'!$K:$K,'Processed Non-zero DMR Data'!$A:$A)) = 'Processed Non-zero DMR Data'!$A:$A)*('Processed Non-zero DMR Data'!$K:$K = I264),'Processed Non-zero DMR Data'!$T:$T), "N/A- Facility Does Not Report DMRs")</f>
        <v>1.0230889999999999E-2</v>
      </c>
      <c r="R264" s="33">
        <f t="shared" si="67"/>
        <v>2.8029835616438354E-5</v>
      </c>
      <c r="S264" s="33" cm="1">
        <f t="array" ref="S264">IF(COUNTIF('Processed Non-zero DMR Data'!$K:$K,$I264)&gt;0,MEDIAN(IF('Processed Non-zero DMR Data'!$K:$K=I264,'Processed Non-zero DMR Data'!$T:$T)),"N/A - Facility Does Not Report DMRs")</f>
        <v>1.194928E-2</v>
      </c>
      <c r="T264" s="33">
        <f t="shared" si="68"/>
        <v>3.273775342465753E-5</v>
      </c>
      <c r="U264" s="33">
        <f>IF(COUNTIF('Processed Non-zero DMR Data'!$K:$K,$I264)&gt;0,_xlfn.MAXIFS('Processed Non-zero DMR Data'!$T:$T,'Processed Non-zero DMR Data'!$K:$K,$I264), "N/A - Facility Does Not Report DMRs")</f>
        <v>1.366086E-2</v>
      </c>
      <c r="V264" s="33">
        <f t="shared" si="69"/>
        <v>3.742701369863014E-5</v>
      </c>
      <c r="W264" s="110" cm="1">
        <f t="array" ref="W264">IF(COUNTIF('Processed Non-zero DMR Data'!$K:$K,$I264)&gt;0,INDEX('Processed Non-zero DMR Data'!$A:$A,MATCH(1,($I264='Processed Non-zero DMR Data'!$K:$K)*($U264='Processed Non-zero DMR Data'!$T:$T),0)), "N/A - Facility Does Not Report DMRs")</f>
        <v>2020</v>
      </c>
      <c r="X264" s="109" cm="1">
        <f t="array" ref="X264">IFERROR(_xlfn.XLOOKUP(1,  (MAX(IF(H264 = 'Processed Non-zero TRI Data'!$I:$I,'Processed Non-zero TRI Data'!$A:$A)) = 'Processed Non-zero TRI Data'!$A:$A)*('Processed Non-zero TRI Data'!$I:$I = H264), 'Processed Non-zero TRI Data'!$S:$S), "N/A- Facility Does Not Report to TRI")</f>
        <v>0</v>
      </c>
      <c r="Y264" s="33">
        <f t="shared" si="58"/>
        <v>0</v>
      </c>
      <c r="Z264" s="33" t="str" cm="1">
        <f t="array" ref="Z264">IF(COUNTIF('Processed Non-zero TRI Data'!$I:$I,$H264)&gt;0,MEDIAN(IF('Processed Non-zero TRI Data'!$I:$I=H264,'Processed Non-zero TRI Data'!$S:$S)), "N/A - Facility Does Not Report to TRI")</f>
        <v>N/A - Facility Does Not Report to TRI</v>
      </c>
      <c r="AA264" s="33" t="str">
        <f t="shared" si="59"/>
        <v>N/A - Facility Does Not Report to TRI</v>
      </c>
      <c r="AB264" s="33" t="str">
        <f>IF(COUNTIF('Processed Non-zero TRI Data'!$I:$I,$H264)&gt;0,_xlfn.MAXIFS('Processed Non-zero TRI Data'!$S:$S,'Processed Non-zero TRI Data'!$I:$I,$H264), "N/A - Facility Does Not Report to TRI")</f>
        <v>N/A - Facility Does Not Report to TRI</v>
      </c>
      <c r="AC264" s="33" t="str">
        <f t="shared" si="60"/>
        <v>N/A - Facility Does Not Report to TRI</v>
      </c>
      <c r="AD264" s="110" t="str" cm="1">
        <f t="array" ref="AD264">IFERROR(IF(B264 = "TRI Form R", IF(AB264 = 0, "Facility has no on-site water discharges between 2019-2023.",  IF(COUNTIF('Processed Non-zero TRI Data'!$I:$I,$H264)&gt;0,INDEX('Processed Non-zero TRI Data'!$A:$A,MATCH(1,($H264='Processed Non-zero TRI Data'!$I:$I)*(AB264='Processed Non-zero TRI Data'!$S:$S),0)))), VLOOKUP(H264, 'Form A Recent Reporting'!$L:$M, 2, FALSE)), ("N/A - Facility Does Not Report to TRI"))</f>
        <v>N/A - Facility Does Not Report to TRI</v>
      </c>
      <c r="AE264" s="109" cm="1">
        <f t="array" ref="AE264">IFERROR(_xlfn.XLOOKUP(1,  (MAX(IF(H264 = 'Processed Non-zero TRI Data'!$I:$I,'Processed Non-zero TRI Data'!$A:$A)) = 'Processed Non-zero TRI Data'!$A:$A)*('Processed Non-zero TRI Data'!$I:$I = H264), 'Processed Non-zero TRI Data'!$U:$U), "N/A- Facility Does Not Report to TRI")</f>
        <v>0</v>
      </c>
      <c r="AF264" s="33">
        <f t="shared" si="61"/>
        <v>0</v>
      </c>
      <c r="AG264" s="33" t="str" cm="1">
        <f t="array" ref="AG264">IF(COUNTIF('Processed Non-zero TRI Data'!$I:$I,$H264)&gt;0,MEDIAN(IF('Processed Non-zero TRI Data'!$I:$I=H264,'Processed Non-zero TRI Data'!$U:$U)), "N/A - Facility Does Not Report to TRI")</f>
        <v>N/A - Facility Does Not Report to TRI</v>
      </c>
      <c r="AH264" s="33" t="str">
        <f t="shared" si="62"/>
        <v>N/A - Facility Does Not Report to TRI</v>
      </c>
      <c r="AI264" s="33" t="str">
        <f>IF(COUNTIF('Processed Non-zero TRI Data'!$I:$I,$H264)&gt;0,_xlfn.MAXIFS('Processed Non-zero TRI Data'!$U:$U,'Processed Non-zero TRI Data'!$I:$I,$H264), "N/A - Facility Does Not Report to TRI")</f>
        <v>N/A - Facility Does Not Report to TRI</v>
      </c>
      <c r="AJ264" s="33" t="str">
        <f t="shared" si="63"/>
        <v>N/A - Facility Does Not Report to TRI</v>
      </c>
      <c r="AK264" s="110" t="str" cm="1">
        <f t="array" ref="AK264">IF(B264="TRI Form A",AD264,IF(AI264=0,"Facility has no transfers to POTWs between 2019-2023.",IF(COUNTIF('Processed Non-zero TRI Data'!$I:$I,$H264)&gt;0,INDEX('Processed Non-zero TRI Data'!$A:$A,MATCH(1,($H264='Processed Non-zero TRI Data'!$I:$I)*(AI264='Processed Non-zero TRI Data'!$U:$U),0)),"N/A - Facility Does Not Report to TRI")))</f>
        <v>N/A - Facility Does Not Report to TRI</v>
      </c>
      <c r="AL264" s="109" cm="1">
        <f t="array" ref="AL264">IFERROR(_xlfn.XLOOKUP(1,  (MAX(IF(H264 = 'Processed Non-zero TRI Data'!$I$2:$I$23,'Processed Non-zero TRI Data'!$A$2:$A$23)) = 'Processed Non-zero TRI Data'!$A$2:$A$23)*('Processed Non-zero TRI Data'!$I$2:$I$23 = H264), 'Processed Non-zero TRI Data'!$W$2:$W$23), "N/A- Facility Does Not Report to TRI")</f>
        <v>0</v>
      </c>
      <c r="AM264" s="33">
        <f t="shared" si="64"/>
        <v>0</v>
      </c>
      <c r="AN264" s="33" t="str" cm="1">
        <f t="array" ref="AN264">IF(COUNTIF('Processed Non-zero TRI Data'!$I:$I,$H264)&gt;0,MEDIAN(IF('Processed Non-zero TRI Data'!$I:$I=H264,'Processed Non-zero TRI Data'!$W:$W)), "N/A - Facility Does Not Report to TRI")</f>
        <v>N/A - Facility Does Not Report to TRI</v>
      </c>
      <c r="AO264" s="33" t="str">
        <f t="shared" si="65"/>
        <v>N/A - Facility Does Not Report to TRI</v>
      </c>
      <c r="AP264" s="33" t="str">
        <f>IF(COUNTIF('Processed Non-zero TRI Data'!$I:$I,$H264)&gt;0,_xlfn.MAXIFS('Processed Non-zero TRI Data'!$W:$W,'Processed Non-zero TRI Data'!$I:$I,$H264), "N/A - Facility Does Not Report to TRI")</f>
        <v>N/A - Facility Does Not Report to TRI</v>
      </c>
      <c r="AQ264" s="33" t="str">
        <f t="shared" si="66"/>
        <v>N/A - Facility Does Not Report to TRI</v>
      </c>
      <c r="AR264" s="110" t="str" cm="1">
        <f t="array" ref="AR264">IF(B264="TRI Form A",AD264,IF(AP264=0,"Facility has no transfers to non-POTWs between 2019-2023.",IF(COUNTIF('Processed Non-zero TRI Data'!$I:$I,$H264)&gt;0,INDEX('Processed Non-zero TRI Data'!$A:$A,MATCH(1,($H264='Processed Non-zero TRI Data'!$I:$I)*(AP264='Processed Non-zero TRI Data'!$W:$W),0)),"N/A - Facility Does Not Report to TRI")))</f>
        <v>N/A - Facility Does Not Report to TRI</v>
      </c>
    </row>
    <row r="265" spans="1:44" ht="29" x14ac:dyDescent="0.35">
      <c r="A265" s="34">
        <v>262</v>
      </c>
      <c r="B265" s="33" t="str">
        <f>IFERROR("TRI Form "&amp;VLOOKUP(H265,'Processed Non-zero TRI Data'!$I$2:$K$23,3,FALSE),"DMR")</f>
        <v>DMR</v>
      </c>
      <c r="C265" s="33" t="str">
        <f>VLOOKUP($D265, 'COU.OES Summary'!C:D, 2, FALSE)</f>
        <v> </v>
      </c>
      <c r="D265" s="33" t="str">
        <f>IFERROR(VLOOKUP($H265, 'Processed Non-zero TRI Data'!$I:$O, 7, FALSE), VLOOKUP($I265, 'Processed Non-zero DMR Data'!$K:$R, 8, FALSE))</f>
        <v>Waste handling, treatment, and disposal - Remediation or Monitoring</v>
      </c>
      <c r="E265" s="34" t="s">
        <v>597</v>
      </c>
      <c r="F265" s="34" t="s">
        <v>598</v>
      </c>
      <c r="G265" s="34" t="s">
        <v>181</v>
      </c>
      <c r="H265" s="34"/>
      <c r="I265" s="105">
        <v>110016695272</v>
      </c>
      <c r="J265" s="33" t="str">
        <f>IFERROR(VLOOKUP($I265, 'Processed Non-zero DMR Data'!$K:$U, 11, FALSE),"")</f>
        <v>MI0057392</v>
      </c>
      <c r="K265" s="33" t="str">
        <f>IFERROR(VLOOKUP($I265, 'Processed Non-zero DMR Data'!$K:$V, 12, FALSE),"Not Reported")</f>
        <v>Middle Portage Creek</v>
      </c>
      <c r="L265" s="106">
        <f>IFERROR(VLOOKUP($I265, 'Processed Non-zero DMR Data'!$K:$W, 13, FALSE),"No Reach Code Reported")</f>
        <v>40900050305</v>
      </c>
      <c r="M265" s="107" t="str">
        <f>IFERROR(IFERROR(VLOOKUP(H265, 'Off-site Locations'!$K$3:$O$5, 5, FALSE), VLOOKUP(H265, 'Off-site Locations'!$B$3:$E$4, 4, FALSE)), "No Offsite Transfers")</f>
        <v>No Offsite Transfers</v>
      </c>
      <c r="N265" s="33">
        <f>VLOOKUP($D265, 'COU.OES Summary'!C:E, 3, FALSE)</f>
        <v>365</v>
      </c>
      <c r="O265" s="108">
        <f t="shared" si="56"/>
        <v>0</v>
      </c>
      <c r="P265" s="108">
        <f t="shared" si="57"/>
        <v>1.312770475E-2</v>
      </c>
      <c r="Q265" s="109" cm="1">
        <f t="array" ref="Q265">IFERROR(_xlfn.XLOOKUP(1,  (MAX(IF(I265 = 'Processed Non-zero DMR Data'!$K:$K,'Processed Non-zero DMR Data'!$A:$A)) = 'Processed Non-zero DMR Data'!$A:$A)*('Processed Non-zero DMR Data'!$K:$K = I265),'Processed Non-zero DMR Data'!$T:$T), "N/A- Facility Does Not Report DMRs")</f>
        <v>1.1171427499999999E-2</v>
      </c>
      <c r="R265" s="33">
        <f t="shared" si="67"/>
        <v>3.0606650684931505E-5</v>
      </c>
      <c r="S265" s="33" cm="1">
        <f t="array" ref="S265">IF(COUNTIF('Processed Non-zero DMR Data'!$K:$K,$I265)&gt;0,MEDIAN(IF('Processed Non-zero DMR Data'!$K:$K=I265,'Processed Non-zero DMR Data'!$T:$T)),"N/A - Facility Does Not Report DMRs")</f>
        <v>1.182150125E-2</v>
      </c>
      <c r="T265" s="33">
        <f t="shared" si="68"/>
        <v>3.2387674657534246E-5</v>
      </c>
      <c r="U265" s="33">
        <f>IF(COUNTIF('Processed Non-zero DMR Data'!$K:$K,$I265)&gt;0,_xlfn.MAXIFS('Processed Non-zero DMR Data'!$T:$T,'Processed Non-zero DMR Data'!$K:$K,$I265), "N/A - Facility Does Not Report DMRs")</f>
        <v>1.312770475E-2</v>
      </c>
      <c r="V265" s="33">
        <f t="shared" si="69"/>
        <v>3.5966314383561645E-5</v>
      </c>
      <c r="W265" s="110" cm="1">
        <f t="array" ref="W265">IF(COUNTIF('Processed Non-zero DMR Data'!$K:$K,$I265)&gt;0,INDEX('Processed Non-zero DMR Data'!$A:$A,MATCH(1,($I265='Processed Non-zero DMR Data'!$K:$K)*($U265='Processed Non-zero DMR Data'!$T:$T),0)), "N/A - Facility Does Not Report DMRs")</f>
        <v>2021</v>
      </c>
      <c r="X265" s="109" cm="1">
        <f t="array" ref="X265">IFERROR(_xlfn.XLOOKUP(1,  (MAX(IF(H265 = 'Processed Non-zero TRI Data'!$I:$I,'Processed Non-zero TRI Data'!$A:$A)) = 'Processed Non-zero TRI Data'!$A:$A)*('Processed Non-zero TRI Data'!$I:$I = H265), 'Processed Non-zero TRI Data'!$S:$S), "N/A- Facility Does Not Report to TRI")</f>
        <v>0</v>
      </c>
      <c r="Y265" s="33">
        <f t="shared" si="58"/>
        <v>0</v>
      </c>
      <c r="Z265" s="33" t="str" cm="1">
        <f t="array" ref="Z265">IF(COUNTIF('Processed Non-zero TRI Data'!$I:$I,$H265)&gt;0,MEDIAN(IF('Processed Non-zero TRI Data'!$I:$I=H265,'Processed Non-zero TRI Data'!$S:$S)), "N/A - Facility Does Not Report to TRI")</f>
        <v>N/A - Facility Does Not Report to TRI</v>
      </c>
      <c r="AA265" s="33" t="str">
        <f t="shared" si="59"/>
        <v>N/A - Facility Does Not Report to TRI</v>
      </c>
      <c r="AB265" s="33" t="str">
        <f>IF(COUNTIF('Processed Non-zero TRI Data'!$I:$I,$H265)&gt;0,_xlfn.MAXIFS('Processed Non-zero TRI Data'!$S:$S,'Processed Non-zero TRI Data'!$I:$I,$H265), "N/A - Facility Does Not Report to TRI")</f>
        <v>N/A - Facility Does Not Report to TRI</v>
      </c>
      <c r="AC265" s="33" t="str">
        <f t="shared" si="60"/>
        <v>N/A - Facility Does Not Report to TRI</v>
      </c>
      <c r="AD265" s="110" t="str" cm="1">
        <f t="array" ref="AD265">IFERROR(IF(B265 = "TRI Form R", IF(AB265 = 0, "Facility has no on-site water discharges between 2019-2023.",  IF(COUNTIF('Processed Non-zero TRI Data'!$I:$I,$H265)&gt;0,INDEX('Processed Non-zero TRI Data'!$A:$A,MATCH(1,($H265='Processed Non-zero TRI Data'!$I:$I)*(AB265='Processed Non-zero TRI Data'!$S:$S),0)))), VLOOKUP(H265, 'Form A Recent Reporting'!$L:$M, 2, FALSE)), ("N/A - Facility Does Not Report to TRI"))</f>
        <v>N/A - Facility Does Not Report to TRI</v>
      </c>
      <c r="AE265" s="109" cm="1">
        <f t="array" ref="AE265">IFERROR(_xlfn.XLOOKUP(1,  (MAX(IF(H265 = 'Processed Non-zero TRI Data'!$I:$I,'Processed Non-zero TRI Data'!$A:$A)) = 'Processed Non-zero TRI Data'!$A:$A)*('Processed Non-zero TRI Data'!$I:$I = H265), 'Processed Non-zero TRI Data'!$U:$U), "N/A- Facility Does Not Report to TRI")</f>
        <v>0</v>
      </c>
      <c r="AF265" s="33">
        <f t="shared" si="61"/>
        <v>0</v>
      </c>
      <c r="AG265" s="33" t="str" cm="1">
        <f t="array" ref="AG265">IF(COUNTIF('Processed Non-zero TRI Data'!$I:$I,$H265)&gt;0,MEDIAN(IF('Processed Non-zero TRI Data'!$I:$I=H265,'Processed Non-zero TRI Data'!$U:$U)), "N/A - Facility Does Not Report to TRI")</f>
        <v>N/A - Facility Does Not Report to TRI</v>
      </c>
      <c r="AH265" s="33" t="str">
        <f t="shared" si="62"/>
        <v>N/A - Facility Does Not Report to TRI</v>
      </c>
      <c r="AI265" s="33" t="str">
        <f>IF(COUNTIF('Processed Non-zero TRI Data'!$I:$I,$H265)&gt;0,_xlfn.MAXIFS('Processed Non-zero TRI Data'!$U:$U,'Processed Non-zero TRI Data'!$I:$I,$H265), "N/A - Facility Does Not Report to TRI")</f>
        <v>N/A - Facility Does Not Report to TRI</v>
      </c>
      <c r="AJ265" s="33" t="str">
        <f t="shared" si="63"/>
        <v>N/A - Facility Does Not Report to TRI</v>
      </c>
      <c r="AK265" s="110" t="str" cm="1">
        <f t="array" ref="AK265">IF(B265="TRI Form A",AD265,IF(AI265=0,"Facility has no transfers to POTWs between 2019-2023.",IF(COUNTIF('Processed Non-zero TRI Data'!$I:$I,$H265)&gt;0,INDEX('Processed Non-zero TRI Data'!$A:$A,MATCH(1,($H265='Processed Non-zero TRI Data'!$I:$I)*(AI265='Processed Non-zero TRI Data'!$U:$U),0)),"N/A - Facility Does Not Report to TRI")))</f>
        <v>N/A - Facility Does Not Report to TRI</v>
      </c>
      <c r="AL265" s="109" cm="1">
        <f t="array" ref="AL265">IFERROR(_xlfn.XLOOKUP(1,  (MAX(IF(H265 = 'Processed Non-zero TRI Data'!$I$2:$I$23,'Processed Non-zero TRI Data'!$A$2:$A$23)) = 'Processed Non-zero TRI Data'!$A$2:$A$23)*('Processed Non-zero TRI Data'!$I$2:$I$23 = H265), 'Processed Non-zero TRI Data'!$W$2:$W$23), "N/A- Facility Does Not Report to TRI")</f>
        <v>0</v>
      </c>
      <c r="AM265" s="33">
        <f t="shared" si="64"/>
        <v>0</v>
      </c>
      <c r="AN265" s="33" t="str" cm="1">
        <f t="array" ref="AN265">IF(COUNTIF('Processed Non-zero TRI Data'!$I:$I,$H265)&gt;0,MEDIAN(IF('Processed Non-zero TRI Data'!$I:$I=H265,'Processed Non-zero TRI Data'!$W:$W)), "N/A - Facility Does Not Report to TRI")</f>
        <v>N/A - Facility Does Not Report to TRI</v>
      </c>
      <c r="AO265" s="33" t="str">
        <f t="shared" si="65"/>
        <v>N/A - Facility Does Not Report to TRI</v>
      </c>
      <c r="AP265" s="33" t="str">
        <f>IF(COUNTIF('Processed Non-zero TRI Data'!$I:$I,$H265)&gt;0,_xlfn.MAXIFS('Processed Non-zero TRI Data'!$W:$W,'Processed Non-zero TRI Data'!$I:$I,$H265), "N/A - Facility Does Not Report to TRI")</f>
        <v>N/A - Facility Does Not Report to TRI</v>
      </c>
      <c r="AQ265" s="33" t="str">
        <f t="shared" si="66"/>
        <v>N/A - Facility Does Not Report to TRI</v>
      </c>
      <c r="AR265" s="110" t="str" cm="1">
        <f t="array" ref="AR265">IF(B265="TRI Form A",AD265,IF(AP265=0,"Facility has no transfers to non-POTWs between 2019-2023.",IF(COUNTIF('Processed Non-zero TRI Data'!$I:$I,$H265)&gt;0,INDEX('Processed Non-zero TRI Data'!$A:$A,MATCH(1,($H265='Processed Non-zero TRI Data'!$I:$I)*(AP265='Processed Non-zero TRI Data'!$W:$W),0)),"N/A - Facility Does Not Report to TRI")))</f>
        <v>N/A - Facility Does Not Report to TRI</v>
      </c>
    </row>
    <row r="266" spans="1:44" ht="29" x14ac:dyDescent="0.35">
      <c r="A266" s="34">
        <v>263</v>
      </c>
      <c r="B266" s="33" t="str">
        <f>IFERROR("TRI Form "&amp;VLOOKUP(H266,'Processed Non-zero TRI Data'!$I$2:$K$23,3,FALSE),"DMR")</f>
        <v>DMR</v>
      </c>
      <c r="C266" s="33" t="str">
        <f>VLOOKUP($D266, 'COU.OES Summary'!C:D, 2, FALSE)</f>
        <v> </v>
      </c>
      <c r="D266" s="33" t="str">
        <f>IFERROR(VLOOKUP($H266, 'Processed Non-zero TRI Data'!$I:$O, 7, FALSE), VLOOKUP($I266, 'Processed Non-zero DMR Data'!$K:$R, 8, FALSE))</f>
        <v>Waste handling, treatment, and disposal - Remediation or Monitoring</v>
      </c>
      <c r="E266" s="34" t="s">
        <v>599</v>
      </c>
      <c r="F266" s="34" t="s">
        <v>600</v>
      </c>
      <c r="G266" s="34" t="s">
        <v>601</v>
      </c>
      <c r="H266" s="34"/>
      <c r="I266" s="105">
        <v>110000487633</v>
      </c>
      <c r="J266" s="33" t="str">
        <f>IFERROR(VLOOKUP($I266, 'Processed Non-zero DMR Data'!$K:$U, 11, FALSE),"")</f>
        <v>OR0031828</v>
      </c>
      <c r="K266" s="33" t="str">
        <f>IFERROR(VLOOKUP($I266, 'Processed Non-zero DMR Data'!$K:$V, 12, FALSE),"Not Reported")</f>
        <v>Columbia Slough-Frontal Columbia River</v>
      </c>
      <c r="L266" s="106">
        <f>IFERROR(VLOOKUP($I266, 'Processed Non-zero DMR Data'!$K:$W, 13, FALSE),"No Reach Code Reported")</f>
        <v>170900120201</v>
      </c>
      <c r="M266" s="107" t="str">
        <f>IFERROR(IFERROR(VLOOKUP(H266, 'Off-site Locations'!$K$3:$O$5, 5, FALSE), VLOOKUP(H266, 'Off-site Locations'!$B$3:$E$4, 4, FALSE)), "No Offsite Transfers")</f>
        <v>No Offsite Transfers</v>
      </c>
      <c r="N266" s="33">
        <f>VLOOKUP($D266, 'COU.OES Summary'!C:E, 3, FALSE)</f>
        <v>365</v>
      </c>
      <c r="O266" s="108">
        <f t="shared" si="56"/>
        <v>0</v>
      </c>
      <c r="P266" s="108">
        <f t="shared" si="57"/>
        <v>1.25331948E-2</v>
      </c>
      <c r="Q266" s="109" cm="1">
        <f t="array" ref="Q266">IFERROR(_xlfn.XLOOKUP(1,  (MAX(IF(I266 = 'Processed Non-zero DMR Data'!$K:$K,'Processed Non-zero DMR Data'!$A:$A)) = 'Processed Non-zero DMR Data'!$A:$A)*('Processed Non-zero DMR Data'!$K:$K = I266),'Processed Non-zero DMR Data'!$T:$T), "N/A- Facility Does Not Report DMRs")</f>
        <v>1.23342552E-2</v>
      </c>
      <c r="R266" s="33">
        <f t="shared" si="67"/>
        <v>3.3792479999999997E-5</v>
      </c>
      <c r="S266" s="33" cm="1">
        <f t="array" ref="S266">IF(COUNTIF('Processed Non-zero DMR Data'!$K:$K,$I266)&gt;0,MEDIAN(IF('Processed Non-zero DMR Data'!$K:$K=I266,'Processed Non-zero DMR Data'!$T:$T)),"N/A - Facility Does Not Report DMRs")</f>
        <v>1.23342552E-2</v>
      </c>
      <c r="T266" s="33">
        <f t="shared" si="68"/>
        <v>3.3792479999999997E-5</v>
      </c>
      <c r="U266" s="33">
        <f>IF(COUNTIF('Processed Non-zero DMR Data'!$K:$K,$I266)&gt;0,_xlfn.MAXIFS('Processed Non-zero DMR Data'!$T:$T,'Processed Non-zero DMR Data'!$K:$K,$I266), "N/A - Facility Does Not Report DMRs")</f>
        <v>1.25331948E-2</v>
      </c>
      <c r="V266" s="33">
        <f t="shared" si="69"/>
        <v>3.4337519999999996E-5</v>
      </c>
      <c r="W266" s="110" cm="1">
        <f t="array" ref="W266">IF(COUNTIF('Processed Non-zero DMR Data'!$K:$K,$I266)&gt;0,INDEX('Processed Non-zero DMR Data'!$A:$A,MATCH(1,($I266='Processed Non-zero DMR Data'!$K:$K)*($U266='Processed Non-zero DMR Data'!$T:$T),0)), "N/A - Facility Does Not Report DMRs")</f>
        <v>2021</v>
      </c>
      <c r="X266" s="109" cm="1">
        <f t="array" ref="X266">IFERROR(_xlfn.XLOOKUP(1,  (MAX(IF(H266 = 'Processed Non-zero TRI Data'!$I:$I,'Processed Non-zero TRI Data'!$A:$A)) = 'Processed Non-zero TRI Data'!$A:$A)*('Processed Non-zero TRI Data'!$I:$I = H266), 'Processed Non-zero TRI Data'!$S:$S), "N/A- Facility Does Not Report to TRI")</f>
        <v>0</v>
      </c>
      <c r="Y266" s="33">
        <f t="shared" si="58"/>
        <v>0</v>
      </c>
      <c r="Z266" s="33" t="str" cm="1">
        <f t="array" ref="Z266">IF(COUNTIF('Processed Non-zero TRI Data'!$I:$I,$H266)&gt;0,MEDIAN(IF('Processed Non-zero TRI Data'!$I:$I=H266,'Processed Non-zero TRI Data'!$S:$S)), "N/A - Facility Does Not Report to TRI")</f>
        <v>N/A - Facility Does Not Report to TRI</v>
      </c>
      <c r="AA266" s="33" t="str">
        <f t="shared" si="59"/>
        <v>N/A - Facility Does Not Report to TRI</v>
      </c>
      <c r="AB266" s="33" t="str">
        <f>IF(COUNTIF('Processed Non-zero TRI Data'!$I:$I,$H266)&gt;0,_xlfn.MAXIFS('Processed Non-zero TRI Data'!$S:$S,'Processed Non-zero TRI Data'!$I:$I,$H266), "N/A - Facility Does Not Report to TRI")</f>
        <v>N/A - Facility Does Not Report to TRI</v>
      </c>
      <c r="AC266" s="33" t="str">
        <f t="shared" si="60"/>
        <v>N/A - Facility Does Not Report to TRI</v>
      </c>
      <c r="AD266" s="110" t="str" cm="1">
        <f t="array" ref="AD266">IFERROR(IF(B266 = "TRI Form R", IF(AB266 = 0, "Facility has no on-site water discharges between 2019-2023.",  IF(COUNTIF('Processed Non-zero TRI Data'!$I:$I,$H266)&gt;0,INDEX('Processed Non-zero TRI Data'!$A:$A,MATCH(1,($H266='Processed Non-zero TRI Data'!$I:$I)*(AB266='Processed Non-zero TRI Data'!$S:$S),0)))), VLOOKUP(H266, 'Form A Recent Reporting'!$L:$M, 2, FALSE)), ("N/A - Facility Does Not Report to TRI"))</f>
        <v>N/A - Facility Does Not Report to TRI</v>
      </c>
      <c r="AE266" s="109" cm="1">
        <f t="array" ref="AE266">IFERROR(_xlfn.XLOOKUP(1,  (MAX(IF(H266 = 'Processed Non-zero TRI Data'!$I:$I,'Processed Non-zero TRI Data'!$A:$A)) = 'Processed Non-zero TRI Data'!$A:$A)*('Processed Non-zero TRI Data'!$I:$I = H266), 'Processed Non-zero TRI Data'!$U:$U), "N/A- Facility Does Not Report to TRI")</f>
        <v>0</v>
      </c>
      <c r="AF266" s="33">
        <f t="shared" si="61"/>
        <v>0</v>
      </c>
      <c r="AG266" s="33" t="str" cm="1">
        <f t="array" ref="AG266">IF(COUNTIF('Processed Non-zero TRI Data'!$I:$I,$H266)&gt;0,MEDIAN(IF('Processed Non-zero TRI Data'!$I:$I=H266,'Processed Non-zero TRI Data'!$U:$U)), "N/A - Facility Does Not Report to TRI")</f>
        <v>N/A - Facility Does Not Report to TRI</v>
      </c>
      <c r="AH266" s="33" t="str">
        <f t="shared" si="62"/>
        <v>N/A - Facility Does Not Report to TRI</v>
      </c>
      <c r="AI266" s="33" t="str">
        <f>IF(COUNTIF('Processed Non-zero TRI Data'!$I:$I,$H266)&gt;0,_xlfn.MAXIFS('Processed Non-zero TRI Data'!$U:$U,'Processed Non-zero TRI Data'!$I:$I,$H266), "N/A - Facility Does Not Report to TRI")</f>
        <v>N/A - Facility Does Not Report to TRI</v>
      </c>
      <c r="AJ266" s="33" t="str">
        <f t="shared" si="63"/>
        <v>N/A - Facility Does Not Report to TRI</v>
      </c>
      <c r="AK266" s="110" t="str" cm="1">
        <f t="array" ref="AK266">IF(B266="TRI Form A",AD266,IF(AI266=0,"Facility has no transfers to POTWs between 2019-2023.",IF(COUNTIF('Processed Non-zero TRI Data'!$I:$I,$H266)&gt;0,INDEX('Processed Non-zero TRI Data'!$A:$A,MATCH(1,($H266='Processed Non-zero TRI Data'!$I:$I)*(AI266='Processed Non-zero TRI Data'!$U:$U),0)),"N/A - Facility Does Not Report to TRI")))</f>
        <v>N/A - Facility Does Not Report to TRI</v>
      </c>
      <c r="AL266" s="109" cm="1">
        <f t="array" ref="AL266">IFERROR(_xlfn.XLOOKUP(1,  (MAX(IF(H266 = 'Processed Non-zero TRI Data'!$I$2:$I$23,'Processed Non-zero TRI Data'!$A$2:$A$23)) = 'Processed Non-zero TRI Data'!$A$2:$A$23)*('Processed Non-zero TRI Data'!$I$2:$I$23 = H266), 'Processed Non-zero TRI Data'!$W$2:$W$23), "N/A- Facility Does Not Report to TRI")</f>
        <v>0</v>
      </c>
      <c r="AM266" s="33">
        <f t="shared" si="64"/>
        <v>0</v>
      </c>
      <c r="AN266" s="33" t="str" cm="1">
        <f t="array" ref="AN266">IF(COUNTIF('Processed Non-zero TRI Data'!$I:$I,$H266)&gt;0,MEDIAN(IF('Processed Non-zero TRI Data'!$I:$I=H266,'Processed Non-zero TRI Data'!$W:$W)), "N/A - Facility Does Not Report to TRI")</f>
        <v>N/A - Facility Does Not Report to TRI</v>
      </c>
      <c r="AO266" s="33" t="str">
        <f t="shared" si="65"/>
        <v>N/A - Facility Does Not Report to TRI</v>
      </c>
      <c r="AP266" s="33" t="str">
        <f>IF(COUNTIF('Processed Non-zero TRI Data'!$I:$I,$H266)&gt;0,_xlfn.MAXIFS('Processed Non-zero TRI Data'!$W:$W,'Processed Non-zero TRI Data'!$I:$I,$H266), "N/A - Facility Does Not Report to TRI")</f>
        <v>N/A - Facility Does Not Report to TRI</v>
      </c>
      <c r="AQ266" s="33" t="str">
        <f t="shared" si="66"/>
        <v>N/A - Facility Does Not Report to TRI</v>
      </c>
      <c r="AR266" s="110" t="str" cm="1">
        <f t="array" ref="AR266">IF(B266="TRI Form A",AD266,IF(AP266=0,"Facility has no transfers to non-POTWs between 2019-2023.",IF(COUNTIF('Processed Non-zero TRI Data'!$I:$I,$H266)&gt;0,INDEX('Processed Non-zero TRI Data'!$A:$A,MATCH(1,($H266='Processed Non-zero TRI Data'!$I:$I)*(AP266='Processed Non-zero TRI Data'!$W:$W),0)),"N/A - Facility Does Not Report to TRI")))</f>
        <v>N/A - Facility Does Not Report to TRI</v>
      </c>
    </row>
    <row r="267" spans="1:44" ht="29" x14ac:dyDescent="0.35">
      <c r="A267" s="34">
        <v>264</v>
      </c>
      <c r="B267" s="33" t="str">
        <f>IFERROR("TRI Form "&amp;VLOOKUP(H267,'Processed Non-zero TRI Data'!$I$2:$K$23,3,FALSE),"DMR")</f>
        <v>DMR</v>
      </c>
      <c r="C267" s="33" t="str">
        <f>VLOOKUP($D267, 'COU.OES Summary'!C:D, 2, FALSE)</f>
        <v> </v>
      </c>
      <c r="D267" s="33" t="str">
        <f>IFERROR(VLOOKUP($H267, 'Processed Non-zero TRI Data'!$I:$O, 7, FALSE), VLOOKUP($I267, 'Processed Non-zero DMR Data'!$K:$R, 8, FALSE))</f>
        <v>Waste handling, treatment, and disposal - Remediation or Monitoring</v>
      </c>
      <c r="E267" s="34" t="s">
        <v>602</v>
      </c>
      <c r="F267" s="34" t="s">
        <v>396</v>
      </c>
      <c r="G267" s="34" t="s">
        <v>276</v>
      </c>
      <c r="H267" s="34"/>
      <c r="I267" s="105">
        <v>110071181280</v>
      </c>
      <c r="J267" s="33" t="str">
        <f>IFERROR(VLOOKUP($I267, 'Processed Non-zero DMR Data'!$K:$U, 11, FALSE),"")</f>
        <v>VAG830575</v>
      </c>
      <c r="K267" s="33" t="str">
        <f>IFERROR(VLOOKUP($I267, 'Processed Non-zero DMR Data'!$K:$V, 12, FALSE),"Not Reported")</f>
        <v>Cameron Run</v>
      </c>
      <c r="L267" s="106" t="str">
        <f>IFERROR(VLOOKUP($I267, 'Processed Non-zero DMR Data'!$K:$W, 13, FALSE),"No Reach Code Reported")</f>
        <v>020700100302</v>
      </c>
      <c r="M267" s="107" t="str">
        <f>IFERROR(IFERROR(VLOOKUP(H267, 'Off-site Locations'!$K$3:$O$5, 5, FALSE), VLOOKUP(H267, 'Off-site Locations'!$B$3:$E$4, 4, FALSE)), "No Offsite Transfers")</f>
        <v>No Offsite Transfers</v>
      </c>
      <c r="N267" s="33">
        <f>VLOOKUP($D267, 'COU.OES Summary'!C:E, 3, FALSE)</f>
        <v>365</v>
      </c>
      <c r="O267" s="108">
        <f t="shared" si="56"/>
        <v>0</v>
      </c>
      <c r="P267" s="108">
        <f t="shared" si="57"/>
        <v>1.2488039750000001E-2</v>
      </c>
      <c r="Q267" s="109" cm="1">
        <f t="array" ref="Q267">IFERROR(_xlfn.XLOOKUP(1,  (MAX(IF(I267 = 'Processed Non-zero DMR Data'!$K:$K,'Processed Non-zero DMR Data'!$A:$A)) = 'Processed Non-zero DMR Data'!$A:$A)*('Processed Non-zero DMR Data'!$K:$K = I267),'Processed Non-zero DMR Data'!$T:$T), "N/A- Facility Does Not Report DMRs")</f>
        <v>1.2488039750000001E-2</v>
      </c>
      <c r="R267" s="33">
        <f t="shared" si="67"/>
        <v>3.4213807534246577E-5</v>
      </c>
      <c r="S267" s="33" cm="1">
        <f t="array" ref="S267">IF(COUNTIF('Processed Non-zero DMR Data'!$K:$K,$I267)&gt;0,MEDIAN(IF('Processed Non-zero DMR Data'!$K:$K=I267,'Processed Non-zero DMR Data'!$T:$T)),"N/A - Facility Does Not Report DMRs")</f>
        <v>1.2488039750000001E-2</v>
      </c>
      <c r="T267" s="33">
        <f t="shared" si="68"/>
        <v>3.4213807534246577E-5</v>
      </c>
      <c r="U267" s="33">
        <f>IF(COUNTIF('Processed Non-zero DMR Data'!$K:$K,$I267)&gt;0,_xlfn.MAXIFS('Processed Non-zero DMR Data'!$T:$T,'Processed Non-zero DMR Data'!$K:$K,$I267), "N/A - Facility Does Not Report DMRs")</f>
        <v>1.2488039750000001E-2</v>
      </c>
      <c r="V267" s="33">
        <f t="shared" si="69"/>
        <v>3.4213807534246577E-5</v>
      </c>
      <c r="W267" s="110" cm="1">
        <f t="array" ref="W267">IF(COUNTIF('Processed Non-zero DMR Data'!$K:$K,$I267)&gt;0,INDEX('Processed Non-zero DMR Data'!$A:$A,MATCH(1,($I267='Processed Non-zero DMR Data'!$K:$K)*($U267='Processed Non-zero DMR Data'!$T:$T),0)), "N/A - Facility Does Not Report DMRs")</f>
        <v>2022</v>
      </c>
      <c r="X267" s="109" cm="1">
        <f t="array" ref="X267">IFERROR(_xlfn.XLOOKUP(1,  (MAX(IF(H267 = 'Processed Non-zero TRI Data'!$I:$I,'Processed Non-zero TRI Data'!$A:$A)) = 'Processed Non-zero TRI Data'!$A:$A)*('Processed Non-zero TRI Data'!$I:$I = H267), 'Processed Non-zero TRI Data'!$S:$S), "N/A- Facility Does Not Report to TRI")</f>
        <v>0</v>
      </c>
      <c r="Y267" s="33">
        <f t="shared" si="58"/>
        <v>0</v>
      </c>
      <c r="Z267" s="33" t="str" cm="1">
        <f t="array" ref="Z267">IF(COUNTIF('Processed Non-zero TRI Data'!$I:$I,$H267)&gt;0,MEDIAN(IF('Processed Non-zero TRI Data'!$I:$I=H267,'Processed Non-zero TRI Data'!$S:$S)), "N/A - Facility Does Not Report to TRI")</f>
        <v>N/A - Facility Does Not Report to TRI</v>
      </c>
      <c r="AA267" s="33" t="str">
        <f t="shared" si="59"/>
        <v>N/A - Facility Does Not Report to TRI</v>
      </c>
      <c r="AB267" s="33" t="str">
        <f>IF(COUNTIF('Processed Non-zero TRI Data'!$I:$I,$H267)&gt;0,_xlfn.MAXIFS('Processed Non-zero TRI Data'!$S:$S,'Processed Non-zero TRI Data'!$I:$I,$H267), "N/A - Facility Does Not Report to TRI")</f>
        <v>N/A - Facility Does Not Report to TRI</v>
      </c>
      <c r="AC267" s="33" t="str">
        <f t="shared" si="60"/>
        <v>N/A - Facility Does Not Report to TRI</v>
      </c>
      <c r="AD267" s="110" t="str" cm="1">
        <f t="array" ref="AD267">IFERROR(IF(B267 = "TRI Form R", IF(AB267 = 0, "Facility has no on-site water discharges between 2019-2023.",  IF(COUNTIF('Processed Non-zero TRI Data'!$I:$I,$H267)&gt;0,INDEX('Processed Non-zero TRI Data'!$A:$A,MATCH(1,($H267='Processed Non-zero TRI Data'!$I:$I)*(AB267='Processed Non-zero TRI Data'!$S:$S),0)))), VLOOKUP(H267, 'Form A Recent Reporting'!$L:$M, 2, FALSE)), ("N/A - Facility Does Not Report to TRI"))</f>
        <v>N/A - Facility Does Not Report to TRI</v>
      </c>
      <c r="AE267" s="109" cm="1">
        <f t="array" ref="AE267">IFERROR(_xlfn.XLOOKUP(1,  (MAX(IF(H267 = 'Processed Non-zero TRI Data'!$I:$I,'Processed Non-zero TRI Data'!$A:$A)) = 'Processed Non-zero TRI Data'!$A:$A)*('Processed Non-zero TRI Data'!$I:$I = H267), 'Processed Non-zero TRI Data'!$U:$U), "N/A- Facility Does Not Report to TRI")</f>
        <v>0</v>
      </c>
      <c r="AF267" s="33">
        <f t="shared" si="61"/>
        <v>0</v>
      </c>
      <c r="AG267" s="33" t="str" cm="1">
        <f t="array" ref="AG267">IF(COUNTIF('Processed Non-zero TRI Data'!$I:$I,$H267)&gt;0,MEDIAN(IF('Processed Non-zero TRI Data'!$I:$I=H267,'Processed Non-zero TRI Data'!$U:$U)), "N/A - Facility Does Not Report to TRI")</f>
        <v>N/A - Facility Does Not Report to TRI</v>
      </c>
      <c r="AH267" s="33" t="str">
        <f t="shared" si="62"/>
        <v>N/A - Facility Does Not Report to TRI</v>
      </c>
      <c r="AI267" s="33" t="str">
        <f>IF(COUNTIF('Processed Non-zero TRI Data'!$I:$I,$H267)&gt;0,_xlfn.MAXIFS('Processed Non-zero TRI Data'!$U:$U,'Processed Non-zero TRI Data'!$I:$I,$H267), "N/A - Facility Does Not Report to TRI")</f>
        <v>N/A - Facility Does Not Report to TRI</v>
      </c>
      <c r="AJ267" s="33" t="str">
        <f t="shared" si="63"/>
        <v>N/A - Facility Does Not Report to TRI</v>
      </c>
      <c r="AK267" s="110" t="str" cm="1">
        <f t="array" ref="AK267">IF(B267="TRI Form A",AD267,IF(AI267=0,"Facility has no transfers to POTWs between 2019-2023.",IF(COUNTIF('Processed Non-zero TRI Data'!$I:$I,$H267)&gt;0,INDEX('Processed Non-zero TRI Data'!$A:$A,MATCH(1,($H267='Processed Non-zero TRI Data'!$I:$I)*(AI267='Processed Non-zero TRI Data'!$U:$U),0)),"N/A - Facility Does Not Report to TRI")))</f>
        <v>N/A - Facility Does Not Report to TRI</v>
      </c>
      <c r="AL267" s="109" cm="1">
        <f t="array" ref="AL267">IFERROR(_xlfn.XLOOKUP(1,  (MAX(IF(H267 = 'Processed Non-zero TRI Data'!$I$2:$I$23,'Processed Non-zero TRI Data'!$A$2:$A$23)) = 'Processed Non-zero TRI Data'!$A$2:$A$23)*('Processed Non-zero TRI Data'!$I$2:$I$23 = H267), 'Processed Non-zero TRI Data'!$W$2:$W$23), "N/A- Facility Does Not Report to TRI")</f>
        <v>0</v>
      </c>
      <c r="AM267" s="33">
        <f t="shared" si="64"/>
        <v>0</v>
      </c>
      <c r="AN267" s="33" t="str" cm="1">
        <f t="array" ref="AN267">IF(COUNTIF('Processed Non-zero TRI Data'!$I:$I,$H267)&gt;0,MEDIAN(IF('Processed Non-zero TRI Data'!$I:$I=H267,'Processed Non-zero TRI Data'!$W:$W)), "N/A - Facility Does Not Report to TRI")</f>
        <v>N/A - Facility Does Not Report to TRI</v>
      </c>
      <c r="AO267" s="33" t="str">
        <f t="shared" si="65"/>
        <v>N/A - Facility Does Not Report to TRI</v>
      </c>
      <c r="AP267" s="33" t="str">
        <f>IF(COUNTIF('Processed Non-zero TRI Data'!$I:$I,$H267)&gt;0,_xlfn.MAXIFS('Processed Non-zero TRI Data'!$W:$W,'Processed Non-zero TRI Data'!$I:$I,$H267), "N/A - Facility Does Not Report to TRI")</f>
        <v>N/A - Facility Does Not Report to TRI</v>
      </c>
      <c r="AQ267" s="33" t="str">
        <f t="shared" si="66"/>
        <v>N/A - Facility Does Not Report to TRI</v>
      </c>
      <c r="AR267" s="110" t="str" cm="1">
        <f t="array" ref="AR267">IF(B267="TRI Form A",AD267,IF(AP267=0,"Facility has no transfers to non-POTWs between 2019-2023.",IF(COUNTIF('Processed Non-zero TRI Data'!$I:$I,$H267)&gt;0,INDEX('Processed Non-zero TRI Data'!$A:$A,MATCH(1,($H267='Processed Non-zero TRI Data'!$I:$I)*(AP267='Processed Non-zero TRI Data'!$W:$W),0)),"N/A - Facility Does Not Report to TRI")))</f>
        <v>N/A - Facility Does Not Report to TRI</v>
      </c>
    </row>
    <row r="268" spans="1:44" ht="29" x14ac:dyDescent="0.35">
      <c r="A268" s="34">
        <v>265</v>
      </c>
      <c r="B268" s="33" t="str">
        <f>IFERROR("TRI Form "&amp;VLOOKUP(H268,'Processed Non-zero TRI Data'!$I$2:$K$23,3,FALSE),"DMR")</f>
        <v>DMR</v>
      </c>
      <c r="C268" s="33" t="str">
        <f>VLOOKUP($D268, 'COU.OES Summary'!C:D, 2, FALSE)</f>
        <v> </v>
      </c>
      <c r="D268" s="33" t="str">
        <f>IFERROR(VLOOKUP($H268, 'Processed Non-zero TRI Data'!$I:$O, 7, FALSE), VLOOKUP($I268, 'Processed Non-zero DMR Data'!$K:$R, 8, FALSE))</f>
        <v>Waste handling, treatment, and disposal - Remediation or Monitoring</v>
      </c>
      <c r="E268" s="34" t="s">
        <v>603</v>
      </c>
      <c r="F268" s="34" t="s">
        <v>604</v>
      </c>
      <c r="G268" s="34" t="s">
        <v>181</v>
      </c>
      <c r="H268" s="34"/>
      <c r="I268" s="105">
        <v>110000409406</v>
      </c>
      <c r="J268" s="33" t="str">
        <f>IFERROR(VLOOKUP($I268, 'Processed Non-zero DMR Data'!$K:$U, 11, FALSE),"")</f>
        <v>MI0058659</v>
      </c>
      <c r="K268" s="33" t="str">
        <f>IFERROR(VLOOKUP($I268, 'Processed Non-zero DMR Data'!$K:$V, 12, FALSE),"Not Reported")</f>
        <v>Hickory Creek</v>
      </c>
      <c r="L268" s="106">
        <f>IFERROR(VLOOKUP($I268, 'Processed Non-zero DMR Data'!$K:$W, 13, FALSE),"No Reach Code Reported")</f>
        <v>40500012607</v>
      </c>
      <c r="M268" s="107" t="str">
        <f>IFERROR(IFERROR(VLOOKUP(H268, 'Off-site Locations'!$K$3:$O$5, 5, FALSE), VLOOKUP(H268, 'Off-site Locations'!$B$3:$E$4, 4, FALSE)), "No Offsite Transfers")</f>
        <v>No Offsite Transfers</v>
      </c>
      <c r="N268" s="33">
        <f>VLOOKUP($D268, 'COU.OES Summary'!C:E, 3, FALSE)</f>
        <v>365</v>
      </c>
      <c r="O268" s="108">
        <f t="shared" si="56"/>
        <v>0</v>
      </c>
      <c r="P268" s="108">
        <f t="shared" si="57"/>
        <v>1.2396657738E-2</v>
      </c>
      <c r="Q268" s="109" cm="1">
        <f t="array" ref="Q268">IFERROR(_xlfn.XLOOKUP(1,  (MAX(IF(I268 = 'Processed Non-zero DMR Data'!$K:$K,'Processed Non-zero DMR Data'!$A:$A)) = 'Processed Non-zero DMR Data'!$A:$A)*('Processed Non-zero DMR Data'!$K:$K = I268),'Processed Non-zero DMR Data'!$T:$T), "N/A- Facility Does Not Report DMRs")</f>
        <v>9.4573088725000004E-3</v>
      </c>
      <c r="R268" s="33">
        <f t="shared" si="67"/>
        <v>2.5910435267123289E-5</v>
      </c>
      <c r="S268" s="33" cm="1">
        <f t="array" ref="S268">IF(COUNTIF('Processed Non-zero DMR Data'!$K:$K,$I268)&gt;0,MEDIAN(IF('Processed Non-zero DMR Data'!$K:$K=I268,'Processed Non-zero DMR Data'!$T:$T)),"N/A - Facility Does Not Report DMRs")</f>
        <v>9.4573088725000004E-3</v>
      </c>
      <c r="T268" s="33">
        <f t="shared" si="68"/>
        <v>2.5910435267123289E-5</v>
      </c>
      <c r="U268" s="33">
        <f>IF(COUNTIF('Processed Non-zero DMR Data'!$K:$K,$I268)&gt;0,_xlfn.MAXIFS('Processed Non-zero DMR Data'!$T:$T,'Processed Non-zero DMR Data'!$K:$K,$I268), "N/A - Facility Does Not Report DMRs")</f>
        <v>1.2396657738E-2</v>
      </c>
      <c r="V268" s="33">
        <f t="shared" si="69"/>
        <v>3.3963445857534249E-5</v>
      </c>
      <c r="W268" s="110" cm="1">
        <f t="array" ref="W268">IF(COUNTIF('Processed Non-zero DMR Data'!$K:$K,$I268)&gt;0,INDEX('Processed Non-zero DMR Data'!$A:$A,MATCH(1,($I268='Processed Non-zero DMR Data'!$K:$K)*($U268='Processed Non-zero DMR Data'!$T:$T),0)), "N/A - Facility Does Not Report DMRs")</f>
        <v>2019</v>
      </c>
      <c r="X268" s="109" cm="1">
        <f t="array" ref="X268">IFERROR(_xlfn.XLOOKUP(1,  (MAX(IF(H268 = 'Processed Non-zero TRI Data'!$I:$I,'Processed Non-zero TRI Data'!$A:$A)) = 'Processed Non-zero TRI Data'!$A:$A)*('Processed Non-zero TRI Data'!$I:$I = H268), 'Processed Non-zero TRI Data'!$S:$S), "N/A- Facility Does Not Report to TRI")</f>
        <v>0</v>
      </c>
      <c r="Y268" s="33">
        <f t="shared" si="58"/>
        <v>0</v>
      </c>
      <c r="Z268" s="33" t="str" cm="1">
        <f t="array" ref="Z268">IF(COUNTIF('Processed Non-zero TRI Data'!$I:$I,$H268)&gt;0,MEDIAN(IF('Processed Non-zero TRI Data'!$I:$I=H268,'Processed Non-zero TRI Data'!$S:$S)), "N/A - Facility Does Not Report to TRI")</f>
        <v>N/A - Facility Does Not Report to TRI</v>
      </c>
      <c r="AA268" s="33" t="str">
        <f t="shared" si="59"/>
        <v>N/A - Facility Does Not Report to TRI</v>
      </c>
      <c r="AB268" s="33" t="str">
        <f>IF(COUNTIF('Processed Non-zero TRI Data'!$I:$I,$H268)&gt;0,_xlfn.MAXIFS('Processed Non-zero TRI Data'!$S:$S,'Processed Non-zero TRI Data'!$I:$I,$H268), "N/A - Facility Does Not Report to TRI")</f>
        <v>N/A - Facility Does Not Report to TRI</v>
      </c>
      <c r="AC268" s="33" t="str">
        <f t="shared" si="60"/>
        <v>N/A - Facility Does Not Report to TRI</v>
      </c>
      <c r="AD268" s="110" t="str" cm="1">
        <f t="array" ref="AD268">IFERROR(IF(B268 = "TRI Form R", IF(AB268 = 0, "Facility has no on-site water discharges between 2019-2023.",  IF(COUNTIF('Processed Non-zero TRI Data'!$I:$I,$H268)&gt;0,INDEX('Processed Non-zero TRI Data'!$A:$A,MATCH(1,($H268='Processed Non-zero TRI Data'!$I:$I)*(AB268='Processed Non-zero TRI Data'!$S:$S),0)))), VLOOKUP(H268, 'Form A Recent Reporting'!$L:$M, 2, FALSE)), ("N/A - Facility Does Not Report to TRI"))</f>
        <v>N/A - Facility Does Not Report to TRI</v>
      </c>
      <c r="AE268" s="109" cm="1">
        <f t="array" ref="AE268">IFERROR(_xlfn.XLOOKUP(1,  (MAX(IF(H268 = 'Processed Non-zero TRI Data'!$I:$I,'Processed Non-zero TRI Data'!$A:$A)) = 'Processed Non-zero TRI Data'!$A:$A)*('Processed Non-zero TRI Data'!$I:$I = H268), 'Processed Non-zero TRI Data'!$U:$U), "N/A- Facility Does Not Report to TRI")</f>
        <v>0</v>
      </c>
      <c r="AF268" s="33">
        <f t="shared" si="61"/>
        <v>0</v>
      </c>
      <c r="AG268" s="33" t="str" cm="1">
        <f t="array" ref="AG268">IF(COUNTIF('Processed Non-zero TRI Data'!$I:$I,$H268)&gt;0,MEDIAN(IF('Processed Non-zero TRI Data'!$I:$I=H268,'Processed Non-zero TRI Data'!$U:$U)), "N/A - Facility Does Not Report to TRI")</f>
        <v>N/A - Facility Does Not Report to TRI</v>
      </c>
      <c r="AH268" s="33" t="str">
        <f t="shared" si="62"/>
        <v>N/A - Facility Does Not Report to TRI</v>
      </c>
      <c r="AI268" s="33" t="str">
        <f>IF(COUNTIF('Processed Non-zero TRI Data'!$I:$I,$H268)&gt;0,_xlfn.MAXIFS('Processed Non-zero TRI Data'!$U:$U,'Processed Non-zero TRI Data'!$I:$I,$H268), "N/A - Facility Does Not Report to TRI")</f>
        <v>N/A - Facility Does Not Report to TRI</v>
      </c>
      <c r="AJ268" s="33" t="str">
        <f t="shared" si="63"/>
        <v>N/A - Facility Does Not Report to TRI</v>
      </c>
      <c r="AK268" s="110" t="str" cm="1">
        <f t="array" ref="AK268">IF(B268="TRI Form A",AD268,IF(AI268=0,"Facility has no transfers to POTWs between 2019-2023.",IF(COUNTIF('Processed Non-zero TRI Data'!$I:$I,$H268)&gt;0,INDEX('Processed Non-zero TRI Data'!$A:$A,MATCH(1,($H268='Processed Non-zero TRI Data'!$I:$I)*(AI268='Processed Non-zero TRI Data'!$U:$U),0)),"N/A - Facility Does Not Report to TRI")))</f>
        <v>N/A - Facility Does Not Report to TRI</v>
      </c>
      <c r="AL268" s="109" cm="1">
        <f t="array" ref="AL268">IFERROR(_xlfn.XLOOKUP(1,  (MAX(IF(H268 = 'Processed Non-zero TRI Data'!$I$2:$I$23,'Processed Non-zero TRI Data'!$A$2:$A$23)) = 'Processed Non-zero TRI Data'!$A$2:$A$23)*('Processed Non-zero TRI Data'!$I$2:$I$23 = H268), 'Processed Non-zero TRI Data'!$W$2:$W$23), "N/A- Facility Does Not Report to TRI")</f>
        <v>0</v>
      </c>
      <c r="AM268" s="33">
        <f t="shared" si="64"/>
        <v>0</v>
      </c>
      <c r="AN268" s="33" t="str" cm="1">
        <f t="array" ref="AN268">IF(COUNTIF('Processed Non-zero TRI Data'!$I:$I,$H268)&gt;0,MEDIAN(IF('Processed Non-zero TRI Data'!$I:$I=H268,'Processed Non-zero TRI Data'!$W:$W)), "N/A - Facility Does Not Report to TRI")</f>
        <v>N/A - Facility Does Not Report to TRI</v>
      </c>
      <c r="AO268" s="33" t="str">
        <f t="shared" si="65"/>
        <v>N/A - Facility Does Not Report to TRI</v>
      </c>
      <c r="AP268" s="33" t="str">
        <f>IF(COUNTIF('Processed Non-zero TRI Data'!$I:$I,$H268)&gt;0,_xlfn.MAXIFS('Processed Non-zero TRI Data'!$W:$W,'Processed Non-zero TRI Data'!$I:$I,$H268), "N/A - Facility Does Not Report to TRI")</f>
        <v>N/A - Facility Does Not Report to TRI</v>
      </c>
      <c r="AQ268" s="33" t="str">
        <f t="shared" si="66"/>
        <v>N/A - Facility Does Not Report to TRI</v>
      </c>
      <c r="AR268" s="110" t="str" cm="1">
        <f t="array" ref="AR268">IF(B268="TRI Form A",AD268,IF(AP268=0,"Facility has no transfers to non-POTWs between 2019-2023.",IF(COUNTIF('Processed Non-zero TRI Data'!$I:$I,$H268)&gt;0,INDEX('Processed Non-zero TRI Data'!$A:$A,MATCH(1,($H268='Processed Non-zero TRI Data'!$I:$I)*(AP268='Processed Non-zero TRI Data'!$W:$W),0)),"N/A - Facility Does Not Report to TRI")))</f>
        <v>N/A - Facility Does Not Report to TRI</v>
      </c>
    </row>
    <row r="269" spans="1:44" ht="29" x14ac:dyDescent="0.35">
      <c r="A269" s="34">
        <v>266</v>
      </c>
      <c r="B269" s="33" t="str">
        <f>IFERROR("TRI Form "&amp;VLOOKUP(H269,'Processed Non-zero TRI Data'!$I$2:$K$23,3,FALSE),"DMR")</f>
        <v>DMR</v>
      </c>
      <c r="C269" s="33" t="str">
        <f>VLOOKUP($D269, 'COU.OES Summary'!C:D, 2, FALSE)</f>
        <v> </v>
      </c>
      <c r="D269" s="33" t="str">
        <f>IFERROR(VLOOKUP($H269, 'Processed Non-zero TRI Data'!$I:$O, 7, FALSE), VLOOKUP($I269, 'Processed Non-zero DMR Data'!$K:$R, 8, FALSE))</f>
        <v>Waste handling, treatment, and disposal - Remediation or Monitoring</v>
      </c>
      <c r="E269" s="34" t="s">
        <v>605</v>
      </c>
      <c r="F269" s="34" t="s">
        <v>606</v>
      </c>
      <c r="G269" s="34" t="s">
        <v>126</v>
      </c>
      <c r="H269" s="34"/>
      <c r="I269" s="105">
        <v>110000324765</v>
      </c>
      <c r="J269" s="33" t="str">
        <f>IFERROR(VLOOKUP($I269, 'Processed Non-zero DMR Data'!$K:$U, 11, FALSE),"")</f>
        <v>NY0004618</v>
      </c>
      <c r="K269" s="33" t="str">
        <f>IFERROR(VLOOKUP($I269, 'Processed Non-zero DMR Data'!$K:$V, 12, FALSE),"Not Reported")</f>
        <v>Swamp River</v>
      </c>
      <c r="L269" s="106">
        <f>IFERROR(VLOOKUP($I269, 'Processed Non-zero DMR Data'!$K:$W, 13, FALSE),"No Reach Code Reported")</f>
        <v>11000050505</v>
      </c>
      <c r="M269" s="107" t="str">
        <f>IFERROR(IFERROR(VLOOKUP(H269, 'Off-site Locations'!$K$3:$O$5, 5, FALSE), VLOOKUP(H269, 'Off-site Locations'!$B$3:$E$4, 4, FALSE)), "No Offsite Transfers")</f>
        <v>No Offsite Transfers</v>
      </c>
      <c r="N269" s="33">
        <f>VLOOKUP($D269, 'COU.OES Summary'!C:E, 3, FALSE)</f>
        <v>365</v>
      </c>
      <c r="O269" s="108">
        <f t="shared" si="56"/>
        <v>0</v>
      </c>
      <c r="P269" s="108">
        <f t="shared" si="57"/>
        <v>1.1981612711375E-2</v>
      </c>
      <c r="Q269" s="109" cm="1">
        <f t="array" ref="Q269">IFERROR(_xlfn.XLOOKUP(1,  (MAX(IF(I269 = 'Processed Non-zero DMR Data'!$K:$K,'Processed Non-zero DMR Data'!$A:$A)) = 'Processed Non-zero DMR Data'!$A:$A)*('Processed Non-zero DMR Data'!$K:$K = I269),'Processed Non-zero DMR Data'!$T:$T), "N/A- Facility Does Not Report DMRs")</f>
        <v>1.1981612711375E-2</v>
      </c>
      <c r="R269" s="33">
        <f t="shared" si="67"/>
        <v>3.2826336195547943E-5</v>
      </c>
      <c r="S269" s="33" cm="1">
        <f t="array" ref="S269">IF(COUNTIF('Processed Non-zero DMR Data'!$K:$K,$I269)&gt;0,MEDIAN(IF('Processed Non-zero DMR Data'!$K:$K=I269,'Processed Non-zero DMR Data'!$T:$T)),"N/A - Facility Does Not Report DMRs")</f>
        <v>7.7652778963750004E-3</v>
      </c>
      <c r="T269" s="33">
        <f t="shared" si="68"/>
        <v>2.1274733962671235E-5</v>
      </c>
      <c r="U269" s="33">
        <f>IF(COUNTIF('Processed Non-zero DMR Data'!$K:$K,$I269)&gt;0,_xlfn.MAXIFS('Processed Non-zero DMR Data'!$T:$T,'Processed Non-zero DMR Data'!$K:$K,$I269), "N/A - Facility Does Not Report DMRs")</f>
        <v>1.1981612711375E-2</v>
      </c>
      <c r="V269" s="33">
        <f t="shared" si="69"/>
        <v>3.2826336195547943E-5</v>
      </c>
      <c r="W269" s="110" cm="1">
        <f t="array" ref="W269">IF(COUNTIF('Processed Non-zero DMR Data'!$K:$K,$I269)&gt;0,INDEX('Processed Non-zero DMR Data'!$A:$A,MATCH(1,($I269='Processed Non-zero DMR Data'!$K:$K)*($U269='Processed Non-zero DMR Data'!$T:$T),0)), "N/A - Facility Does Not Report DMRs")</f>
        <v>2023</v>
      </c>
      <c r="X269" s="109" cm="1">
        <f t="array" ref="X269">IFERROR(_xlfn.XLOOKUP(1,  (MAX(IF(H269 = 'Processed Non-zero TRI Data'!$I:$I,'Processed Non-zero TRI Data'!$A:$A)) = 'Processed Non-zero TRI Data'!$A:$A)*('Processed Non-zero TRI Data'!$I:$I = H269), 'Processed Non-zero TRI Data'!$S:$S), "N/A- Facility Does Not Report to TRI")</f>
        <v>0</v>
      </c>
      <c r="Y269" s="33">
        <f t="shared" si="58"/>
        <v>0</v>
      </c>
      <c r="Z269" s="33" t="str" cm="1">
        <f t="array" ref="Z269">IF(COUNTIF('Processed Non-zero TRI Data'!$I:$I,$H269)&gt;0,MEDIAN(IF('Processed Non-zero TRI Data'!$I:$I=H269,'Processed Non-zero TRI Data'!$S:$S)), "N/A - Facility Does Not Report to TRI")</f>
        <v>N/A - Facility Does Not Report to TRI</v>
      </c>
      <c r="AA269" s="33" t="str">
        <f t="shared" si="59"/>
        <v>N/A - Facility Does Not Report to TRI</v>
      </c>
      <c r="AB269" s="33" t="str">
        <f>IF(COUNTIF('Processed Non-zero TRI Data'!$I:$I,$H269)&gt;0,_xlfn.MAXIFS('Processed Non-zero TRI Data'!$S:$S,'Processed Non-zero TRI Data'!$I:$I,$H269), "N/A - Facility Does Not Report to TRI")</f>
        <v>N/A - Facility Does Not Report to TRI</v>
      </c>
      <c r="AC269" s="33" t="str">
        <f t="shared" si="60"/>
        <v>N/A - Facility Does Not Report to TRI</v>
      </c>
      <c r="AD269" s="110" t="str" cm="1">
        <f t="array" ref="AD269">IFERROR(IF(B269 = "TRI Form R", IF(AB269 = 0, "Facility has no on-site water discharges between 2019-2023.",  IF(COUNTIF('Processed Non-zero TRI Data'!$I:$I,$H269)&gt;0,INDEX('Processed Non-zero TRI Data'!$A:$A,MATCH(1,($H269='Processed Non-zero TRI Data'!$I:$I)*(AB269='Processed Non-zero TRI Data'!$S:$S),0)))), VLOOKUP(H269, 'Form A Recent Reporting'!$L:$M, 2, FALSE)), ("N/A - Facility Does Not Report to TRI"))</f>
        <v>N/A - Facility Does Not Report to TRI</v>
      </c>
      <c r="AE269" s="109" cm="1">
        <f t="array" ref="AE269">IFERROR(_xlfn.XLOOKUP(1,  (MAX(IF(H269 = 'Processed Non-zero TRI Data'!$I:$I,'Processed Non-zero TRI Data'!$A:$A)) = 'Processed Non-zero TRI Data'!$A:$A)*('Processed Non-zero TRI Data'!$I:$I = H269), 'Processed Non-zero TRI Data'!$U:$U), "N/A- Facility Does Not Report to TRI")</f>
        <v>0</v>
      </c>
      <c r="AF269" s="33">
        <f t="shared" si="61"/>
        <v>0</v>
      </c>
      <c r="AG269" s="33" t="str" cm="1">
        <f t="array" ref="AG269">IF(COUNTIF('Processed Non-zero TRI Data'!$I:$I,$H269)&gt;0,MEDIAN(IF('Processed Non-zero TRI Data'!$I:$I=H269,'Processed Non-zero TRI Data'!$U:$U)), "N/A - Facility Does Not Report to TRI")</f>
        <v>N/A - Facility Does Not Report to TRI</v>
      </c>
      <c r="AH269" s="33" t="str">
        <f t="shared" si="62"/>
        <v>N/A - Facility Does Not Report to TRI</v>
      </c>
      <c r="AI269" s="33" t="str">
        <f>IF(COUNTIF('Processed Non-zero TRI Data'!$I:$I,$H269)&gt;0,_xlfn.MAXIFS('Processed Non-zero TRI Data'!$U:$U,'Processed Non-zero TRI Data'!$I:$I,$H269), "N/A - Facility Does Not Report to TRI")</f>
        <v>N/A - Facility Does Not Report to TRI</v>
      </c>
      <c r="AJ269" s="33" t="str">
        <f t="shared" si="63"/>
        <v>N/A - Facility Does Not Report to TRI</v>
      </c>
      <c r="AK269" s="110" t="str" cm="1">
        <f t="array" ref="AK269">IF(B269="TRI Form A",AD269,IF(AI269=0,"Facility has no transfers to POTWs between 2019-2023.",IF(COUNTIF('Processed Non-zero TRI Data'!$I:$I,$H269)&gt;0,INDEX('Processed Non-zero TRI Data'!$A:$A,MATCH(1,($H269='Processed Non-zero TRI Data'!$I:$I)*(AI269='Processed Non-zero TRI Data'!$U:$U),0)),"N/A - Facility Does Not Report to TRI")))</f>
        <v>N/A - Facility Does Not Report to TRI</v>
      </c>
      <c r="AL269" s="109" cm="1">
        <f t="array" ref="AL269">IFERROR(_xlfn.XLOOKUP(1,  (MAX(IF(H269 = 'Processed Non-zero TRI Data'!$I$2:$I$23,'Processed Non-zero TRI Data'!$A$2:$A$23)) = 'Processed Non-zero TRI Data'!$A$2:$A$23)*('Processed Non-zero TRI Data'!$I$2:$I$23 = H269), 'Processed Non-zero TRI Data'!$W$2:$W$23), "N/A- Facility Does Not Report to TRI")</f>
        <v>0</v>
      </c>
      <c r="AM269" s="33">
        <f t="shared" si="64"/>
        <v>0</v>
      </c>
      <c r="AN269" s="33" t="str" cm="1">
        <f t="array" ref="AN269">IF(COUNTIF('Processed Non-zero TRI Data'!$I:$I,$H269)&gt;0,MEDIAN(IF('Processed Non-zero TRI Data'!$I:$I=H269,'Processed Non-zero TRI Data'!$W:$W)), "N/A - Facility Does Not Report to TRI")</f>
        <v>N/A - Facility Does Not Report to TRI</v>
      </c>
      <c r="AO269" s="33" t="str">
        <f t="shared" si="65"/>
        <v>N/A - Facility Does Not Report to TRI</v>
      </c>
      <c r="AP269" s="33" t="str">
        <f>IF(COUNTIF('Processed Non-zero TRI Data'!$I:$I,$H269)&gt;0,_xlfn.MAXIFS('Processed Non-zero TRI Data'!$W:$W,'Processed Non-zero TRI Data'!$I:$I,$H269), "N/A - Facility Does Not Report to TRI")</f>
        <v>N/A - Facility Does Not Report to TRI</v>
      </c>
      <c r="AQ269" s="33" t="str">
        <f t="shared" si="66"/>
        <v>N/A - Facility Does Not Report to TRI</v>
      </c>
      <c r="AR269" s="110" t="str" cm="1">
        <f t="array" ref="AR269">IF(B269="TRI Form A",AD269,IF(AP269=0,"Facility has no transfers to non-POTWs between 2019-2023.",IF(COUNTIF('Processed Non-zero TRI Data'!$I:$I,$H269)&gt;0,INDEX('Processed Non-zero TRI Data'!$A:$A,MATCH(1,($H269='Processed Non-zero TRI Data'!$I:$I)*(AP269='Processed Non-zero TRI Data'!$W:$W),0)),"N/A - Facility Does Not Report to TRI")))</f>
        <v>N/A - Facility Does Not Report to TRI</v>
      </c>
    </row>
    <row r="270" spans="1:44" ht="29" x14ac:dyDescent="0.35">
      <c r="A270" s="34">
        <v>267</v>
      </c>
      <c r="B270" s="33" t="str">
        <f>IFERROR("TRI Form "&amp;VLOOKUP(H270,'Processed Non-zero TRI Data'!$I$2:$K$23,3,FALSE),"DMR")</f>
        <v>DMR</v>
      </c>
      <c r="C270" s="33" t="str">
        <f>VLOOKUP($D270, 'COU.OES Summary'!C:D, 2, FALSE)</f>
        <v> </v>
      </c>
      <c r="D270" s="33" t="str">
        <f>IFERROR(VLOOKUP($H270, 'Processed Non-zero TRI Data'!$I:$O, 7, FALSE), VLOOKUP($I270, 'Processed Non-zero DMR Data'!$K:$R, 8, FALSE))</f>
        <v>Waste handling, treatment, and disposal - Remediation or Monitoring</v>
      </c>
      <c r="E270" s="34" t="s">
        <v>607</v>
      </c>
      <c r="F270" s="34" t="s">
        <v>608</v>
      </c>
      <c r="G270" s="34" t="s">
        <v>102</v>
      </c>
      <c r="H270" s="34"/>
      <c r="I270" s="105">
        <v>110001163062</v>
      </c>
      <c r="J270" s="33" t="str">
        <f>IFERROR(VLOOKUP($I270, 'Processed Non-zero DMR Data'!$K:$U, 11, FALSE),"")</f>
        <v>CA0029904</v>
      </c>
      <c r="K270" s="33" t="str">
        <f>IFERROR(VLOOKUP($I270, 'Processed Non-zero DMR Data'!$K:$V, 12, FALSE),"Not Reported")</f>
        <v>Arroyo del Hambre-Frontal Suisun Bay Estuaries</v>
      </c>
      <c r="L270" s="106">
        <f>IFERROR(VLOOKUP($I270, 'Processed Non-zero DMR Data'!$K:$W, 13, FALSE),"No Reach Code Reported")</f>
        <v>180500010303</v>
      </c>
      <c r="M270" s="107" t="str">
        <f>IFERROR(IFERROR(VLOOKUP(H270, 'Off-site Locations'!$K$3:$O$5, 5, FALSE), VLOOKUP(H270, 'Off-site Locations'!$B$3:$E$4, 4, FALSE)), "No Offsite Transfers")</f>
        <v>No Offsite Transfers</v>
      </c>
      <c r="N270" s="33">
        <f>VLOOKUP($D270, 'COU.OES Summary'!C:E, 3, FALSE)</f>
        <v>365</v>
      </c>
      <c r="O270" s="108">
        <f t="shared" si="56"/>
        <v>0</v>
      </c>
      <c r="P270" s="108">
        <f t="shared" si="57"/>
        <v>1.12444806495E-2</v>
      </c>
      <c r="Q270" s="109" cm="1">
        <f t="array" ref="Q270">IFERROR(_xlfn.XLOOKUP(1,  (MAX(IF(I270 = 'Processed Non-zero DMR Data'!$K:$K,'Processed Non-zero DMR Data'!$A:$A)) = 'Processed Non-zero DMR Data'!$A:$A)*('Processed Non-zero DMR Data'!$K:$K = I270),'Processed Non-zero DMR Data'!$T:$T), "N/A- Facility Does Not Report DMRs")</f>
        <v>1.12444806495E-2</v>
      </c>
      <c r="R270" s="33">
        <f t="shared" si="67"/>
        <v>3.0806796300000002E-5</v>
      </c>
      <c r="S270" s="33" cm="1">
        <f t="array" ref="S270">IF(COUNTIF('Processed Non-zero DMR Data'!$K:$K,$I270)&gt;0,MEDIAN(IF('Processed Non-zero DMR Data'!$K:$K=I270,'Processed Non-zero DMR Data'!$T:$T)),"N/A - Facility Does Not Report DMRs")</f>
        <v>1.12444806495E-2</v>
      </c>
      <c r="T270" s="33">
        <f t="shared" si="68"/>
        <v>3.0806796300000002E-5</v>
      </c>
      <c r="U270" s="33">
        <f>IF(COUNTIF('Processed Non-zero DMR Data'!$K:$K,$I270)&gt;0,_xlfn.MAXIFS('Processed Non-zero DMR Data'!$T:$T,'Processed Non-zero DMR Data'!$K:$K,$I270), "N/A - Facility Does Not Report DMRs")</f>
        <v>1.12444806495E-2</v>
      </c>
      <c r="V270" s="33">
        <f t="shared" si="69"/>
        <v>3.0806796300000002E-5</v>
      </c>
      <c r="W270" s="110" cm="1">
        <f t="array" ref="W270">IF(COUNTIF('Processed Non-zero DMR Data'!$K:$K,$I270)&gt;0,INDEX('Processed Non-zero DMR Data'!$A:$A,MATCH(1,($I270='Processed Non-zero DMR Data'!$K:$K)*($U270='Processed Non-zero DMR Data'!$T:$T),0)), "N/A - Facility Does Not Report DMRs")</f>
        <v>2023</v>
      </c>
      <c r="X270" s="109" cm="1">
        <f t="array" ref="X270">IFERROR(_xlfn.XLOOKUP(1,  (MAX(IF(H270 = 'Processed Non-zero TRI Data'!$I:$I,'Processed Non-zero TRI Data'!$A:$A)) = 'Processed Non-zero TRI Data'!$A:$A)*('Processed Non-zero TRI Data'!$I:$I = H270), 'Processed Non-zero TRI Data'!$S:$S), "N/A- Facility Does Not Report to TRI")</f>
        <v>0</v>
      </c>
      <c r="Y270" s="33">
        <f t="shared" si="58"/>
        <v>0</v>
      </c>
      <c r="Z270" s="33" t="str" cm="1">
        <f t="array" ref="Z270">IF(COUNTIF('Processed Non-zero TRI Data'!$I:$I,$H270)&gt;0,MEDIAN(IF('Processed Non-zero TRI Data'!$I:$I=H270,'Processed Non-zero TRI Data'!$S:$S)), "N/A - Facility Does Not Report to TRI")</f>
        <v>N/A - Facility Does Not Report to TRI</v>
      </c>
      <c r="AA270" s="33" t="str">
        <f t="shared" si="59"/>
        <v>N/A - Facility Does Not Report to TRI</v>
      </c>
      <c r="AB270" s="33" t="str">
        <f>IF(COUNTIF('Processed Non-zero TRI Data'!$I:$I,$H270)&gt;0,_xlfn.MAXIFS('Processed Non-zero TRI Data'!$S:$S,'Processed Non-zero TRI Data'!$I:$I,$H270), "N/A - Facility Does Not Report to TRI")</f>
        <v>N/A - Facility Does Not Report to TRI</v>
      </c>
      <c r="AC270" s="33" t="str">
        <f t="shared" si="60"/>
        <v>N/A - Facility Does Not Report to TRI</v>
      </c>
      <c r="AD270" s="110" t="str" cm="1">
        <f t="array" ref="AD270">IFERROR(IF(B270 = "TRI Form R", IF(AB270 = 0, "Facility has no on-site water discharges between 2019-2023.",  IF(COUNTIF('Processed Non-zero TRI Data'!$I:$I,$H270)&gt;0,INDEX('Processed Non-zero TRI Data'!$A:$A,MATCH(1,($H270='Processed Non-zero TRI Data'!$I:$I)*(AB270='Processed Non-zero TRI Data'!$S:$S),0)))), VLOOKUP(H270, 'Form A Recent Reporting'!$L:$M, 2, FALSE)), ("N/A - Facility Does Not Report to TRI"))</f>
        <v>N/A - Facility Does Not Report to TRI</v>
      </c>
      <c r="AE270" s="109" cm="1">
        <f t="array" ref="AE270">IFERROR(_xlfn.XLOOKUP(1,  (MAX(IF(H270 = 'Processed Non-zero TRI Data'!$I:$I,'Processed Non-zero TRI Data'!$A:$A)) = 'Processed Non-zero TRI Data'!$A:$A)*('Processed Non-zero TRI Data'!$I:$I = H270), 'Processed Non-zero TRI Data'!$U:$U), "N/A- Facility Does Not Report to TRI")</f>
        <v>0</v>
      </c>
      <c r="AF270" s="33">
        <f t="shared" si="61"/>
        <v>0</v>
      </c>
      <c r="AG270" s="33" t="str" cm="1">
        <f t="array" ref="AG270">IF(COUNTIF('Processed Non-zero TRI Data'!$I:$I,$H270)&gt;0,MEDIAN(IF('Processed Non-zero TRI Data'!$I:$I=H270,'Processed Non-zero TRI Data'!$U:$U)), "N/A - Facility Does Not Report to TRI")</f>
        <v>N/A - Facility Does Not Report to TRI</v>
      </c>
      <c r="AH270" s="33" t="str">
        <f t="shared" si="62"/>
        <v>N/A - Facility Does Not Report to TRI</v>
      </c>
      <c r="AI270" s="33" t="str">
        <f>IF(COUNTIF('Processed Non-zero TRI Data'!$I:$I,$H270)&gt;0,_xlfn.MAXIFS('Processed Non-zero TRI Data'!$U:$U,'Processed Non-zero TRI Data'!$I:$I,$H270), "N/A - Facility Does Not Report to TRI")</f>
        <v>N/A - Facility Does Not Report to TRI</v>
      </c>
      <c r="AJ270" s="33" t="str">
        <f t="shared" si="63"/>
        <v>N/A - Facility Does Not Report to TRI</v>
      </c>
      <c r="AK270" s="110" t="str" cm="1">
        <f t="array" ref="AK270">IF(B270="TRI Form A",AD270,IF(AI270=0,"Facility has no transfers to POTWs between 2019-2023.",IF(COUNTIF('Processed Non-zero TRI Data'!$I:$I,$H270)&gt;0,INDEX('Processed Non-zero TRI Data'!$A:$A,MATCH(1,($H270='Processed Non-zero TRI Data'!$I:$I)*(AI270='Processed Non-zero TRI Data'!$U:$U),0)),"N/A - Facility Does Not Report to TRI")))</f>
        <v>N/A - Facility Does Not Report to TRI</v>
      </c>
      <c r="AL270" s="109" cm="1">
        <f t="array" ref="AL270">IFERROR(_xlfn.XLOOKUP(1,  (MAX(IF(H270 = 'Processed Non-zero TRI Data'!$I$2:$I$23,'Processed Non-zero TRI Data'!$A$2:$A$23)) = 'Processed Non-zero TRI Data'!$A$2:$A$23)*('Processed Non-zero TRI Data'!$I$2:$I$23 = H270), 'Processed Non-zero TRI Data'!$W$2:$W$23), "N/A- Facility Does Not Report to TRI")</f>
        <v>0</v>
      </c>
      <c r="AM270" s="33">
        <f t="shared" si="64"/>
        <v>0</v>
      </c>
      <c r="AN270" s="33" t="str" cm="1">
        <f t="array" ref="AN270">IF(COUNTIF('Processed Non-zero TRI Data'!$I:$I,$H270)&gt;0,MEDIAN(IF('Processed Non-zero TRI Data'!$I:$I=H270,'Processed Non-zero TRI Data'!$W:$W)), "N/A - Facility Does Not Report to TRI")</f>
        <v>N/A - Facility Does Not Report to TRI</v>
      </c>
      <c r="AO270" s="33" t="str">
        <f t="shared" si="65"/>
        <v>N/A - Facility Does Not Report to TRI</v>
      </c>
      <c r="AP270" s="33" t="str">
        <f>IF(COUNTIF('Processed Non-zero TRI Data'!$I:$I,$H270)&gt;0,_xlfn.MAXIFS('Processed Non-zero TRI Data'!$W:$W,'Processed Non-zero TRI Data'!$I:$I,$H270), "N/A - Facility Does Not Report to TRI")</f>
        <v>N/A - Facility Does Not Report to TRI</v>
      </c>
      <c r="AQ270" s="33" t="str">
        <f t="shared" si="66"/>
        <v>N/A - Facility Does Not Report to TRI</v>
      </c>
      <c r="AR270" s="110" t="str" cm="1">
        <f t="array" ref="AR270">IF(B270="TRI Form A",AD270,IF(AP270=0,"Facility has no transfers to non-POTWs between 2019-2023.",IF(COUNTIF('Processed Non-zero TRI Data'!$I:$I,$H270)&gt;0,INDEX('Processed Non-zero TRI Data'!$A:$A,MATCH(1,($H270='Processed Non-zero TRI Data'!$I:$I)*(AP270='Processed Non-zero TRI Data'!$W:$W),0)),"N/A - Facility Does Not Report to TRI")))</f>
        <v>N/A - Facility Does Not Report to TRI</v>
      </c>
    </row>
    <row r="271" spans="1:44" ht="29" x14ac:dyDescent="0.35">
      <c r="A271" s="34">
        <v>268</v>
      </c>
      <c r="B271" s="33" t="str">
        <f>IFERROR("TRI Form "&amp;VLOOKUP(H271,'Processed Non-zero TRI Data'!$I$2:$K$23,3,FALSE),"DMR")</f>
        <v>DMR</v>
      </c>
      <c r="C271" s="33" t="str">
        <f>VLOOKUP($D271, 'COU.OES Summary'!C:D, 2, FALSE)</f>
        <v> </v>
      </c>
      <c r="D271" s="33" t="str">
        <f>IFERROR(VLOOKUP($H271, 'Processed Non-zero TRI Data'!$I:$O, 7, FALSE), VLOOKUP($I271, 'Processed Non-zero DMR Data'!$K:$R, 8, FALSE))</f>
        <v>Waste handling, treatment, and disposal - Remediation or Monitoring</v>
      </c>
      <c r="E271" s="34" t="s">
        <v>609</v>
      </c>
      <c r="F271" s="34" t="s">
        <v>610</v>
      </c>
      <c r="G271" s="34" t="s">
        <v>340</v>
      </c>
      <c r="H271" s="34"/>
      <c r="I271" s="105">
        <v>110008476327</v>
      </c>
      <c r="J271" s="33" t="str">
        <f>IFERROR(VLOOKUP($I271, 'Processed Non-zero DMR Data'!$K:$U, 11, FALSE),"")</f>
        <v>PA0103381</v>
      </c>
      <c r="K271" s="33" t="str">
        <f>IFERROR(VLOOKUP($I271, 'Processed Non-zero DMR Data'!$K:$V, 12, FALSE),"Not Reported")</f>
        <v>Oil Creek-Allegheny River</v>
      </c>
      <c r="L271" s="106">
        <f>IFERROR(VLOOKUP($I271, 'Processed Non-zero DMR Data'!$K:$W, 13, FALSE),"No Reach Code Reported")</f>
        <v>50100030606</v>
      </c>
      <c r="M271" s="107" t="str">
        <f>IFERROR(IFERROR(VLOOKUP(H271, 'Off-site Locations'!$K$3:$O$5, 5, FALSE), VLOOKUP(H271, 'Off-site Locations'!$B$3:$E$4, 4, FALSE)), "No Offsite Transfers")</f>
        <v>No Offsite Transfers</v>
      </c>
      <c r="N271" s="33">
        <f>VLOOKUP($D271, 'COU.OES Summary'!C:E, 3, FALSE)</f>
        <v>365</v>
      </c>
      <c r="O271" s="108">
        <f t="shared" si="56"/>
        <v>0</v>
      </c>
      <c r="P271" s="108">
        <f t="shared" si="57"/>
        <v>1.077115E-2</v>
      </c>
      <c r="Q271" s="109" cm="1">
        <f t="array" ref="Q271">IFERROR(_xlfn.XLOOKUP(1,  (MAX(IF(I271 = 'Processed Non-zero DMR Data'!$K:$K,'Processed Non-zero DMR Data'!$A:$A)) = 'Processed Non-zero DMR Data'!$A:$A)*('Processed Non-zero DMR Data'!$K:$K = I271),'Processed Non-zero DMR Data'!$T:$T), "N/A- Facility Does Not Report DMRs")</f>
        <v>2.4856499999999998E-3</v>
      </c>
      <c r="R271" s="33">
        <f t="shared" si="67"/>
        <v>6.8099999999999992E-6</v>
      </c>
      <c r="S271" s="33" cm="1">
        <f t="array" ref="S271">IF(COUNTIF('Processed Non-zero DMR Data'!$K:$K,$I271)&gt;0,MEDIAN(IF('Processed Non-zero DMR Data'!$K:$K=I271,'Processed Non-zero DMR Data'!$T:$T)),"N/A - Facility Does Not Report DMRs")</f>
        <v>3.3141999999999998E-3</v>
      </c>
      <c r="T271" s="33">
        <f t="shared" si="68"/>
        <v>9.0799999999999995E-6</v>
      </c>
      <c r="U271" s="33">
        <f>IF(COUNTIF('Processed Non-zero DMR Data'!$K:$K,$I271)&gt;0,_xlfn.MAXIFS('Processed Non-zero DMR Data'!$T:$T,'Processed Non-zero DMR Data'!$K:$K,$I271), "N/A - Facility Does Not Report DMRs")</f>
        <v>1.077115E-2</v>
      </c>
      <c r="V271" s="33">
        <f t="shared" si="69"/>
        <v>2.951E-5</v>
      </c>
      <c r="W271" s="110" cm="1">
        <f t="array" ref="W271">IF(COUNTIF('Processed Non-zero DMR Data'!$K:$K,$I271)&gt;0,INDEX('Processed Non-zero DMR Data'!$A:$A,MATCH(1,($I271='Processed Non-zero DMR Data'!$K:$K)*($U271='Processed Non-zero DMR Data'!$T:$T),0)), "N/A - Facility Does Not Report DMRs")</f>
        <v>2021</v>
      </c>
      <c r="X271" s="109" cm="1">
        <f t="array" ref="X271">IFERROR(_xlfn.XLOOKUP(1,  (MAX(IF(H271 = 'Processed Non-zero TRI Data'!$I:$I,'Processed Non-zero TRI Data'!$A:$A)) = 'Processed Non-zero TRI Data'!$A:$A)*('Processed Non-zero TRI Data'!$I:$I = H271), 'Processed Non-zero TRI Data'!$S:$S), "N/A- Facility Does Not Report to TRI")</f>
        <v>0</v>
      </c>
      <c r="Y271" s="33">
        <f t="shared" si="58"/>
        <v>0</v>
      </c>
      <c r="Z271" s="33" t="str" cm="1">
        <f t="array" ref="Z271">IF(COUNTIF('Processed Non-zero TRI Data'!$I:$I,$H271)&gt;0,MEDIAN(IF('Processed Non-zero TRI Data'!$I:$I=H271,'Processed Non-zero TRI Data'!$S:$S)), "N/A - Facility Does Not Report to TRI")</f>
        <v>N/A - Facility Does Not Report to TRI</v>
      </c>
      <c r="AA271" s="33" t="str">
        <f t="shared" si="59"/>
        <v>N/A - Facility Does Not Report to TRI</v>
      </c>
      <c r="AB271" s="33" t="str">
        <f>IF(COUNTIF('Processed Non-zero TRI Data'!$I:$I,$H271)&gt;0,_xlfn.MAXIFS('Processed Non-zero TRI Data'!$S:$S,'Processed Non-zero TRI Data'!$I:$I,$H271), "N/A - Facility Does Not Report to TRI")</f>
        <v>N/A - Facility Does Not Report to TRI</v>
      </c>
      <c r="AC271" s="33" t="str">
        <f t="shared" si="60"/>
        <v>N/A - Facility Does Not Report to TRI</v>
      </c>
      <c r="AD271" s="110" t="str" cm="1">
        <f t="array" ref="AD271">IFERROR(IF(B271 = "TRI Form R", IF(AB271 = 0, "Facility has no on-site water discharges between 2019-2023.",  IF(COUNTIF('Processed Non-zero TRI Data'!$I:$I,$H271)&gt;0,INDEX('Processed Non-zero TRI Data'!$A:$A,MATCH(1,($H271='Processed Non-zero TRI Data'!$I:$I)*(AB271='Processed Non-zero TRI Data'!$S:$S),0)))), VLOOKUP(H271, 'Form A Recent Reporting'!$L:$M, 2, FALSE)), ("N/A - Facility Does Not Report to TRI"))</f>
        <v>N/A - Facility Does Not Report to TRI</v>
      </c>
      <c r="AE271" s="109" cm="1">
        <f t="array" ref="AE271">IFERROR(_xlfn.XLOOKUP(1,  (MAX(IF(H271 = 'Processed Non-zero TRI Data'!$I:$I,'Processed Non-zero TRI Data'!$A:$A)) = 'Processed Non-zero TRI Data'!$A:$A)*('Processed Non-zero TRI Data'!$I:$I = H271), 'Processed Non-zero TRI Data'!$U:$U), "N/A- Facility Does Not Report to TRI")</f>
        <v>0</v>
      </c>
      <c r="AF271" s="33">
        <f t="shared" si="61"/>
        <v>0</v>
      </c>
      <c r="AG271" s="33" t="str" cm="1">
        <f t="array" ref="AG271">IF(COUNTIF('Processed Non-zero TRI Data'!$I:$I,$H271)&gt;0,MEDIAN(IF('Processed Non-zero TRI Data'!$I:$I=H271,'Processed Non-zero TRI Data'!$U:$U)), "N/A - Facility Does Not Report to TRI")</f>
        <v>N/A - Facility Does Not Report to TRI</v>
      </c>
      <c r="AH271" s="33" t="str">
        <f t="shared" si="62"/>
        <v>N/A - Facility Does Not Report to TRI</v>
      </c>
      <c r="AI271" s="33" t="str">
        <f>IF(COUNTIF('Processed Non-zero TRI Data'!$I:$I,$H271)&gt;0,_xlfn.MAXIFS('Processed Non-zero TRI Data'!$U:$U,'Processed Non-zero TRI Data'!$I:$I,$H271), "N/A - Facility Does Not Report to TRI")</f>
        <v>N/A - Facility Does Not Report to TRI</v>
      </c>
      <c r="AJ271" s="33" t="str">
        <f t="shared" si="63"/>
        <v>N/A - Facility Does Not Report to TRI</v>
      </c>
      <c r="AK271" s="110" t="str" cm="1">
        <f t="array" ref="AK271">IF(B271="TRI Form A",AD271,IF(AI271=0,"Facility has no transfers to POTWs between 2019-2023.",IF(COUNTIF('Processed Non-zero TRI Data'!$I:$I,$H271)&gt;0,INDEX('Processed Non-zero TRI Data'!$A:$A,MATCH(1,($H271='Processed Non-zero TRI Data'!$I:$I)*(AI271='Processed Non-zero TRI Data'!$U:$U),0)),"N/A - Facility Does Not Report to TRI")))</f>
        <v>N/A - Facility Does Not Report to TRI</v>
      </c>
      <c r="AL271" s="109" cm="1">
        <f t="array" ref="AL271">IFERROR(_xlfn.XLOOKUP(1,  (MAX(IF(H271 = 'Processed Non-zero TRI Data'!$I$2:$I$23,'Processed Non-zero TRI Data'!$A$2:$A$23)) = 'Processed Non-zero TRI Data'!$A$2:$A$23)*('Processed Non-zero TRI Data'!$I$2:$I$23 = H271), 'Processed Non-zero TRI Data'!$W$2:$W$23), "N/A- Facility Does Not Report to TRI")</f>
        <v>0</v>
      </c>
      <c r="AM271" s="33">
        <f t="shared" si="64"/>
        <v>0</v>
      </c>
      <c r="AN271" s="33" t="str" cm="1">
        <f t="array" ref="AN271">IF(COUNTIF('Processed Non-zero TRI Data'!$I:$I,$H271)&gt;0,MEDIAN(IF('Processed Non-zero TRI Data'!$I:$I=H271,'Processed Non-zero TRI Data'!$W:$W)), "N/A - Facility Does Not Report to TRI")</f>
        <v>N/A - Facility Does Not Report to TRI</v>
      </c>
      <c r="AO271" s="33" t="str">
        <f t="shared" si="65"/>
        <v>N/A - Facility Does Not Report to TRI</v>
      </c>
      <c r="AP271" s="33" t="str">
        <f>IF(COUNTIF('Processed Non-zero TRI Data'!$I:$I,$H271)&gt;0,_xlfn.MAXIFS('Processed Non-zero TRI Data'!$W:$W,'Processed Non-zero TRI Data'!$I:$I,$H271), "N/A - Facility Does Not Report to TRI")</f>
        <v>N/A - Facility Does Not Report to TRI</v>
      </c>
      <c r="AQ271" s="33" t="str">
        <f t="shared" si="66"/>
        <v>N/A - Facility Does Not Report to TRI</v>
      </c>
      <c r="AR271" s="110" t="str" cm="1">
        <f t="array" ref="AR271">IF(B271="TRI Form A",AD271,IF(AP271=0,"Facility has no transfers to non-POTWs between 2019-2023.",IF(COUNTIF('Processed Non-zero TRI Data'!$I:$I,$H271)&gt;0,INDEX('Processed Non-zero TRI Data'!$A:$A,MATCH(1,($H271='Processed Non-zero TRI Data'!$I:$I)*(AP271='Processed Non-zero TRI Data'!$W:$W),0)),"N/A - Facility Does Not Report to TRI")))</f>
        <v>N/A - Facility Does Not Report to TRI</v>
      </c>
    </row>
    <row r="272" spans="1:44" ht="29" x14ac:dyDescent="0.35">
      <c r="A272" s="34">
        <v>269</v>
      </c>
      <c r="B272" s="33" t="str">
        <f>IFERROR("TRI Form "&amp;VLOOKUP(H272,'Processed Non-zero TRI Data'!$I$2:$K$23,3,FALSE),"DMR")</f>
        <v>DMR</v>
      </c>
      <c r="C272" s="33" t="str">
        <f>VLOOKUP($D272, 'COU.OES Summary'!C:D, 2, FALSE)</f>
        <v> </v>
      </c>
      <c r="D272" s="33" t="str">
        <f>IFERROR(VLOOKUP($H272, 'Processed Non-zero TRI Data'!$I:$O, 7, FALSE), VLOOKUP($I272, 'Processed Non-zero DMR Data'!$K:$R, 8, FALSE))</f>
        <v>Waste handling, treatment, and disposal - Remediation or Monitoring</v>
      </c>
      <c r="E272" s="34" t="s">
        <v>611</v>
      </c>
      <c r="F272" s="34" t="s">
        <v>612</v>
      </c>
      <c r="G272" s="34" t="s">
        <v>91</v>
      </c>
      <c r="H272" s="34"/>
      <c r="I272" s="105">
        <v>110000846602</v>
      </c>
      <c r="J272" s="33" t="str">
        <f>IFERROR(VLOOKUP($I272, 'Processed Non-zero DMR Data'!$K:$U, 11, FALSE),"")</f>
        <v>LA0108936</v>
      </c>
      <c r="K272" s="33" t="str">
        <f>IFERROR(VLOOKUP($I272, 'Processed Non-zero DMR Data'!$K:$V, 12, FALSE),"Not Reported")</f>
        <v>Francois Coulee-Vermilion River</v>
      </c>
      <c r="L272" s="106">
        <f>IFERROR(VLOOKUP($I272, 'Processed Non-zero DMR Data'!$K:$W, 13, FALSE),"No Reach Code Reported")</f>
        <v>80801030105</v>
      </c>
      <c r="M272" s="107" t="str">
        <f>IFERROR(IFERROR(VLOOKUP(H272, 'Off-site Locations'!$K$3:$O$5, 5, FALSE), VLOOKUP(H272, 'Off-site Locations'!$B$3:$E$4, 4, FALSE)), "No Offsite Transfers")</f>
        <v>No Offsite Transfers</v>
      </c>
      <c r="N272" s="33">
        <f>VLOOKUP($D272, 'COU.OES Summary'!C:E, 3, FALSE)</f>
        <v>365</v>
      </c>
      <c r="O272" s="108">
        <f t="shared" si="56"/>
        <v>0</v>
      </c>
      <c r="P272" s="108">
        <f t="shared" si="57"/>
        <v>9.5877835000000005E-3</v>
      </c>
      <c r="Q272" s="109" cm="1">
        <f t="array" ref="Q272">IFERROR(_xlfn.XLOOKUP(1,  (MAX(IF(I272 = 'Processed Non-zero DMR Data'!$K:$K,'Processed Non-zero DMR Data'!$A:$A)) = 'Processed Non-zero DMR Data'!$A:$A)*('Processed Non-zero DMR Data'!$K:$K = I272),'Processed Non-zero DMR Data'!$T:$T), "N/A- Facility Does Not Report DMRs")</f>
        <v>4.0637557874999997E-3</v>
      </c>
      <c r="R272" s="33">
        <f t="shared" si="67"/>
        <v>1.11335775E-5</v>
      </c>
      <c r="S272" s="33" cm="1">
        <f t="array" ref="S272">IF(COUNTIF('Processed Non-zero DMR Data'!$K:$K,$I272)&gt;0,MEDIAN(IF('Processed Non-zero DMR Data'!$K:$K=I272,'Processed Non-zero DMR Data'!$T:$T)),"N/A - Facility Does Not Report DMRs")</f>
        <v>4.0637557874999997E-3</v>
      </c>
      <c r="T272" s="33">
        <f t="shared" si="68"/>
        <v>1.11335775E-5</v>
      </c>
      <c r="U272" s="33">
        <f>IF(COUNTIF('Processed Non-zero DMR Data'!$K:$K,$I272)&gt;0,_xlfn.MAXIFS('Processed Non-zero DMR Data'!$T:$T,'Processed Non-zero DMR Data'!$K:$K,$I272), "N/A - Facility Does Not Report DMRs")</f>
        <v>9.5877835000000005E-3</v>
      </c>
      <c r="V272" s="33">
        <f t="shared" si="69"/>
        <v>2.62679E-5</v>
      </c>
      <c r="W272" s="110" cm="1">
        <f t="array" ref="W272">IF(COUNTIF('Processed Non-zero DMR Data'!$K:$K,$I272)&gt;0,INDEX('Processed Non-zero DMR Data'!$A:$A,MATCH(1,($I272='Processed Non-zero DMR Data'!$K:$K)*($U272='Processed Non-zero DMR Data'!$T:$T),0)), "N/A - Facility Does Not Report DMRs")</f>
        <v>2022</v>
      </c>
      <c r="X272" s="109" cm="1">
        <f t="array" ref="X272">IFERROR(_xlfn.XLOOKUP(1,  (MAX(IF(H272 = 'Processed Non-zero TRI Data'!$I:$I,'Processed Non-zero TRI Data'!$A:$A)) = 'Processed Non-zero TRI Data'!$A:$A)*('Processed Non-zero TRI Data'!$I:$I = H272), 'Processed Non-zero TRI Data'!$S:$S), "N/A- Facility Does Not Report to TRI")</f>
        <v>0</v>
      </c>
      <c r="Y272" s="33">
        <f t="shared" si="58"/>
        <v>0</v>
      </c>
      <c r="Z272" s="33" t="str" cm="1">
        <f t="array" ref="Z272">IF(COUNTIF('Processed Non-zero TRI Data'!$I:$I,$H272)&gt;0,MEDIAN(IF('Processed Non-zero TRI Data'!$I:$I=H272,'Processed Non-zero TRI Data'!$S:$S)), "N/A - Facility Does Not Report to TRI")</f>
        <v>N/A - Facility Does Not Report to TRI</v>
      </c>
      <c r="AA272" s="33" t="str">
        <f t="shared" si="59"/>
        <v>N/A - Facility Does Not Report to TRI</v>
      </c>
      <c r="AB272" s="33" t="str">
        <f>IF(COUNTIF('Processed Non-zero TRI Data'!$I:$I,$H272)&gt;0,_xlfn.MAXIFS('Processed Non-zero TRI Data'!$S:$S,'Processed Non-zero TRI Data'!$I:$I,$H272), "N/A - Facility Does Not Report to TRI")</f>
        <v>N/A - Facility Does Not Report to TRI</v>
      </c>
      <c r="AC272" s="33" t="str">
        <f t="shared" si="60"/>
        <v>N/A - Facility Does Not Report to TRI</v>
      </c>
      <c r="AD272" s="110" t="str" cm="1">
        <f t="array" ref="AD272">IFERROR(IF(B272 = "TRI Form R", IF(AB272 = 0, "Facility has no on-site water discharges between 2019-2023.",  IF(COUNTIF('Processed Non-zero TRI Data'!$I:$I,$H272)&gt;0,INDEX('Processed Non-zero TRI Data'!$A:$A,MATCH(1,($H272='Processed Non-zero TRI Data'!$I:$I)*(AB272='Processed Non-zero TRI Data'!$S:$S),0)))), VLOOKUP(H272, 'Form A Recent Reporting'!$L:$M, 2, FALSE)), ("N/A - Facility Does Not Report to TRI"))</f>
        <v>N/A - Facility Does Not Report to TRI</v>
      </c>
      <c r="AE272" s="109" cm="1">
        <f t="array" ref="AE272">IFERROR(_xlfn.XLOOKUP(1,  (MAX(IF(H272 = 'Processed Non-zero TRI Data'!$I:$I,'Processed Non-zero TRI Data'!$A:$A)) = 'Processed Non-zero TRI Data'!$A:$A)*('Processed Non-zero TRI Data'!$I:$I = H272), 'Processed Non-zero TRI Data'!$U:$U), "N/A- Facility Does Not Report to TRI")</f>
        <v>0</v>
      </c>
      <c r="AF272" s="33">
        <f t="shared" si="61"/>
        <v>0</v>
      </c>
      <c r="AG272" s="33" t="str" cm="1">
        <f t="array" ref="AG272">IF(COUNTIF('Processed Non-zero TRI Data'!$I:$I,$H272)&gt;0,MEDIAN(IF('Processed Non-zero TRI Data'!$I:$I=H272,'Processed Non-zero TRI Data'!$U:$U)), "N/A - Facility Does Not Report to TRI")</f>
        <v>N/A - Facility Does Not Report to TRI</v>
      </c>
      <c r="AH272" s="33" t="str">
        <f t="shared" si="62"/>
        <v>N/A - Facility Does Not Report to TRI</v>
      </c>
      <c r="AI272" s="33" t="str">
        <f>IF(COUNTIF('Processed Non-zero TRI Data'!$I:$I,$H272)&gt;0,_xlfn.MAXIFS('Processed Non-zero TRI Data'!$U:$U,'Processed Non-zero TRI Data'!$I:$I,$H272), "N/A - Facility Does Not Report to TRI")</f>
        <v>N/A - Facility Does Not Report to TRI</v>
      </c>
      <c r="AJ272" s="33" t="str">
        <f t="shared" si="63"/>
        <v>N/A - Facility Does Not Report to TRI</v>
      </c>
      <c r="AK272" s="110" t="str" cm="1">
        <f t="array" ref="AK272">IF(B272="TRI Form A",AD272,IF(AI272=0,"Facility has no transfers to POTWs between 2019-2023.",IF(COUNTIF('Processed Non-zero TRI Data'!$I:$I,$H272)&gt;0,INDEX('Processed Non-zero TRI Data'!$A:$A,MATCH(1,($H272='Processed Non-zero TRI Data'!$I:$I)*(AI272='Processed Non-zero TRI Data'!$U:$U),0)),"N/A - Facility Does Not Report to TRI")))</f>
        <v>N/A - Facility Does Not Report to TRI</v>
      </c>
      <c r="AL272" s="109" cm="1">
        <f t="array" ref="AL272">IFERROR(_xlfn.XLOOKUP(1,  (MAX(IF(H272 = 'Processed Non-zero TRI Data'!$I$2:$I$23,'Processed Non-zero TRI Data'!$A$2:$A$23)) = 'Processed Non-zero TRI Data'!$A$2:$A$23)*('Processed Non-zero TRI Data'!$I$2:$I$23 = H272), 'Processed Non-zero TRI Data'!$W$2:$W$23), "N/A- Facility Does Not Report to TRI")</f>
        <v>0</v>
      </c>
      <c r="AM272" s="33">
        <f t="shared" si="64"/>
        <v>0</v>
      </c>
      <c r="AN272" s="33" t="str" cm="1">
        <f t="array" ref="AN272">IF(COUNTIF('Processed Non-zero TRI Data'!$I:$I,$H272)&gt;0,MEDIAN(IF('Processed Non-zero TRI Data'!$I:$I=H272,'Processed Non-zero TRI Data'!$W:$W)), "N/A - Facility Does Not Report to TRI")</f>
        <v>N/A - Facility Does Not Report to TRI</v>
      </c>
      <c r="AO272" s="33" t="str">
        <f t="shared" si="65"/>
        <v>N/A - Facility Does Not Report to TRI</v>
      </c>
      <c r="AP272" s="33" t="str">
        <f>IF(COUNTIF('Processed Non-zero TRI Data'!$I:$I,$H272)&gt;0,_xlfn.MAXIFS('Processed Non-zero TRI Data'!$W:$W,'Processed Non-zero TRI Data'!$I:$I,$H272), "N/A - Facility Does Not Report to TRI")</f>
        <v>N/A - Facility Does Not Report to TRI</v>
      </c>
      <c r="AQ272" s="33" t="str">
        <f t="shared" si="66"/>
        <v>N/A - Facility Does Not Report to TRI</v>
      </c>
      <c r="AR272" s="110" t="str" cm="1">
        <f t="array" ref="AR272">IF(B272="TRI Form A",AD272,IF(AP272=0,"Facility has no transfers to non-POTWs between 2019-2023.",IF(COUNTIF('Processed Non-zero TRI Data'!$I:$I,$H272)&gt;0,INDEX('Processed Non-zero TRI Data'!$A:$A,MATCH(1,($H272='Processed Non-zero TRI Data'!$I:$I)*(AP272='Processed Non-zero TRI Data'!$W:$W),0)),"N/A - Facility Does Not Report to TRI")))</f>
        <v>N/A - Facility Does Not Report to TRI</v>
      </c>
    </row>
    <row r="273" spans="1:44" ht="29" x14ac:dyDescent="0.35">
      <c r="A273" s="34">
        <v>270</v>
      </c>
      <c r="B273" s="33" t="str">
        <f>IFERROR("TRI Form "&amp;VLOOKUP(H273,'Processed Non-zero TRI Data'!$I$2:$K$23,3,FALSE),"DMR")</f>
        <v>DMR</v>
      </c>
      <c r="C273" s="33" t="str">
        <f>VLOOKUP($D273, 'COU.OES Summary'!C:D, 2, FALSE)</f>
        <v> </v>
      </c>
      <c r="D273" s="33" t="str">
        <f>IFERROR(VLOOKUP($H273, 'Processed Non-zero TRI Data'!$I:$O, 7, FALSE), VLOOKUP($I273, 'Processed Non-zero DMR Data'!$K:$R, 8, FALSE))</f>
        <v>Waste handling, treatment, and disposal - Remediation or Monitoring</v>
      </c>
      <c r="E273" s="34" t="s">
        <v>613</v>
      </c>
      <c r="F273" s="34" t="s">
        <v>396</v>
      </c>
      <c r="G273" s="34" t="s">
        <v>276</v>
      </c>
      <c r="H273" s="34"/>
      <c r="I273" s="105">
        <v>110055415732</v>
      </c>
      <c r="J273" s="33" t="str">
        <f>IFERROR(VLOOKUP($I273, 'Processed Non-zero DMR Data'!$K:$U, 11, FALSE),"")</f>
        <v>VAG830567</v>
      </c>
      <c r="K273" s="33" t="str">
        <f>IFERROR(VLOOKUP($I273, 'Processed Non-zero DMR Data'!$K:$V, 12, FALSE),"Not Reported")</f>
        <v>Little Hunting Creek-Potomac River</v>
      </c>
      <c r="L273" s="106">
        <f>IFERROR(VLOOKUP($I273, 'Processed Non-zero DMR Data'!$K:$W, 13, FALSE),"No Reach Code Reported")</f>
        <v>20700100307</v>
      </c>
      <c r="M273" s="107" t="str">
        <f>IFERROR(IFERROR(VLOOKUP(H273, 'Off-site Locations'!$K$3:$O$5, 5, FALSE), VLOOKUP(H273, 'Off-site Locations'!$B$3:$E$4, 4, FALSE)), "No Offsite Transfers")</f>
        <v>No Offsite Transfers</v>
      </c>
      <c r="N273" s="33">
        <f>VLOOKUP($D273, 'COU.OES Summary'!C:E, 3, FALSE)</f>
        <v>365</v>
      </c>
      <c r="O273" s="108">
        <f t="shared" si="56"/>
        <v>0</v>
      </c>
      <c r="P273" s="108">
        <f t="shared" si="57"/>
        <v>9.3201840000000005E-3</v>
      </c>
      <c r="Q273" s="109" cm="1">
        <f t="array" ref="Q273">IFERROR(_xlfn.XLOOKUP(1,  (MAX(IF(I273 = 'Processed Non-zero DMR Data'!$K:$K,'Processed Non-zero DMR Data'!$A:$A)) = 'Processed Non-zero DMR Data'!$A:$A)*('Processed Non-zero DMR Data'!$K:$K = I273),'Processed Non-zero DMR Data'!$T:$T), "N/A- Facility Does Not Report DMRs")</f>
        <v>9.3201840000000005E-3</v>
      </c>
      <c r="R273" s="33">
        <f t="shared" si="67"/>
        <v>2.5534750684931507E-5</v>
      </c>
      <c r="S273" s="33" cm="1">
        <f t="array" ref="S273">IF(COUNTIF('Processed Non-zero DMR Data'!$K:$K,$I273)&gt;0,MEDIAN(IF('Processed Non-zero DMR Data'!$K:$K=I273,'Processed Non-zero DMR Data'!$T:$T)),"N/A - Facility Does Not Report DMRs")</f>
        <v>9.3201840000000005E-3</v>
      </c>
      <c r="T273" s="33">
        <f t="shared" si="68"/>
        <v>2.5534750684931507E-5</v>
      </c>
      <c r="U273" s="33">
        <f>IF(COUNTIF('Processed Non-zero DMR Data'!$K:$K,$I273)&gt;0,_xlfn.MAXIFS('Processed Non-zero DMR Data'!$T:$T,'Processed Non-zero DMR Data'!$K:$K,$I273), "N/A - Facility Does Not Report DMRs")</f>
        <v>9.3201840000000005E-3</v>
      </c>
      <c r="V273" s="33">
        <f t="shared" si="69"/>
        <v>2.5534750684931507E-5</v>
      </c>
      <c r="W273" s="110" cm="1">
        <f t="array" ref="W273">IF(COUNTIF('Processed Non-zero DMR Data'!$K:$K,$I273)&gt;0,INDEX('Processed Non-zero DMR Data'!$A:$A,MATCH(1,($I273='Processed Non-zero DMR Data'!$K:$K)*($U273='Processed Non-zero DMR Data'!$T:$T),0)), "N/A - Facility Does Not Report DMRs")</f>
        <v>2021</v>
      </c>
      <c r="X273" s="109" cm="1">
        <f t="array" ref="X273">IFERROR(_xlfn.XLOOKUP(1,  (MAX(IF(H273 = 'Processed Non-zero TRI Data'!$I:$I,'Processed Non-zero TRI Data'!$A:$A)) = 'Processed Non-zero TRI Data'!$A:$A)*('Processed Non-zero TRI Data'!$I:$I = H273), 'Processed Non-zero TRI Data'!$S:$S), "N/A- Facility Does Not Report to TRI")</f>
        <v>0</v>
      </c>
      <c r="Y273" s="33">
        <f t="shared" si="58"/>
        <v>0</v>
      </c>
      <c r="Z273" s="33" t="str" cm="1">
        <f t="array" ref="Z273">IF(COUNTIF('Processed Non-zero TRI Data'!$I:$I,$H273)&gt;0,MEDIAN(IF('Processed Non-zero TRI Data'!$I:$I=H273,'Processed Non-zero TRI Data'!$S:$S)), "N/A - Facility Does Not Report to TRI")</f>
        <v>N/A - Facility Does Not Report to TRI</v>
      </c>
      <c r="AA273" s="33" t="str">
        <f t="shared" si="59"/>
        <v>N/A - Facility Does Not Report to TRI</v>
      </c>
      <c r="AB273" s="33" t="str">
        <f>IF(COUNTIF('Processed Non-zero TRI Data'!$I:$I,$H273)&gt;0,_xlfn.MAXIFS('Processed Non-zero TRI Data'!$S:$S,'Processed Non-zero TRI Data'!$I:$I,$H273), "N/A - Facility Does Not Report to TRI")</f>
        <v>N/A - Facility Does Not Report to TRI</v>
      </c>
      <c r="AC273" s="33" t="str">
        <f t="shared" si="60"/>
        <v>N/A - Facility Does Not Report to TRI</v>
      </c>
      <c r="AD273" s="110" t="str" cm="1">
        <f t="array" ref="AD273">IFERROR(IF(B273 = "TRI Form R", IF(AB273 = 0, "Facility has no on-site water discharges between 2019-2023.",  IF(COUNTIF('Processed Non-zero TRI Data'!$I:$I,$H273)&gt;0,INDEX('Processed Non-zero TRI Data'!$A:$A,MATCH(1,($H273='Processed Non-zero TRI Data'!$I:$I)*(AB273='Processed Non-zero TRI Data'!$S:$S),0)))), VLOOKUP(H273, 'Form A Recent Reporting'!$L:$M, 2, FALSE)), ("N/A - Facility Does Not Report to TRI"))</f>
        <v>N/A - Facility Does Not Report to TRI</v>
      </c>
      <c r="AE273" s="109" cm="1">
        <f t="array" ref="AE273">IFERROR(_xlfn.XLOOKUP(1,  (MAX(IF(H273 = 'Processed Non-zero TRI Data'!$I:$I,'Processed Non-zero TRI Data'!$A:$A)) = 'Processed Non-zero TRI Data'!$A:$A)*('Processed Non-zero TRI Data'!$I:$I = H273), 'Processed Non-zero TRI Data'!$U:$U), "N/A- Facility Does Not Report to TRI")</f>
        <v>0</v>
      </c>
      <c r="AF273" s="33">
        <f t="shared" si="61"/>
        <v>0</v>
      </c>
      <c r="AG273" s="33" t="str" cm="1">
        <f t="array" ref="AG273">IF(COUNTIF('Processed Non-zero TRI Data'!$I:$I,$H273)&gt;0,MEDIAN(IF('Processed Non-zero TRI Data'!$I:$I=H273,'Processed Non-zero TRI Data'!$U:$U)), "N/A - Facility Does Not Report to TRI")</f>
        <v>N/A - Facility Does Not Report to TRI</v>
      </c>
      <c r="AH273" s="33" t="str">
        <f t="shared" si="62"/>
        <v>N/A - Facility Does Not Report to TRI</v>
      </c>
      <c r="AI273" s="33" t="str">
        <f>IF(COUNTIF('Processed Non-zero TRI Data'!$I:$I,$H273)&gt;0,_xlfn.MAXIFS('Processed Non-zero TRI Data'!$U:$U,'Processed Non-zero TRI Data'!$I:$I,$H273), "N/A - Facility Does Not Report to TRI")</f>
        <v>N/A - Facility Does Not Report to TRI</v>
      </c>
      <c r="AJ273" s="33" t="str">
        <f t="shared" si="63"/>
        <v>N/A - Facility Does Not Report to TRI</v>
      </c>
      <c r="AK273" s="110" t="str" cm="1">
        <f t="array" ref="AK273">IF(B273="TRI Form A",AD273,IF(AI273=0,"Facility has no transfers to POTWs between 2019-2023.",IF(COUNTIF('Processed Non-zero TRI Data'!$I:$I,$H273)&gt;0,INDEX('Processed Non-zero TRI Data'!$A:$A,MATCH(1,($H273='Processed Non-zero TRI Data'!$I:$I)*(AI273='Processed Non-zero TRI Data'!$U:$U),0)),"N/A - Facility Does Not Report to TRI")))</f>
        <v>N/A - Facility Does Not Report to TRI</v>
      </c>
      <c r="AL273" s="109" cm="1">
        <f t="array" ref="AL273">IFERROR(_xlfn.XLOOKUP(1,  (MAX(IF(H273 = 'Processed Non-zero TRI Data'!$I$2:$I$23,'Processed Non-zero TRI Data'!$A$2:$A$23)) = 'Processed Non-zero TRI Data'!$A$2:$A$23)*('Processed Non-zero TRI Data'!$I$2:$I$23 = H273), 'Processed Non-zero TRI Data'!$W$2:$W$23), "N/A- Facility Does Not Report to TRI")</f>
        <v>0</v>
      </c>
      <c r="AM273" s="33">
        <f t="shared" si="64"/>
        <v>0</v>
      </c>
      <c r="AN273" s="33" t="str" cm="1">
        <f t="array" ref="AN273">IF(COUNTIF('Processed Non-zero TRI Data'!$I:$I,$H273)&gt;0,MEDIAN(IF('Processed Non-zero TRI Data'!$I:$I=H273,'Processed Non-zero TRI Data'!$W:$W)), "N/A - Facility Does Not Report to TRI")</f>
        <v>N/A - Facility Does Not Report to TRI</v>
      </c>
      <c r="AO273" s="33" t="str">
        <f t="shared" si="65"/>
        <v>N/A - Facility Does Not Report to TRI</v>
      </c>
      <c r="AP273" s="33" t="str">
        <f>IF(COUNTIF('Processed Non-zero TRI Data'!$I:$I,$H273)&gt;0,_xlfn.MAXIFS('Processed Non-zero TRI Data'!$W:$W,'Processed Non-zero TRI Data'!$I:$I,$H273), "N/A - Facility Does Not Report to TRI")</f>
        <v>N/A - Facility Does Not Report to TRI</v>
      </c>
      <c r="AQ273" s="33" t="str">
        <f t="shared" si="66"/>
        <v>N/A - Facility Does Not Report to TRI</v>
      </c>
      <c r="AR273" s="110" t="str" cm="1">
        <f t="array" ref="AR273">IF(B273="TRI Form A",AD273,IF(AP273=0,"Facility has no transfers to non-POTWs between 2019-2023.",IF(COUNTIF('Processed Non-zero TRI Data'!$I:$I,$H273)&gt;0,INDEX('Processed Non-zero TRI Data'!$A:$A,MATCH(1,($H273='Processed Non-zero TRI Data'!$I:$I)*(AP273='Processed Non-zero TRI Data'!$W:$W),0)),"N/A - Facility Does Not Report to TRI")))</f>
        <v>N/A - Facility Does Not Report to TRI</v>
      </c>
    </row>
    <row r="274" spans="1:44" ht="29" x14ac:dyDescent="0.35">
      <c r="A274" s="34">
        <v>271</v>
      </c>
      <c r="B274" s="33" t="str">
        <f>IFERROR("TRI Form "&amp;VLOOKUP(H274,'Processed Non-zero TRI Data'!$I$2:$K$23,3,FALSE),"DMR")</f>
        <v>DMR</v>
      </c>
      <c r="C274" s="33" t="str">
        <f>VLOOKUP($D274, 'COU.OES Summary'!C:D, 2, FALSE)</f>
        <v> </v>
      </c>
      <c r="D274" s="33" t="str">
        <f>IFERROR(VLOOKUP($H274, 'Processed Non-zero TRI Data'!$I:$O, 7, FALSE), VLOOKUP($I274, 'Processed Non-zero DMR Data'!$K:$R, 8, FALSE))</f>
        <v>Waste handling, treatment, and disposal - Landfill</v>
      </c>
      <c r="E274" s="34" t="s">
        <v>614</v>
      </c>
      <c r="F274" s="34" t="s">
        <v>615</v>
      </c>
      <c r="G274" s="34" t="s">
        <v>276</v>
      </c>
      <c r="H274" s="34"/>
      <c r="I274" s="105">
        <v>110054919406</v>
      </c>
      <c r="J274" s="33" t="str">
        <f>IFERROR(VLOOKUP($I274, 'Processed Non-zero DMR Data'!$K:$U, 11, FALSE),"")</f>
        <v>VAG830429</v>
      </c>
      <c r="K274" s="33" t="str">
        <f>IFERROR(VLOOKUP($I274, 'Processed Non-zero DMR Data'!$K:$V, 12, FALSE),"Not Reported")</f>
        <v>Brown Hollow Run-South Fork Shenandoah River</v>
      </c>
      <c r="L274" s="106">
        <f>IFERROR(VLOOKUP($I274, 'Processed Non-zero DMR Data'!$K:$W, 13, FALSE),"No Reach Code Reported")</f>
        <v>20700051002</v>
      </c>
      <c r="M274" s="107" t="str">
        <f>IFERROR(IFERROR(VLOOKUP(H274, 'Off-site Locations'!$K$3:$O$5, 5, FALSE), VLOOKUP(H274, 'Off-site Locations'!$B$3:$E$4, 4, FALSE)), "No Offsite Transfers")</f>
        <v>No Offsite Transfers</v>
      </c>
      <c r="N274" s="33">
        <f>VLOOKUP($D274, 'COU.OES Summary'!C:E, 3, FALSE)</f>
        <v>365</v>
      </c>
      <c r="O274" s="108">
        <f t="shared" si="56"/>
        <v>0</v>
      </c>
      <c r="P274" s="108">
        <f t="shared" si="57"/>
        <v>9.2350309624999998E-3</v>
      </c>
      <c r="Q274" s="109" cm="1">
        <f t="array" ref="Q274">IFERROR(_xlfn.XLOOKUP(1,  (MAX(IF(I274 = 'Processed Non-zero DMR Data'!$K:$K,'Processed Non-zero DMR Data'!$A:$A)) = 'Processed Non-zero DMR Data'!$A:$A)*('Processed Non-zero DMR Data'!$K:$K = I274),'Processed Non-zero DMR Data'!$T:$T), "N/A- Facility Does Not Report DMRs")</f>
        <v>9.2350309624999998E-3</v>
      </c>
      <c r="R274" s="33">
        <f t="shared" si="67"/>
        <v>2.5301454691780823E-5</v>
      </c>
      <c r="S274" s="33" cm="1">
        <f t="array" ref="S274">IF(COUNTIF('Processed Non-zero DMR Data'!$K:$K,$I274)&gt;0,MEDIAN(IF('Processed Non-zero DMR Data'!$K:$K=I274,'Processed Non-zero DMR Data'!$T:$T)),"N/A - Facility Does Not Report DMRs")</f>
        <v>1.301522747199E-3</v>
      </c>
      <c r="T274" s="33">
        <f t="shared" si="68"/>
        <v>3.5658157457506847E-6</v>
      </c>
      <c r="U274" s="33">
        <f>IF(COUNTIF('Processed Non-zero DMR Data'!$K:$K,$I274)&gt;0,_xlfn.MAXIFS('Processed Non-zero DMR Data'!$T:$T,'Processed Non-zero DMR Data'!$K:$K,$I274), "N/A - Facility Does Not Report DMRs")</f>
        <v>9.2350309624999998E-3</v>
      </c>
      <c r="V274" s="33">
        <f t="shared" si="69"/>
        <v>2.5301454691780823E-5</v>
      </c>
      <c r="W274" s="110" cm="1">
        <f t="array" ref="W274">IF(COUNTIF('Processed Non-zero DMR Data'!$K:$K,$I274)&gt;0,INDEX('Processed Non-zero DMR Data'!$A:$A,MATCH(1,($I274='Processed Non-zero DMR Data'!$K:$K)*($U274='Processed Non-zero DMR Data'!$T:$T),0)), "N/A - Facility Does Not Report DMRs")</f>
        <v>2023</v>
      </c>
      <c r="X274" s="109" cm="1">
        <f t="array" ref="X274">IFERROR(_xlfn.XLOOKUP(1,  (MAX(IF(H274 = 'Processed Non-zero TRI Data'!$I:$I,'Processed Non-zero TRI Data'!$A:$A)) = 'Processed Non-zero TRI Data'!$A:$A)*('Processed Non-zero TRI Data'!$I:$I = H274), 'Processed Non-zero TRI Data'!$S:$S), "N/A- Facility Does Not Report to TRI")</f>
        <v>0</v>
      </c>
      <c r="Y274" s="33">
        <f t="shared" si="58"/>
        <v>0</v>
      </c>
      <c r="Z274" s="33" t="str" cm="1">
        <f t="array" ref="Z274">IF(COUNTIF('Processed Non-zero TRI Data'!$I:$I,$H274)&gt;0,MEDIAN(IF('Processed Non-zero TRI Data'!$I:$I=H274,'Processed Non-zero TRI Data'!$S:$S)), "N/A - Facility Does Not Report to TRI")</f>
        <v>N/A - Facility Does Not Report to TRI</v>
      </c>
      <c r="AA274" s="33" t="str">
        <f t="shared" si="59"/>
        <v>N/A - Facility Does Not Report to TRI</v>
      </c>
      <c r="AB274" s="33" t="str">
        <f>IF(COUNTIF('Processed Non-zero TRI Data'!$I:$I,$H274)&gt;0,_xlfn.MAXIFS('Processed Non-zero TRI Data'!$S:$S,'Processed Non-zero TRI Data'!$I:$I,$H274), "N/A - Facility Does Not Report to TRI")</f>
        <v>N/A - Facility Does Not Report to TRI</v>
      </c>
      <c r="AC274" s="33" t="str">
        <f t="shared" si="60"/>
        <v>N/A - Facility Does Not Report to TRI</v>
      </c>
      <c r="AD274" s="110" t="str" cm="1">
        <f t="array" ref="AD274">IFERROR(IF(B274 = "TRI Form R", IF(AB274 = 0, "Facility has no on-site water discharges between 2019-2023.",  IF(COUNTIF('Processed Non-zero TRI Data'!$I:$I,$H274)&gt;0,INDEX('Processed Non-zero TRI Data'!$A:$A,MATCH(1,($H274='Processed Non-zero TRI Data'!$I:$I)*(AB274='Processed Non-zero TRI Data'!$S:$S),0)))), VLOOKUP(H274, 'Form A Recent Reporting'!$L:$M, 2, FALSE)), ("N/A - Facility Does Not Report to TRI"))</f>
        <v>N/A - Facility Does Not Report to TRI</v>
      </c>
      <c r="AE274" s="109" cm="1">
        <f t="array" ref="AE274">IFERROR(_xlfn.XLOOKUP(1,  (MAX(IF(H274 = 'Processed Non-zero TRI Data'!$I:$I,'Processed Non-zero TRI Data'!$A:$A)) = 'Processed Non-zero TRI Data'!$A:$A)*('Processed Non-zero TRI Data'!$I:$I = H274), 'Processed Non-zero TRI Data'!$U:$U), "N/A- Facility Does Not Report to TRI")</f>
        <v>0</v>
      </c>
      <c r="AF274" s="33">
        <f t="shared" si="61"/>
        <v>0</v>
      </c>
      <c r="AG274" s="33" t="str" cm="1">
        <f t="array" ref="AG274">IF(COUNTIF('Processed Non-zero TRI Data'!$I:$I,$H274)&gt;0,MEDIAN(IF('Processed Non-zero TRI Data'!$I:$I=H274,'Processed Non-zero TRI Data'!$U:$U)), "N/A - Facility Does Not Report to TRI")</f>
        <v>N/A - Facility Does Not Report to TRI</v>
      </c>
      <c r="AH274" s="33" t="str">
        <f t="shared" si="62"/>
        <v>N/A - Facility Does Not Report to TRI</v>
      </c>
      <c r="AI274" s="33" t="str">
        <f>IF(COUNTIF('Processed Non-zero TRI Data'!$I:$I,$H274)&gt;0,_xlfn.MAXIFS('Processed Non-zero TRI Data'!$U:$U,'Processed Non-zero TRI Data'!$I:$I,$H274), "N/A - Facility Does Not Report to TRI")</f>
        <v>N/A - Facility Does Not Report to TRI</v>
      </c>
      <c r="AJ274" s="33" t="str">
        <f t="shared" si="63"/>
        <v>N/A - Facility Does Not Report to TRI</v>
      </c>
      <c r="AK274" s="110" t="str" cm="1">
        <f t="array" ref="AK274">IF(B274="TRI Form A",AD274,IF(AI274=0,"Facility has no transfers to POTWs between 2019-2023.",IF(COUNTIF('Processed Non-zero TRI Data'!$I:$I,$H274)&gt;0,INDEX('Processed Non-zero TRI Data'!$A:$A,MATCH(1,($H274='Processed Non-zero TRI Data'!$I:$I)*(AI274='Processed Non-zero TRI Data'!$U:$U),0)),"N/A - Facility Does Not Report to TRI")))</f>
        <v>N/A - Facility Does Not Report to TRI</v>
      </c>
      <c r="AL274" s="109" cm="1">
        <f t="array" ref="AL274">IFERROR(_xlfn.XLOOKUP(1,  (MAX(IF(H274 = 'Processed Non-zero TRI Data'!$I$2:$I$23,'Processed Non-zero TRI Data'!$A$2:$A$23)) = 'Processed Non-zero TRI Data'!$A$2:$A$23)*('Processed Non-zero TRI Data'!$I$2:$I$23 = H274), 'Processed Non-zero TRI Data'!$W$2:$W$23), "N/A- Facility Does Not Report to TRI")</f>
        <v>0</v>
      </c>
      <c r="AM274" s="33">
        <f t="shared" si="64"/>
        <v>0</v>
      </c>
      <c r="AN274" s="33" t="str" cm="1">
        <f t="array" ref="AN274">IF(COUNTIF('Processed Non-zero TRI Data'!$I:$I,$H274)&gt;0,MEDIAN(IF('Processed Non-zero TRI Data'!$I:$I=H274,'Processed Non-zero TRI Data'!$W:$W)), "N/A - Facility Does Not Report to TRI")</f>
        <v>N/A - Facility Does Not Report to TRI</v>
      </c>
      <c r="AO274" s="33" t="str">
        <f t="shared" si="65"/>
        <v>N/A - Facility Does Not Report to TRI</v>
      </c>
      <c r="AP274" s="33" t="str">
        <f>IF(COUNTIF('Processed Non-zero TRI Data'!$I:$I,$H274)&gt;0,_xlfn.MAXIFS('Processed Non-zero TRI Data'!$W:$W,'Processed Non-zero TRI Data'!$I:$I,$H274), "N/A - Facility Does Not Report to TRI")</f>
        <v>N/A - Facility Does Not Report to TRI</v>
      </c>
      <c r="AQ274" s="33" t="str">
        <f t="shared" si="66"/>
        <v>N/A - Facility Does Not Report to TRI</v>
      </c>
      <c r="AR274" s="110" t="str" cm="1">
        <f t="array" ref="AR274">IF(B274="TRI Form A",AD274,IF(AP274=0,"Facility has no transfers to non-POTWs between 2019-2023.",IF(COUNTIF('Processed Non-zero TRI Data'!$I:$I,$H274)&gt;0,INDEX('Processed Non-zero TRI Data'!$A:$A,MATCH(1,($H274='Processed Non-zero TRI Data'!$I:$I)*(AP274='Processed Non-zero TRI Data'!$W:$W),0)),"N/A - Facility Does Not Report to TRI")))</f>
        <v>N/A - Facility Does Not Report to TRI</v>
      </c>
    </row>
    <row r="275" spans="1:44" ht="29" x14ac:dyDescent="0.35">
      <c r="A275" s="34">
        <v>272</v>
      </c>
      <c r="B275" s="33" t="str">
        <f>IFERROR("TRI Form "&amp;VLOOKUP(H275,'Processed Non-zero TRI Data'!$I$2:$K$23,3,FALSE),"DMR")</f>
        <v>DMR</v>
      </c>
      <c r="C275" s="33" t="str">
        <f>VLOOKUP($D275, 'COU.OES Summary'!C:D, 2, FALSE)</f>
        <v> </v>
      </c>
      <c r="D275" s="33" t="str">
        <f>IFERROR(VLOOKUP($H275, 'Processed Non-zero TRI Data'!$I:$O, 7, FALSE), VLOOKUP($I275, 'Processed Non-zero DMR Data'!$K:$R, 8, FALSE))</f>
        <v>Waste handling, treatment, and disposal - Remediation or Monitoring</v>
      </c>
      <c r="E275" s="34" t="s">
        <v>616</v>
      </c>
      <c r="F275" s="34" t="s">
        <v>275</v>
      </c>
      <c r="G275" s="34" t="s">
        <v>276</v>
      </c>
      <c r="H275" s="34"/>
      <c r="I275" s="105">
        <v>110070546877</v>
      </c>
      <c r="J275" s="33" t="str">
        <f>IFERROR(VLOOKUP($I275, 'Processed Non-zero DMR Data'!$K:$U, 11, FALSE),"")</f>
        <v>VAG830321</v>
      </c>
      <c r="K275" s="33" t="str">
        <f>IFERROR(VLOOKUP($I275, 'Processed Non-zero DMR Data'!$K:$V, 12, FALSE),"Not Reported")</f>
        <v>Fourmile Run-Potomac River</v>
      </c>
      <c r="L275" s="106">
        <f>IFERROR(VLOOKUP($I275, 'Processed Non-zero DMR Data'!$K:$W, 13, FALSE),"No Reach Code Reported")</f>
        <v>20700100301</v>
      </c>
      <c r="M275" s="107" t="str">
        <f>IFERROR(IFERROR(VLOOKUP(H275, 'Off-site Locations'!$K$3:$O$5, 5, FALSE), VLOOKUP(H275, 'Off-site Locations'!$B$3:$E$4, 4, FALSE)), "No Offsite Transfers")</f>
        <v>No Offsite Transfers</v>
      </c>
      <c r="N275" s="33">
        <f>VLOOKUP($D275, 'COU.OES Summary'!C:E, 3, FALSE)</f>
        <v>365</v>
      </c>
      <c r="O275" s="108">
        <f t="shared" si="56"/>
        <v>0</v>
      </c>
      <c r="P275" s="108">
        <f t="shared" si="57"/>
        <v>8.9960658580500001E-3</v>
      </c>
      <c r="Q275" s="109" cm="1">
        <f t="array" ref="Q275">IFERROR(_xlfn.XLOOKUP(1,  (MAX(IF(I275 = 'Processed Non-zero DMR Data'!$K:$K,'Processed Non-zero DMR Data'!$A:$A)) = 'Processed Non-zero DMR Data'!$A:$A)*('Processed Non-zero DMR Data'!$K:$K = I275),'Processed Non-zero DMR Data'!$T:$T), "N/A- Facility Does Not Report DMRs")</f>
        <v>8.9960658580500001E-3</v>
      </c>
      <c r="R275" s="33">
        <f t="shared" si="67"/>
        <v>2.4646755775479452E-5</v>
      </c>
      <c r="S275" s="33" cm="1">
        <f t="array" ref="S275">IF(COUNTIF('Processed Non-zero DMR Data'!$K:$K,$I275)&gt;0,MEDIAN(IF('Processed Non-zero DMR Data'!$K:$K=I275,'Processed Non-zero DMR Data'!$T:$T)),"N/A - Facility Does Not Report DMRs")</f>
        <v>4.4856072849999999E-4</v>
      </c>
      <c r="T275" s="33">
        <f t="shared" si="68"/>
        <v>1.2289335027397259E-6</v>
      </c>
      <c r="U275" s="33">
        <f>IF(COUNTIF('Processed Non-zero DMR Data'!$K:$K,$I275)&gt;0,_xlfn.MAXIFS('Processed Non-zero DMR Data'!$T:$T,'Processed Non-zero DMR Data'!$K:$K,$I275), "N/A - Facility Does Not Report DMRs")</f>
        <v>8.9960658580500001E-3</v>
      </c>
      <c r="V275" s="33">
        <f t="shared" si="69"/>
        <v>2.4646755775479452E-5</v>
      </c>
      <c r="W275" s="110" cm="1">
        <f t="array" ref="W275">IF(COUNTIF('Processed Non-zero DMR Data'!$K:$K,$I275)&gt;0,INDEX('Processed Non-zero DMR Data'!$A:$A,MATCH(1,($I275='Processed Non-zero DMR Data'!$K:$K)*($U275='Processed Non-zero DMR Data'!$T:$T),0)), "N/A - Facility Does Not Report DMRs")</f>
        <v>2023</v>
      </c>
      <c r="X275" s="109" cm="1">
        <f t="array" ref="X275">IFERROR(_xlfn.XLOOKUP(1,  (MAX(IF(H275 = 'Processed Non-zero TRI Data'!$I:$I,'Processed Non-zero TRI Data'!$A:$A)) = 'Processed Non-zero TRI Data'!$A:$A)*('Processed Non-zero TRI Data'!$I:$I = H275), 'Processed Non-zero TRI Data'!$S:$S), "N/A- Facility Does Not Report to TRI")</f>
        <v>0</v>
      </c>
      <c r="Y275" s="33">
        <f t="shared" si="58"/>
        <v>0</v>
      </c>
      <c r="Z275" s="33" t="str" cm="1">
        <f t="array" ref="Z275">IF(COUNTIF('Processed Non-zero TRI Data'!$I:$I,$H275)&gt;0,MEDIAN(IF('Processed Non-zero TRI Data'!$I:$I=H275,'Processed Non-zero TRI Data'!$S:$S)), "N/A - Facility Does Not Report to TRI")</f>
        <v>N/A - Facility Does Not Report to TRI</v>
      </c>
      <c r="AA275" s="33" t="str">
        <f t="shared" si="59"/>
        <v>N/A - Facility Does Not Report to TRI</v>
      </c>
      <c r="AB275" s="33" t="str">
        <f>IF(COUNTIF('Processed Non-zero TRI Data'!$I:$I,$H275)&gt;0,_xlfn.MAXIFS('Processed Non-zero TRI Data'!$S:$S,'Processed Non-zero TRI Data'!$I:$I,$H275), "N/A - Facility Does Not Report to TRI")</f>
        <v>N/A - Facility Does Not Report to TRI</v>
      </c>
      <c r="AC275" s="33" t="str">
        <f t="shared" si="60"/>
        <v>N/A - Facility Does Not Report to TRI</v>
      </c>
      <c r="AD275" s="110" t="str" cm="1">
        <f t="array" ref="AD275">IFERROR(IF(B275 = "TRI Form R", IF(AB275 = 0, "Facility has no on-site water discharges between 2019-2023.",  IF(COUNTIF('Processed Non-zero TRI Data'!$I:$I,$H275)&gt;0,INDEX('Processed Non-zero TRI Data'!$A:$A,MATCH(1,($H275='Processed Non-zero TRI Data'!$I:$I)*(AB275='Processed Non-zero TRI Data'!$S:$S),0)))), VLOOKUP(H275, 'Form A Recent Reporting'!$L:$M, 2, FALSE)), ("N/A - Facility Does Not Report to TRI"))</f>
        <v>N/A - Facility Does Not Report to TRI</v>
      </c>
      <c r="AE275" s="109" cm="1">
        <f t="array" ref="AE275">IFERROR(_xlfn.XLOOKUP(1,  (MAX(IF(H275 = 'Processed Non-zero TRI Data'!$I:$I,'Processed Non-zero TRI Data'!$A:$A)) = 'Processed Non-zero TRI Data'!$A:$A)*('Processed Non-zero TRI Data'!$I:$I = H275), 'Processed Non-zero TRI Data'!$U:$U), "N/A- Facility Does Not Report to TRI")</f>
        <v>0</v>
      </c>
      <c r="AF275" s="33">
        <f t="shared" si="61"/>
        <v>0</v>
      </c>
      <c r="AG275" s="33" t="str" cm="1">
        <f t="array" ref="AG275">IF(COUNTIF('Processed Non-zero TRI Data'!$I:$I,$H275)&gt;0,MEDIAN(IF('Processed Non-zero TRI Data'!$I:$I=H275,'Processed Non-zero TRI Data'!$U:$U)), "N/A - Facility Does Not Report to TRI")</f>
        <v>N/A - Facility Does Not Report to TRI</v>
      </c>
      <c r="AH275" s="33" t="str">
        <f t="shared" si="62"/>
        <v>N/A - Facility Does Not Report to TRI</v>
      </c>
      <c r="AI275" s="33" t="str">
        <f>IF(COUNTIF('Processed Non-zero TRI Data'!$I:$I,$H275)&gt;0,_xlfn.MAXIFS('Processed Non-zero TRI Data'!$U:$U,'Processed Non-zero TRI Data'!$I:$I,$H275), "N/A - Facility Does Not Report to TRI")</f>
        <v>N/A - Facility Does Not Report to TRI</v>
      </c>
      <c r="AJ275" s="33" t="str">
        <f t="shared" si="63"/>
        <v>N/A - Facility Does Not Report to TRI</v>
      </c>
      <c r="AK275" s="110" t="str" cm="1">
        <f t="array" ref="AK275">IF(B275="TRI Form A",AD275,IF(AI275=0,"Facility has no transfers to POTWs between 2019-2023.",IF(COUNTIF('Processed Non-zero TRI Data'!$I:$I,$H275)&gt;0,INDEX('Processed Non-zero TRI Data'!$A:$A,MATCH(1,($H275='Processed Non-zero TRI Data'!$I:$I)*(AI275='Processed Non-zero TRI Data'!$U:$U),0)),"N/A - Facility Does Not Report to TRI")))</f>
        <v>N/A - Facility Does Not Report to TRI</v>
      </c>
      <c r="AL275" s="109" cm="1">
        <f t="array" ref="AL275">IFERROR(_xlfn.XLOOKUP(1,  (MAX(IF(H275 = 'Processed Non-zero TRI Data'!$I$2:$I$23,'Processed Non-zero TRI Data'!$A$2:$A$23)) = 'Processed Non-zero TRI Data'!$A$2:$A$23)*('Processed Non-zero TRI Data'!$I$2:$I$23 = H275), 'Processed Non-zero TRI Data'!$W$2:$W$23), "N/A- Facility Does Not Report to TRI")</f>
        <v>0</v>
      </c>
      <c r="AM275" s="33">
        <f t="shared" si="64"/>
        <v>0</v>
      </c>
      <c r="AN275" s="33" t="str" cm="1">
        <f t="array" ref="AN275">IF(COUNTIF('Processed Non-zero TRI Data'!$I:$I,$H275)&gt;0,MEDIAN(IF('Processed Non-zero TRI Data'!$I:$I=H275,'Processed Non-zero TRI Data'!$W:$W)), "N/A - Facility Does Not Report to TRI")</f>
        <v>N/A - Facility Does Not Report to TRI</v>
      </c>
      <c r="AO275" s="33" t="str">
        <f t="shared" si="65"/>
        <v>N/A - Facility Does Not Report to TRI</v>
      </c>
      <c r="AP275" s="33" t="str">
        <f>IF(COUNTIF('Processed Non-zero TRI Data'!$I:$I,$H275)&gt;0,_xlfn.MAXIFS('Processed Non-zero TRI Data'!$W:$W,'Processed Non-zero TRI Data'!$I:$I,$H275), "N/A - Facility Does Not Report to TRI")</f>
        <v>N/A - Facility Does Not Report to TRI</v>
      </c>
      <c r="AQ275" s="33" t="str">
        <f t="shared" si="66"/>
        <v>N/A - Facility Does Not Report to TRI</v>
      </c>
      <c r="AR275" s="110" t="str" cm="1">
        <f t="array" ref="AR275">IF(B275="TRI Form A",AD275,IF(AP275=0,"Facility has no transfers to non-POTWs between 2019-2023.",IF(COUNTIF('Processed Non-zero TRI Data'!$I:$I,$H275)&gt;0,INDEX('Processed Non-zero TRI Data'!$A:$A,MATCH(1,($H275='Processed Non-zero TRI Data'!$I:$I)*(AP275='Processed Non-zero TRI Data'!$W:$W),0)),"N/A - Facility Does Not Report to TRI")))</f>
        <v>N/A - Facility Does Not Report to TRI</v>
      </c>
    </row>
    <row r="276" spans="1:44" ht="29" x14ac:dyDescent="0.35">
      <c r="A276" s="34">
        <v>273</v>
      </c>
      <c r="B276" s="33" t="str">
        <f>IFERROR("TRI Form "&amp;VLOOKUP(H276,'Processed Non-zero TRI Data'!$I$2:$K$23,3,FALSE),"DMR")</f>
        <v>DMR</v>
      </c>
      <c r="C276" s="33" t="str">
        <f>VLOOKUP($D276, 'COU.OES Summary'!C:D, 2, FALSE)</f>
        <v> </v>
      </c>
      <c r="D276" s="33" t="str">
        <f>IFERROR(VLOOKUP($H276, 'Processed Non-zero TRI Data'!$I:$O, 7, FALSE), VLOOKUP($I276, 'Processed Non-zero DMR Data'!$K:$R, 8, FALSE))</f>
        <v>Waste handling, treatment, and disposal - Remediation or Monitoring</v>
      </c>
      <c r="E276" s="34" t="s">
        <v>617</v>
      </c>
      <c r="F276" s="34" t="s">
        <v>618</v>
      </c>
      <c r="G276" s="34" t="s">
        <v>102</v>
      </c>
      <c r="H276" s="34"/>
      <c r="I276" s="105">
        <v>110017217545</v>
      </c>
      <c r="J276" s="33" t="str">
        <f>IFERROR(VLOOKUP($I276, 'Processed Non-zero DMR Data'!$K:$U, 11, FALSE),"")</f>
        <v>CA0064165</v>
      </c>
      <c r="K276" s="33" t="str">
        <f>IFERROR(VLOOKUP($I276, 'Processed Non-zero DMR Data'!$K:$V, 12, FALSE),"Not Reported")</f>
        <v>Long Beach Harbor</v>
      </c>
      <c r="L276" s="106">
        <f>IFERROR(VLOOKUP($I276, 'Processed Non-zero DMR Data'!$K:$W, 13, FALSE),"No Reach Code Reported")</f>
        <v>180701060701</v>
      </c>
      <c r="M276" s="107" t="str">
        <f>IFERROR(IFERROR(VLOOKUP(H276, 'Off-site Locations'!$K$3:$O$5, 5, FALSE), VLOOKUP(H276, 'Off-site Locations'!$B$3:$E$4, 4, FALSE)), "No Offsite Transfers")</f>
        <v>No Offsite Transfers</v>
      </c>
      <c r="N276" s="33">
        <f>VLOOKUP($D276, 'COU.OES Summary'!C:E, 3, FALSE)</f>
        <v>365</v>
      </c>
      <c r="O276" s="108">
        <f t="shared" si="56"/>
        <v>0</v>
      </c>
      <c r="P276" s="108">
        <f t="shared" si="57"/>
        <v>8.5171016250000006E-3</v>
      </c>
      <c r="Q276" s="109" cm="1">
        <f t="array" ref="Q276">IFERROR(_xlfn.XLOOKUP(1,  (MAX(IF(I276 = 'Processed Non-zero DMR Data'!$K:$K,'Processed Non-zero DMR Data'!$A:$A)) = 'Processed Non-zero DMR Data'!$A:$A)*('Processed Non-zero DMR Data'!$K:$K = I276),'Processed Non-zero DMR Data'!$T:$T), "N/A- Facility Does Not Report DMRs")</f>
        <v>8.5171016250000006E-3</v>
      </c>
      <c r="R276" s="33">
        <f t="shared" si="67"/>
        <v>2.3334525E-5</v>
      </c>
      <c r="S276" s="33" cm="1">
        <f t="array" ref="S276">IF(COUNTIF('Processed Non-zero DMR Data'!$K:$K,$I276)&gt;0,MEDIAN(IF('Processed Non-zero DMR Data'!$K:$K=I276,'Processed Non-zero DMR Data'!$T:$T)),"N/A - Facility Does Not Report DMRs")</f>
        <v>8.5171016250000006E-3</v>
      </c>
      <c r="T276" s="33">
        <f t="shared" si="68"/>
        <v>2.3334525E-5</v>
      </c>
      <c r="U276" s="33">
        <f>IF(COUNTIF('Processed Non-zero DMR Data'!$K:$K,$I276)&gt;0,_xlfn.MAXIFS('Processed Non-zero DMR Data'!$T:$T,'Processed Non-zero DMR Data'!$K:$K,$I276), "N/A - Facility Does Not Report DMRs")</f>
        <v>8.5171016250000006E-3</v>
      </c>
      <c r="V276" s="33">
        <f t="shared" si="69"/>
        <v>2.3334525E-5</v>
      </c>
      <c r="W276" s="110" cm="1">
        <f t="array" ref="W276">IF(COUNTIF('Processed Non-zero DMR Data'!$K:$K,$I276)&gt;0,INDEX('Processed Non-zero DMR Data'!$A:$A,MATCH(1,($I276='Processed Non-zero DMR Data'!$K:$K)*($U276='Processed Non-zero DMR Data'!$T:$T),0)), "N/A - Facility Does Not Report DMRs")</f>
        <v>2019</v>
      </c>
      <c r="X276" s="109" cm="1">
        <f t="array" ref="X276">IFERROR(_xlfn.XLOOKUP(1,  (MAX(IF(H276 = 'Processed Non-zero TRI Data'!$I:$I,'Processed Non-zero TRI Data'!$A:$A)) = 'Processed Non-zero TRI Data'!$A:$A)*('Processed Non-zero TRI Data'!$I:$I = H276), 'Processed Non-zero TRI Data'!$S:$S), "N/A- Facility Does Not Report to TRI")</f>
        <v>0</v>
      </c>
      <c r="Y276" s="33">
        <f t="shared" si="58"/>
        <v>0</v>
      </c>
      <c r="Z276" s="33" t="str" cm="1">
        <f t="array" ref="Z276">IF(COUNTIF('Processed Non-zero TRI Data'!$I:$I,$H276)&gt;0,MEDIAN(IF('Processed Non-zero TRI Data'!$I:$I=H276,'Processed Non-zero TRI Data'!$S:$S)), "N/A - Facility Does Not Report to TRI")</f>
        <v>N/A - Facility Does Not Report to TRI</v>
      </c>
      <c r="AA276" s="33" t="str">
        <f t="shared" si="59"/>
        <v>N/A - Facility Does Not Report to TRI</v>
      </c>
      <c r="AB276" s="33" t="str">
        <f>IF(COUNTIF('Processed Non-zero TRI Data'!$I:$I,$H276)&gt;0,_xlfn.MAXIFS('Processed Non-zero TRI Data'!$S:$S,'Processed Non-zero TRI Data'!$I:$I,$H276), "N/A - Facility Does Not Report to TRI")</f>
        <v>N/A - Facility Does Not Report to TRI</v>
      </c>
      <c r="AC276" s="33" t="str">
        <f t="shared" si="60"/>
        <v>N/A - Facility Does Not Report to TRI</v>
      </c>
      <c r="AD276" s="110" t="str" cm="1">
        <f t="array" ref="AD276">IFERROR(IF(B276 = "TRI Form R", IF(AB276 = 0, "Facility has no on-site water discharges between 2019-2023.",  IF(COUNTIF('Processed Non-zero TRI Data'!$I:$I,$H276)&gt;0,INDEX('Processed Non-zero TRI Data'!$A:$A,MATCH(1,($H276='Processed Non-zero TRI Data'!$I:$I)*(AB276='Processed Non-zero TRI Data'!$S:$S),0)))), VLOOKUP(H276, 'Form A Recent Reporting'!$L:$M, 2, FALSE)), ("N/A - Facility Does Not Report to TRI"))</f>
        <v>N/A - Facility Does Not Report to TRI</v>
      </c>
      <c r="AE276" s="109" cm="1">
        <f t="array" ref="AE276">IFERROR(_xlfn.XLOOKUP(1,  (MAX(IF(H276 = 'Processed Non-zero TRI Data'!$I:$I,'Processed Non-zero TRI Data'!$A:$A)) = 'Processed Non-zero TRI Data'!$A:$A)*('Processed Non-zero TRI Data'!$I:$I = H276), 'Processed Non-zero TRI Data'!$U:$U), "N/A- Facility Does Not Report to TRI")</f>
        <v>0</v>
      </c>
      <c r="AF276" s="33">
        <f t="shared" si="61"/>
        <v>0</v>
      </c>
      <c r="AG276" s="33" t="str" cm="1">
        <f t="array" ref="AG276">IF(COUNTIF('Processed Non-zero TRI Data'!$I:$I,$H276)&gt;0,MEDIAN(IF('Processed Non-zero TRI Data'!$I:$I=H276,'Processed Non-zero TRI Data'!$U:$U)), "N/A - Facility Does Not Report to TRI")</f>
        <v>N/A - Facility Does Not Report to TRI</v>
      </c>
      <c r="AH276" s="33" t="str">
        <f t="shared" si="62"/>
        <v>N/A - Facility Does Not Report to TRI</v>
      </c>
      <c r="AI276" s="33" t="str">
        <f>IF(COUNTIF('Processed Non-zero TRI Data'!$I:$I,$H276)&gt;0,_xlfn.MAXIFS('Processed Non-zero TRI Data'!$U:$U,'Processed Non-zero TRI Data'!$I:$I,$H276), "N/A - Facility Does Not Report to TRI")</f>
        <v>N/A - Facility Does Not Report to TRI</v>
      </c>
      <c r="AJ276" s="33" t="str">
        <f t="shared" si="63"/>
        <v>N/A - Facility Does Not Report to TRI</v>
      </c>
      <c r="AK276" s="110" t="str" cm="1">
        <f t="array" ref="AK276">IF(B276="TRI Form A",AD276,IF(AI276=0,"Facility has no transfers to POTWs between 2019-2023.",IF(COUNTIF('Processed Non-zero TRI Data'!$I:$I,$H276)&gt;0,INDEX('Processed Non-zero TRI Data'!$A:$A,MATCH(1,($H276='Processed Non-zero TRI Data'!$I:$I)*(AI276='Processed Non-zero TRI Data'!$U:$U),0)),"N/A - Facility Does Not Report to TRI")))</f>
        <v>N/A - Facility Does Not Report to TRI</v>
      </c>
      <c r="AL276" s="109" cm="1">
        <f t="array" ref="AL276">IFERROR(_xlfn.XLOOKUP(1,  (MAX(IF(H276 = 'Processed Non-zero TRI Data'!$I$2:$I$23,'Processed Non-zero TRI Data'!$A$2:$A$23)) = 'Processed Non-zero TRI Data'!$A$2:$A$23)*('Processed Non-zero TRI Data'!$I$2:$I$23 = H276), 'Processed Non-zero TRI Data'!$W$2:$W$23), "N/A- Facility Does Not Report to TRI")</f>
        <v>0</v>
      </c>
      <c r="AM276" s="33">
        <f t="shared" si="64"/>
        <v>0</v>
      </c>
      <c r="AN276" s="33" t="str" cm="1">
        <f t="array" ref="AN276">IF(COUNTIF('Processed Non-zero TRI Data'!$I:$I,$H276)&gt;0,MEDIAN(IF('Processed Non-zero TRI Data'!$I:$I=H276,'Processed Non-zero TRI Data'!$W:$W)), "N/A - Facility Does Not Report to TRI")</f>
        <v>N/A - Facility Does Not Report to TRI</v>
      </c>
      <c r="AO276" s="33" t="str">
        <f t="shared" si="65"/>
        <v>N/A - Facility Does Not Report to TRI</v>
      </c>
      <c r="AP276" s="33" t="str">
        <f>IF(COUNTIF('Processed Non-zero TRI Data'!$I:$I,$H276)&gt;0,_xlfn.MAXIFS('Processed Non-zero TRI Data'!$W:$W,'Processed Non-zero TRI Data'!$I:$I,$H276), "N/A - Facility Does Not Report to TRI")</f>
        <v>N/A - Facility Does Not Report to TRI</v>
      </c>
      <c r="AQ276" s="33" t="str">
        <f t="shared" si="66"/>
        <v>N/A - Facility Does Not Report to TRI</v>
      </c>
      <c r="AR276" s="110" t="str" cm="1">
        <f t="array" ref="AR276">IF(B276="TRI Form A",AD276,IF(AP276=0,"Facility has no transfers to non-POTWs between 2019-2023.",IF(COUNTIF('Processed Non-zero TRI Data'!$I:$I,$H276)&gt;0,INDEX('Processed Non-zero TRI Data'!$A:$A,MATCH(1,($H276='Processed Non-zero TRI Data'!$I:$I)*(AP276='Processed Non-zero TRI Data'!$W:$W),0)),"N/A - Facility Does Not Report to TRI")))</f>
        <v>N/A - Facility Does Not Report to TRI</v>
      </c>
    </row>
    <row r="277" spans="1:44" ht="29" x14ac:dyDescent="0.35">
      <c r="A277" s="34">
        <v>274</v>
      </c>
      <c r="B277" s="33" t="str">
        <f>IFERROR("TRI Form "&amp;VLOOKUP(H277,'Processed Non-zero TRI Data'!$I$2:$K$23,3,FALSE),"DMR")</f>
        <v>DMR</v>
      </c>
      <c r="C277" s="33" t="str">
        <f>VLOOKUP($D277, 'COU.OES Summary'!C:D, 2, FALSE)</f>
        <v> </v>
      </c>
      <c r="D277" s="33" t="str">
        <f>IFERROR(VLOOKUP($H277, 'Processed Non-zero TRI Data'!$I:$O, 7, FALSE), VLOOKUP($I277, 'Processed Non-zero DMR Data'!$K:$R, 8, FALSE))</f>
        <v>Waste handling, treatment, and disposal - Remediation or Monitoring</v>
      </c>
      <c r="E277" s="34" t="s">
        <v>619</v>
      </c>
      <c r="F277" s="34" t="s">
        <v>620</v>
      </c>
      <c r="G277" s="34" t="s">
        <v>126</v>
      </c>
      <c r="H277" s="34"/>
      <c r="I277" s="105">
        <v>110000738916</v>
      </c>
      <c r="J277" s="33" t="str">
        <f>IFERROR(VLOOKUP($I277, 'Processed Non-zero DMR Data'!$K:$U, 11, FALSE),"")</f>
        <v>NY0121894</v>
      </c>
      <c r="K277" s="33" t="str">
        <f>IFERROR(VLOOKUP($I277, 'Processed Non-zero DMR Data'!$K:$V, 12, FALSE),"Not Reported")</f>
        <v>Crane Creek-Mohawk River</v>
      </c>
      <c r="L277" s="106">
        <f>IFERROR(VLOOKUP($I277, 'Processed Non-zero DMR Data'!$K:$W, 13, FALSE),"No Reach Code Reported")</f>
        <v>20200040310</v>
      </c>
      <c r="M277" s="107" t="str">
        <f>IFERROR(IFERROR(VLOOKUP(H277, 'Off-site Locations'!$K$3:$O$5, 5, FALSE), VLOOKUP(H277, 'Off-site Locations'!$B$3:$E$4, 4, FALSE)), "No Offsite Transfers")</f>
        <v>No Offsite Transfers</v>
      </c>
      <c r="N277" s="33">
        <f>VLOOKUP($D277, 'COU.OES Summary'!C:E, 3, FALSE)</f>
        <v>365</v>
      </c>
      <c r="O277" s="108">
        <f t="shared" si="56"/>
        <v>0</v>
      </c>
      <c r="P277" s="108">
        <f t="shared" si="57"/>
        <v>8.0783103600000003E-3</v>
      </c>
      <c r="Q277" s="109" cm="1">
        <f t="array" ref="Q277">IFERROR(_xlfn.XLOOKUP(1,  (MAX(IF(I277 = 'Processed Non-zero DMR Data'!$K:$K,'Processed Non-zero DMR Data'!$A:$A)) = 'Processed Non-zero DMR Data'!$A:$A)*('Processed Non-zero DMR Data'!$K:$K = I277),'Processed Non-zero DMR Data'!$T:$T), "N/A- Facility Does Not Report DMRs")</f>
        <v>3.2383551599999998E-3</v>
      </c>
      <c r="R277" s="33">
        <f t="shared" si="67"/>
        <v>8.8722059178082182E-6</v>
      </c>
      <c r="S277" s="33" cm="1">
        <f t="array" ref="S277">IF(COUNTIF('Processed Non-zero DMR Data'!$K:$K,$I277)&gt;0,MEDIAN(IF('Processed Non-zero DMR Data'!$K:$K=I277,'Processed Non-zero DMR Data'!$T:$T)),"N/A - Facility Does Not Report DMRs")</f>
        <v>6.2949394800000001E-3</v>
      </c>
      <c r="T277" s="33">
        <f t="shared" si="68"/>
        <v>1.7246409534246576E-5</v>
      </c>
      <c r="U277" s="33">
        <f>IF(COUNTIF('Processed Non-zero DMR Data'!$K:$K,$I277)&gt;0,_xlfn.MAXIFS('Processed Non-zero DMR Data'!$T:$T,'Processed Non-zero DMR Data'!$K:$K,$I277), "N/A - Facility Does Not Report DMRs")</f>
        <v>8.0783103600000003E-3</v>
      </c>
      <c r="V277" s="33">
        <f t="shared" si="69"/>
        <v>2.2132357150684933E-5</v>
      </c>
      <c r="W277" s="110" cm="1">
        <f t="array" ref="W277">IF(COUNTIF('Processed Non-zero DMR Data'!$K:$K,$I277)&gt;0,INDEX('Processed Non-zero DMR Data'!$A:$A,MATCH(1,($I277='Processed Non-zero DMR Data'!$K:$K)*($U277='Processed Non-zero DMR Data'!$T:$T),0)), "N/A - Facility Does Not Report DMRs")</f>
        <v>2019</v>
      </c>
      <c r="X277" s="109" cm="1">
        <f t="array" ref="X277">IFERROR(_xlfn.XLOOKUP(1,  (MAX(IF(H277 = 'Processed Non-zero TRI Data'!$I:$I,'Processed Non-zero TRI Data'!$A:$A)) = 'Processed Non-zero TRI Data'!$A:$A)*('Processed Non-zero TRI Data'!$I:$I = H277), 'Processed Non-zero TRI Data'!$S:$S), "N/A- Facility Does Not Report to TRI")</f>
        <v>0</v>
      </c>
      <c r="Y277" s="33">
        <f t="shared" si="58"/>
        <v>0</v>
      </c>
      <c r="Z277" s="33" t="str" cm="1">
        <f t="array" ref="Z277">IF(COUNTIF('Processed Non-zero TRI Data'!$I:$I,$H277)&gt;0,MEDIAN(IF('Processed Non-zero TRI Data'!$I:$I=H277,'Processed Non-zero TRI Data'!$S:$S)), "N/A - Facility Does Not Report to TRI")</f>
        <v>N/A - Facility Does Not Report to TRI</v>
      </c>
      <c r="AA277" s="33" t="str">
        <f t="shared" si="59"/>
        <v>N/A - Facility Does Not Report to TRI</v>
      </c>
      <c r="AB277" s="33" t="str">
        <f>IF(COUNTIF('Processed Non-zero TRI Data'!$I:$I,$H277)&gt;0,_xlfn.MAXIFS('Processed Non-zero TRI Data'!$S:$S,'Processed Non-zero TRI Data'!$I:$I,$H277), "N/A - Facility Does Not Report to TRI")</f>
        <v>N/A - Facility Does Not Report to TRI</v>
      </c>
      <c r="AC277" s="33" t="str">
        <f t="shared" si="60"/>
        <v>N/A - Facility Does Not Report to TRI</v>
      </c>
      <c r="AD277" s="110" t="str" cm="1">
        <f t="array" ref="AD277">IFERROR(IF(B277 = "TRI Form R", IF(AB277 = 0, "Facility has no on-site water discharges between 2019-2023.",  IF(COUNTIF('Processed Non-zero TRI Data'!$I:$I,$H277)&gt;0,INDEX('Processed Non-zero TRI Data'!$A:$A,MATCH(1,($H277='Processed Non-zero TRI Data'!$I:$I)*(AB277='Processed Non-zero TRI Data'!$S:$S),0)))), VLOOKUP(H277, 'Form A Recent Reporting'!$L:$M, 2, FALSE)), ("N/A - Facility Does Not Report to TRI"))</f>
        <v>N/A - Facility Does Not Report to TRI</v>
      </c>
      <c r="AE277" s="109" cm="1">
        <f t="array" ref="AE277">IFERROR(_xlfn.XLOOKUP(1,  (MAX(IF(H277 = 'Processed Non-zero TRI Data'!$I:$I,'Processed Non-zero TRI Data'!$A:$A)) = 'Processed Non-zero TRI Data'!$A:$A)*('Processed Non-zero TRI Data'!$I:$I = H277), 'Processed Non-zero TRI Data'!$U:$U), "N/A- Facility Does Not Report to TRI")</f>
        <v>0</v>
      </c>
      <c r="AF277" s="33">
        <f t="shared" si="61"/>
        <v>0</v>
      </c>
      <c r="AG277" s="33" t="str" cm="1">
        <f t="array" ref="AG277">IF(COUNTIF('Processed Non-zero TRI Data'!$I:$I,$H277)&gt;0,MEDIAN(IF('Processed Non-zero TRI Data'!$I:$I=H277,'Processed Non-zero TRI Data'!$U:$U)), "N/A - Facility Does Not Report to TRI")</f>
        <v>N/A - Facility Does Not Report to TRI</v>
      </c>
      <c r="AH277" s="33" t="str">
        <f t="shared" si="62"/>
        <v>N/A - Facility Does Not Report to TRI</v>
      </c>
      <c r="AI277" s="33" t="str">
        <f>IF(COUNTIF('Processed Non-zero TRI Data'!$I:$I,$H277)&gt;0,_xlfn.MAXIFS('Processed Non-zero TRI Data'!$U:$U,'Processed Non-zero TRI Data'!$I:$I,$H277), "N/A - Facility Does Not Report to TRI")</f>
        <v>N/A - Facility Does Not Report to TRI</v>
      </c>
      <c r="AJ277" s="33" t="str">
        <f t="shared" si="63"/>
        <v>N/A - Facility Does Not Report to TRI</v>
      </c>
      <c r="AK277" s="110" t="str" cm="1">
        <f t="array" ref="AK277">IF(B277="TRI Form A",AD277,IF(AI277=0,"Facility has no transfers to POTWs between 2019-2023.",IF(COUNTIF('Processed Non-zero TRI Data'!$I:$I,$H277)&gt;0,INDEX('Processed Non-zero TRI Data'!$A:$A,MATCH(1,($H277='Processed Non-zero TRI Data'!$I:$I)*(AI277='Processed Non-zero TRI Data'!$U:$U),0)),"N/A - Facility Does Not Report to TRI")))</f>
        <v>N/A - Facility Does Not Report to TRI</v>
      </c>
      <c r="AL277" s="109" cm="1">
        <f t="array" ref="AL277">IFERROR(_xlfn.XLOOKUP(1,  (MAX(IF(H277 = 'Processed Non-zero TRI Data'!$I$2:$I$23,'Processed Non-zero TRI Data'!$A$2:$A$23)) = 'Processed Non-zero TRI Data'!$A$2:$A$23)*('Processed Non-zero TRI Data'!$I$2:$I$23 = H277), 'Processed Non-zero TRI Data'!$W$2:$W$23), "N/A- Facility Does Not Report to TRI")</f>
        <v>0</v>
      </c>
      <c r="AM277" s="33">
        <f t="shared" si="64"/>
        <v>0</v>
      </c>
      <c r="AN277" s="33" t="str" cm="1">
        <f t="array" ref="AN277">IF(COUNTIF('Processed Non-zero TRI Data'!$I:$I,$H277)&gt;0,MEDIAN(IF('Processed Non-zero TRI Data'!$I:$I=H277,'Processed Non-zero TRI Data'!$W:$W)), "N/A - Facility Does Not Report to TRI")</f>
        <v>N/A - Facility Does Not Report to TRI</v>
      </c>
      <c r="AO277" s="33" t="str">
        <f t="shared" si="65"/>
        <v>N/A - Facility Does Not Report to TRI</v>
      </c>
      <c r="AP277" s="33" t="str">
        <f>IF(COUNTIF('Processed Non-zero TRI Data'!$I:$I,$H277)&gt;0,_xlfn.MAXIFS('Processed Non-zero TRI Data'!$W:$W,'Processed Non-zero TRI Data'!$I:$I,$H277), "N/A - Facility Does Not Report to TRI")</f>
        <v>N/A - Facility Does Not Report to TRI</v>
      </c>
      <c r="AQ277" s="33" t="str">
        <f t="shared" si="66"/>
        <v>N/A - Facility Does Not Report to TRI</v>
      </c>
      <c r="AR277" s="110" t="str" cm="1">
        <f t="array" ref="AR277">IF(B277="TRI Form A",AD277,IF(AP277=0,"Facility has no transfers to non-POTWs between 2019-2023.",IF(COUNTIF('Processed Non-zero TRI Data'!$I:$I,$H277)&gt;0,INDEX('Processed Non-zero TRI Data'!$A:$A,MATCH(1,($H277='Processed Non-zero TRI Data'!$I:$I)*(AP277='Processed Non-zero TRI Data'!$W:$W),0)),"N/A - Facility Does Not Report to TRI")))</f>
        <v>N/A - Facility Does Not Report to TRI</v>
      </c>
    </row>
    <row r="278" spans="1:44" ht="29" x14ac:dyDescent="0.35">
      <c r="A278" s="34">
        <v>275</v>
      </c>
      <c r="B278" s="33" t="str">
        <f>IFERROR("TRI Form "&amp;VLOOKUP(H278,'Processed Non-zero TRI Data'!$I$2:$K$23,3,FALSE),"DMR")</f>
        <v>DMR</v>
      </c>
      <c r="C278" s="33" t="str">
        <f>VLOOKUP($D278, 'COU.OES Summary'!C:D, 2, FALSE)</f>
        <v> </v>
      </c>
      <c r="D278" s="33" t="str">
        <f>IFERROR(VLOOKUP($H278, 'Processed Non-zero TRI Data'!$I:$O, 7, FALSE), VLOOKUP($I278, 'Processed Non-zero DMR Data'!$K:$R, 8, FALSE))</f>
        <v>Waste handling, treatment, and disposal - non-POTW WWT</v>
      </c>
      <c r="E278" s="34" t="s">
        <v>621</v>
      </c>
      <c r="F278" s="34" t="s">
        <v>504</v>
      </c>
      <c r="G278" s="34" t="s">
        <v>102</v>
      </c>
      <c r="H278" s="34"/>
      <c r="I278" s="105">
        <v>110012876557</v>
      </c>
      <c r="J278" s="33" t="str">
        <f>IFERROR(VLOOKUP($I278, 'Processed Non-zero DMR Data'!$K:$U, 11, FALSE),"")</f>
        <v>CA0104264</v>
      </c>
      <c r="K278" s="33" t="str">
        <f>IFERROR(VLOOKUP($I278, 'Processed Non-zero DMR Data'!$K:$V, 12, FALSE),"Not Reported")</f>
        <v>Town of El Centro</v>
      </c>
      <c r="L278" s="106">
        <f>IFERROR(VLOOKUP($I278, 'Processed Non-zero DMR Data'!$K:$W, 13, FALSE),"No Reach Code Reported")</f>
        <v>181002040701</v>
      </c>
      <c r="M278" s="107" t="str">
        <f>IFERROR(IFERROR(VLOOKUP(H278, 'Off-site Locations'!$K$3:$O$5, 5, FALSE), VLOOKUP(H278, 'Off-site Locations'!$B$3:$E$4, 4, FALSE)), "No Offsite Transfers")</f>
        <v>No Offsite Transfers</v>
      </c>
      <c r="N278" s="33">
        <f>VLOOKUP($D278, 'COU.OES Summary'!C:E, 3, FALSE)</f>
        <v>365</v>
      </c>
      <c r="O278" s="108">
        <f t="shared" si="56"/>
        <v>0</v>
      </c>
      <c r="P278" s="108">
        <f t="shared" si="57"/>
        <v>7.94376875E-3</v>
      </c>
      <c r="Q278" s="109" cm="1">
        <f t="array" ref="Q278">IFERROR(_xlfn.XLOOKUP(1,  (MAX(IF(I278 = 'Processed Non-zero DMR Data'!$K:$K,'Processed Non-zero DMR Data'!$A:$A)) = 'Processed Non-zero DMR Data'!$A:$A)*('Processed Non-zero DMR Data'!$K:$K = I278),'Processed Non-zero DMR Data'!$T:$T), "N/A- Facility Does Not Report DMRs")</f>
        <v>7.94376875E-3</v>
      </c>
      <c r="R278" s="33">
        <f t="shared" si="67"/>
        <v>2.176375E-5</v>
      </c>
      <c r="S278" s="33" cm="1">
        <f t="array" ref="S278">IF(COUNTIF('Processed Non-zero DMR Data'!$K:$K,$I278)&gt;0,MEDIAN(IF('Processed Non-zero DMR Data'!$K:$K=I278,'Processed Non-zero DMR Data'!$T:$T)),"N/A - Facility Does Not Report DMRs")</f>
        <v>7.94376875E-3</v>
      </c>
      <c r="T278" s="33">
        <f t="shared" si="68"/>
        <v>2.176375E-5</v>
      </c>
      <c r="U278" s="33">
        <f>IF(COUNTIF('Processed Non-zero DMR Data'!$K:$K,$I278)&gt;0,_xlfn.MAXIFS('Processed Non-zero DMR Data'!$T:$T,'Processed Non-zero DMR Data'!$K:$K,$I278), "N/A - Facility Does Not Report DMRs")</f>
        <v>7.94376875E-3</v>
      </c>
      <c r="V278" s="33">
        <f t="shared" si="69"/>
        <v>2.176375E-5</v>
      </c>
      <c r="W278" s="110" cm="1">
        <f t="array" ref="W278">IF(COUNTIF('Processed Non-zero DMR Data'!$K:$K,$I278)&gt;0,INDEX('Processed Non-zero DMR Data'!$A:$A,MATCH(1,($I278='Processed Non-zero DMR Data'!$K:$K)*($U278='Processed Non-zero DMR Data'!$T:$T),0)), "N/A - Facility Does Not Report DMRs")</f>
        <v>2023</v>
      </c>
      <c r="X278" s="109" cm="1">
        <f t="array" ref="X278">IFERROR(_xlfn.XLOOKUP(1,  (MAX(IF(H278 = 'Processed Non-zero TRI Data'!$I:$I,'Processed Non-zero TRI Data'!$A:$A)) = 'Processed Non-zero TRI Data'!$A:$A)*('Processed Non-zero TRI Data'!$I:$I = H278), 'Processed Non-zero TRI Data'!$S:$S), "N/A- Facility Does Not Report to TRI")</f>
        <v>0</v>
      </c>
      <c r="Y278" s="33">
        <f t="shared" si="58"/>
        <v>0</v>
      </c>
      <c r="Z278" s="33" t="str" cm="1">
        <f t="array" ref="Z278">IF(COUNTIF('Processed Non-zero TRI Data'!$I:$I,$H278)&gt;0,MEDIAN(IF('Processed Non-zero TRI Data'!$I:$I=H278,'Processed Non-zero TRI Data'!$S:$S)), "N/A - Facility Does Not Report to TRI")</f>
        <v>N/A - Facility Does Not Report to TRI</v>
      </c>
      <c r="AA278" s="33" t="str">
        <f t="shared" si="59"/>
        <v>N/A - Facility Does Not Report to TRI</v>
      </c>
      <c r="AB278" s="33" t="str">
        <f>IF(COUNTIF('Processed Non-zero TRI Data'!$I:$I,$H278)&gt;0,_xlfn.MAXIFS('Processed Non-zero TRI Data'!$S:$S,'Processed Non-zero TRI Data'!$I:$I,$H278), "N/A - Facility Does Not Report to TRI")</f>
        <v>N/A - Facility Does Not Report to TRI</v>
      </c>
      <c r="AC278" s="33" t="str">
        <f t="shared" si="60"/>
        <v>N/A - Facility Does Not Report to TRI</v>
      </c>
      <c r="AD278" s="110" t="str" cm="1">
        <f t="array" ref="AD278">IFERROR(IF(B278 = "TRI Form R", IF(AB278 = 0, "Facility has no on-site water discharges between 2019-2023.",  IF(COUNTIF('Processed Non-zero TRI Data'!$I:$I,$H278)&gt;0,INDEX('Processed Non-zero TRI Data'!$A:$A,MATCH(1,($H278='Processed Non-zero TRI Data'!$I:$I)*(AB278='Processed Non-zero TRI Data'!$S:$S),0)))), VLOOKUP(H278, 'Form A Recent Reporting'!$L:$M, 2, FALSE)), ("N/A - Facility Does Not Report to TRI"))</f>
        <v>N/A - Facility Does Not Report to TRI</v>
      </c>
      <c r="AE278" s="109" cm="1">
        <f t="array" ref="AE278">IFERROR(_xlfn.XLOOKUP(1,  (MAX(IF(H278 = 'Processed Non-zero TRI Data'!$I:$I,'Processed Non-zero TRI Data'!$A:$A)) = 'Processed Non-zero TRI Data'!$A:$A)*('Processed Non-zero TRI Data'!$I:$I = H278), 'Processed Non-zero TRI Data'!$U:$U), "N/A- Facility Does Not Report to TRI")</f>
        <v>0</v>
      </c>
      <c r="AF278" s="33">
        <f t="shared" si="61"/>
        <v>0</v>
      </c>
      <c r="AG278" s="33" t="str" cm="1">
        <f t="array" ref="AG278">IF(COUNTIF('Processed Non-zero TRI Data'!$I:$I,$H278)&gt;0,MEDIAN(IF('Processed Non-zero TRI Data'!$I:$I=H278,'Processed Non-zero TRI Data'!$U:$U)), "N/A - Facility Does Not Report to TRI")</f>
        <v>N/A - Facility Does Not Report to TRI</v>
      </c>
      <c r="AH278" s="33" t="str">
        <f t="shared" si="62"/>
        <v>N/A - Facility Does Not Report to TRI</v>
      </c>
      <c r="AI278" s="33" t="str">
        <f>IF(COUNTIF('Processed Non-zero TRI Data'!$I:$I,$H278)&gt;0,_xlfn.MAXIFS('Processed Non-zero TRI Data'!$U:$U,'Processed Non-zero TRI Data'!$I:$I,$H278), "N/A - Facility Does Not Report to TRI")</f>
        <v>N/A - Facility Does Not Report to TRI</v>
      </c>
      <c r="AJ278" s="33" t="str">
        <f t="shared" si="63"/>
        <v>N/A - Facility Does Not Report to TRI</v>
      </c>
      <c r="AK278" s="110" t="str" cm="1">
        <f t="array" ref="AK278">IF(B278="TRI Form A",AD278,IF(AI278=0,"Facility has no transfers to POTWs between 2019-2023.",IF(COUNTIF('Processed Non-zero TRI Data'!$I:$I,$H278)&gt;0,INDEX('Processed Non-zero TRI Data'!$A:$A,MATCH(1,($H278='Processed Non-zero TRI Data'!$I:$I)*(AI278='Processed Non-zero TRI Data'!$U:$U),0)),"N/A - Facility Does Not Report to TRI")))</f>
        <v>N/A - Facility Does Not Report to TRI</v>
      </c>
      <c r="AL278" s="109" cm="1">
        <f t="array" ref="AL278">IFERROR(_xlfn.XLOOKUP(1,  (MAX(IF(H278 = 'Processed Non-zero TRI Data'!$I$2:$I$23,'Processed Non-zero TRI Data'!$A$2:$A$23)) = 'Processed Non-zero TRI Data'!$A$2:$A$23)*('Processed Non-zero TRI Data'!$I$2:$I$23 = H278), 'Processed Non-zero TRI Data'!$W$2:$W$23), "N/A- Facility Does Not Report to TRI")</f>
        <v>0</v>
      </c>
      <c r="AM278" s="33">
        <f t="shared" si="64"/>
        <v>0</v>
      </c>
      <c r="AN278" s="33" t="str" cm="1">
        <f t="array" ref="AN278">IF(COUNTIF('Processed Non-zero TRI Data'!$I:$I,$H278)&gt;0,MEDIAN(IF('Processed Non-zero TRI Data'!$I:$I=H278,'Processed Non-zero TRI Data'!$W:$W)), "N/A - Facility Does Not Report to TRI")</f>
        <v>N/A - Facility Does Not Report to TRI</v>
      </c>
      <c r="AO278" s="33" t="str">
        <f t="shared" si="65"/>
        <v>N/A - Facility Does Not Report to TRI</v>
      </c>
      <c r="AP278" s="33" t="str">
        <f>IF(COUNTIF('Processed Non-zero TRI Data'!$I:$I,$H278)&gt;0,_xlfn.MAXIFS('Processed Non-zero TRI Data'!$W:$W,'Processed Non-zero TRI Data'!$I:$I,$H278), "N/A - Facility Does Not Report to TRI")</f>
        <v>N/A - Facility Does Not Report to TRI</v>
      </c>
      <c r="AQ278" s="33" t="str">
        <f t="shared" si="66"/>
        <v>N/A - Facility Does Not Report to TRI</v>
      </c>
      <c r="AR278" s="110" t="str" cm="1">
        <f t="array" ref="AR278">IF(B278="TRI Form A",AD278,IF(AP278=0,"Facility has no transfers to non-POTWs between 2019-2023.",IF(COUNTIF('Processed Non-zero TRI Data'!$I:$I,$H278)&gt;0,INDEX('Processed Non-zero TRI Data'!$A:$A,MATCH(1,($H278='Processed Non-zero TRI Data'!$I:$I)*(AP278='Processed Non-zero TRI Data'!$W:$W),0)),"N/A - Facility Does Not Report to TRI")))</f>
        <v>N/A - Facility Does Not Report to TRI</v>
      </c>
    </row>
    <row r="279" spans="1:44" ht="29" x14ac:dyDescent="0.35">
      <c r="A279" s="34">
        <v>276</v>
      </c>
      <c r="B279" s="33" t="str">
        <f>IFERROR("TRI Form "&amp;VLOOKUP(H279,'Processed Non-zero TRI Data'!$I$2:$K$23,3,FALSE),"DMR")</f>
        <v>DMR</v>
      </c>
      <c r="C279" s="33" t="str">
        <f>VLOOKUP($D279, 'COU.OES Summary'!C:D, 2, FALSE)</f>
        <v> </v>
      </c>
      <c r="D279" s="33" t="str">
        <f>IFERROR(VLOOKUP($H279, 'Processed Non-zero TRI Data'!$I:$O, 7, FALSE), VLOOKUP($I279, 'Processed Non-zero DMR Data'!$K:$R, 8, FALSE))</f>
        <v>Waste handling, treatment, and disposal - Remediation or Monitoring</v>
      </c>
      <c r="E279" s="34" t="s">
        <v>622</v>
      </c>
      <c r="F279" s="34" t="s">
        <v>623</v>
      </c>
      <c r="G279" s="34" t="s">
        <v>492</v>
      </c>
      <c r="H279" s="34"/>
      <c r="I279" s="105">
        <v>110070162955</v>
      </c>
      <c r="J279" s="33" t="str">
        <f>IFERROR(VLOOKUP($I279, 'Processed Non-zero DMR Data'!$K:$U, 11, FALSE),"")</f>
        <v>CO0049005</v>
      </c>
      <c r="K279" s="33" t="str">
        <f>IFERROR(VLOOKUP($I279, 'Processed Non-zero DMR Data'!$K:$V, 12, FALSE),"Not Reported")</f>
        <v>Cherry Creek-South Platte River</v>
      </c>
      <c r="L279" s="106">
        <f>IFERROR(VLOOKUP($I279, 'Processed Non-zero DMR Data'!$K:$W, 13, FALSE),"No Reach Code Reported")</f>
        <v>101900030304</v>
      </c>
      <c r="M279" s="107" t="str">
        <f>IFERROR(IFERROR(VLOOKUP(H279, 'Off-site Locations'!$K$3:$O$5, 5, FALSE), VLOOKUP(H279, 'Off-site Locations'!$B$3:$E$4, 4, FALSE)), "No Offsite Transfers")</f>
        <v>No Offsite Transfers</v>
      </c>
      <c r="N279" s="33">
        <f>VLOOKUP($D279, 'COU.OES Summary'!C:E, 3, FALSE)</f>
        <v>365</v>
      </c>
      <c r="O279" s="108">
        <f t="shared" si="56"/>
        <v>0</v>
      </c>
      <c r="P279" s="108">
        <f t="shared" si="57"/>
        <v>7.8992950000000006E-3</v>
      </c>
      <c r="Q279" s="109" cm="1">
        <f t="array" ref="Q279">IFERROR(_xlfn.XLOOKUP(1,  (MAX(IF(I279 = 'Processed Non-zero DMR Data'!$K:$K,'Processed Non-zero DMR Data'!$A:$A)) = 'Processed Non-zero DMR Data'!$A:$A)*('Processed Non-zero DMR Data'!$K:$K = I279),'Processed Non-zero DMR Data'!$T:$T), "N/A- Facility Does Not Report DMRs")</f>
        <v>2.5072994424999999E-3</v>
      </c>
      <c r="R279" s="33">
        <f t="shared" si="67"/>
        <v>6.8693135410958904E-6</v>
      </c>
      <c r="S279" s="33" cm="1">
        <f t="array" ref="S279">IF(COUNTIF('Processed Non-zero DMR Data'!$K:$K,$I279)&gt;0,MEDIAN(IF('Processed Non-zero DMR Data'!$K:$K=I279,'Processed Non-zero DMR Data'!$T:$T)),"N/A - Facility Does Not Report DMRs")</f>
        <v>2.5072994424999999E-3</v>
      </c>
      <c r="T279" s="33">
        <f t="shared" si="68"/>
        <v>6.8693135410958904E-6</v>
      </c>
      <c r="U279" s="33">
        <f>IF(COUNTIF('Processed Non-zero DMR Data'!$K:$K,$I279)&gt;0,_xlfn.MAXIFS('Processed Non-zero DMR Data'!$T:$T,'Processed Non-zero DMR Data'!$K:$K,$I279), "N/A - Facility Does Not Report DMRs")</f>
        <v>7.8992950000000006E-3</v>
      </c>
      <c r="V279" s="33">
        <f t="shared" si="69"/>
        <v>2.1641904109589043E-5</v>
      </c>
      <c r="W279" s="110" cm="1">
        <f t="array" ref="W279">IF(COUNTIF('Processed Non-zero DMR Data'!$K:$K,$I279)&gt;0,INDEX('Processed Non-zero DMR Data'!$A:$A,MATCH(1,($I279='Processed Non-zero DMR Data'!$K:$K)*($U279='Processed Non-zero DMR Data'!$T:$T),0)), "N/A - Facility Does Not Report DMRs")</f>
        <v>2022</v>
      </c>
      <c r="X279" s="109" cm="1">
        <f t="array" ref="X279">IFERROR(_xlfn.XLOOKUP(1,  (MAX(IF(H279 = 'Processed Non-zero TRI Data'!$I:$I,'Processed Non-zero TRI Data'!$A:$A)) = 'Processed Non-zero TRI Data'!$A:$A)*('Processed Non-zero TRI Data'!$I:$I = H279), 'Processed Non-zero TRI Data'!$S:$S), "N/A- Facility Does Not Report to TRI")</f>
        <v>0</v>
      </c>
      <c r="Y279" s="33">
        <f t="shared" si="58"/>
        <v>0</v>
      </c>
      <c r="Z279" s="33" t="str" cm="1">
        <f t="array" ref="Z279">IF(COUNTIF('Processed Non-zero TRI Data'!$I:$I,$H279)&gt;0,MEDIAN(IF('Processed Non-zero TRI Data'!$I:$I=H279,'Processed Non-zero TRI Data'!$S:$S)), "N/A - Facility Does Not Report to TRI")</f>
        <v>N/A - Facility Does Not Report to TRI</v>
      </c>
      <c r="AA279" s="33" t="str">
        <f t="shared" si="59"/>
        <v>N/A - Facility Does Not Report to TRI</v>
      </c>
      <c r="AB279" s="33" t="str">
        <f>IF(COUNTIF('Processed Non-zero TRI Data'!$I:$I,$H279)&gt;0,_xlfn.MAXIFS('Processed Non-zero TRI Data'!$S:$S,'Processed Non-zero TRI Data'!$I:$I,$H279), "N/A - Facility Does Not Report to TRI")</f>
        <v>N/A - Facility Does Not Report to TRI</v>
      </c>
      <c r="AC279" s="33" t="str">
        <f t="shared" si="60"/>
        <v>N/A - Facility Does Not Report to TRI</v>
      </c>
      <c r="AD279" s="110" t="str" cm="1">
        <f t="array" ref="AD279">IFERROR(IF(B279 = "TRI Form R", IF(AB279 = 0, "Facility has no on-site water discharges between 2019-2023.",  IF(COUNTIF('Processed Non-zero TRI Data'!$I:$I,$H279)&gt;0,INDEX('Processed Non-zero TRI Data'!$A:$A,MATCH(1,($H279='Processed Non-zero TRI Data'!$I:$I)*(AB279='Processed Non-zero TRI Data'!$S:$S),0)))), VLOOKUP(H279, 'Form A Recent Reporting'!$L:$M, 2, FALSE)), ("N/A - Facility Does Not Report to TRI"))</f>
        <v>N/A - Facility Does Not Report to TRI</v>
      </c>
      <c r="AE279" s="109" cm="1">
        <f t="array" ref="AE279">IFERROR(_xlfn.XLOOKUP(1,  (MAX(IF(H279 = 'Processed Non-zero TRI Data'!$I:$I,'Processed Non-zero TRI Data'!$A:$A)) = 'Processed Non-zero TRI Data'!$A:$A)*('Processed Non-zero TRI Data'!$I:$I = H279), 'Processed Non-zero TRI Data'!$U:$U), "N/A- Facility Does Not Report to TRI")</f>
        <v>0</v>
      </c>
      <c r="AF279" s="33">
        <f t="shared" si="61"/>
        <v>0</v>
      </c>
      <c r="AG279" s="33" t="str" cm="1">
        <f t="array" ref="AG279">IF(COUNTIF('Processed Non-zero TRI Data'!$I:$I,$H279)&gt;0,MEDIAN(IF('Processed Non-zero TRI Data'!$I:$I=H279,'Processed Non-zero TRI Data'!$U:$U)), "N/A - Facility Does Not Report to TRI")</f>
        <v>N/A - Facility Does Not Report to TRI</v>
      </c>
      <c r="AH279" s="33" t="str">
        <f t="shared" si="62"/>
        <v>N/A - Facility Does Not Report to TRI</v>
      </c>
      <c r="AI279" s="33" t="str">
        <f>IF(COUNTIF('Processed Non-zero TRI Data'!$I:$I,$H279)&gt;0,_xlfn.MAXIFS('Processed Non-zero TRI Data'!$U:$U,'Processed Non-zero TRI Data'!$I:$I,$H279), "N/A - Facility Does Not Report to TRI")</f>
        <v>N/A - Facility Does Not Report to TRI</v>
      </c>
      <c r="AJ279" s="33" t="str">
        <f t="shared" si="63"/>
        <v>N/A - Facility Does Not Report to TRI</v>
      </c>
      <c r="AK279" s="110" t="str" cm="1">
        <f t="array" ref="AK279">IF(B279="TRI Form A",AD279,IF(AI279=0,"Facility has no transfers to POTWs between 2019-2023.",IF(COUNTIF('Processed Non-zero TRI Data'!$I:$I,$H279)&gt;0,INDEX('Processed Non-zero TRI Data'!$A:$A,MATCH(1,($H279='Processed Non-zero TRI Data'!$I:$I)*(AI279='Processed Non-zero TRI Data'!$U:$U),0)),"N/A - Facility Does Not Report to TRI")))</f>
        <v>N/A - Facility Does Not Report to TRI</v>
      </c>
      <c r="AL279" s="109" cm="1">
        <f t="array" ref="AL279">IFERROR(_xlfn.XLOOKUP(1,  (MAX(IF(H279 = 'Processed Non-zero TRI Data'!$I$2:$I$23,'Processed Non-zero TRI Data'!$A$2:$A$23)) = 'Processed Non-zero TRI Data'!$A$2:$A$23)*('Processed Non-zero TRI Data'!$I$2:$I$23 = H279), 'Processed Non-zero TRI Data'!$W$2:$W$23), "N/A- Facility Does Not Report to TRI")</f>
        <v>0</v>
      </c>
      <c r="AM279" s="33">
        <f t="shared" si="64"/>
        <v>0</v>
      </c>
      <c r="AN279" s="33" t="str" cm="1">
        <f t="array" ref="AN279">IF(COUNTIF('Processed Non-zero TRI Data'!$I:$I,$H279)&gt;0,MEDIAN(IF('Processed Non-zero TRI Data'!$I:$I=H279,'Processed Non-zero TRI Data'!$W:$W)), "N/A - Facility Does Not Report to TRI")</f>
        <v>N/A - Facility Does Not Report to TRI</v>
      </c>
      <c r="AO279" s="33" t="str">
        <f t="shared" si="65"/>
        <v>N/A - Facility Does Not Report to TRI</v>
      </c>
      <c r="AP279" s="33" t="str">
        <f>IF(COUNTIF('Processed Non-zero TRI Data'!$I:$I,$H279)&gt;0,_xlfn.MAXIFS('Processed Non-zero TRI Data'!$W:$W,'Processed Non-zero TRI Data'!$I:$I,$H279), "N/A - Facility Does Not Report to TRI")</f>
        <v>N/A - Facility Does Not Report to TRI</v>
      </c>
      <c r="AQ279" s="33" t="str">
        <f t="shared" si="66"/>
        <v>N/A - Facility Does Not Report to TRI</v>
      </c>
      <c r="AR279" s="110" t="str" cm="1">
        <f t="array" ref="AR279">IF(B279="TRI Form A",AD279,IF(AP279=0,"Facility has no transfers to non-POTWs between 2019-2023.",IF(COUNTIF('Processed Non-zero TRI Data'!$I:$I,$H279)&gt;0,INDEX('Processed Non-zero TRI Data'!$A:$A,MATCH(1,($H279='Processed Non-zero TRI Data'!$I:$I)*(AP279='Processed Non-zero TRI Data'!$W:$W),0)),"N/A - Facility Does Not Report to TRI")))</f>
        <v>N/A - Facility Does Not Report to TRI</v>
      </c>
    </row>
    <row r="280" spans="1:44" ht="29" x14ac:dyDescent="0.35">
      <c r="A280" s="34">
        <v>277</v>
      </c>
      <c r="B280" s="33" t="str">
        <f>IFERROR("TRI Form "&amp;VLOOKUP(H280,'Processed Non-zero TRI Data'!$I$2:$K$23,3,FALSE),"DMR")</f>
        <v>DMR</v>
      </c>
      <c r="C280" s="33" t="str">
        <f>VLOOKUP($D280, 'COU.OES Summary'!C:D, 2, FALSE)</f>
        <v> </v>
      </c>
      <c r="D280" s="33" t="str">
        <f>IFERROR(VLOOKUP($H280, 'Processed Non-zero TRI Data'!$I:$O, 7, FALSE), VLOOKUP($I280, 'Processed Non-zero DMR Data'!$K:$R, 8, FALSE))</f>
        <v>Waste handling, treatment, and disposal - Remediation or Monitoring</v>
      </c>
      <c r="E280" s="34" t="s">
        <v>624</v>
      </c>
      <c r="F280" s="34" t="s">
        <v>625</v>
      </c>
      <c r="G280" s="34" t="s">
        <v>340</v>
      </c>
      <c r="H280" s="34"/>
      <c r="I280" s="105">
        <v>110000584305</v>
      </c>
      <c r="J280" s="33" t="str">
        <f>IFERROR(VLOOKUP($I280, 'Processed Non-zero DMR Data'!$K:$U, 11, FALSE),"")</f>
        <v>PA0012149</v>
      </c>
      <c r="K280" s="33" t="str">
        <f>IFERROR(VLOOKUP($I280, 'Processed Non-zero DMR Data'!$K:$V, 12, FALSE),"Not Reported")</f>
        <v>Deer Lake-Pine Creek</v>
      </c>
      <c r="L280" s="106">
        <f>IFERROR(VLOOKUP($I280, 'Processed Non-zero DMR Data'!$K:$W, 13, FALSE),"No Reach Code Reported")</f>
        <v>20402030205</v>
      </c>
      <c r="M280" s="107" t="str">
        <f>IFERROR(IFERROR(VLOOKUP(H280, 'Off-site Locations'!$K$3:$O$5, 5, FALSE), VLOOKUP(H280, 'Off-site Locations'!$B$3:$E$4, 4, FALSE)), "No Offsite Transfers")</f>
        <v>No Offsite Transfers</v>
      </c>
      <c r="N280" s="33">
        <f>VLOOKUP($D280, 'COU.OES Summary'!C:E, 3, FALSE)</f>
        <v>365</v>
      </c>
      <c r="O280" s="108">
        <f t="shared" si="56"/>
        <v>0</v>
      </c>
      <c r="P280" s="108">
        <f t="shared" si="57"/>
        <v>7.8678199999999993E-3</v>
      </c>
      <c r="Q280" s="109" cm="1">
        <f t="array" ref="Q280">IFERROR(_xlfn.XLOOKUP(1,  (MAX(IF(I280 = 'Processed Non-zero DMR Data'!$K:$K,'Processed Non-zero DMR Data'!$A:$A)) = 'Processed Non-zero DMR Data'!$A:$A)*('Processed Non-zero DMR Data'!$K:$K = I280),'Processed Non-zero DMR Data'!$T:$T), "N/A- Facility Does Not Report DMRs")</f>
        <v>7.2435700000000004E-3</v>
      </c>
      <c r="R280" s="33">
        <f t="shared" si="67"/>
        <v>1.9845397260273973E-5</v>
      </c>
      <c r="S280" s="33" cm="1">
        <f t="array" ref="S280">IF(COUNTIF('Processed Non-zero DMR Data'!$K:$K,$I280)&gt;0,MEDIAN(IF('Processed Non-zero DMR Data'!$K:$K=I280,'Processed Non-zero DMR Data'!$T:$T)),"N/A - Facility Does Not Report DMRs")</f>
        <v>7.2435700000000004E-3</v>
      </c>
      <c r="T280" s="33">
        <f t="shared" si="68"/>
        <v>1.9845397260273973E-5</v>
      </c>
      <c r="U280" s="33">
        <f>IF(COUNTIF('Processed Non-zero DMR Data'!$K:$K,$I280)&gt;0,_xlfn.MAXIFS('Processed Non-zero DMR Data'!$T:$T,'Processed Non-zero DMR Data'!$K:$K,$I280), "N/A - Facility Does Not Report DMRs")</f>
        <v>7.8678199999999993E-3</v>
      </c>
      <c r="V280" s="33">
        <f t="shared" si="69"/>
        <v>2.1555671232876711E-5</v>
      </c>
      <c r="W280" s="110" cm="1">
        <f t="array" ref="W280">IF(COUNTIF('Processed Non-zero DMR Data'!$K:$K,$I280)&gt;0,INDEX('Processed Non-zero DMR Data'!$A:$A,MATCH(1,($I280='Processed Non-zero DMR Data'!$K:$K)*($U280='Processed Non-zero DMR Data'!$T:$T),0)), "N/A - Facility Does Not Report DMRs")</f>
        <v>2022</v>
      </c>
      <c r="X280" s="109" cm="1">
        <f t="array" ref="X280">IFERROR(_xlfn.XLOOKUP(1,  (MAX(IF(H280 = 'Processed Non-zero TRI Data'!$I:$I,'Processed Non-zero TRI Data'!$A:$A)) = 'Processed Non-zero TRI Data'!$A:$A)*('Processed Non-zero TRI Data'!$I:$I = H280), 'Processed Non-zero TRI Data'!$S:$S), "N/A- Facility Does Not Report to TRI")</f>
        <v>0</v>
      </c>
      <c r="Y280" s="33">
        <f t="shared" si="58"/>
        <v>0</v>
      </c>
      <c r="Z280" s="33" t="str" cm="1">
        <f t="array" ref="Z280">IF(COUNTIF('Processed Non-zero TRI Data'!$I:$I,$H280)&gt;0,MEDIAN(IF('Processed Non-zero TRI Data'!$I:$I=H280,'Processed Non-zero TRI Data'!$S:$S)), "N/A - Facility Does Not Report to TRI")</f>
        <v>N/A - Facility Does Not Report to TRI</v>
      </c>
      <c r="AA280" s="33" t="str">
        <f t="shared" si="59"/>
        <v>N/A - Facility Does Not Report to TRI</v>
      </c>
      <c r="AB280" s="33" t="str">
        <f>IF(COUNTIF('Processed Non-zero TRI Data'!$I:$I,$H280)&gt;0,_xlfn.MAXIFS('Processed Non-zero TRI Data'!$S:$S,'Processed Non-zero TRI Data'!$I:$I,$H280), "N/A - Facility Does Not Report to TRI")</f>
        <v>N/A - Facility Does Not Report to TRI</v>
      </c>
      <c r="AC280" s="33" t="str">
        <f t="shared" si="60"/>
        <v>N/A - Facility Does Not Report to TRI</v>
      </c>
      <c r="AD280" s="110" t="str" cm="1">
        <f t="array" ref="AD280">IFERROR(IF(B280 = "TRI Form R", IF(AB280 = 0, "Facility has no on-site water discharges between 2019-2023.",  IF(COUNTIF('Processed Non-zero TRI Data'!$I:$I,$H280)&gt;0,INDEX('Processed Non-zero TRI Data'!$A:$A,MATCH(1,($H280='Processed Non-zero TRI Data'!$I:$I)*(AB280='Processed Non-zero TRI Data'!$S:$S),0)))), VLOOKUP(H280, 'Form A Recent Reporting'!$L:$M, 2, FALSE)), ("N/A - Facility Does Not Report to TRI"))</f>
        <v>N/A - Facility Does Not Report to TRI</v>
      </c>
      <c r="AE280" s="109" cm="1">
        <f t="array" ref="AE280">IFERROR(_xlfn.XLOOKUP(1,  (MAX(IF(H280 = 'Processed Non-zero TRI Data'!$I:$I,'Processed Non-zero TRI Data'!$A:$A)) = 'Processed Non-zero TRI Data'!$A:$A)*('Processed Non-zero TRI Data'!$I:$I = H280), 'Processed Non-zero TRI Data'!$U:$U), "N/A- Facility Does Not Report to TRI")</f>
        <v>0</v>
      </c>
      <c r="AF280" s="33">
        <f t="shared" si="61"/>
        <v>0</v>
      </c>
      <c r="AG280" s="33" t="str" cm="1">
        <f t="array" ref="AG280">IF(COUNTIF('Processed Non-zero TRI Data'!$I:$I,$H280)&gt;0,MEDIAN(IF('Processed Non-zero TRI Data'!$I:$I=H280,'Processed Non-zero TRI Data'!$U:$U)), "N/A - Facility Does Not Report to TRI")</f>
        <v>N/A - Facility Does Not Report to TRI</v>
      </c>
      <c r="AH280" s="33" t="str">
        <f t="shared" si="62"/>
        <v>N/A - Facility Does Not Report to TRI</v>
      </c>
      <c r="AI280" s="33" t="str">
        <f>IF(COUNTIF('Processed Non-zero TRI Data'!$I:$I,$H280)&gt;0,_xlfn.MAXIFS('Processed Non-zero TRI Data'!$U:$U,'Processed Non-zero TRI Data'!$I:$I,$H280), "N/A - Facility Does Not Report to TRI")</f>
        <v>N/A - Facility Does Not Report to TRI</v>
      </c>
      <c r="AJ280" s="33" t="str">
        <f t="shared" si="63"/>
        <v>N/A - Facility Does Not Report to TRI</v>
      </c>
      <c r="AK280" s="110" t="str" cm="1">
        <f t="array" ref="AK280">IF(B280="TRI Form A",AD280,IF(AI280=0,"Facility has no transfers to POTWs between 2019-2023.",IF(COUNTIF('Processed Non-zero TRI Data'!$I:$I,$H280)&gt;0,INDEX('Processed Non-zero TRI Data'!$A:$A,MATCH(1,($H280='Processed Non-zero TRI Data'!$I:$I)*(AI280='Processed Non-zero TRI Data'!$U:$U),0)),"N/A - Facility Does Not Report to TRI")))</f>
        <v>N/A - Facility Does Not Report to TRI</v>
      </c>
      <c r="AL280" s="109" cm="1">
        <f t="array" ref="AL280">IFERROR(_xlfn.XLOOKUP(1,  (MAX(IF(H280 = 'Processed Non-zero TRI Data'!$I$2:$I$23,'Processed Non-zero TRI Data'!$A$2:$A$23)) = 'Processed Non-zero TRI Data'!$A$2:$A$23)*('Processed Non-zero TRI Data'!$I$2:$I$23 = H280), 'Processed Non-zero TRI Data'!$W$2:$W$23), "N/A- Facility Does Not Report to TRI")</f>
        <v>0</v>
      </c>
      <c r="AM280" s="33">
        <f t="shared" si="64"/>
        <v>0</v>
      </c>
      <c r="AN280" s="33" t="str" cm="1">
        <f t="array" ref="AN280">IF(COUNTIF('Processed Non-zero TRI Data'!$I:$I,$H280)&gt;0,MEDIAN(IF('Processed Non-zero TRI Data'!$I:$I=H280,'Processed Non-zero TRI Data'!$W:$W)), "N/A - Facility Does Not Report to TRI")</f>
        <v>N/A - Facility Does Not Report to TRI</v>
      </c>
      <c r="AO280" s="33" t="str">
        <f t="shared" si="65"/>
        <v>N/A - Facility Does Not Report to TRI</v>
      </c>
      <c r="AP280" s="33" t="str">
        <f>IF(COUNTIF('Processed Non-zero TRI Data'!$I:$I,$H280)&gt;0,_xlfn.MAXIFS('Processed Non-zero TRI Data'!$W:$W,'Processed Non-zero TRI Data'!$I:$I,$H280), "N/A - Facility Does Not Report to TRI")</f>
        <v>N/A - Facility Does Not Report to TRI</v>
      </c>
      <c r="AQ280" s="33" t="str">
        <f t="shared" si="66"/>
        <v>N/A - Facility Does Not Report to TRI</v>
      </c>
      <c r="AR280" s="110" t="str" cm="1">
        <f t="array" ref="AR280">IF(B280="TRI Form A",AD280,IF(AP280=0,"Facility has no transfers to non-POTWs between 2019-2023.",IF(COUNTIF('Processed Non-zero TRI Data'!$I:$I,$H280)&gt;0,INDEX('Processed Non-zero TRI Data'!$A:$A,MATCH(1,($H280='Processed Non-zero TRI Data'!$I:$I)*(AP280='Processed Non-zero TRI Data'!$W:$W),0)),"N/A - Facility Does Not Report to TRI")))</f>
        <v>N/A - Facility Does Not Report to TRI</v>
      </c>
    </row>
    <row r="281" spans="1:44" ht="29" x14ac:dyDescent="0.35">
      <c r="A281" s="34">
        <v>278</v>
      </c>
      <c r="B281" s="33" t="str">
        <f>IFERROR("TRI Form "&amp;VLOOKUP(H281,'Processed Non-zero TRI Data'!$I$2:$K$23,3,FALSE),"DMR")</f>
        <v>DMR</v>
      </c>
      <c r="C281" s="33" t="str">
        <f>VLOOKUP($D281, 'COU.OES Summary'!C:D, 2, FALSE)</f>
        <v> </v>
      </c>
      <c r="D281" s="33" t="str">
        <f>IFERROR(VLOOKUP($H281, 'Processed Non-zero TRI Data'!$I:$O, 7, FALSE), VLOOKUP($I281, 'Processed Non-zero DMR Data'!$K:$R, 8, FALSE))</f>
        <v>Waste handling, treatment, and disposal - Remediation or Monitoring</v>
      </c>
      <c r="E281" s="34" t="s">
        <v>626</v>
      </c>
      <c r="F281" s="34" t="s">
        <v>337</v>
      </c>
      <c r="G281" s="34" t="s">
        <v>221</v>
      </c>
      <c r="H281" s="34"/>
      <c r="I281" s="105">
        <v>110064418553</v>
      </c>
      <c r="J281" s="33" t="str">
        <f>IFERROR(VLOOKUP($I281, 'Processed Non-zero DMR Data'!$K:$U, 11, FALSE),"")</f>
        <v>NV0024220</v>
      </c>
      <c r="K281" s="33" t="str">
        <f>IFERROR(VLOOKUP($I281, 'Processed Non-zero DMR Data'!$K:$V, 12, FALSE),"Not Reported")</f>
        <v>City of Las Vegas-Las Vegas Wash</v>
      </c>
      <c r="L281" s="106">
        <f>IFERROR(VLOOKUP($I281, 'Processed Non-zero DMR Data'!$K:$W, 13, FALSE),"No Reach Code Reported")</f>
        <v>150100150604</v>
      </c>
      <c r="M281" s="107" t="str">
        <f>IFERROR(IFERROR(VLOOKUP(H281, 'Off-site Locations'!$K$3:$O$5, 5, FALSE), VLOOKUP(H281, 'Off-site Locations'!$B$3:$E$4, 4, FALSE)), "No Offsite Transfers")</f>
        <v>No Offsite Transfers</v>
      </c>
      <c r="N281" s="33">
        <f>VLOOKUP($D281, 'COU.OES Summary'!C:E, 3, FALSE)</f>
        <v>365</v>
      </c>
      <c r="O281" s="108">
        <f t="shared" si="56"/>
        <v>0</v>
      </c>
      <c r="P281" s="108">
        <f t="shared" si="57"/>
        <v>7.2530062500000001E-3</v>
      </c>
      <c r="Q281" s="109" cm="1">
        <f t="array" ref="Q281">IFERROR(_xlfn.XLOOKUP(1,  (MAX(IF(I281 = 'Processed Non-zero DMR Data'!$K:$K,'Processed Non-zero DMR Data'!$A:$A)) = 'Processed Non-zero DMR Data'!$A:$A)*('Processed Non-zero DMR Data'!$K:$K = I281),'Processed Non-zero DMR Data'!$T:$T), "N/A- Facility Does Not Report DMRs")</f>
        <v>4.9734899999999997E-3</v>
      </c>
      <c r="R281" s="33">
        <f t="shared" si="67"/>
        <v>1.3626E-5</v>
      </c>
      <c r="S281" s="33" cm="1">
        <f t="array" ref="S281">IF(COUNTIF('Processed Non-zero DMR Data'!$K:$K,$I281)&gt;0,MEDIAN(IF('Processed Non-zero DMR Data'!$K:$K=I281,'Processed Non-zero DMR Data'!$T:$T)),"N/A - Facility Does Not Report DMRs")</f>
        <v>6.1132481249999999E-3</v>
      </c>
      <c r="T281" s="33">
        <f t="shared" si="68"/>
        <v>1.6748624999999999E-5</v>
      </c>
      <c r="U281" s="33">
        <f>IF(COUNTIF('Processed Non-zero DMR Data'!$K:$K,$I281)&gt;0,_xlfn.MAXIFS('Processed Non-zero DMR Data'!$T:$T,'Processed Non-zero DMR Data'!$K:$K,$I281), "N/A - Facility Does Not Report DMRs")</f>
        <v>7.2530062500000001E-3</v>
      </c>
      <c r="V281" s="33">
        <f t="shared" si="69"/>
        <v>1.9871250000000001E-5</v>
      </c>
      <c r="W281" s="110" cm="1">
        <f t="array" ref="W281">IF(COUNTIF('Processed Non-zero DMR Data'!$K:$K,$I281)&gt;0,INDEX('Processed Non-zero DMR Data'!$A:$A,MATCH(1,($I281='Processed Non-zero DMR Data'!$K:$K)*($U281='Processed Non-zero DMR Data'!$T:$T),0)), "N/A - Facility Does Not Report DMRs")</f>
        <v>2020</v>
      </c>
      <c r="X281" s="109" cm="1">
        <f t="array" ref="X281">IFERROR(_xlfn.XLOOKUP(1,  (MAX(IF(H281 = 'Processed Non-zero TRI Data'!$I:$I,'Processed Non-zero TRI Data'!$A:$A)) = 'Processed Non-zero TRI Data'!$A:$A)*('Processed Non-zero TRI Data'!$I:$I = H281), 'Processed Non-zero TRI Data'!$S:$S), "N/A- Facility Does Not Report to TRI")</f>
        <v>0</v>
      </c>
      <c r="Y281" s="33">
        <f t="shared" si="58"/>
        <v>0</v>
      </c>
      <c r="Z281" s="33" t="str" cm="1">
        <f t="array" ref="Z281">IF(COUNTIF('Processed Non-zero TRI Data'!$I:$I,$H281)&gt;0,MEDIAN(IF('Processed Non-zero TRI Data'!$I:$I=H281,'Processed Non-zero TRI Data'!$S:$S)), "N/A - Facility Does Not Report to TRI")</f>
        <v>N/A - Facility Does Not Report to TRI</v>
      </c>
      <c r="AA281" s="33" t="str">
        <f t="shared" si="59"/>
        <v>N/A - Facility Does Not Report to TRI</v>
      </c>
      <c r="AB281" s="33" t="str">
        <f>IF(COUNTIF('Processed Non-zero TRI Data'!$I:$I,$H281)&gt;0,_xlfn.MAXIFS('Processed Non-zero TRI Data'!$S:$S,'Processed Non-zero TRI Data'!$I:$I,$H281), "N/A - Facility Does Not Report to TRI")</f>
        <v>N/A - Facility Does Not Report to TRI</v>
      </c>
      <c r="AC281" s="33" t="str">
        <f t="shared" si="60"/>
        <v>N/A - Facility Does Not Report to TRI</v>
      </c>
      <c r="AD281" s="110" t="str" cm="1">
        <f t="array" ref="AD281">IFERROR(IF(B281 = "TRI Form R", IF(AB281 = 0, "Facility has no on-site water discharges between 2019-2023.",  IF(COUNTIF('Processed Non-zero TRI Data'!$I:$I,$H281)&gt;0,INDEX('Processed Non-zero TRI Data'!$A:$A,MATCH(1,($H281='Processed Non-zero TRI Data'!$I:$I)*(AB281='Processed Non-zero TRI Data'!$S:$S),0)))), VLOOKUP(H281, 'Form A Recent Reporting'!$L:$M, 2, FALSE)), ("N/A - Facility Does Not Report to TRI"))</f>
        <v>N/A - Facility Does Not Report to TRI</v>
      </c>
      <c r="AE281" s="109" cm="1">
        <f t="array" ref="AE281">IFERROR(_xlfn.XLOOKUP(1,  (MAX(IF(H281 = 'Processed Non-zero TRI Data'!$I:$I,'Processed Non-zero TRI Data'!$A:$A)) = 'Processed Non-zero TRI Data'!$A:$A)*('Processed Non-zero TRI Data'!$I:$I = H281), 'Processed Non-zero TRI Data'!$U:$U), "N/A- Facility Does Not Report to TRI")</f>
        <v>0</v>
      </c>
      <c r="AF281" s="33">
        <f t="shared" si="61"/>
        <v>0</v>
      </c>
      <c r="AG281" s="33" t="str" cm="1">
        <f t="array" ref="AG281">IF(COUNTIF('Processed Non-zero TRI Data'!$I:$I,$H281)&gt;0,MEDIAN(IF('Processed Non-zero TRI Data'!$I:$I=H281,'Processed Non-zero TRI Data'!$U:$U)), "N/A - Facility Does Not Report to TRI")</f>
        <v>N/A - Facility Does Not Report to TRI</v>
      </c>
      <c r="AH281" s="33" t="str">
        <f t="shared" si="62"/>
        <v>N/A - Facility Does Not Report to TRI</v>
      </c>
      <c r="AI281" s="33" t="str">
        <f>IF(COUNTIF('Processed Non-zero TRI Data'!$I:$I,$H281)&gt;0,_xlfn.MAXIFS('Processed Non-zero TRI Data'!$U:$U,'Processed Non-zero TRI Data'!$I:$I,$H281), "N/A - Facility Does Not Report to TRI")</f>
        <v>N/A - Facility Does Not Report to TRI</v>
      </c>
      <c r="AJ281" s="33" t="str">
        <f t="shared" si="63"/>
        <v>N/A - Facility Does Not Report to TRI</v>
      </c>
      <c r="AK281" s="110" t="str" cm="1">
        <f t="array" ref="AK281">IF(B281="TRI Form A",AD281,IF(AI281=0,"Facility has no transfers to POTWs between 2019-2023.",IF(COUNTIF('Processed Non-zero TRI Data'!$I:$I,$H281)&gt;0,INDEX('Processed Non-zero TRI Data'!$A:$A,MATCH(1,($H281='Processed Non-zero TRI Data'!$I:$I)*(AI281='Processed Non-zero TRI Data'!$U:$U),0)),"N/A - Facility Does Not Report to TRI")))</f>
        <v>N/A - Facility Does Not Report to TRI</v>
      </c>
      <c r="AL281" s="109" cm="1">
        <f t="array" ref="AL281">IFERROR(_xlfn.XLOOKUP(1,  (MAX(IF(H281 = 'Processed Non-zero TRI Data'!$I$2:$I$23,'Processed Non-zero TRI Data'!$A$2:$A$23)) = 'Processed Non-zero TRI Data'!$A$2:$A$23)*('Processed Non-zero TRI Data'!$I$2:$I$23 = H281), 'Processed Non-zero TRI Data'!$W$2:$W$23), "N/A- Facility Does Not Report to TRI")</f>
        <v>0</v>
      </c>
      <c r="AM281" s="33">
        <f t="shared" si="64"/>
        <v>0</v>
      </c>
      <c r="AN281" s="33" t="str" cm="1">
        <f t="array" ref="AN281">IF(COUNTIF('Processed Non-zero TRI Data'!$I:$I,$H281)&gt;0,MEDIAN(IF('Processed Non-zero TRI Data'!$I:$I=H281,'Processed Non-zero TRI Data'!$W:$W)), "N/A - Facility Does Not Report to TRI")</f>
        <v>N/A - Facility Does Not Report to TRI</v>
      </c>
      <c r="AO281" s="33" t="str">
        <f t="shared" si="65"/>
        <v>N/A - Facility Does Not Report to TRI</v>
      </c>
      <c r="AP281" s="33" t="str">
        <f>IF(COUNTIF('Processed Non-zero TRI Data'!$I:$I,$H281)&gt;0,_xlfn.MAXIFS('Processed Non-zero TRI Data'!$W:$W,'Processed Non-zero TRI Data'!$I:$I,$H281), "N/A - Facility Does Not Report to TRI")</f>
        <v>N/A - Facility Does Not Report to TRI</v>
      </c>
      <c r="AQ281" s="33" t="str">
        <f t="shared" si="66"/>
        <v>N/A - Facility Does Not Report to TRI</v>
      </c>
      <c r="AR281" s="110" t="str" cm="1">
        <f t="array" ref="AR281">IF(B281="TRI Form A",AD281,IF(AP281=0,"Facility has no transfers to non-POTWs between 2019-2023.",IF(COUNTIF('Processed Non-zero TRI Data'!$I:$I,$H281)&gt;0,INDEX('Processed Non-zero TRI Data'!$A:$A,MATCH(1,($H281='Processed Non-zero TRI Data'!$I:$I)*(AP281='Processed Non-zero TRI Data'!$W:$W),0)),"N/A - Facility Does Not Report to TRI")))</f>
        <v>N/A - Facility Does Not Report to TRI</v>
      </c>
    </row>
    <row r="282" spans="1:44" ht="29" x14ac:dyDescent="0.35">
      <c r="A282" s="34">
        <v>279</v>
      </c>
      <c r="B282" s="33" t="str">
        <f>IFERROR("TRI Form "&amp;VLOOKUP(H282,'Processed Non-zero TRI Data'!$I$2:$K$23,3,FALSE),"DMR")</f>
        <v>DMR</v>
      </c>
      <c r="C282" s="33" t="str">
        <f>VLOOKUP($D282, 'COU.OES Summary'!C:D, 2, FALSE)</f>
        <v> </v>
      </c>
      <c r="D282" s="33" t="str">
        <f>IFERROR(VLOOKUP($H282, 'Processed Non-zero TRI Data'!$I:$O, 7, FALSE), VLOOKUP($I282, 'Processed Non-zero DMR Data'!$K:$R, 8, FALSE))</f>
        <v>Waste handling, treatment, and disposal - Remediation or Monitoring</v>
      </c>
      <c r="E282" s="34" t="s">
        <v>627</v>
      </c>
      <c r="F282" s="34" t="s">
        <v>628</v>
      </c>
      <c r="G282" s="34" t="s">
        <v>254</v>
      </c>
      <c r="H282" s="34"/>
      <c r="I282" s="105">
        <v>110070215141</v>
      </c>
      <c r="J282" s="33" t="str">
        <f>IFERROR(VLOOKUP($I282, 'Processed Non-zero DMR Data'!$K:$U, 11, FALSE),"")</f>
        <v>NJG197548</v>
      </c>
      <c r="K282" s="33" t="str">
        <f>IFERROR(VLOOKUP($I282, 'Processed Non-zero DMR Data'!$K:$V, 12, FALSE),"Not Reported")</f>
        <v>Mill Brook-Raritan River</v>
      </c>
      <c r="L282" s="106" t="str">
        <f>IFERROR(VLOOKUP($I282, 'Processed Non-zero DMR Data'!$K:$W, 13, FALSE),"No Reach Code Reported")</f>
        <v>020301050507</v>
      </c>
      <c r="M282" s="107" t="str">
        <f>IFERROR(IFERROR(VLOOKUP(H282, 'Off-site Locations'!$K$3:$O$5, 5, FALSE), VLOOKUP(H282, 'Off-site Locations'!$B$3:$E$4, 4, FALSE)), "No Offsite Transfers")</f>
        <v>No Offsite Transfers</v>
      </c>
      <c r="N282" s="33">
        <f>VLOOKUP($D282, 'COU.OES Summary'!C:E, 3, FALSE)</f>
        <v>365</v>
      </c>
      <c r="O282" s="108">
        <f t="shared" si="56"/>
        <v>0</v>
      </c>
      <c r="P282" s="108">
        <f t="shared" si="57"/>
        <v>7.2203965825000001E-3</v>
      </c>
      <c r="Q282" s="109" cm="1">
        <f t="array" ref="Q282">IFERROR(_xlfn.XLOOKUP(1,  (MAX(IF(I282 = 'Processed Non-zero DMR Data'!$K:$K,'Processed Non-zero DMR Data'!$A:$A)) = 'Processed Non-zero DMR Data'!$A:$A)*('Processed Non-zero DMR Data'!$K:$K = I282),'Processed Non-zero DMR Data'!$T:$T), "N/A- Facility Does Not Report DMRs")</f>
        <v>1.9667922828000002E-3</v>
      </c>
      <c r="R282" s="33">
        <f t="shared" si="67"/>
        <v>5.3884720076712337E-6</v>
      </c>
      <c r="S282" s="33" cm="1">
        <f t="array" ref="S282">IF(COUNTIF('Processed Non-zero DMR Data'!$K:$K,$I282)&gt;0,MEDIAN(IF('Processed Non-zero DMR Data'!$K:$K=I282,'Processed Non-zero DMR Data'!$T:$T)),"N/A - Facility Does Not Report DMRs")</f>
        <v>3.3743691350000002E-3</v>
      </c>
      <c r="T282" s="33">
        <f t="shared" si="68"/>
        <v>9.2448469452054795E-6</v>
      </c>
      <c r="U282" s="33">
        <f>IF(COUNTIF('Processed Non-zero DMR Data'!$K:$K,$I282)&gt;0,_xlfn.MAXIFS('Processed Non-zero DMR Data'!$T:$T,'Processed Non-zero DMR Data'!$K:$K,$I282), "N/A - Facility Does Not Report DMRs")</f>
        <v>7.2203965825000001E-3</v>
      </c>
      <c r="V282" s="33">
        <f t="shared" si="69"/>
        <v>1.978190844520548E-5</v>
      </c>
      <c r="W282" s="110" cm="1">
        <f t="array" ref="W282">IF(COUNTIF('Processed Non-zero DMR Data'!$K:$K,$I282)&gt;0,INDEX('Processed Non-zero DMR Data'!$A:$A,MATCH(1,($I282='Processed Non-zero DMR Data'!$K:$K)*($U282='Processed Non-zero DMR Data'!$T:$T),0)), "N/A - Facility Does Not Report DMRs")</f>
        <v>2021</v>
      </c>
      <c r="X282" s="109" cm="1">
        <f t="array" ref="X282">IFERROR(_xlfn.XLOOKUP(1,  (MAX(IF(H282 = 'Processed Non-zero TRI Data'!$I:$I,'Processed Non-zero TRI Data'!$A:$A)) = 'Processed Non-zero TRI Data'!$A:$A)*('Processed Non-zero TRI Data'!$I:$I = H282), 'Processed Non-zero TRI Data'!$S:$S), "N/A- Facility Does Not Report to TRI")</f>
        <v>0</v>
      </c>
      <c r="Y282" s="33">
        <f t="shared" si="58"/>
        <v>0</v>
      </c>
      <c r="Z282" s="33" t="str" cm="1">
        <f t="array" ref="Z282">IF(COUNTIF('Processed Non-zero TRI Data'!$I:$I,$H282)&gt;0,MEDIAN(IF('Processed Non-zero TRI Data'!$I:$I=H282,'Processed Non-zero TRI Data'!$S:$S)), "N/A - Facility Does Not Report to TRI")</f>
        <v>N/A - Facility Does Not Report to TRI</v>
      </c>
      <c r="AA282" s="33" t="str">
        <f t="shared" si="59"/>
        <v>N/A - Facility Does Not Report to TRI</v>
      </c>
      <c r="AB282" s="33" t="str">
        <f>IF(COUNTIF('Processed Non-zero TRI Data'!$I:$I,$H282)&gt;0,_xlfn.MAXIFS('Processed Non-zero TRI Data'!$S:$S,'Processed Non-zero TRI Data'!$I:$I,$H282), "N/A - Facility Does Not Report to TRI")</f>
        <v>N/A - Facility Does Not Report to TRI</v>
      </c>
      <c r="AC282" s="33" t="str">
        <f t="shared" si="60"/>
        <v>N/A - Facility Does Not Report to TRI</v>
      </c>
      <c r="AD282" s="110" t="str" cm="1">
        <f t="array" ref="AD282">IFERROR(IF(B282 = "TRI Form R", IF(AB282 = 0, "Facility has no on-site water discharges between 2019-2023.",  IF(COUNTIF('Processed Non-zero TRI Data'!$I:$I,$H282)&gt;0,INDEX('Processed Non-zero TRI Data'!$A:$A,MATCH(1,($H282='Processed Non-zero TRI Data'!$I:$I)*(AB282='Processed Non-zero TRI Data'!$S:$S),0)))), VLOOKUP(H282, 'Form A Recent Reporting'!$L:$M, 2, FALSE)), ("N/A - Facility Does Not Report to TRI"))</f>
        <v>N/A - Facility Does Not Report to TRI</v>
      </c>
      <c r="AE282" s="109" cm="1">
        <f t="array" ref="AE282">IFERROR(_xlfn.XLOOKUP(1,  (MAX(IF(H282 = 'Processed Non-zero TRI Data'!$I:$I,'Processed Non-zero TRI Data'!$A:$A)) = 'Processed Non-zero TRI Data'!$A:$A)*('Processed Non-zero TRI Data'!$I:$I = H282), 'Processed Non-zero TRI Data'!$U:$U), "N/A- Facility Does Not Report to TRI")</f>
        <v>0</v>
      </c>
      <c r="AF282" s="33">
        <f t="shared" si="61"/>
        <v>0</v>
      </c>
      <c r="AG282" s="33" t="str" cm="1">
        <f t="array" ref="AG282">IF(COUNTIF('Processed Non-zero TRI Data'!$I:$I,$H282)&gt;0,MEDIAN(IF('Processed Non-zero TRI Data'!$I:$I=H282,'Processed Non-zero TRI Data'!$U:$U)), "N/A - Facility Does Not Report to TRI")</f>
        <v>N/A - Facility Does Not Report to TRI</v>
      </c>
      <c r="AH282" s="33" t="str">
        <f t="shared" si="62"/>
        <v>N/A - Facility Does Not Report to TRI</v>
      </c>
      <c r="AI282" s="33" t="str">
        <f>IF(COUNTIF('Processed Non-zero TRI Data'!$I:$I,$H282)&gt;0,_xlfn.MAXIFS('Processed Non-zero TRI Data'!$U:$U,'Processed Non-zero TRI Data'!$I:$I,$H282), "N/A - Facility Does Not Report to TRI")</f>
        <v>N/A - Facility Does Not Report to TRI</v>
      </c>
      <c r="AJ282" s="33" t="str">
        <f t="shared" si="63"/>
        <v>N/A - Facility Does Not Report to TRI</v>
      </c>
      <c r="AK282" s="110" t="str" cm="1">
        <f t="array" ref="AK282">IF(B282="TRI Form A",AD282,IF(AI282=0,"Facility has no transfers to POTWs between 2019-2023.",IF(COUNTIF('Processed Non-zero TRI Data'!$I:$I,$H282)&gt;0,INDEX('Processed Non-zero TRI Data'!$A:$A,MATCH(1,($H282='Processed Non-zero TRI Data'!$I:$I)*(AI282='Processed Non-zero TRI Data'!$U:$U),0)),"N/A - Facility Does Not Report to TRI")))</f>
        <v>N/A - Facility Does Not Report to TRI</v>
      </c>
      <c r="AL282" s="109" cm="1">
        <f t="array" ref="AL282">IFERROR(_xlfn.XLOOKUP(1,  (MAX(IF(H282 = 'Processed Non-zero TRI Data'!$I$2:$I$23,'Processed Non-zero TRI Data'!$A$2:$A$23)) = 'Processed Non-zero TRI Data'!$A$2:$A$23)*('Processed Non-zero TRI Data'!$I$2:$I$23 = H282), 'Processed Non-zero TRI Data'!$W$2:$W$23), "N/A- Facility Does Not Report to TRI")</f>
        <v>0</v>
      </c>
      <c r="AM282" s="33">
        <f t="shared" si="64"/>
        <v>0</v>
      </c>
      <c r="AN282" s="33" t="str" cm="1">
        <f t="array" ref="AN282">IF(COUNTIF('Processed Non-zero TRI Data'!$I:$I,$H282)&gt;0,MEDIAN(IF('Processed Non-zero TRI Data'!$I:$I=H282,'Processed Non-zero TRI Data'!$W:$W)), "N/A - Facility Does Not Report to TRI")</f>
        <v>N/A - Facility Does Not Report to TRI</v>
      </c>
      <c r="AO282" s="33" t="str">
        <f t="shared" si="65"/>
        <v>N/A - Facility Does Not Report to TRI</v>
      </c>
      <c r="AP282" s="33" t="str">
        <f>IF(COUNTIF('Processed Non-zero TRI Data'!$I:$I,$H282)&gt;0,_xlfn.MAXIFS('Processed Non-zero TRI Data'!$W:$W,'Processed Non-zero TRI Data'!$I:$I,$H282), "N/A - Facility Does Not Report to TRI")</f>
        <v>N/A - Facility Does Not Report to TRI</v>
      </c>
      <c r="AQ282" s="33" t="str">
        <f t="shared" si="66"/>
        <v>N/A - Facility Does Not Report to TRI</v>
      </c>
      <c r="AR282" s="110" t="str" cm="1">
        <f t="array" ref="AR282">IF(B282="TRI Form A",AD282,IF(AP282=0,"Facility has no transfers to non-POTWs between 2019-2023.",IF(COUNTIF('Processed Non-zero TRI Data'!$I:$I,$H282)&gt;0,INDEX('Processed Non-zero TRI Data'!$A:$A,MATCH(1,($H282='Processed Non-zero TRI Data'!$I:$I)*(AP282='Processed Non-zero TRI Data'!$W:$W),0)),"N/A - Facility Does Not Report to TRI")))</f>
        <v>N/A - Facility Does Not Report to TRI</v>
      </c>
    </row>
    <row r="283" spans="1:44" ht="29" x14ac:dyDescent="0.35">
      <c r="A283" s="34">
        <v>280</v>
      </c>
      <c r="B283" s="33" t="str">
        <f>IFERROR("TRI Form "&amp;VLOOKUP(H283,'Processed Non-zero TRI Data'!$I$2:$K$23,3,FALSE),"DMR")</f>
        <v>DMR</v>
      </c>
      <c r="C283" s="33" t="str">
        <f>VLOOKUP($D283, 'COU.OES Summary'!C:D, 2, FALSE)</f>
        <v> </v>
      </c>
      <c r="D283" s="33" t="str">
        <f>IFERROR(VLOOKUP($H283, 'Processed Non-zero TRI Data'!$I:$O, 7, FALSE), VLOOKUP($I283, 'Processed Non-zero DMR Data'!$K:$R, 8, FALSE))</f>
        <v>Waste handling, treatment, and disposal - Remediation or Monitoring</v>
      </c>
      <c r="E283" s="34" t="s">
        <v>629</v>
      </c>
      <c r="F283" s="34" t="s">
        <v>620</v>
      </c>
      <c r="G283" s="34" t="s">
        <v>126</v>
      </c>
      <c r="H283" s="34"/>
      <c r="I283" s="105">
        <v>110002321345</v>
      </c>
      <c r="J283" s="33" t="str">
        <f>IFERROR(VLOOKUP($I283, 'Processed Non-zero DMR Data'!$K:$U, 11, FALSE),"")</f>
        <v>NY0257206</v>
      </c>
      <c r="K283" s="33" t="str">
        <f>IFERROR(VLOOKUP($I283, 'Processed Non-zero DMR Data'!$K:$V, 12, FALSE),"Not Reported")</f>
        <v>Reall Creek-Mohawk River</v>
      </c>
      <c r="L283" s="106">
        <f>IFERROR(VLOOKUP($I283, 'Processed Non-zero DMR Data'!$K:$W, 13, FALSE),"No Reach Code Reported")</f>
        <v>20200040311</v>
      </c>
      <c r="M283" s="107" t="str">
        <f>IFERROR(IFERROR(VLOOKUP(H283, 'Off-site Locations'!$K$3:$O$5, 5, FALSE), VLOOKUP(H283, 'Off-site Locations'!$B$3:$E$4, 4, FALSE)), "No Offsite Transfers")</f>
        <v>No Offsite Transfers</v>
      </c>
      <c r="N283" s="33">
        <f>VLOOKUP($D283, 'COU.OES Summary'!C:E, 3, FALSE)</f>
        <v>365</v>
      </c>
      <c r="O283" s="108">
        <f t="shared" si="56"/>
        <v>0</v>
      </c>
      <c r="P283" s="108">
        <f t="shared" si="57"/>
        <v>7.0432793999999996E-3</v>
      </c>
      <c r="Q283" s="109" cm="1">
        <f t="array" ref="Q283">IFERROR(_xlfn.XLOOKUP(1,  (MAX(IF(I283 = 'Processed Non-zero DMR Data'!$K:$K,'Processed Non-zero DMR Data'!$A:$A)) = 'Processed Non-zero DMR Data'!$A:$A)*('Processed Non-zero DMR Data'!$K:$K = I283),'Processed Non-zero DMR Data'!$T:$T), "N/A- Facility Does Not Report DMRs")</f>
        <v>6.0083847000000001E-3</v>
      </c>
      <c r="R283" s="33">
        <f t="shared" si="67"/>
        <v>1.646132794520548E-5</v>
      </c>
      <c r="S283" s="33" cm="1">
        <f t="array" ref="S283">IF(COUNTIF('Processed Non-zero DMR Data'!$K:$K,$I283)&gt;0,MEDIAN(IF('Processed Non-zero DMR Data'!$K:$K=I283,'Processed Non-zero DMR Data'!$T:$T)),"N/A - Facility Does Not Report DMRs")</f>
        <v>5.9606937000000002E-3</v>
      </c>
      <c r="T283" s="33">
        <f t="shared" si="68"/>
        <v>1.6330667671232878E-5</v>
      </c>
      <c r="U283" s="33">
        <f>IF(COUNTIF('Processed Non-zero DMR Data'!$K:$K,$I283)&gt;0,_xlfn.MAXIFS('Processed Non-zero DMR Data'!$T:$T,'Processed Non-zero DMR Data'!$K:$K,$I283), "N/A - Facility Does Not Report DMRs")</f>
        <v>7.0432793999999996E-3</v>
      </c>
      <c r="V283" s="33">
        <f t="shared" si="69"/>
        <v>1.9296655890410959E-5</v>
      </c>
      <c r="W283" s="110" cm="1">
        <f t="array" ref="W283">IF(COUNTIF('Processed Non-zero DMR Data'!$K:$K,$I283)&gt;0,INDEX('Processed Non-zero DMR Data'!$A:$A,MATCH(1,($I283='Processed Non-zero DMR Data'!$K:$K)*($U283='Processed Non-zero DMR Data'!$T:$T),0)), "N/A - Facility Does Not Report DMRs")</f>
        <v>2019</v>
      </c>
      <c r="X283" s="109" cm="1">
        <f t="array" ref="X283">IFERROR(_xlfn.XLOOKUP(1,  (MAX(IF(H283 = 'Processed Non-zero TRI Data'!$I:$I,'Processed Non-zero TRI Data'!$A:$A)) = 'Processed Non-zero TRI Data'!$A:$A)*('Processed Non-zero TRI Data'!$I:$I = H283), 'Processed Non-zero TRI Data'!$S:$S), "N/A- Facility Does Not Report to TRI")</f>
        <v>0</v>
      </c>
      <c r="Y283" s="33">
        <f t="shared" si="58"/>
        <v>0</v>
      </c>
      <c r="Z283" s="33" t="str" cm="1">
        <f t="array" ref="Z283">IF(COUNTIF('Processed Non-zero TRI Data'!$I:$I,$H283)&gt;0,MEDIAN(IF('Processed Non-zero TRI Data'!$I:$I=H283,'Processed Non-zero TRI Data'!$S:$S)), "N/A - Facility Does Not Report to TRI")</f>
        <v>N/A - Facility Does Not Report to TRI</v>
      </c>
      <c r="AA283" s="33" t="str">
        <f t="shared" si="59"/>
        <v>N/A - Facility Does Not Report to TRI</v>
      </c>
      <c r="AB283" s="33" t="str">
        <f>IF(COUNTIF('Processed Non-zero TRI Data'!$I:$I,$H283)&gt;0,_xlfn.MAXIFS('Processed Non-zero TRI Data'!$S:$S,'Processed Non-zero TRI Data'!$I:$I,$H283), "N/A - Facility Does Not Report to TRI")</f>
        <v>N/A - Facility Does Not Report to TRI</v>
      </c>
      <c r="AC283" s="33" t="str">
        <f t="shared" si="60"/>
        <v>N/A - Facility Does Not Report to TRI</v>
      </c>
      <c r="AD283" s="110" t="str" cm="1">
        <f t="array" ref="AD283">IFERROR(IF(B283 = "TRI Form R", IF(AB283 = 0, "Facility has no on-site water discharges between 2019-2023.",  IF(COUNTIF('Processed Non-zero TRI Data'!$I:$I,$H283)&gt;0,INDEX('Processed Non-zero TRI Data'!$A:$A,MATCH(1,($H283='Processed Non-zero TRI Data'!$I:$I)*(AB283='Processed Non-zero TRI Data'!$S:$S),0)))), VLOOKUP(H283, 'Form A Recent Reporting'!$L:$M, 2, FALSE)), ("N/A - Facility Does Not Report to TRI"))</f>
        <v>N/A - Facility Does Not Report to TRI</v>
      </c>
      <c r="AE283" s="109" cm="1">
        <f t="array" ref="AE283">IFERROR(_xlfn.XLOOKUP(1,  (MAX(IF(H283 = 'Processed Non-zero TRI Data'!$I:$I,'Processed Non-zero TRI Data'!$A:$A)) = 'Processed Non-zero TRI Data'!$A:$A)*('Processed Non-zero TRI Data'!$I:$I = H283), 'Processed Non-zero TRI Data'!$U:$U), "N/A- Facility Does Not Report to TRI")</f>
        <v>0</v>
      </c>
      <c r="AF283" s="33">
        <f t="shared" si="61"/>
        <v>0</v>
      </c>
      <c r="AG283" s="33" t="str" cm="1">
        <f t="array" ref="AG283">IF(COUNTIF('Processed Non-zero TRI Data'!$I:$I,$H283)&gt;0,MEDIAN(IF('Processed Non-zero TRI Data'!$I:$I=H283,'Processed Non-zero TRI Data'!$U:$U)), "N/A - Facility Does Not Report to TRI")</f>
        <v>N/A - Facility Does Not Report to TRI</v>
      </c>
      <c r="AH283" s="33" t="str">
        <f t="shared" si="62"/>
        <v>N/A - Facility Does Not Report to TRI</v>
      </c>
      <c r="AI283" s="33" t="str">
        <f>IF(COUNTIF('Processed Non-zero TRI Data'!$I:$I,$H283)&gt;0,_xlfn.MAXIFS('Processed Non-zero TRI Data'!$U:$U,'Processed Non-zero TRI Data'!$I:$I,$H283), "N/A - Facility Does Not Report to TRI")</f>
        <v>N/A - Facility Does Not Report to TRI</v>
      </c>
      <c r="AJ283" s="33" t="str">
        <f t="shared" si="63"/>
        <v>N/A - Facility Does Not Report to TRI</v>
      </c>
      <c r="AK283" s="110" t="str" cm="1">
        <f t="array" ref="AK283">IF(B283="TRI Form A",AD283,IF(AI283=0,"Facility has no transfers to POTWs between 2019-2023.",IF(COUNTIF('Processed Non-zero TRI Data'!$I:$I,$H283)&gt;0,INDEX('Processed Non-zero TRI Data'!$A:$A,MATCH(1,($H283='Processed Non-zero TRI Data'!$I:$I)*(AI283='Processed Non-zero TRI Data'!$U:$U),0)),"N/A - Facility Does Not Report to TRI")))</f>
        <v>N/A - Facility Does Not Report to TRI</v>
      </c>
      <c r="AL283" s="109" cm="1">
        <f t="array" ref="AL283">IFERROR(_xlfn.XLOOKUP(1,  (MAX(IF(H283 = 'Processed Non-zero TRI Data'!$I$2:$I$23,'Processed Non-zero TRI Data'!$A$2:$A$23)) = 'Processed Non-zero TRI Data'!$A$2:$A$23)*('Processed Non-zero TRI Data'!$I$2:$I$23 = H283), 'Processed Non-zero TRI Data'!$W$2:$W$23), "N/A- Facility Does Not Report to TRI")</f>
        <v>0</v>
      </c>
      <c r="AM283" s="33">
        <f t="shared" si="64"/>
        <v>0</v>
      </c>
      <c r="AN283" s="33" t="str" cm="1">
        <f t="array" ref="AN283">IF(COUNTIF('Processed Non-zero TRI Data'!$I:$I,$H283)&gt;0,MEDIAN(IF('Processed Non-zero TRI Data'!$I:$I=H283,'Processed Non-zero TRI Data'!$W:$W)), "N/A - Facility Does Not Report to TRI")</f>
        <v>N/A - Facility Does Not Report to TRI</v>
      </c>
      <c r="AO283" s="33" t="str">
        <f t="shared" si="65"/>
        <v>N/A - Facility Does Not Report to TRI</v>
      </c>
      <c r="AP283" s="33" t="str">
        <f>IF(COUNTIF('Processed Non-zero TRI Data'!$I:$I,$H283)&gt;0,_xlfn.MAXIFS('Processed Non-zero TRI Data'!$W:$W,'Processed Non-zero TRI Data'!$I:$I,$H283), "N/A - Facility Does Not Report to TRI")</f>
        <v>N/A - Facility Does Not Report to TRI</v>
      </c>
      <c r="AQ283" s="33" t="str">
        <f t="shared" si="66"/>
        <v>N/A - Facility Does Not Report to TRI</v>
      </c>
      <c r="AR283" s="110" t="str" cm="1">
        <f t="array" ref="AR283">IF(B283="TRI Form A",AD283,IF(AP283=0,"Facility has no transfers to non-POTWs between 2019-2023.",IF(COUNTIF('Processed Non-zero TRI Data'!$I:$I,$H283)&gt;0,INDEX('Processed Non-zero TRI Data'!$A:$A,MATCH(1,($H283='Processed Non-zero TRI Data'!$I:$I)*(AP283='Processed Non-zero TRI Data'!$W:$W),0)),"N/A - Facility Does Not Report to TRI")))</f>
        <v>N/A - Facility Does Not Report to TRI</v>
      </c>
    </row>
    <row r="284" spans="1:44" ht="29" x14ac:dyDescent="0.35">
      <c r="A284" s="34">
        <v>281</v>
      </c>
      <c r="B284" s="33" t="str">
        <f>IFERROR("TRI Form "&amp;VLOOKUP(H284,'Processed Non-zero TRI Data'!$I$2:$K$23,3,FALSE),"DMR")</f>
        <v>DMR</v>
      </c>
      <c r="C284" s="33" t="str">
        <f>VLOOKUP($D284, 'COU.OES Summary'!C:D, 2, FALSE)</f>
        <v> </v>
      </c>
      <c r="D284" s="33" t="str">
        <f>IFERROR(VLOOKUP($H284, 'Processed Non-zero TRI Data'!$I:$O, 7, FALSE), VLOOKUP($I284, 'Processed Non-zero DMR Data'!$K:$R, 8, FALSE))</f>
        <v>Waste handling, treatment, and disposal - Remediation or Monitoring</v>
      </c>
      <c r="E284" s="34" t="s">
        <v>630</v>
      </c>
      <c r="F284" s="34" t="s">
        <v>631</v>
      </c>
      <c r="G284" s="34" t="s">
        <v>340</v>
      </c>
      <c r="H284" s="34"/>
      <c r="I284" s="105">
        <v>110071151044</v>
      </c>
      <c r="J284" s="33" t="str">
        <f>IFERROR(VLOOKUP($I284, 'Processed Non-zero DMR Data'!$K:$U, 11, FALSE),"")</f>
        <v>PA0081957</v>
      </c>
      <c r="K284" s="33" t="str">
        <f>IFERROR(VLOOKUP($I284, 'Processed Non-zero DMR Data'!$K:$V, 12, FALSE),"Not Reported")</f>
        <v>Upper Rock Creek</v>
      </c>
      <c r="L284" s="106">
        <f>IFERROR(VLOOKUP($I284, 'Processed Non-zero DMR Data'!$K:$W, 13, FALSE),"No Reach Code Reported")</f>
        <v>20700090101</v>
      </c>
      <c r="M284" s="107" t="str">
        <f>IFERROR(IFERROR(VLOOKUP(H284, 'Off-site Locations'!$K$3:$O$5, 5, FALSE), VLOOKUP(H284, 'Off-site Locations'!$B$3:$E$4, 4, FALSE)), "No Offsite Transfers")</f>
        <v>No Offsite Transfers</v>
      </c>
      <c r="N284" s="33">
        <f>VLOOKUP($D284, 'COU.OES Summary'!C:E, 3, FALSE)</f>
        <v>365</v>
      </c>
      <c r="O284" s="108">
        <f t="shared" si="56"/>
        <v>0</v>
      </c>
      <c r="P284" s="108">
        <f t="shared" si="57"/>
        <v>6.5149789410000004E-3</v>
      </c>
      <c r="Q284" s="109" cm="1">
        <f t="array" ref="Q284">IFERROR(_xlfn.XLOOKUP(1,  (MAX(IF(I284 = 'Processed Non-zero DMR Data'!$K:$K,'Processed Non-zero DMR Data'!$A:$A)) = 'Processed Non-zero DMR Data'!$A:$A)*('Processed Non-zero DMR Data'!$K:$K = I284),'Processed Non-zero DMR Data'!$T:$T), "N/A- Facility Does Not Report DMRs")</f>
        <v>6.5149789410000004E-3</v>
      </c>
      <c r="R284" s="33">
        <f t="shared" si="67"/>
        <v>1.784925737260274E-5</v>
      </c>
      <c r="S284" s="33" cm="1">
        <f t="array" ref="S284">IF(COUNTIF('Processed Non-zero DMR Data'!$K:$K,$I284)&gt;0,MEDIAN(IF('Processed Non-zero DMR Data'!$K:$K=I284,'Processed Non-zero DMR Data'!$T:$T)),"N/A - Facility Does Not Report DMRs")</f>
        <v>6.0741823830000007E-3</v>
      </c>
      <c r="T284" s="33">
        <f t="shared" si="68"/>
        <v>1.6641595569863014E-5</v>
      </c>
      <c r="U284" s="33">
        <f>IF(COUNTIF('Processed Non-zero DMR Data'!$K:$K,$I284)&gt;0,_xlfn.MAXIFS('Processed Non-zero DMR Data'!$T:$T,'Processed Non-zero DMR Data'!$K:$K,$I284), "N/A - Facility Does Not Report DMRs")</f>
        <v>6.5149789410000004E-3</v>
      </c>
      <c r="V284" s="33">
        <f t="shared" si="69"/>
        <v>1.784925737260274E-5</v>
      </c>
      <c r="W284" s="110" cm="1">
        <f t="array" ref="W284">IF(COUNTIF('Processed Non-zero DMR Data'!$K:$K,$I284)&gt;0,INDEX('Processed Non-zero DMR Data'!$A:$A,MATCH(1,($I284='Processed Non-zero DMR Data'!$K:$K)*($U284='Processed Non-zero DMR Data'!$T:$T),0)), "N/A - Facility Does Not Report DMRs")</f>
        <v>2020</v>
      </c>
      <c r="X284" s="109" cm="1">
        <f t="array" ref="X284">IFERROR(_xlfn.XLOOKUP(1,  (MAX(IF(H284 = 'Processed Non-zero TRI Data'!$I:$I,'Processed Non-zero TRI Data'!$A:$A)) = 'Processed Non-zero TRI Data'!$A:$A)*('Processed Non-zero TRI Data'!$I:$I = H284), 'Processed Non-zero TRI Data'!$S:$S), "N/A- Facility Does Not Report to TRI")</f>
        <v>0</v>
      </c>
      <c r="Y284" s="33">
        <f t="shared" si="58"/>
        <v>0</v>
      </c>
      <c r="Z284" s="33" t="str" cm="1">
        <f t="array" ref="Z284">IF(COUNTIF('Processed Non-zero TRI Data'!$I:$I,$H284)&gt;0,MEDIAN(IF('Processed Non-zero TRI Data'!$I:$I=H284,'Processed Non-zero TRI Data'!$S:$S)), "N/A - Facility Does Not Report to TRI")</f>
        <v>N/A - Facility Does Not Report to TRI</v>
      </c>
      <c r="AA284" s="33" t="str">
        <f t="shared" si="59"/>
        <v>N/A - Facility Does Not Report to TRI</v>
      </c>
      <c r="AB284" s="33" t="str">
        <f>IF(COUNTIF('Processed Non-zero TRI Data'!$I:$I,$H284)&gt;0,_xlfn.MAXIFS('Processed Non-zero TRI Data'!$S:$S,'Processed Non-zero TRI Data'!$I:$I,$H284), "N/A - Facility Does Not Report to TRI")</f>
        <v>N/A - Facility Does Not Report to TRI</v>
      </c>
      <c r="AC284" s="33" t="str">
        <f t="shared" si="60"/>
        <v>N/A - Facility Does Not Report to TRI</v>
      </c>
      <c r="AD284" s="110" t="str" cm="1">
        <f t="array" ref="AD284">IFERROR(IF(B284 = "TRI Form R", IF(AB284 = 0, "Facility has no on-site water discharges between 2019-2023.",  IF(COUNTIF('Processed Non-zero TRI Data'!$I:$I,$H284)&gt;0,INDEX('Processed Non-zero TRI Data'!$A:$A,MATCH(1,($H284='Processed Non-zero TRI Data'!$I:$I)*(AB284='Processed Non-zero TRI Data'!$S:$S),0)))), VLOOKUP(H284, 'Form A Recent Reporting'!$L:$M, 2, FALSE)), ("N/A - Facility Does Not Report to TRI"))</f>
        <v>N/A - Facility Does Not Report to TRI</v>
      </c>
      <c r="AE284" s="109" cm="1">
        <f t="array" ref="AE284">IFERROR(_xlfn.XLOOKUP(1,  (MAX(IF(H284 = 'Processed Non-zero TRI Data'!$I:$I,'Processed Non-zero TRI Data'!$A:$A)) = 'Processed Non-zero TRI Data'!$A:$A)*('Processed Non-zero TRI Data'!$I:$I = H284), 'Processed Non-zero TRI Data'!$U:$U), "N/A- Facility Does Not Report to TRI")</f>
        <v>0</v>
      </c>
      <c r="AF284" s="33">
        <f t="shared" si="61"/>
        <v>0</v>
      </c>
      <c r="AG284" s="33" t="str" cm="1">
        <f t="array" ref="AG284">IF(COUNTIF('Processed Non-zero TRI Data'!$I:$I,$H284)&gt;0,MEDIAN(IF('Processed Non-zero TRI Data'!$I:$I=H284,'Processed Non-zero TRI Data'!$U:$U)), "N/A - Facility Does Not Report to TRI")</f>
        <v>N/A - Facility Does Not Report to TRI</v>
      </c>
      <c r="AH284" s="33" t="str">
        <f t="shared" si="62"/>
        <v>N/A - Facility Does Not Report to TRI</v>
      </c>
      <c r="AI284" s="33" t="str">
        <f>IF(COUNTIF('Processed Non-zero TRI Data'!$I:$I,$H284)&gt;0,_xlfn.MAXIFS('Processed Non-zero TRI Data'!$U:$U,'Processed Non-zero TRI Data'!$I:$I,$H284), "N/A - Facility Does Not Report to TRI")</f>
        <v>N/A - Facility Does Not Report to TRI</v>
      </c>
      <c r="AJ284" s="33" t="str">
        <f t="shared" si="63"/>
        <v>N/A - Facility Does Not Report to TRI</v>
      </c>
      <c r="AK284" s="110" t="str" cm="1">
        <f t="array" ref="AK284">IF(B284="TRI Form A",AD284,IF(AI284=0,"Facility has no transfers to POTWs between 2019-2023.",IF(COUNTIF('Processed Non-zero TRI Data'!$I:$I,$H284)&gt;0,INDEX('Processed Non-zero TRI Data'!$A:$A,MATCH(1,($H284='Processed Non-zero TRI Data'!$I:$I)*(AI284='Processed Non-zero TRI Data'!$U:$U),0)),"N/A - Facility Does Not Report to TRI")))</f>
        <v>N/A - Facility Does Not Report to TRI</v>
      </c>
      <c r="AL284" s="109" cm="1">
        <f t="array" ref="AL284">IFERROR(_xlfn.XLOOKUP(1,  (MAX(IF(H284 = 'Processed Non-zero TRI Data'!$I$2:$I$23,'Processed Non-zero TRI Data'!$A$2:$A$23)) = 'Processed Non-zero TRI Data'!$A$2:$A$23)*('Processed Non-zero TRI Data'!$I$2:$I$23 = H284), 'Processed Non-zero TRI Data'!$W$2:$W$23), "N/A- Facility Does Not Report to TRI")</f>
        <v>0</v>
      </c>
      <c r="AM284" s="33">
        <f t="shared" si="64"/>
        <v>0</v>
      </c>
      <c r="AN284" s="33" t="str" cm="1">
        <f t="array" ref="AN284">IF(COUNTIF('Processed Non-zero TRI Data'!$I:$I,$H284)&gt;0,MEDIAN(IF('Processed Non-zero TRI Data'!$I:$I=H284,'Processed Non-zero TRI Data'!$W:$W)), "N/A - Facility Does Not Report to TRI")</f>
        <v>N/A - Facility Does Not Report to TRI</v>
      </c>
      <c r="AO284" s="33" t="str">
        <f t="shared" si="65"/>
        <v>N/A - Facility Does Not Report to TRI</v>
      </c>
      <c r="AP284" s="33" t="str">
        <f>IF(COUNTIF('Processed Non-zero TRI Data'!$I:$I,$H284)&gt;0,_xlfn.MAXIFS('Processed Non-zero TRI Data'!$W:$W,'Processed Non-zero TRI Data'!$I:$I,$H284), "N/A - Facility Does Not Report to TRI")</f>
        <v>N/A - Facility Does Not Report to TRI</v>
      </c>
      <c r="AQ284" s="33" t="str">
        <f t="shared" si="66"/>
        <v>N/A - Facility Does Not Report to TRI</v>
      </c>
      <c r="AR284" s="110" t="str" cm="1">
        <f t="array" ref="AR284">IF(B284="TRI Form A",AD284,IF(AP284=0,"Facility has no transfers to non-POTWs between 2019-2023.",IF(COUNTIF('Processed Non-zero TRI Data'!$I:$I,$H284)&gt;0,INDEX('Processed Non-zero TRI Data'!$A:$A,MATCH(1,($H284='Processed Non-zero TRI Data'!$I:$I)*(AP284='Processed Non-zero TRI Data'!$W:$W),0)),"N/A - Facility Does Not Report to TRI")))</f>
        <v>N/A - Facility Does Not Report to TRI</v>
      </c>
    </row>
    <row r="285" spans="1:44" ht="29" x14ac:dyDescent="0.35">
      <c r="A285" s="34">
        <v>282</v>
      </c>
      <c r="B285" s="33" t="str">
        <f>IFERROR("TRI Form "&amp;VLOOKUP(H285,'Processed Non-zero TRI Data'!$I$2:$K$23,3,FALSE),"DMR")</f>
        <v>DMR</v>
      </c>
      <c r="C285" s="33" t="str">
        <f>VLOOKUP($D285, 'COU.OES Summary'!C:D, 2, FALSE)</f>
        <v> </v>
      </c>
      <c r="D285" s="33" t="str">
        <f>IFERROR(VLOOKUP($H285, 'Processed Non-zero TRI Data'!$I:$O, 7, FALSE), VLOOKUP($I285, 'Processed Non-zero DMR Data'!$K:$R, 8, FALSE))</f>
        <v>Waste handling, treatment, and disposal - Remediation or Monitoring</v>
      </c>
      <c r="E285" s="34" t="s">
        <v>632</v>
      </c>
      <c r="F285" s="34" t="s">
        <v>623</v>
      </c>
      <c r="G285" s="34" t="s">
        <v>492</v>
      </c>
      <c r="H285" s="34"/>
      <c r="I285" s="105">
        <v>110031267304</v>
      </c>
      <c r="J285" s="33" t="str">
        <f>IFERROR(VLOOKUP($I285, 'Processed Non-zero DMR Data'!$K:$U, 11, FALSE),"")</f>
        <v>COG603115</v>
      </c>
      <c r="K285" s="33" t="str">
        <f>IFERROR(VLOOKUP($I285, 'Processed Non-zero DMR Data'!$K:$V, 12, FALSE),"Not Reported")</f>
        <v>Cherry Creek-South Platte River</v>
      </c>
      <c r="L285" s="106">
        <f>IFERROR(VLOOKUP($I285, 'Processed Non-zero DMR Data'!$K:$W, 13, FALSE),"No Reach Code Reported")</f>
        <v>101900030304</v>
      </c>
      <c r="M285" s="107" t="str">
        <f>IFERROR(IFERROR(VLOOKUP(H285, 'Off-site Locations'!$K$3:$O$5, 5, FALSE), VLOOKUP(H285, 'Off-site Locations'!$B$3:$E$4, 4, FALSE)), "No Offsite Transfers")</f>
        <v>No Offsite Transfers</v>
      </c>
      <c r="N285" s="33">
        <f>VLOOKUP($D285, 'COU.OES Summary'!C:E, 3, FALSE)</f>
        <v>365</v>
      </c>
      <c r="O285" s="108">
        <f t="shared" si="56"/>
        <v>0</v>
      </c>
      <c r="P285" s="108">
        <f t="shared" si="57"/>
        <v>5.9681880000000001E-3</v>
      </c>
      <c r="Q285" s="109" cm="1">
        <f t="array" ref="Q285">IFERROR(_xlfn.XLOOKUP(1,  (MAX(IF(I285 = 'Processed Non-zero DMR Data'!$K:$K,'Processed Non-zero DMR Data'!$A:$A)) = 'Processed Non-zero DMR Data'!$A:$A)*('Processed Non-zero DMR Data'!$K:$K = I285),'Processed Non-zero DMR Data'!$T:$T), "N/A- Facility Does Not Report DMRs")</f>
        <v>5.9681880000000001E-3</v>
      </c>
      <c r="R285" s="33">
        <f t="shared" si="67"/>
        <v>1.63512E-5</v>
      </c>
      <c r="S285" s="33" cm="1">
        <f t="array" ref="S285">IF(COUNTIF('Processed Non-zero DMR Data'!$K:$K,$I285)&gt;0,MEDIAN(IF('Processed Non-zero DMR Data'!$K:$K=I285,'Processed Non-zero DMR Data'!$T:$T)),"N/A - Facility Does Not Report DMRs")</f>
        <v>5.9681880000000001E-3</v>
      </c>
      <c r="T285" s="33">
        <f t="shared" si="68"/>
        <v>1.63512E-5</v>
      </c>
      <c r="U285" s="33">
        <f>IF(COUNTIF('Processed Non-zero DMR Data'!$K:$K,$I285)&gt;0,_xlfn.MAXIFS('Processed Non-zero DMR Data'!$T:$T,'Processed Non-zero DMR Data'!$K:$K,$I285), "N/A - Facility Does Not Report DMRs")</f>
        <v>5.9681880000000001E-3</v>
      </c>
      <c r="V285" s="33">
        <f t="shared" si="69"/>
        <v>1.63512E-5</v>
      </c>
      <c r="W285" s="110" cm="1">
        <f t="array" ref="W285">IF(COUNTIF('Processed Non-zero DMR Data'!$K:$K,$I285)&gt;0,INDEX('Processed Non-zero DMR Data'!$A:$A,MATCH(1,($I285='Processed Non-zero DMR Data'!$K:$K)*($U285='Processed Non-zero DMR Data'!$T:$T),0)), "N/A - Facility Does Not Report DMRs")</f>
        <v>2019</v>
      </c>
      <c r="X285" s="109" cm="1">
        <f t="array" ref="X285">IFERROR(_xlfn.XLOOKUP(1,  (MAX(IF(H285 = 'Processed Non-zero TRI Data'!$I:$I,'Processed Non-zero TRI Data'!$A:$A)) = 'Processed Non-zero TRI Data'!$A:$A)*('Processed Non-zero TRI Data'!$I:$I = H285), 'Processed Non-zero TRI Data'!$S:$S), "N/A- Facility Does Not Report to TRI")</f>
        <v>0</v>
      </c>
      <c r="Y285" s="33">
        <f t="shared" si="58"/>
        <v>0</v>
      </c>
      <c r="Z285" s="33" t="str" cm="1">
        <f t="array" ref="Z285">IF(COUNTIF('Processed Non-zero TRI Data'!$I:$I,$H285)&gt;0,MEDIAN(IF('Processed Non-zero TRI Data'!$I:$I=H285,'Processed Non-zero TRI Data'!$S:$S)), "N/A - Facility Does Not Report to TRI")</f>
        <v>N/A - Facility Does Not Report to TRI</v>
      </c>
      <c r="AA285" s="33" t="str">
        <f t="shared" si="59"/>
        <v>N/A - Facility Does Not Report to TRI</v>
      </c>
      <c r="AB285" s="33" t="str">
        <f>IF(COUNTIF('Processed Non-zero TRI Data'!$I:$I,$H285)&gt;0,_xlfn.MAXIFS('Processed Non-zero TRI Data'!$S:$S,'Processed Non-zero TRI Data'!$I:$I,$H285), "N/A - Facility Does Not Report to TRI")</f>
        <v>N/A - Facility Does Not Report to TRI</v>
      </c>
      <c r="AC285" s="33" t="str">
        <f t="shared" si="60"/>
        <v>N/A - Facility Does Not Report to TRI</v>
      </c>
      <c r="AD285" s="110" t="str" cm="1">
        <f t="array" ref="AD285">IFERROR(IF(B285 = "TRI Form R", IF(AB285 = 0, "Facility has no on-site water discharges between 2019-2023.",  IF(COUNTIF('Processed Non-zero TRI Data'!$I:$I,$H285)&gt;0,INDEX('Processed Non-zero TRI Data'!$A:$A,MATCH(1,($H285='Processed Non-zero TRI Data'!$I:$I)*(AB285='Processed Non-zero TRI Data'!$S:$S),0)))), VLOOKUP(H285, 'Form A Recent Reporting'!$L:$M, 2, FALSE)), ("N/A - Facility Does Not Report to TRI"))</f>
        <v>N/A - Facility Does Not Report to TRI</v>
      </c>
      <c r="AE285" s="109" cm="1">
        <f t="array" ref="AE285">IFERROR(_xlfn.XLOOKUP(1,  (MAX(IF(H285 = 'Processed Non-zero TRI Data'!$I:$I,'Processed Non-zero TRI Data'!$A:$A)) = 'Processed Non-zero TRI Data'!$A:$A)*('Processed Non-zero TRI Data'!$I:$I = H285), 'Processed Non-zero TRI Data'!$U:$U), "N/A- Facility Does Not Report to TRI")</f>
        <v>0</v>
      </c>
      <c r="AF285" s="33">
        <f t="shared" si="61"/>
        <v>0</v>
      </c>
      <c r="AG285" s="33" t="str" cm="1">
        <f t="array" ref="AG285">IF(COUNTIF('Processed Non-zero TRI Data'!$I:$I,$H285)&gt;0,MEDIAN(IF('Processed Non-zero TRI Data'!$I:$I=H285,'Processed Non-zero TRI Data'!$U:$U)), "N/A - Facility Does Not Report to TRI")</f>
        <v>N/A - Facility Does Not Report to TRI</v>
      </c>
      <c r="AH285" s="33" t="str">
        <f t="shared" si="62"/>
        <v>N/A - Facility Does Not Report to TRI</v>
      </c>
      <c r="AI285" s="33" t="str">
        <f>IF(COUNTIF('Processed Non-zero TRI Data'!$I:$I,$H285)&gt;0,_xlfn.MAXIFS('Processed Non-zero TRI Data'!$U:$U,'Processed Non-zero TRI Data'!$I:$I,$H285), "N/A - Facility Does Not Report to TRI")</f>
        <v>N/A - Facility Does Not Report to TRI</v>
      </c>
      <c r="AJ285" s="33" t="str">
        <f t="shared" si="63"/>
        <v>N/A - Facility Does Not Report to TRI</v>
      </c>
      <c r="AK285" s="110" t="str" cm="1">
        <f t="array" ref="AK285">IF(B285="TRI Form A",AD285,IF(AI285=0,"Facility has no transfers to POTWs between 2019-2023.",IF(COUNTIF('Processed Non-zero TRI Data'!$I:$I,$H285)&gt;0,INDEX('Processed Non-zero TRI Data'!$A:$A,MATCH(1,($H285='Processed Non-zero TRI Data'!$I:$I)*(AI285='Processed Non-zero TRI Data'!$U:$U),0)),"N/A - Facility Does Not Report to TRI")))</f>
        <v>N/A - Facility Does Not Report to TRI</v>
      </c>
      <c r="AL285" s="109" cm="1">
        <f t="array" ref="AL285">IFERROR(_xlfn.XLOOKUP(1,  (MAX(IF(H285 = 'Processed Non-zero TRI Data'!$I$2:$I$23,'Processed Non-zero TRI Data'!$A$2:$A$23)) = 'Processed Non-zero TRI Data'!$A$2:$A$23)*('Processed Non-zero TRI Data'!$I$2:$I$23 = H285), 'Processed Non-zero TRI Data'!$W$2:$W$23), "N/A- Facility Does Not Report to TRI")</f>
        <v>0</v>
      </c>
      <c r="AM285" s="33">
        <f t="shared" si="64"/>
        <v>0</v>
      </c>
      <c r="AN285" s="33" t="str" cm="1">
        <f t="array" ref="AN285">IF(COUNTIF('Processed Non-zero TRI Data'!$I:$I,$H285)&gt;0,MEDIAN(IF('Processed Non-zero TRI Data'!$I:$I=H285,'Processed Non-zero TRI Data'!$W:$W)), "N/A - Facility Does Not Report to TRI")</f>
        <v>N/A - Facility Does Not Report to TRI</v>
      </c>
      <c r="AO285" s="33" t="str">
        <f t="shared" si="65"/>
        <v>N/A - Facility Does Not Report to TRI</v>
      </c>
      <c r="AP285" s="33" t="str">
        <f>IF(COUNTIF('Processed Non-zero TRI Data'!$I:$I,$H285)&gt;0,_xlfn.MAXIFS('Processed Non-zero TRI Data'!$W:$W,'Processed Non-zero TRI Data'!$I:$I,$H285), "N/A - Facility Does Not Report to TRI")</f>
        <v>N/A - Facility Does Not Report to TRI</v>
      </c>
      <c r="AQ285" s="33" t="str">
        <f t="shared" si="66"/>
        <v>N/A - Facility Does Not Report to TRI</v>
      </c>
      <c r="AR285" s="110" t="str" cm="1">
        <f t="array" ref="AR285">IF(B285="TRI Form A",AD285,IF(AP285=0,"Facility has no transfers to non-POTWs between 2019-2023.",IF(COUNTIF('Processed Non-zero TRI Data'!$I:$I,$H285)&gt;0,INDEX('Processed Non-zero TRI Data'!$A:$A,MATCH(1,($H285='Processed Non-zero TRI Data'!$I:$I)*(AP285='Processed Non-zero TRI Data'!$W:$W),0)),"N/A - Facility Does Not Report to TRI")))</f>
        <v>N/A - Facility Does Not Report to TRI</v>
      </c>
    </row>
    <row r="286" spans="1:44" ht="29" x14ac:dyDescent="0.35">
      <c r="A286" s="34">
        <v>283</v>
      </c>
      <c r="B286" s="33" t="str">
        <f>IFERROR("TRI Form "&amp;VLOOKUP(H286,'Processed Non-zero TRI Data'!$I$2:$K$23,3,FALSE),"DMR")</f>
        <v>DMR</v>
      </c>
      <c r="C286" s="33" t="str">
        <f>VLOOKUP($D286, 'COU.OES Summary'!C:D, 2, FALSE)</f>
        <v> </v>
      </c>
      <c r="D286" s="33" t="str">
        <f>IFERROR(VLOOKUP($H286, 'Processed Non-zero TRI Data'!$I:$O, 7, FALSE), VLOOKUP($I286, 'Processed Non-zero DMR Data'!$K:$R, 8, FALSE))</f>
        <v>Waste handling, treatment, and disposal - Remediation or Monitoring</v>
      </c>
      <c r="E286" s="34" t="s">
        <v>633</v>
      </c>
      <c r="F286" s="34" t="s">
        <v>634</v>
      </c>
      <c r="G286" s="34" t="s">
        <v>328</v>
      </c>
      <c r="H286" s="34"/>
      <c r="I286" s="105">
        <v>110035765794</v>
      </c>
      <c r="J286" s="33" t="str">
        <f>IFERROR(VLOOKUP($I286, 'Processed Non-zero DMR Data'!$K:$U, 11, FALSE),"")</f>
        <v>MNG790159</v>
      </c>
      <c r="K286" s="33" t="str">
        <f>IFERROR(VLOOKUP($I286, 'Processed Non-zero DMR Data'!$K:$V, 12, FALSE),"Not Reported")</f>
        <v>Durnam Island-Mississippi River</v>
      </c>
      <c r="L286" s="106">
        <f>IFERROR(VLOOKUP($I286, 'Processed Non-zero DMR Data'!$K:$W, 13, FALSE),"No Reach Code Reported")</f>
        <v>70102060702</v>
      </c>
      <c r="M286" s="107" t="str">
        <f>IFERROR(IFERROR(VLOOKUP(H286, 'Off-site Locations'!$K$3:$O$5, 5, FALSE), VLOOKUP(H286, 'Off-site Locations'!$B$3:$E$4, 4, FALSE)), "No Offsite Transfers")</f>
        <v>No Offsite Transfers</v>
      </c>
      <c r="N286" s="33">
        <f>VLOOKUP($D286, 'COU.OES Summary'!C:E, 3, FALSE)</f>
        <v>365</v>
      </c>
      <c r="O286" s="108">
        <f t="shared" si="56"/>
        <v>0</v>
      </c>
      <c r="P286" s="108">
        <f t="shared" si="57"/>
        <v>5.9161707450000002E-3</v>
      </c>
      <c r="Q286" s="109" cm="1">
        <f t="array" ref="Q286">IFERROR(_xlfn.XLOOKUP(1,  (MAX(IF(I286 = 'Processed Non-zero DMR Data'!$K:$K,'Processed Non-zero DMR Data'!$A:$A)) = 'Processed Non-zero DMR Data'!$A:$A)*('Processed Non-zero DMR Data'!$K:$K = I286),'Processed Non-zero DMR Data'!$T:$T), "N/A- Facility Does Not Report DMRs")</f>
        <v>5.9161707450000002E-3</v>
      </c>
      <c r="R286" s="33">
        <f t="shared" si="67"/>
        <v>1.620868697260274E-5</v>
      </c>
      <c r="S286" s="33" cm="1">
        <f t="array" ref="S286">IF(COUNTIF('Processed Non-zero DMR Data'!$K:$K,$I286)&gt;0,MEDIAN(IF('Processed Non-zero DMR Data'!$K:$K=I286,'Processed Non-zero DMR Data'!$T:$T)),"N/A - Facility Does Not Report DMRs")</f>
        <v>5.9161707450000002E-3</v>
      </c>
      <c r="T286" s="33">
        <f t="shared" si="68"/>
        <v>1.620868697260274E-5</v>
      </c>
      <c r="U286" s="33">
        <f>IF(COUNTIF('Processed Non-zero DMR Data'!$K:$K,$I286)&gt;0,_xlfn.MAXIFS('Processed Non-zero DMR Data'!$T:$T,'Processed Non-zero DMR Data'!$K:$K,$I286), "N/A - Facility Does Not Report DMRs")</f>
        <v>5.9161707450000002E-3</v>
      </c>
      <c r="V286" s="33">
        <f t="shared" si="69"/>
        <v>1.620868697260274E-5</v>
      </c>
      <c r="W286" s="110" cm="1">
        <f t="array" ref="W286">IF(COUNTIF('Processed Non-zero DMR Data'!$K:$K,$I286)&gt;0,INDEX('Processed Non-zero DMR Data'!$A:$A,MATCH(1,($I286='Processed Non-zero DMR Data'!$K:$K)*($U286='Processed Non-zero DMR Data'!$T:$T),0)), "N/A - Facility Does Not Report DMRs")</f>
        <v>2021</v>
      </c>
      <c r="X286" s="109" cm="1">
        <f t="array" ref="X286">IFERROR(_xlfn.XLOOKUP(1,  (MAX(IF(H286 = 'Processed Non-zero TRI Data'!$I:$I,'Processed Non-zero TRI Data'!$A:$A)) = 'Processed Non-zero TRI Data'!$A:$A)*('Processed Non-zero TRI Data'!$I:$I = H286), 'Processed Non-zero TRI Data'!$S:$S), "N/A- Facility Does Not Report to TRI")</f>
        <v>0</v>
      </c>
      <c r="Y286" s="33">
        <f t="shared" si="58"/>
        <v>0</v>
      </c>
      <c r="Z286" s="33" t="str" cm="1">
        <f t="array" ref="Z286">IF(COUNTIF('Processed Non-zero TRI Data'!$I:$I,$H286)&gt;0,MEDIAN(IF('Processed Non-zero TRI Data'!$I:$I=H286,'Processed Non-zero TRI Data'!$S:$S)), "N/A - Facility Does Not Report to TRI")</f>
        <v>N/A - Facility Does Not Report to TRI</v>
      </c>
      <c r="AA286" s="33" t="str">
        <f t="shared" si="59"/>
        <v>N/A - Facility Does Not Report to TRI</v>
      </c>
      <c r="AB286" s="33" t="str">
        <f>IF(COUNTIF('Processed Non-zero TRI Data'!$I:$I,$H286)&gt;0,_xlfn.MAXIFS('Processed Non-zero TRI Data'!$S:$S,'Processed Non-zero TRI Data'!$I:$I,$H286), "N/A - Facility Does Not Report to TRI")</f>
        <v>N/A - Facility Does Not Report to TRI</v>
      </c>
      <c r="AC286" s="33" t="str">
        <f t="shared" si="60"/>
        <v>N/A - Facility Does Not Report to TRI</v>
      </c>
      <c r="AD286" s="110" t="str" cm="1">
        <f t="array" ref="AD286">IFERROR(IF(B286 = "TRI Form R", IF(AB286 = 0, "Facility has no on-site water discharges between 2019-2023.",  IF(COUNTIF('Processed Non-zero TRI Data'!$I:$I,$H286)&gt;0,INDEX('Processed Non-zero TRI Data'!$A:$A,MATCH(1,($H286='Processed Non-zero TRI Data'!$I:$I)*(AB286='Processed Non-zero TRI Data'!$S:$S),0)))), VLOOKUP(H286, 'Form A Recent Reporting'!$L:$M, 2, FALSE)), ("N/A - Facility Does Not Report to TRI"))</f>
        <v>N/A - Facility Does Not Report to TRI</v>
      </c>
      <c r="AE286" s="109" cm="1">
        <f t="array" ref="AE286">IFERROR(_xlfn.XLOOKUP(1,  (MAX(IF(H286 = 'Processed Non-zero TRI Data'!$I:$I,'Processed Non-zero TRI Data'!$A:$A)) = 'Processed Non-zero TRI Data'!$A:$A)*('Processed Non-zero TRI Data'!$I:$I = H286), 'Processed Non-zero TRI Data'!$U:$U), "N/A- Facility Does Not Report to TRI")</f>
        <v>0</v>
      </c>
      <c r="AF286" s="33">
        <f t="shared" si="61"/>
        <v>0</v>
      </c>
      <c r="AG286" s="33" t="str" cm="1">
        <f t="array" ref="AG286">IF(COUNTIF('Processed Non-zero TRI Data'!$I:$I,$H286)&gt;0,MEDIAN(IF('Processed Non-zero TRI Data'!$I:$I=H286,'Processed Non-zero TRI Data'!$U:$U)), "N/A - Facility Does Not Report to TRI")</f>
        <v>N/A - Facility Does Not Report to TRI</v>
      </c>
      <c r="AH286" s="33" t="str">
        <f t="shared" si="62"/>
        <v>N/A - Facility Does Not Report to TRI</v>
      </c>
      <c r="AI286" s="33" t="str">
        <f>IF(COUNTIF('Processed Non-zero TRI Data'!$I:$I,$H286)&gt;0,_xlfn.MAXIFS('Processed Non-zero TRI Data'!$U:$U,'Processed Non-zero TRI Data'!$I:$I,$H286), "N/A - Facility Does Not Report to TRI")</f>
        <v>N/A - Facility Does Not Report to TRI</v>
      </c>
      <c r="AJ286" s="33" t="str">
        <f t="shared" si="63"/>
        <v>N/A - Facility Does Not Report to TRI</v>
      </c>
      <c r="AK286" s="110" t="str" cm="1">
        <f t="array" ref="AK286">IF(B286="TRI Form A",AD286,IF(AI286=0,"Facility has no transfers to POTWs between 2019-2023.",IF(COUNTIF('Processed Non-zero TRI Data'!$I:$I,$H286)&gt;0,INDEX('Processed Non-zero TRI Data'!$A:$A,MATCH(1,($H286='Processed Non-zero TRI Data'!$I:$I)*(AI286='Processed Non-zero TRI Data'!$U:$U),0)),"N/A - Facility Does Not Report to TRI")))</f>
        <v>N/A - Facility Does Not Report to TRI</v>
      </c>
      <c r="AL286" s="109" cm="1">
        <f t="array" ref="AL286">IFERROR(_xlfn.XLOOKUP(1,  (MAX(IF(H286 = 'Processed Non-zero TRI Data'!$I$2:$I$23,'Processed Non-zero TRI Data'!$A$2:$A$23)) = 'Processed Non-zero TRI Data'!$A$2:$A$23)*('Processed Non-zero TRI Data'!$I$2:$I$23 = H286), 'Processed Non-zero TRI Data'!$W$2:$W$23), "N/A- Facility Does Not Report to TRI")</f>
        <v>0</v>
      </c>
      <c r="AM286" s="33">
        <f t="shared" si="64"/>
        <v>0</v>
      </c>
      <c r="AN286" s="33" t="str" cm="1">
        <f t="array" ref="AN286">IF(COUNTIF('Processed Non-zero TRI Data'!$I:$I,$H286)&gt;0,MEDIAN(IF('Processed Non-zero TRI Data'!$I:$I=H286,'Processed Non-zero TRI Data'!$W:$W)), "N/A - Facility Does Not Report to TRI")</f>
        <v>N/A - Facility Does Not Report to TRI</v>
      </c>
      <c r="AO286" s="33" t="str">
        <f t="shared" si="65"/>
        <v>N/A - Facility Does Not Report to TRI</v>
      </c>
      <c r="AP286" s="33" t="str">
        <f>IF(COUNTIF('Processed Non-zero TRI Data'!$I:$I,$H286)&gt;0,_xlfn.MAXIFS('Processed Non-zero TRI Data'!$W:$W,'Processed Non-zero TRI Data'!$I:$I,$H286), "N/A - Facility Does Not Report to TRI")</f>
        <v>N/A - Facility Does Not Report to TRI</v>
      </c>
      <c r="AQ286" s="33" t="str">
        <f t="shared" si="66"/>
        <v>N/A - Facility Does Not Report to TRI</v>
      </c>
      <c r="AR286" s="110" t="str" cm="1">
        <f t="array" ref="AR286">IF(B286="TRI Form A",AD286,IF(AP286=0,"Facility has no transfers to non-POTWs between 2019-2023.",IF(COUNTIF('Processed Non-zero TRI Data'!$I:$I,$H286)&gt;0,INDEX('Processed Non-zero TRI Data'!$A:$A,MATCH(1,($H286='Processed Non-zero TRI Data'!$I:$I)*(AP286='Processed Non-zero TRI Data'!$W:$W),0)),"N/A - Facility Does Not Report to TRI")))</f>
        <v>N/A - Facility Does Not Report to TRI</v>
      </c>
    </row>
    <row r="287" spans="1:44" ht="29" x14ac:dyDescent="0.35">
      <c r="A287" s="34">
        <v>284</v>
      </c>
      <c r="B287" s="33" t="str">
        <f>IFERROR("TRI Form "&amp;VLOOKUP(H287,'Processed Non-zero TRI Data'!$I$2:$K$23,3,FALSE),"DMR")</f>
        <v>DMR</v>
      </c>
      <c r="C287" s="33" t="str">
        <f>VLOOKUP($D287, 'COU.OES Summary'!C:D, 2, FALSE)</f>
        <v> </v>
      </c>
      <c r="D287" s="33" t="str">
        <f>IFERROR(VLOOKUP($H287, 'Processed Non-zero TRI Data'!$I:$O, 7, FALSE), VLOOKUP($I287, 'Processed Non-zero DMR Data'!$K:$R, 8, FALSE))</f>
        <v>Waste handling, treatment, and disposal - POTW</v>
      </c>
      <c r="E287" s="34" t="s">
        <v>635</v>
      </c>
      <c r="F287" s="34" t="s">
        <v>636</v>
      </c>
      <c r="G287" s="34" t="s">
        <v>108</v>
      </c>
      <c r="H287" s="34"/>
      <c r="I287" s="105">
        <v>110055043705</v>
      </c>
      <c r="J287" s="33" t="str">
        <f>IFERROR(VLOOKUP($I287, 'Processed Non-zero DMR Data'!$K:$U, 11, FALSE),"")</f>
        <v>KY0107239</v>
      </c>
      <c r="K287" s="33" t="str">
        <f>IFERROR(VLOOKUP($I287, 'Processed Non-zero DMR Data'!$K:$V, 12, FALSE),"Not Reported")</f>
        <v>Middle Creek-Ohio River</v>
      </c>
      <c r="L287" s="106">
        <f>IFERROR(VLOOKUP($I287, 'Processed Non-zero DMR Data'!$K:$W, 13, FALSE),"No Reach Code Reported")</f>
        <v>50902030804</v>
      </c>
      <c r="M287" s="107" t="str">
        <f>IFERROR(IFERROR(VLOOKUP(H287, 'Off-site Locations'!$K$3:$O$5, 5, FALSE), VLOOKUP(H287, 'Off-site Locations'!$B$3:$E$4, 4, FALSE)), "No Offsite Transfers")</f>
        <v>No Offsite Transfers</v>
      </c>
      <c r="N287" s="33">
        <f>VLOOKUP($D287, 'COU.OES Summary'!C:E, 3, FALSE)</f>
        <v>365</v>
      </c>
      <c r="O287" s="108">
        <f t="shared" si="56"/>
        <v>0</v>
      </c>
      <c r="P287" s="108">
        <f t="shared" si="57"/>
        <v>5.7747744999999996E-3</v>
      </c>
      <c r="Q287" s="109" cm="1">
        <f t="array" ref="Q287">IFERROR(_xlfn.XLOOKUP(1,  (MAX(IF(I287 = 'Processed Non-zero DMR Data'!$K:$K,'Processed Non-zero DMR Data'!$A:$A)) = 'Processed Non-zero DMR Data'!$A:$A)*('Processed Non-zero DMR Data'!$K:$K = I287),'Processed Non-zero DMR Data'!$T:$T), "N/A- Facility Does Not Report DMRs")</f>
        <v>5.7747744999999996E-3</v>
      </c>
      <c r="R287" s="33">
        <f t="shared" si="67"/>
        <v>1.58213E-5</v>
      </c>
      <c r="S287" s="33" cm="1">
        <f t="array" ref="S287">IF(COUNTIF('Processed Non-zero DMR Data'!$K:$K,$I287)&gt;0,MEDIAN(IF('Processed Non-zero DMR Data'!$K:$K=I287,'Processed Non-zero DMR Data'!$T:$T)),"N/A - Facility Does Not Report DMRs")</f>
        <v>5.7747744999999996E-3</v>
      </c>
      <c r="T287" s="33">
        <f t="shared" si="68"/>
        <v>1.58213E-5</v>
      </c>
      <c r="U287" s="33">
        <f>IF(COUNTIF('Processed Non-zero DMR Data'!$K:$K,$I287)&gt;0,_xlfn.MAXIFS('Processed Non-zero DMR Data'!$T:$T,'Processed Non-zero DMR Data'!$K:$K,$I287), "N/A - Facility Does Not Report DMRs")</f>
        <v>5.7747744999999996E-3</v>
      </c>
      <c r="V287" s="33">
        <f t="shared" si="69"/>
        <v>1.58213E-5</v>
      </c>
      <c r="W287" s="110" cm="1">
        <f t="array" ref="W287">IF(COUNTIF('Processed Non-zero DMR Data'!$K:$K,$I287)&gt;0,INDEX('Processed Non-zero DMR Data'!$A:$A,MATCH(1,($I287='Processed Non-zero DMR Data'!$K:$K)*($U287='Processed Non-zero DMR Data'!$T:$T),0)), "N/A - Facility Does Not Report DMRs")</f>
        <v>2020</v>
      </c>
      <c r="X287" s="109" cm="1">
        <f t="array" ref="X287">IFERROR(_xlfn.XLOOKUP(1,  (MAX(IF(H287 = 'Processed Non-zero TRI Data'!$I:$I,'Processed Non-zero TRI Data'!$A:$A)) = 'Processed Non-zero TRI Data'!$A:$A)*('Processed Non-zero TRI Data'!$I:$I = H287), 'Processed Non-zero TRI Data'!$S:$S), "N/A- Facility Does Not Report to TRI")</f>
        <v>0</v>
      </c>
      <c r="Y287" s="33">
        <f t="shared" si="58"/>
        <v>0</v>
      </c>
      <c r="Z287" s="33" t="str" cm="1">
        <f t="array" ref="Z287">IF(COUNTIF('Processed Non-zero TRI Data'!$I:$I,$H287)&gt;0,MEDIAN(IF('Processed Non-zero TRI Data'!$I:$I=H287,'Processed Non-zero TRI Data'!$S:$S)), "N/A - Facility Does Not Report to TRI")</f>
        <v>N/A - Facility Does Not Report to TRI</v>
      </c>
      <c r="AA287" s="33" t="str">
        <f t="shared" si="59"/>
        <v>N/A - Facility Does Not Report to TRI</v>
      </c>
      <c r="AB287" s="33" t="str">
        <f>IF(COUNTIF('Processed Non-zero TRI Data'!$I:$I,$H287)&gt;0,_xlfn.MAXIFS('Processed Non-zero TRI Data'!$S:$S,'Processed Non-zero TRI Data'!$I:$I,$H287), "N/A - Facility Does Not Report to TRI")</f>
        <v>N/A - Facility Does Not Report to TRI</v>
      </c>
      <c r="AC287" s="33" t="str">
        <f t="shared" si="60"/>
        <v>N/A - Facility Does Not Report to TRI</v>
      </c>
      <c r="AD287" s="110" t="str" cm="1">
        <f t="array" ref="AD287">IFERROR(IF(B287 = "TRI Form R", IF(AB287 = 0, "Facility has no on-site water discharges between 2019-2023.",  IF(COUNTIF('Processed Non-zero TRI Data'!$I:$I,$H287)&gt;0,INDEX('Processed Non-zero TRI Data'!$A:$A,MATCH(1,($H287='Processed Non-zero TRI Data'!$I:$I)*(AB287='Processed Non-zero TRI Data'!$S:$S),0)))), VLOOKUP(H287, 'Form A Recent Reporting'!$L:$M, 2, FALSE)), ("N/A - Facility Does Not Report to TRI"))</f>
        <v>N/A - Facility Does Not Report to TRI</v>
      </c>
      <c r="AE287" s="109" cm="1">
        <f t="array" ref="AE287">IFERROR(_xlfn.XLOOKUP(1,  (MAX(IF(H287 = 'Processed Non-zero TRI Data'!$I:$I,'Processed Non-zero TRI Data'!$A:$A)) = 'Processed Non-zero TRI Data'!$A:$A)*('Processed Non-zero TRI Data'!$I:$I = H287), 'Processed Non-zero TRI Data'!$U:$U), "N/A- Facility Does Not Report to TRI")</f>
        <v>0</v>
      </c>
      <c r="AF287" s="33">
        <f t="shared" si="61"/>
        <v>0</v>
      </c>
      <c r="AG287" s="33" t="str" cm="1">
        <f t="array" ref="AG287">IF(COUNTIF('Processed Non-zero TRI Data'!$I:$I,$H287)&gt;0,MEDIAN(IF('Processed Non-zero TRI Data'!$I:$I=H287,'Processed Non-zero TRI Data'!$U:$U)), "N/A - Facility Does Not Report to TRI")</f>
        <v>N/A - Facility Does Not Report to TRI</v>
      </c>
      <c r="AH287" s="33" t="str">
        <f t="shared" si="62"/>
        <v>N/A - Facility Does Not Report to TRI</v>
      </c>
      <c r="AI287" s="33" t="str">
        <f>IF(COUNTIF('Processed Non-zero TRI Data'!$I:$I,$H287)&gt;0,_xlfn.MAXIFS('Processed Non-zero TRI Data'!$U:$U,'Processed Non-zero TRI Data'!$I:$I,$H287), "N/A - Facility Does Not Report to TRI")</f>
        <v>N/A - Facility Does Not Report to TRI</v>
      </c>
      <c r="AJ287" s="33" t="str">
        <f t="shared" si="63"/>
        <v>N/A - Facility Does Not Report to TRI</v>
      </c>
      <c r="AK287" s="110" t="str" cm="1">
        <f t="array" ref="AK287">IF(B287="TRI Form A",AD287,IF(AI287=0,"Facility has no transfers to POTWs between 2019-2023.",IF(COUNTIF('Processed Non-zero TRI Data'!$I:$I,$H287)&gt;0,INDEX('Processed Non-zero TRI Data'!$A:$A,MATCH(1,($H287='Processed Non-zero TRI Data'!$I:$I)*(AI287='Processed Non-zero TRI Data'!$U:$U),0)),"N/A - Facility Does Not Report to TRI")))</f>
        <v>N/A - Facility Does Not Report to TRI</v>
      </c>
      <c r="AL287" s="109" cm="1">
        <f t="array" ref="AL287">IFERROR(_xlfn.XLOOKUP(1,  (MAX(IF(H287 = 'Processed Non-zero TRI Data'!$I$2:$I$23,'Processed Non-zero TRI Data'!$A$2:$A$23)) = 'Processed Non-zero TRI Data'!$A$2:$A$23)*('Processed Non-zero TRI Data'!$I$2:$I$23 = H287), 'Processed Non-zero TRI Data'!$W$2:$W$23), "N/A- Facility Does Not Report to TRI")</f>
        <v>0</v>
      </c>
      <c r="AM287" s="33">
        <f t="shared" si="64"/>
        <v>0</v>
      </c>
      <c r="AN287" s="33" t="str" cm="1">
        <f t="array" ref="AN287">IF(COUNTIF('Processed Non-zero TRI Data'!$I:$I,$H287)&gt;0,MEDIAN(IF('Processed Non-zero TRI Data'!$I:$I=H287,'Processed Non-zero TRI Data'!$W:$W)), "N/A - Facility Does Not Report to TRI")</f>
        <v>N/A - Facility Does Not Report to TRI</v>
      </c>
      <c r="AO287" s="33" t="str">
        <f t="shared" si="65"/>
        <v>N/A - Facility Does Not Report to TRI</v>
      </c>
      <c r="AP287" s="33" t="str">
        <f>IF(COUNTIF('Processed Non-zero TRI Data'!$I:$I,$H287)&gt;0,_xlfn.MAXIFS('Processed Non-zero TRI Data'!$W:$W,'Processed Non-zero TRI Data'!$I:$I,$H287), "N/A - Facility Does Not Report to TRI")</f>
        <v>N/A - Facility Does Not Report to TRI</v>
      </c>
      <c r="AQ287" s="33" t="str">
        <f t="shared" si="66"/>
        <v>N/A - Facility Does Not Report to TRI</v>
      </c>
      <c r="AR287" s="110" t="str" cm="1">
        <f t="array" ref="AR287">IF(B287="TRI Form A",AD287,IF(AP287=0,"Facility has no transfers to non-POTWs between 2019-2023.",IF(COUNTIF('Processed Non-zero TRI Data'!$I:$I,$H287)&gt;0,INDEX('Processed Non-zero TRI Data'!$A:$A,MATCH(1,($H287='Processed Non-zero TRI Data'!$I:$I)*(AP287='Processed Non-zero TRI Data'!$W:$W),0)),"N/A - Facility Does Not Report to TRI")))</f>
        <v>N/A - Facility Does Not Report to TRI</v>
      </c>
    </row>
    <row r="288" spans="1:44" ht="29" x14ac:dyDescent="0.35">
      <c r="A288" s="34">
        <v>285</v>
      </c>
      <c r="B288" s="33" t="str">
        <f>IFERROR("TRI Form "&amp;VLOOKUP(H288,'Processed Non-zero TRI Data'!$I$2:$K$23,3,FALSE),"DMR")</f>
        <v>DMR</v>
      </c>
      <c r="C288" s="33" t="str">
        <f>VLOOKUP($D288, 'COU.OES Summary'!C:D, 2, FALSE)</f>
        <v> </v>
      </c>
      <c r="D288" s="33" t="str">
        <f>IFERROR(VLOOKUP($H288, 'Processed Non-zero TRI Data'!$I:$O, 7, FALSE), VLOOKUP($I288, 'Processed Non-zero DMR Data'!$K:$R, 8, FALSE))</f>
        <v>Waste handling, treatment, and disposal - Remediation or Monitoring</v>
      </c>
      <c r="E288" s="34" t="s">
        <v>637</v>
      </c>
      <c r="F288" s="34" t="s">
        <v>638</v>
      </c>
      <c r="G288" s="34" t="s">
        <v>276</v>
      </c>
      <c r="H288" s="34"/>
      <c r="I288" s="105">
        <v>110071428198</v>
      </c>
      <c r="J288" s="33" t="str">
        <f>IFERROR(VLOOKUP($I288, 'Processed Non-zero DMR Data'!$K:$U, 11, FALSE),"")</f>
        <v>VAG830596</v>
      </c>
      <c r="K288" s="33" t="str">
        <f>IFERROR(VLOOKUP($I288, 'Processed Non-zero DMR Data'!$K:$V, 12, FALSE),"Not Reported")</f>
        <v>Difficult Run</v>
      </c>
      <c r="L288" s="106" t="str">
        <f>IFERROR(VLOOKUP($I288, 'Processed Non-zero DMR Data'!$K:$W, 13, FALSE),"No Reach Code Reported")</f>
        <v>020700081004</v>
      </c>
      <c r="M288" s="107" t="str">
        <f>IFERROR(IFERROR(VLOOKUP(H288, 'Off-site Locations'!$K$3:$O$5, 5, FALSE), VLOOKUP(H288, 'Off-site Locations'!$B$3:$E$4, 4, FALSE)), "No Offsite Transfers")</f>
        <v>No Offsite Transfers</v>
      </c>
      <c r="N288" s="33">
        <f>VLOOKUP($D288, 'COU.OES Summary'!C:E, 3, FALSE)</f>
        <v>365</v>
      </c>
      <c r="O288" s="108">
        <f t="shared" si="56"/>
        <v>0</v>
      </c>
      <c r="P288" s="108">
        <f t="shared" si="57"/>
        <v>5.3597838524699999E-3</v>
      </c>
      <c r="Q288" s="109" cm="1">
        <f t="array" ref="Q288">IFERROR(_xlfn.XLOOKUP(1,  (MAX(IF(I288 = 'Processed Non-zero DMR Data'!$K:$K,'Processed Non-zero DMR Data'!$A:$A)) = 'Processed Non-zero DMR Data'!$A:$A)*('Processed Non-zero DMR Data'!$K:$K = I288),'Processed Non-zero DMR Data'!$T:$T), "N/A- Facility Does Not Report DMRs")</f>
        <v>5.3597838524699999E-3</v>
      </c>
      <c r="R288" s="33">
        <f t="shared" si="67"/>
        <v>1.4684339321835616E-5</v>
      </c>
      <c r="S288" s="33" cm="1">
        <f t="array" ref="S288">IF(COUNTIF('Processed Non-zero DMR Data'!$K:$K,$I288)&gt;0,MEDIAN(IF('Processed Non-zero DMR Data'!$K:$K=I288,'Processed Non-zero DMR Data'!$T:$T)),"N/A - Facility Does Not Report DMRs")</f>
        <v>5.3597838524699999E-3</v>
      </c>
      <c r="T288" s="33">
        <f t="shared" si="68"/>
        <v>1.4684339321835616E-5</v>
      </c>
      <c r="U288" s="33">
        <f>IF(COUNTIF('Processed Non-zero DMR Data'!$K:$K,$I288)&gt;0,_xlfn.MAXIFS('Processed Non-zero DMR Data'!$T:$T,'Processed Non-zero DMR Data'!$K:$K,$I288), "N/A - Facility Does Not Report DMRs")</f>
        <v>5.3597838524699999E-3</v>
      </c>
      <c r="V288" s="33">
        <f t="shared" si="69"/>
        <v>1.4684339321835616E-5</v>
      </c>
      <c r="W288" s="110" cm="1">
        <f t="array" ref="W288">IF(COUNTIF('Processed Non-zero DMR Data'!$K:$K,$I288)&gt;0,INDEX('Processed Non-zero DMR Data'!$A:$A,MATCH(1,($I288='Processed Non-zero DMR Data'!$K:$K)*($U288='Processed Non-zero DMR Data'!$T:$T),0)), "N/A - Facility Does Not Report DMRs")</f>
        <v>2023</v>
      </c>
      <c r="X288" s="109" cm="1">
        <f t="array" ref="X288">IFERROR(_xlfn.XLOOKUP(1,  (MAX(IF(H288 = 'Processed Non-zero TRI Data'!$I:$I,'Processed Non-zero TRI Data'!$A:$A)) = 'Processed Non-zero TRI Data'!$A:$A)*('Processed Non-zero TRI Data'!$I:$I = H288), 'Processed Non-zero TRI Data'!$S:$S), "N/A- Facility Does Not Report to TRI")</f>
        <v>0</v>
      </c>
      <c r="Y288" s="33">
        <f t="shared" si="58"/>
        <v>0</v>
      </c>
      <c r="Z288" s="33" t="str" cm="1">
        <f t="array" ref="Z288">IF(COUNTIF('Processed Non-zero TRI Data'!$I:$I,$H288)&gt;0,MEDIAN(IF('Processed Non-zero TRI Data'!$I:$I=H288,'Processed Non-zero TRI Data'!$S:$S)), "N/A - Facility Does Not Report to TRI")</f>
        <v>N/A - Facility Does Not Report to TRI</v>
      </c>
      <c r="AA288" s="33" t="str">
        <f t="shared" si="59"/>
        <v>N/A - Facility Does Not Report to TRI</v>
      </c>
      <c r="AB288" s="33" t="str">
        <f>IF(COUNTIF('Processed Non-zero TRI Data'!$I:$I,$H288)&gt;0,_xlfn.MAXIFS('Processed Non-zero TRI Data'!$S:$S,'Processed Non-zero TRI Data'!$I:$I,$H288), "N/A - Facility Does Not Report to TRI")</f>
        <v>N/A - Facility Does Not Report to TRI</v>
      </c>
      <c r="AC288" s="33" t="str">
        <f t="shared" si="60"/>
        <v>N/A - Facility Does Not Report to TRI</v>
      </c>
      <c r="AD288" s="110" t="str" cm="1">
        <f t="array" ref="AD288">IFERROR(IF(B288 = "TRI Form R", IF(AB288 = 0, "Facility has no on-site water discharges between 2019-2023.",  IF(COUNTIF('Processed Non-zero TRI Data'!$I:$I,$H288)&gt;0,INDEX('Processed Non-zero TRI Data'!$A:$A,MATCH(1,($H288='Processed Non-zero TRI Data'!$I:$I)*(AB288='Processed Non-zero TRI Data'!$S:$S),0)))), VLOOKUP(H288, 'Form A Recent Reporting'!$L:$M, 2, FALSE)), ("N/A - Facility Does Not Report to TRI"))</f>
        <v>N/A - Facility Does Not Report to TRI</v>
      </c>
      <c r="AE288" s="109" cm="1">
        <f t="array" ref="AE288">IFERROR(_xlfn.XLOOKUP(1,  (MAX(IF(H288 = 'Processed Non-zero TRI Data'!$I:$I,'Processed Non-zero TRI Data'!$A:$A)) = 'Processed Non-zero TRI Data'!$A:$A)*('Processed Non-zero TRI Data'!$I:$I = H288), 'Processed Non-zero TRI Data'!$U:$U), "N/A- Facility Does Not Report to TRI")</f>
        <v>0</v>
      </c>
      <c r="AF288" s="33">
        <f t="shared" si="61"/>
        <v>0</v>
      </c>
      <c r="AG288" s="33" t="str" cm="1">
        <f t="array" ref="AG288">IF(COUNTIF('Processed Non-zero TRI Data'!$I:$I,$H288)&gt;0,MEDIAN(IF('Processed Non-zero TRI Data'!$I:$I=H288,'Processed Non-zero TRI Data'!$U:$U)), "N/A - Facility Does Not Report to TRI")</f>
        <v>N/A - Facility Does Not Report to TRI</v>
      </c>
      <c r="AH288" s="33" t="str">
        <f t="shared" si="62"/>
        <v>N/A - Facility Does Not Report to TRI</v>
      </c>
      <c r="AI288" s="33" t="str">
        <f>IF(COUNTIF('Processed Non-zero TRI Data'!$I:$I,$H288)&gt;0,_xlfn.MAXIFS('Processed Non-zero TRI Data'!$U:$U,'Processed Non-zero TRI Data'!$I:$I,$H288), "N/A - Facility Does Not Report to TRI")</f>
        <v>N/A - Facility Does Not Report to TRI</v>
      </c>
      <c r="AJ288" s="33" t="str">
        <f t="shared" si="63"/>
        <v>N/A - Facility Does Not Report to TRI</v>
      </c>
      <c r="AK288" s="110" t="str" cm="1">
        <f t="array" ref="AK288">IF(B288="TRI Form A",AD288,IF(AI288=0,"Facility has no transfers to POTWs between 2019-2023.",IF(COUNTIF('Processed Non-zero TRI Data'!$I:$I,$H288)&gt;0,INDEX('Processed Non-zero TRI Data'!$A:$A,MATCH(1,($H288='Processed Non-zero TRI Data'!$I:$I)*(AI288='Processed Non-zero TRI Data'!$U:$U),0)),"N/A - Facility Does Not Report to TRI")))</f>
        <v>N/A - Facility Does Not Report to TRI</v>
      </c>
      <c r="AL288" s="109" cm="1">
        <f t="array" ref="AL288">IFERROR(_xlfn.XLOOKUP(1,  (MAX(IF(H288 = 'Processed Non-zero TRI Data'!$I$2:$I$23,'Processed Non-zero TRI Data'!$A$2:$A$23)) = 'Processed Non-zero TRI Data'!$A$2:$A$23)*('Processed Non-zero TRI Data'!$I$2:$I$23 = H288), 'Processed Non-zero TRI Data'!$W$2:$W$23), "N/A- Facility Does Not Report to TRI")</f>
        <v>0</v>
      </c>
      <c r="AM288" s="33">
        <f t="shared" si="64"/>
        <v>0</v>
      </c>
      <c r="AN288" s="33" t="str" cm="1">
        <f t="array" ref="AN288">IF(COUNTIF('Processed Non-zero TRI Data'!$I:$I,$H288)&gt;0,MEDIAN(IF('Processed Non-zero TRI Data'!$I:$I=H288,'Processed Non-zero TRI Data'!$W:$W)), "N/A - Facility Does Not Report to TRI")</f>
        <v>N/A - Facility Does Not Report to TRI</v>
      </c>
      <c r="AO288" s="33" t="str">
        <f t="shared" si="65"/>
        <v>N/A - Facility Does Not Report to TRI</v>
      </c>
      <c r="AP288" s="33" t="str">
        <f>IF(COUNTIF('Processed Non-zero TRI Data'!$I:$I,$H288)&gt;0,_xlfn.MAXIFS('Processed Non-zero TRI Data'!$W:$W,'Processed Non-zero TRI Data'!$I:$I,$H288), "N/A - Facility Does Not Report to TRI")</f>
        <v>N/A - Facility Does Not Report to TRI</v>
      </c>
      <c r="AQ288" s="33" t="str">
        <f t="shared" si="66"/>
        <v>N/A - Facility Does Not Report to TRI</v>
      </c>
      <c r="AR288" s="110" t="str" cm="1">
        <f t="array" ref="AR288">IF(B288="TRI Form A",AD288,IF(AP288=0,"Facility has no transfers to non-POTWs between 2019-2023.",IF(COUNTIF('Processed Non-zero TRI Data'!$I:$I,$H288)&gt;0,INDEX('Processed Non-zero TRI Data'!$A:$A,MATCH(1,($H288='Processed Non-zero TRI Data'!$I:$I)*(AP288='Processed Non-zero TRI Data'!$W:$W),0)),"N/A - Facility Does Not Report to TRI")))</f>
        <v>N/A - Facility Does Not Report to TRI</v>
      </c>
    </row>
    <row r="289" spans="1:44" ht="29" x14ac:dyDescent="0.35">
      <c r="A289" s="34">
        <v>286</v>
      </c>
      <c r="B289" s="33" t="str">
        <f>IFERROR("TRI Form "&amp;VLOOKUP(H289,'Processed Non-zero TRI Data'!$I$2:$K$23,3,FALSE),"DMR")</f>
        <v>DMR</v>
      </c>
      <c r="C289" s="33" t="str">
        <f>VLOOKUP($D289, 'COU.OES Summary'!C:D, 2, FALSE)</f>
        <v> </v>
      </c>
      <c r="D289" s="33" t="str">
        <f>IFERROR(VLOOKUP($H289, 'Processed Non-zero TRI Data'!$I:$O, 7, FALSE), VLOOKUP($I289, 'Processed Non-zero DMR Data'!$K:$R, 8, FALSE))</f>
        <v>Waste handling, treatment, and disposal - Remediation or Monitoring</v>
      </c>
      <c r="E289" s="34" t="s">
        <v>639</v>
      </c>
      <c r="F289" s="34" t="s">
        <v>640</v>
      </c>
      <c r="G289" s="34" t="s">
        <v>451</v>
      </c>
      <c r="H289" s="34"/>
      <c r="I289" s="105">
        <v>110071445083</v>
      </c>
      <c r="J289" s="33" t="str">
        <f>IFERROR(VLOOKUP($I289, 'Processed Non-zero DMR Data'!$K:$U, 11, FALSE),"")</f>
        <v>MAG912023</v>
      </c>
      <c r="K289" s="33" t="str">
        <f>IFERROR(VLOOKUP($I289, 'Processed Non-zero DMR Data'!$K:$V, 12, FALSE),"Not Reported")</f>
        <v>Charles River-Frontal Boston Harbor</v>
      </c>
      <c r="L289" s="106" t="str">
        <f>IFERROR(VLOOKUP($I289, 'Processed Non-zero DMR Data'!$K:$W, 13, FALSE),"No Reach Code Reported")</f>
        <v>010900010704</v>
      </c>
      <c r="M289" s="107" t="str">
        <f>IFERROR(IFERROR(VLOOKUP(H289, 'Off-site Locations'!$K$3:$O$5, 5, FALSE), VLOOKUP(H289, 'Off-site Locations'!$B$3:$E$4, 4, FALSE)), "No Offsite Transfers")</f>
        <v>No Offsite Transfers</v>
      </c>
      <c r="N289" s="33">
        <f>VLOOKUP($D289, 'COU.OES Summary'!C:E, 3, FALSE)</f>
        <v>365</v>
      </c>
      <c r="O289" s="108">
        <f t="shared" si="56"/>
        <v>0</v>
      </c>
      <c r="P289" s="108">
        <f t="shared" si="57"/>
        <v>4.6591457500000004E-3</v>
      </c>
      <c r="Q289" s="109" cm="1">
        <f t="array" ref="Q289">IFERROR(_xlfn.XLOOKUP(1,  (MAX(IF(I289 = 'Processed Non-zero DMR Data'!$K:$K,'Processed Non-zero DMR Data'!$A:$A)) = 'Processed Non-zero DMR Data'!$A:$A)*('Processed Non-zero DMR Data'!$K:$K = I289),'Processed Non-zero DMR Data'!$T:$T), "N/A- Facility Does Not Report DMRs")</f>
        <v>4.6591457500000004E-3</v>
      </c>
      <c r="R289" s="33">
        <f t="shared" si="67"/>
        <v>1.276478287671233E-5</v>
      </c>
      <c r="S289" s="33" cm="1">
        <f t="array" ref="S289">IF(COUNTIF('Processed Non-zero DMR Data'!$K:$K,$I289)&gt;0,MEDIAN(IF('Processed Non-zero DMR Data'!$K:$K=I289,'Processed Non-zero DMR Data'!$T:$T)),"N/A - Facility Does Not Report DMRs")</f>
        <v>4.6591457500000004E-3</v>
      </c>
      <c r="T289" s="33">
        <f t="shared" si="68"/>
        <v>1.276478287671233E-5</v>
      </c>
      <c r="U289" s="33">
        <f>IF(COUNTIF('Processed Non-zero DMR Data'!$K:$K,$I289)&gt;0,_xlfn.MAXIFS('Processed Non-zero DMR Data'!$T:$T,'Processed Non-zero DMR Data'!$K:$K,$I289), "N/A - Facility Does Not Report DMRs")</f>
        <v>4.6591457500000004E-3</v>
      </c>
      <c r="V289" s="33">
        <f t="shared" si="69"/>
        <v>1.276478287671233E-5</v>
      </c>
      <c r="W289" s="110" cm="1">
        <f t="array" ref="W289">IF(COUNTIF('Processed Non-zero DMR Data'!$K:$K,$I289)&gt;0,INDEX('Processed Non-zero DMR Data'!$A:$A,MATCH(1,($I289='Processed Non-zero DMR Data'!$K:$K)*($U289='Processed Non-zero DMR Data'!$T:$T),0)), "N/A - Facility Does Not Report DMRs")</f>
        <v>2023</v>
      </c>
      <c r="X289" s="109" cm="1">
        <f t="array" ref="X289">IFERROR(_xlfn.XLOOKUP(1,  (MAX(IF(H289 = 'Processed Non-zero TRI Data'!$I:$I,'Processed Non-zero TRI Data'!$A:$A)) = 'Processed Non-zero TRI Data'!$A:$A)*('Processed Non-zero TRI Data'!$I:$I = H289), 'Processed Non-zero TRI Data'!$S:$S), "N/A- Facility Does Not Report to TRI")</f>
        <v>0</v>
      </c>
      <c r="Y289" s="33">
        <f t="shared" si="58"/>
        <v>0</v>
      </c>
      <c r="Z289" s="33" t="str" cm="1">
        <f t="array" ref="Z289">IF(COUNTIF('Processed Non-zero TRI Data'!$I:$I,$H289)&gt;0,MEDIAN(IF('Processed Non-zero TRI Data'!$I:$I=H289,'Processed Non-zero TRI Data'!$S:$S)), "N/A - Facility Does Not Report to TRI")</f>
        <v>N/A - Facility Does Not Report to TRI</v>
      </c>
      <c r="AA289" s="33" t="str">
        <f t="shared" si="59"/>
        <v>N/A - Facility Does Not Report to TRI</v>
      </c>
      <c r="AB289" s="33" t="str">
        <f>IF(COUNTIF('Processed Non-zero TRI Data'!$I:$I,$H289)&gt;0,_xlfn.MAXIFS('Processed Non-zero TRI Data'!$S:$S,'Processed Non-zero TRI Data'!$I:$I,$H289), "N/A - Facility Does Not Report to TRI")</f>
        <v>N/A - Facility Does Not Report to TRI</v>
      </c>
      <c r="AC289" s="33" t="str">
        <f t="shared" si="60"/>
        <v>N/A - Facility Does Not Report to TRI</v>
      </c>
      <c r="AD289" s="110" t="str" cm="1">
        <f t="array" ref="AD289">IFERROR(IF(B289 = "TRI Form R", IF(AB289 = 0, "Facility has no on-site water discharges between 2019-2023.",  IF(COUNTIF('Processed Non-zero TRI Data'!$I:$I,$H289)&gt;0,INDEX('Processed Non-zero TRI Data'!$A:$A,MATCH(1,($H289='Processed Non-zero TRI Data'!$I:$I)*(AB289='Processed Non-zero TRI Data'!$S:$S),0)))), VLOOKUP(H289, 'Form A Recent Reporting'!$L:$M, 2, FALSE)), ("N/A - Facility Does Not Report to TRI"))</f>
        <v>N/A - Facility Does Not Report to TRI</v>
      </c>
      <c r="AE289" s="109" cm="1">
        <f t="array" ref="AE289">IFERROR(_xlfn.XLOOKUP(1,  (MAX(IF(H289 = 'Processed Non-zero TRI Data'!$I:$I,'Processed Non-zero TRI Data'!$A:$A)) = 'Processed Non-zero TRI Data'!$A:$A)*('Processed Non-zero TRI Data'!$I:$I = H289), 'Processed Non-zero TRI Data'!$U:$U), "N/A- Facility Does Not Report to TRI")</f>
        <v>0</v>
      </c>
      <c r="AF289" s="33">
        <f t="shared" si="61"/>
        <v>0</v>
      </c>
      <c r="AG289" s="33" t="str" cm="1">
        <f t="array" ref="AG289">IF(COUNTIF('Processed Non-zero TRI Data'!$I:$I,$H289)&gt;0,MEDIAN(IF('Processed Non-zero TRI Data'!$I:$I=H289,'Processed Non-zero TRI Data'!$U:$U)), "N/A - Facility Does Not Report to TRI")</f>
        <v>N/A - Facility Does Not Report to TRI</v>
      </c>
      <c r="AH289" s="33" t="str">
        <f t="shared" si="62"/>
        <v>N/A - Facility Does Not Report to TRI</v>
      </c>
      <c r="AI289" s="33" t="str">
        <f>IF(COUNTIF('Processed Non-zero TRI Data'!$I:$I,$H289)&gt;0,_xlfn.MAXIFS('Processed Non-zero TRI Data'!$U:$U,'Processed Non-zero TRI Data'!$I:$I,$H289), "N/A - Facility Does Not Report to TRI")</f>
        <v>N/A - Facility Does Not Report to TRI</v>
      </c>
      <c r="AJ289" s="33" t="str">
        <f t="shared" si="63"/>
        <v>N/A - Facility Does Not Report to TRI</v>
      </c>
      <c r="AK289" s="110" t="str" cm="1">
        <f t="array" ref="AK289">IF(B289="TRI Form A",AD289,IF(AI289=0,"Facility has no transfers to POTWs between 2019-2023.",IF(COUNTIF('Processed Non-zero TRI Data'!$I:$I,$H289)&gt;0,INDEX('Processed Non-zero TRI Data'!$A:$A,MATCH(1,($H289='Processed Non-zero TRI Data'!$I:$I)*(AI289='Processed Non-zero TRI Data'!$U:$U),0)),"N/A - Facility Does Not Report to TRI")))</f>
        <v>N/A - Facility Does Not Report to TRI</v>
      </c>
      <c r="AL289" s="109" cm="1">
        <f t="array" ref="AL289">IFERROR(_xlfn.XLOOKUP(1,  (MAX(IF(H289 = 'Processed Non-zero TRI Data'!$I$2:$I$23,'Processed Non-zero TRI Data'!$A$2:$A$23)) = 'Processed Non-zero TRI Data'!$A$2:$A$23)*('Processed Non-zero TRI Data'!$I$2:$I$23 = H289), 'Processed Non-zero TRI Data'!$W$2:$W$23), "N/A- Facility Does Not Report to TRI")</f>
        <v>0</v>
      </c>
      <c r="AM289" s="33">
        <f t="shared" si="64"/>
        <v>0</v>
      </c>
      <c r="AN289" s="33" t="str" cm="1">
        <f t="array" ref="AN289">IF(COUNTIF('Processed Non-zero TRI Data'!$I:$I,$H289)&gt;0,MEDIAN(IF('Processed Non-zero TRI Data'!$I:$I=H289,'Processed Non-zero TRI Data'!$W:$W)), "N/A - Facility Does Not Report to TRI")</f>
        <v>N/A - Facility Does Not Report to TRI</v>
      </c>
      <c r="AO289" s="33" t="str">
        <f t="shared" si="65"/>
        <v>N/A - Facility Does Not Report to TRI</v>
      </c>
      <c r="AP289" s="33" t="str">
        <f>IF(COUNTIF('Processed Non-zero TRI Data'!$I:$I,$H289)&gt;0,_xlfn.MAXIFS('Processed Non-zero TRI Data'!$W:$W,'Processed Non-zero TRI Data'!$I:$I,$H289), "N/A - Facility Does Not Report to TRI")</f>
        <v>N/A - Facility Does Not Report to TRI</v>
      </c>
      <c r="AQ289" s="33" t="str">
        <f t="shared" si="66"/>
        <v>N/A - Facility Does Not Report to TRI</v>
      </c>
      <c r="AR289" s="110" t="str" cm="1">
        <f t="array" ref="AR289">IF(B289="TRI Form A",AD289,IF(AP289=0,"Facility has no transfers to non-POTWs between 2019-2023.",IF(COUNTIF('Processed Non-zero TRI Data'!$I:$I,$H289)&gt;0,INDEX('Processed Non-zero TRI Data'!$A:$A,MATCH(1,($H289='Processed Non-zero TRI Data'!$I:$I)*(AP289='Processed Non-zero TRI Data'!$W:$W),0)),"N/A - Facility Does Not Report to TRI")))</f>
        <v>N/A - Facility Does Not Report to TRI</v>
      </c>
    </row>
    <row r="290" spans="1:44" ht="29" x14ac:dyDescent="0.35">
      <c r="A290" s="34">
        <v>287</v>
      </c>
      <c r="B290" s="33" t="str">
        <f>IFERROR("TRI Form "&amp;VLOOKUP(H290,'Processed Non-zero TRI Data'!$I$2:$K$23,3,FALSE),"DMR")</f>
        <v>DMR</v>
      </c>
      <c r="C290" s="33" t="str">
        <f>VLOOKUP($D290, 'COU.OES Summary'!C:D, 2, FALSE)</f>
        <v> </v>
      </c>
      <c r="D290" s="33" t="str">
        <f>IFERROR(VLOOKUP($H290, 'Processed Non-zero TRI Data'!$I:$O, 7, FALSE), VLOOKUP($I290, 'Processed Non-zero DMR Data'!$K:$R, 8, FALSE))</f>
        <v>Waste handling, treatment, and disposal - Remediation or Monitoring</v>
      </c>
      <c r="E290" s="34" t="s">
        <v>641</v>
      </c>
      <c r="F290" s="34" t="s">
        <v>623</v>
      </c>
      <c r="G290" s="34" t="s">
        <v>492</v>
      </c>
      <c r="H290" s="34"/>
      <c r="I290" s="105">
        <v>110056125376</v>
      </c>
      <c r="J290" s="33" t="str">
        <f>IFERROR(VLOOKUP($I290, 'Processed Non-zero DMR Data'!$K:$U, 11, FALSE),"")</f>
        <v>CO0049003</v>
      </c>
      <c r="K290" s="33" t="str">
        <f>IFERROR(VLOOKUP($I290, 'Processed Non-zero DMR Data'!$K:$V, 12, FALSE),"Not Reported")</f>
        <v>Cherry Creek-South Platte River</v>
      </c>
      <c r="L290" s="106">
        <f>IFERROR(VLOOKUP($I290, 'Processed Non-zero DMR Data'!$K:$W, 13, FALSE),"No Reach Code Reported")</f>
        <v>101900030304</v>
      </c>
      <c r="M290" s="107" t="str">
        <f>IFERROR(IFERROR(VLOOKUP(H290, 'Off-site Locations'!$K$3:$O$5, 5, FALSE), VLOOKUP(H290, 'Off-site Locations'!$B$3:$E$4, 4, FALSE)), "No Offsite Transfers")</f>
        <v>No Offsite Transfers</v>
      </c>
      <c r="N290" s="33">
        <f>VLOOKUP($D290, 'COU.OES Summary'!C:E, 3, FALSE)</f>
        <v>365</v>
      </c>
      <c r="O290" s="108">
        <f t="shared" si="56"/>
        <v>0</v>
      </c>
      <c r="P290" s="108">
        <f t="shared" si="57"/>
        <v>4.4653348250000002E-3</v>
      </c>
      <c r="Q290" s="109" cm="1">
        <f t="array" ref="Q290">IFERROR(_xlfn.XLOOKUP(1,  (MAX(IF(I290 = 'Processed Non-zero DMR Data'!$K:$K,'Processed Non-zero DMR Data'!$A:$A)) = 'Processed Non-zero DMR Data'!$A:$A)*('Processed Non-zero DMR Data'!$K:$K = I290),'Processed Non-zero DMR Data'!$T:$T), "N/A- Facility Does Not Report DMRs")</f>
        <v>4.4653348250000002E-3</v>
      </c>
      <c r="R290" s="33">
        <f t="shared" si="67"/>
        <v>1.223379404109589E-5</v>
      </c>
      <c r="S290" s="33" cm="1">
        <f t="array" ref="S290">IF(COUNTIF('Processed Non-zero DMR Data'!$K:$K,$I290)&gt;0,MEDIAN(IF('Processed Non-zero DMR Data'!$K:$K=I290,'Processed Non-zero DMR Data'!$T:$T)),"N/A - Facility Does Not Report DMRs")</f>
        <v>3.4282069750000001E-3</v>
      </c>
      <c r="T290" s="33">
        <f t="shared" si="68"/>
        <v>9.3923478767123296E-6</v>
      </c>
      <c r="U290" s="33">
        <f>IF(COUNTIF('Processed Non-zero DMR Data'!$K:$K,$I290)&gt;0,_xlfn.MAXIFS('Processed Non-zero DMR Data'!$T:$T,'Processed Non-zero DMR Data'!$K:$K,$I290), "N/A - Facility Does Not Report DMRs")</f>
        <v>4.4653348250000002E-3</v>
      </c>
      <c r="V290" s="33">
        <f t="shared" si="69"/>
        <v>1.223379404109589E-5</v>
      </c>
      <c r="W290" s="110" cm="1">
        <f t="array" ref="W290">IF(COUNTIF('Processed Non-zero DMR Data'!$K:$K,$I290)&gt;0,INDEX('Processed Non-zero DMR Data'!$A:$A,MATCH(1,($I290='Processed Non-zero DMR Data'!$K:$K)*($U290='Processed Non-zero DMR Data'!$T:$T),0)), "N/A - Facility Does Not Report DMRs")</f>
        <v>2023</v>
      </c>
      <c r="X290" s="109" cm="1">
        <f t="array" ref="X290">IFERROR(_xlfn.XLOOKUP(1,  (MAX(IF(H290 = 'Processed Non-zero TRI Data'!$I:$I,'Processed Non-zero TRI Data'!$A:$A)) = 'Processed Non-zero TRI Data'!$A:$A)*('Processed Non-zero TRI Data'!$I:$I = H290), 'Processed Non-zero TRI Data'!$S:$S), "N/A- Facility Does Not Report to TRI")</f>
        <v>0</v>
      </c>
      <c r="Y290" s="33">
        <f t="shared" si="58"/>
        <v>0</v>
      </c>
      <c r="Z290" s="33" t="str" cm="1">
        <f t="array" ref="Z290">IF(COUNTIF('Processed Non-zero TRI Data'!$I:$I,$H290)&gt;0,MEDIAN(IF('Processed Non-zero TRI Data'!$I:$I=H290,'Processed Non-zero TRI Data'!$S:$S)), "N/A - Facility Does Not Report to TRI")</f>
        <v>N/A - Facility Does Not Report to TRI</v>
      </c>
      <c r="AA290" s="33" t="str">
        <f t="shared" si="59"/>
        <v>N/A - Facility Does Not Report to TRI</v>
      </c>
      <c r="AB290" s="33" t="str">
        <f>IF(COUNTIF('Processed Non-zero TRI Data'!$I:$I,$H290)&gt;0,_xlfn.MAXIFS('Processed Non-zero TRI Data'!$S:$S,'Processed Non-zero TRI Data'!$I:$I,$H290), "N/A - Facility Does Not Report to TRI")</f>
        <v>N/A - Facility Does Not Report to TRI</v>
      </c>
      <c r="AC290" s="33" t="str">
        <f t="shared" si="60"/>
        <v>N/A - Facility Does Not Report to TRI</v>
      </c>
      <c r="AD290" s="110" t="str" cm="1">
        <f t="array" ref="AD290">IFERROR(IF(B290 = "TRI Form R", IF(AB290 = 0, "Facility has no on-site water discharges between 2019-2023.",  IF(COUNTIF('Processed Non-zero TRI Data'!$I:$I,$H290)&gt;0,INDEX('Processed Non-zero TRI Data'!$A:$A,MATCH(1,($H290='Processed Non-zero TRI Data'!$I:$I)*(AB290='Processed Non-zero TRI Data'!$S:$S),0)))), VLOOKUP(H290, 'Form A Recent Reporting'!$L:$M, 2, FALSE)), ("N/A - Facility Does Not Report to TRI"))</f>
        <v>N/A - Facility Does Not Report to TRI</v>
      </c>
      <c r="AE290" s="109" cm="1">
        <f t="array" ref="AE290">IFERROR(_xlfn.XLOOKUP(1,  (MAX(IF(H290 = 'Processed Non-zero TRI Data'!$I:$I,'Processed Non-zero TRI Data'!$A:$A)) = 'Processed Non-zero TRI Data'!$A:$A)*('Processed Non-zero TRI Data'!$I:$I = H290), 'Processed Non-zero TRI Data'!$U:$U), "N/A- Facility Does Not Report to TRI")</f>
        <v>0</v>
      </c>
      <c r="AF290" s="33">
        <f t="shared" si="61"/>
        <v>0</v>
      </c>
      <c r="AG290" s="33" t="str" cm="1">
        <f t="array" ref="AG290">IF(COUNTIF('Processed Non-zero TRI Data'!$I:$I,$H290)&gt;0,MEDIAN(IF('Processed Non-zero TRI Data'!$I:$I=H290,'Processed Non-zero TRI Data'!$U:$U)), "N/A - Facility Does Not Report to TRI")</f>
        <v>N/A - Facility Does Not Report to TRI</v>
      </c>
      <c r="AH290" s="33" t="str">
        <f t="shared" si="62"/>
        <v>N/A - Facility Does Not Report to TRI</v>
      </c>
      <c r="AI290" s="33" t="str">
        <f>IF(COUNTIF('Processed Non-zero TRI Data'!$I:$I,$H290)&gt;0,_xlfn.MAXIFS('Processed Non-zero TRI Data'!$U:$U,'Processed Non-zero TRI Data'!$I:$I,$H290), "N/A - Facility Does Not Report to TRI")</f>
        <v>N/A - Facility Does Not Report to TRI</v>
      </c>
      <c r="AJ290" s="33" t="str">
        <f t="shared" si="63"/>
        <v>N/A - Facility Does Not Report to TRI</v>
      </c>
      <c r="AK290" s="110" t="str" cm="1">
        <f t="array" ref="AK290">IF(B290="TRI Form A",AD290,IF(AI290=0,"Facility has no transfers to POTWs between 2019-2023.",IF(COUNTIF('Processed Non-zero TRI Data'!$I:$I,$H290)&gt;0,INDEX('Processed Non-zero TRI Data'!$A:$A,MATCH(1,($H290='Processed Non-zero TRI Data'!$I:$I)*(AI290='Processed Non-zero TRI Data'!$U:$U),0)),"N/A - Facility Does Not Report to TRI")))</f>
        <v>N/A - Facility Does Not Report to TRI</v>
      </c>
      <c r="AL290" s="109" cm="1">
        <f t="array" ref="AL290">IFERROR(_xlfn.XLOOKUP(1,  (MAX(IF(H290 = 'Processed Non-zero TRI Data'!$I$2:$I$23,'Processed Non-zero TRI Data'!$A$2:$A$23)) = 'Processed Non-zero TRI Data'!$A$2:$A$23)*('Processed Non-zero TRI Data'!$I$2:$I$23 = H290), 'Processed Non-zero TRI Data'!$W$2:$W$23), "N/A- Facility Does Not Report to TRI")</f>
        <v>0</v>
      </c>
      <c r="AM290" s="33">
        <f t="shared" si="64"/>
        <v>0</v>
      </c>
      <c r="AN290" s="33" t="str" cm="1">
        <f t="array" ref="AN290">IF(COUNTIF('Processed Non-zero TRI Data'!$I:$I,$H290)&gt;0,MEDIAN(IF('Processed Non-zero TRI Data'!$I:$I=H290,'Processed Non-zero TRI Data'!$W:$W)), "N/A - Facility Does Not Report to TRI")</f>
        <v>N/A - Facility Does Not Report to TRI</v>
      </c>
      <c r="AO290" s="33" t="str">
        <f t="shared" si="65"/>
        <v>N/A - Facility Does Not Report to TRI</v>
      </c>
      <c r="AP290" s="33" t="str">
        <f>IF(COUNTIF('Processed Non-zero TRI Data'!$I:$I,$H290)&gt;0,_xlfn.MAXIFS('Processed Non-zero TRI Data'!$W:$W,'Processed Non-zero TRI Data'!$I:$I,$H290), "N/A - Facility Does Not Report to TRI")</f>
        <v>N/A - Facility Does Not Report to TRI</v>
      </c>
      <c r="AQ290" s="33" t="str">
        <f t="shared" si="66"/>
        <v>N/A - Facility Does Not Report to TRI</v>
      </c>
      <c r="AR290" s="110" t="str" cm="1">
        <f t="array" ref="AR290">IF(B290="TRI Form A",AD290,IF(AP290=0,"Facility has no transfers to non-POTWs between 2019-2023.",IF(COUNTIF('Processed Non-zero TRI Data'!$I:$I,$H290)&gt;0,INDEX('Processed Non-zero TRI Data'!$A:$A,MATCH(1,($H290='Processed Non-zero TRI Data'!$I:$I)*(AP290='Processed Non-zero TRI Data'!$W:$W),0)),"N/A - Facility Does Not Report to TRI")))</f>
        <v>N/A - Facility Does Not Report to TRI</v>
      </c>
    </row>
    <row r="291" spans="1:44" ht="29" x14ac:dyDescent="0.35">
      <c r="A291" s="34">
        <v>288</v>
      </c>
      <c r="B291" s="33" t="str">
        <f>IFERROR("TRI Form "&amp;VLOOKUP(H291,'Processed Non-zero TRI Data'!$I$2:$K$23,3,FALSE),"DMR")</f>
        <v>DMR</v>
      </c>
      <c r="C291" s="33" t="str">
        <f>VLOOKUP($D291, 'COU.OES Summary'!C:D, 2, FALSE)</f>
        <v> </v>
      </c>
      <c r="D291" s="33" t="str">
        <f>IFERROR(VLOOKUP($H291, 'Processed Non-zero TRI Data'!$I:$O, 7, FALSE), VLOOKUP($I291, 'Processed Non-zero DMR Data'!$K:$R, 8, FALSE))</f>
        <v>Waste handling, treatment, and disposal - Remediation or Monitoring</v>
      </c>
      <c r="E291" s="34" t="s">
        <v>642</v>
      </c>
      <c r="F291" s="34" t="s">
        <v>643</v>
      </c>
      <c r="G291" s="34" t="s">
        <v>340</v>
      </c>
      <c r="H291" s="34"/>
      <c r="I291" s="105">
        <v>110017796330</v>
      </c>
      <c r="J291" s="33" t="str">
        <f>IFERROR(VLOOKUP($I291, 'Processed Non-zero DMR Data'!$K:$U, 11, FALSE),"")</f>
        <v>PA0113913</v>
      </c>
      <c r="K291" s="33" t="str">
        <f>IFERROR(VLOOKUP($I291, 'Processed Non-zero DMR Data'!$K:$V, 12, FALSE),"Not Reported")</f>
        <v>North Branch Mahantango Creek</v>
      </c>
      <c r="L291" s="106">
        <f>IFERROR(VLOOKUP($I291, 'Processed Non-zero DMR Data'!$K:$W, 13, FALSE),"No Reach Code Reported")</f>
        <v>20503010601</v>
      </c>
      <c r="M291" s="107" t="str">
        <f>IFERROR(IFERROR(VLOOKUP(H291, 'Off-site Locations'!$K$3:$O$5, 5, FALSE), VLOOKUP(H291, 'Off-site Locations'!$B$3:$E$4, 4, FALSE)), "No Offsite Transfers")</f>
        <v>No Offsite Transfers</v>
      </c>
      <c r="N291" s="33">
        <f>VLOOKUP($D291, 'COU.OES Summary'!C:E, 3, FALSE)</f>
        <v>365</v>
      </c>
      <c r="O291" s="108">
        <f t="shared" si="56"/>
        <v>0</v>
      </c>
      <c r="P291" s="108">
        <f t="shared" si="57"/>
        <v>4.4248542499999996E-3</v>
      </c>
      <c r="Q291" s="109" cm="1">
        <f t="array" ref="Q291">IFERROR(_xlfn.XLOOKUP(1,  (MAX(IF(I291 = 'Processed Non-zero DMR Data'!$K:$K,'Processed Non-zero DMR Data'!$A:$A)) = 'Processed Non-zero DMR Data'!$A:$A)*('Processed Non-zero DMR Data'!$K:$K = I291),'Processed Non-zero DMR Data'!$T:$T), "N/A- Facility Does Not Report DMRs")</f>
        <v>4.4248542499999996E-3</v>
      </c>
      <c r="R291" s="33">
        <f t="shared" si="67"/>
        <v>1.2122888356164382E-5</v>
      </c>
      <c r="S291" s="33" cm="1">
        <f t="array" ref="S291">IF(COUNTIF('Processed Non-zero DMR Data'!$K:$K,$I291)&gt;0,MEDIAN(IF('Processed Non-zero DMR Data'!$K:$K=I291,'Processed Non-zero DMR Data'!$T:$T)),"N/A - Facility Does Not Report DMRs")</f>
        <v>4.0575200000000002E-3</v>
      </c>
      <c r="T291" s="33">
        <f t="shared" si="68"/>
        <v>1.1116493150684932E-5</v>
      </c>
      <c r="U291" s="33">
        <f>IF(COUNTIF('Processed Non-zero DMR Data'!$K:$K,$I291)&gt;0,_xlfn.MAXIFS('Processed Non-zero DMR Data'!$T:$T,'Processed Non-zero DMR Data'!$K:$K,$I291), "N/A - Facility Does Not Report DMRs")</f>
        <v>4.4248542499999996E-3</v>
      </c>
      <c r="V291" s="33">
        <f t="shared" si="69"/>
        <v>1.2122888356164382E-5</v>
      </c>
      <c r="W291" s="110" cm="1">
        <f t="array" ref="W291">IF(COUNTIF('Processed Non-zero DMR Data'!$K:$K,$I291)&gt;0,INDEX('Processed Non-zero DMR Data'!$A:$A,MATCH(1,($I291='Processed Non-zero DMR Data'!$K:$K)*($U291='Processed Non-zero DMR Data'!$T:$T),0)), "N/A - Facility Does Not Report DMRs")</f>
        <v>2023</v>
      </c>
      <c r="X291" s="109" cm="1">
        <f t="array" ref="X291">IFERROR(_xlfn.XLOOKUP(1,  (MAX(IF(H291 = 'Processed Non-zero TRI Data'!$I:$I,'Processed Non-zero TRI Data'!$A:$A)) = 'Processed Non-zero TRI Data'!$A:$A)*('Processed Non-zero TRI Data'!$I:$I = H291), 'Processed Non-zero TRI Data'!$S:$S), "N/A- Facility Does Not Report to TRI")</f>
        <v>0</v>
      </c>
      <c r="Y291" s="33">
        <f t="shared" si="58"/>
        <v>0</v>
      </c>
      <c r="Z291" s="33" t="str" cm="1">
        <f t="array" ref="Z291">IF(COUNTIF('Processed Non-zero TRI Data'!$I:$I,$H291)&gt;0,MEDIAN(IF('Processed Non-zero TRI Data'!$I:$I=H291,'Processed Non-zero TRI Data'!$S:$S)), "N/A - Facility Does Not Report to TRI")</f>
        <v>N/A - Facility Does Not Report to TRI</v>
      </c>
      <c r="AA291" s="33" t="str">
        <f t="shared" si="59"/>
        <v>N/A - Facility Does Not Report to TRI</v>
      </c>
      <c r="AB291" s="33" t="str">
        <f>IF(COUNTIF('Processed Non-zero TRI Data'!$I:$I,$H291)&gt;0,_xlfn.MAXIFS('Processed Non-zero TRI Data'!$S:$S,'Processed Non-zero TRI Data'!$I:$I,$H291), "N/A - Facility Does Not Report to TRI")</f>
        <v>N/A - Facility Does Not Report to TRI</v>
      </c>
      <c r="AC291" s="33" t="str">
        <f t="shared" si="60"/>
        <v>N/A - Facility Does Not Report to TRI</v>
      </c>
      <c r="AD291" s="110" t="str" cm="1">
        <f t="array" ref="AD291">IFERROR(IF(B291 = "TRI Form R", IF(AB291 = 0, "Facility has no on-site water discharges between 2019-2023.",  IF(COUNTIF('Processed Non-zero TRI Data'!$I:$I,$H291)&gt;0,INDEX('Processed Non-zero TRI Data'!$A:$A,MATCH(1,($H291='Processed Non-zero TRI Data'!$I:$I)*(AB291='Processed Non-zero TRI Data'!$S:$S),0)))), VLOOKUP(H291, 'Form A Recent Reporting'!$L:$M, 2, FALSE)), ("N/A - Facility Does Not Report to TRI"))</f>
        <v>N/A - Facility Does Not Report to TRI</v>
      </c>
      <c r="AE291" s="109" cm="1">
        <f t="array" ref="AE291">IFERROR(_xlfn.XLOOKUP(1,  (MAX(IF(H291 = 'Processed Non-zero TRI Data'!$I:$I,'Processed Non-zero TRI Data'!$A:$A)) = 'Processed Non-zero TRI Data'!$A:$A)*('Processed Non-zero TRI Data'!$I:$I = H291), 'Processed Non-zero TRI Data'!$U:$U), "N/A- Facility Does Not Report to TRI")</f>
        <v>0</v>
      </c>
      <c r="AF291" s="33">
        <f t="shared" si="61"/>
        <v>0</v>
      </c>
      <c r="AG291" s="33" t="str" cm="1">
        <f t="array" ref="AG291">IF(COUNTIF('Processed Non-zero TRI Data'!$I:$I,$H291)&gt;0,MEDIAN(IF('Processed Non-zero TRI Data'!$I:$I=H291,'Processed Non-zero TRI Data'!$U:$U)), "N/A - Facility Does Not Report to TRI")</f>
        <v>N/A - Facility Does Not Report to TRI</v>
      </c>
      <c r="AH291" s="33" t="str">
        <f t="shared" si="62"/>
        <v>N/A - Facility Does Not Report to TRI</v>
      </c>
      <c r="AI291" s="33" t="str">
        <f>IF(COUNTIF('Processed Non-zero TRI Data'!$I:$I,$H291)&gt;0,_xlfn.MAXIFS('Processed Non-zero TRI Data'!$U:$U,'Processed Non-zero TRI Data'!$I:$I,$H291), "N/A - Facility Does Not Report to TRI")</f>
        <v>N/A - Facility Does Not Report to TRI</v>
      </c>
      <c r="AJ291" s="33" t="str">
        <f t="shared" si="63"/>
        <v>N/A - Facility Does Not Report to TRI</v>
      </c>
      <c r="AK291" s="110" t="str" cm="1">
        <f t="array" ref="AK291">IF(B291="TRI Form A",AD291,IF(AI291=0,"Facility has no transfers to POTWs between 2019-2023.",IF(COUNTIF('Processed Non-zero TRI Data'!$I:$I,$H291)&gt;0,INDEX('Processed Non-zero TRI Data'!$A:$A,MATCH(1,($H291='Processed Non-zero TRI Data'!$I:$I)*(AI291='Processed Non-zero TRI Data'!$U:$U),0)),"N/A - Facility Does Not Report to TRI")))</f>
        <v>N/A - Facility Does Not Report to TRI</v>
      </c>
      <c r="AL291" s="109" cm="1">
        <f t="array" ref="AL291">IFERROR(_xlfn.XLOOKUP(1,  (MAX(IF(H291 = 'Processed Non-zero TRI Data'!$I$2:$I$23,'Processed Non-zero TRI Data'!$A$2:$A$23)) = 'Processed Non-zero TRI Data'!$A$2:$A$23)*('Processed Non-zero TRI Data'!$I$2:$I$23 = H291), 'Processed Non-zero TRI Data'!$W$2:$W$23), "N/A- Facility Does Not Report to TRI")</f>
        <v>0</v>
      </c>
      <c r="AM291" s="33">
        <f t="shared" si="64"/>
        <v>0</v>
      </c>
      <c r="AN291" s="33" t="str" cm="1">
        <f t="array" ref="AN291">IF(COUNTIF('Processed Non-zero TRI Data'!$I:$I,$H291)&gt;0,MEDIAN(IF('Processed Non-zero TRI Data'!$I:$I=H291,'Processed Non-zero TRI Data'!$W:$W)), "N/A - Facility Does Not Report to TRI")</f>
        <v>N/A - Facility Does Not Report to TRI</v>
      </c>
      <c r="AO291" s="33" t="str">
        <f t="shared" si="65"/>
        <v>N/A - Facility Does Not Report to TRI</v>
      </c>
      <c r="AP291" s="33" t="str">
        <f>IF(COUNTIF('Processed Non-zero TRI Data'!$I:$I,$H291)&gt;0,_xlfn.MAXIFS('Processed Non-zero TRI Data'!$W:$W,'Processed Non-zero TRI Data'!$I:$I,$H291), "N/A - Facility Does Not Report to TRI")</f>
        <v>N/A - Facility Does Not Report to TRI</v>
      </c>
      <c r="AQ291" s="33" t="str">
        <f t="shared" si="66"/>
        <v>N/A - Facility Does Not Report to TRI</v>
      </c>
      <c r="AR291" s="110" t="str" cm="1">
        <f t="array" ref="AR291">IF(B291="TRI Form A",AD291,IF(AP291=0,"Facility has no transfers to non-POTWs between 2019-2023.",IF(COUNTIF('Processed Non-zero TRI Data'!$I:$I,$H291)&gt;0,INDEX('Processed Non-zero TRI Data'!$A:$A,MATCH(1,($H291='Processed Non-zero TRI Data'!$I:$I)*(AP291='Processed Non-zero TRI Data'!$W:$W),0)),"N/A - Facility Does Not Report to TRI")))</f>
        <v>N/A - Facility Does Not Report to TRI</v>
      </c>
    </row>
    <row r="292" spans="1:44" ht="29" x14ac:dyDescent="0.35">
      <c r="A292" s="34">
        <v>289</v>
      </c>
      <c r="B292" s="33" t="str">
        <f>IFERROR("TRI Form "&amp;VLOOKUP(H292,'Processed Non-zero TRI Data'!$I$2:$K$23,3,FALSE),"DMR")</f>
        <v>DMR</v>
      </c>
      <c r="C292" s="33" t="str">
        <f>VLOOKUP($D292, 'COU.OES Summary'!C:D, 2, FALSE)</f>
        <v> </v>
      </c>
      <c r="D292" s="33" t="str">
        <f>IFERROR(VLOOKUP($H292, 'Processed Non-zero TRI Data'!$I:$O, 7, FALSE), VLOOKUP($I292, 'Processed Non-zero DMR Data'!$K:$R, 8, FALSE))</f>
        <v>Waste handling, treatment, and disposal - Remediation or Monitoring</v>
      </c>
      <c r="E292" s="34" t="s">
        <v>644</v>
      </c>
      <c r="F292" s="34" t="s">
        <v>645</v>
      </c>
      <c r="G292" s="34" t="s">
        <v>276</v>
      </c>
      <c r="H292" s="34"/>
      <c r="I292" s="105">
        <v>110070884760</v>
      </c>
      <c r="J292" s="33" t="str">
        <f>IFERROR(VLOOKUP($I292, 'Processed Non-zero DMR Data'!$K:$U, 11, FALSE),"")</f>
        <v>VAG830561</v>
      </c>
      <c r="K292" s="33" t="str">
        <f>IFERROR(VLOOKUP($I292, 'Processed Non-zero DMR Data'!$K:$V, 12, FALSE),"Not Reported")</f>
        <v>Lynnhaven River</v>
      </c>
      <c r="L292" s="106" t="str">
        <f>IFERROR(VLOOKUP($I292, 'Processed Non-zero DMR Data'!$K:$W, 13, FALSE),"No Reach Code Reported")</f>
        <v>020801080201</v>
      </c>
      <c r="M292" s="107" t="str">
        <f>IFERROR(IFERROR(VLOOKUP(H292, 'Off-site Locations'!$K$3:$O$5, 5, FALSE), VLOOKUP(H292, 'Off-site Locations'!$B$3:$E$4, 4, FALSE)), "No Offsite Transfers")</f>
        <v>No Offsite Transfers</v>
      </c>
      <c r="N292" s="33">
        <f>VLOOKUP($D292, 'COU.OES Summary'!C:E, 3, FALSE)</f>
        <v>365</v>
      </c>
      <c r="O292" s="108">
        <f t="shared" si="56"/>
        <v>0</v>
      </c>
      <c r="P292" s="108">
        <f t="shared" si="57"/>
        <v>4.2405722345454496E-3</v>
      </c>
      <c r="Q292" s="109" cm="1">
        <f t="array" ref="Q292">IFERROR(_xlfn.XLOOKUP(1,  (MAX(IF(I292 = 'Processed Non-zero DMR Data'!$K:$K,'Processed Non-zero DMR Data'!$A:$A)) = 'Processed Non-zero DMR Data'!$A:$A)*('Processed Non-zero DMR Data'!$K:$K = I292),'Processed Non-zero DMR Data'!$T:$T), "N/A- Facility Does Not Report DMRs")</f>
        <v>4.2405722345454496E-3</v>
      </c>
      <c r="R292" s="33">
        <f t="shared" si="67"/>
        <v>1.1618006122042327E-5</v>
      </c>
      <c r="S292" s="33" cm="1">
        <f t="array" ref="S292">IF(COUNTIF('Processed Non-zero DMR Data'!$K:$K,$I292)&gt;0,MEDIAN(IF('Processed Non-zero DMR Data'!$K:$K=I292,'Processed Non-zero DMR Data'!$T:$T)),"N/A - Facility Does Not Report DMRs")</f>
        <v>4.2405722345454496E-3</v>
      </c>
      <c r="T292" s="33">
        <f t="shared" si="68"/>
        <v>1.1618006122042327E-5</v>
      </c>
      <c r="U292" s="33">
        <f>IF(COUNTIF('Processed Non-zero DMR Data'!$K:$K,$I292)&gt;0,_xlfn.MAXIFS('Processed Non-zero DMR Data'!$T:$T,'Processed Non-zero DMR Data'!$K:$K,$I292), "N/A - Facility Does Not Report DMRs")</f>
        <v>4.2405722345454496E-3</v>
      </c>
      <c r="V292" s="33">
        <f t="shared" si="69"/>
        <v>1.1618006122042327E-5</v>
      </c>
      <c r="W292" s="110" cm="1">
        <f t="array" ref="W292">IF(COUNTIF('Processed Non-zero DMR Data'!$K:$K,$I292)&gt;0,INDEX('Processed Non-zero DMR Data'!$A:$A,MATCH(1,($I292='Processed Non-zero DMR Data'!$K:$K)*($U292='Processed Non-zero DMR Data'!$T:$T),0)), "N/A - Facility Does Not Report DMRs")</f>
        <v>2022</v>
      </c>
      <c r="X292" s="109" cm="1">
        <f t="array" ref="X292">IFERROR(_xlfn.XLOOKUP(1,  (MAX(IF(H292 = 'Processed Non-zero TRI Data'!$I:$I,'Processed Non-zero TRI Data'!$A:$A)) = 'Processed Non-zero TRI Data'!$A:$A)*('Processed Non-zero TRI Data'!$I:$I = H292), 'Processed Non-zero TRI Data'!$S:$S), "N/A- Facility Does Not Report to TRI")</f>
        <v>0</v>
      </c>
      <c r="Y292" s="33">
        <f t="shared" si="58"/>
        <v>0</v>
      </c>
      <c r="Z292" s="33" t="str" cm="1">
        <f t="array" ref="Z292">IF(COUNTIF('Processed Non-zero TRI Data'!$I:$I,$H292)&gt;0,MEDIAN(IF('Processed Non-zero TRI Data'!$I:$I=H292,'Processed Non-zero TRI Data'!$S:$S)), "N/A - Facility Does Not Report to TRI")</f>
        <v>N/A - Facility Does Not Report to TRI</v>
      </c>
      <c r="AA292" s="33" t="str">
        <f t="shared" si="59"/>
        <v>N/A - Facility Does Not Report to TRI</v>
      </c>
      <c r="AB292" s="33" t="str">
        <f>IF(COUNTIF('Processed Non-zero TRI Data'!$I:$I,$H292)&gt;0,_xlfn.MAXIFS('Processed Non-zero TRI Data'!$S:$S,'Processed Non-zero TRI Data'!$I:$I,$H292), "N/A - Facility Does Not Report to TRI")</f>
        <v>N/A - Facility Does Not Report to TRI</v>
      </c>
      <c r="AC292" s="33" t="str">
        <f t="shared" si="60"/>
        <v>N/A - Facility Does Not Report to TRI</v>
      </c>
      <c r="AD292" s="110" t="str" cm="1">
        <f t="array" ref="AD292">IFERROR(IF(B292 = "TRI Form R", IF(AB292 = 0, "Facility has no on-site water discharges between 2019-2023.",  IF(COUNTIF('Processed Non-zero TRI Data'!$I:$I,$H292)&gt;0,INDEX('Processed Non-zero TRI Data'!$A:$A,MATCH(1,($H292='Processed Non-zero TRI Data'!$I:$I)*(AB292='Processed Non-zero TRI Data'!$S:$S),0)))), VLOOKUP(H292, 'Form A Recent Reporting'!$L:$M, 2, FALSE)), ("N/A - Facility Does Not Report to TRI"))</f>
        <v>N/A - Facility Does Not Report to TRI</v>
      </c>
      <c r="AE292" s="109" cm="1">
        <f t="array" ref="AE292">IFERROR(_xlfn.XLOOKUP(1,  (MAX(IF(H292 = 'Processed Non-zero TRI Data'!$I:$I,'Processed Non-zero TRI Data'!$A:$A)) = 'Processed Non-zero TRI Data'!$A:$A)*('Processed Non-zero TRI Data'!$I:$I = H292), 'Processed Non-zero TRI Data'!$U:$U), "N/A- Facility Does Not Report to TRI")</f>
        <v>0</v>
      </c>
      <c r="AF292" s="33">
        <f t="shared" si="61"/>
        <v>0</v>
      </c>
      <c r="AG292" s="33" t="str" cm="1">
        <f t="array" ref="AG292">IF(COUNTIF('Processed Non-zero TRI Data'!$I:$I,$H292)&gt;0,MEDIAN(IF('Processed Non-zero TRI Data'!$I:$I=H292,'Processed Non-zero TRI Data'!$U:$U)), "N/A - Facility Does Not Report to TRI")</f>
        <v>N/A - Facility Does Not Report to TRI</v>
      </c>
      <c r="AH292" s="33" t="str">
        <f t="shared" si="62"/>
        <v>N/A - Facility Does Not Report to TRI</v>
      </c>
      <c r="AI292" s="33" t="str">
        <f>IF(COUNTIF('Processed Non-zero TRI Data'!$I:$I,$H292)&gt;0,_xlfn.MAXIFS('Processed Non-zero TRI Data'!$U:$U,'Processed Non-zero TRI Data'!$I:$I,$H292), "N/A - Facility Does Not Report to TRI")</f>
        <v>N/A - Facility Does Not Report to TRI</v>
      </c>
      <c r="AJ292" s="33" t="str">
        <f t="shared" si="63"/>
        <v>N/A - Facility Does Not Report to TRI</v>
      </c>
      <c r="AK292" s="110" t="str" cm="1">
        <f t="array" ref="AK292">IF(B292="TRI Form A",AD292,IF(AI292=0,"Facility has no transfers to POTWs between 2019-2023.",IF(COUNTIF('Processed Non-zero TRI Data'!$I:$I,$H292)&gt;0,INDEX('Processed Non-zero TRI Data'!$A:$A,MATCH(1,($H292='Processed Non-zero TRI Data'!$I:$I)*(AI292='Processed Non-zero TRI Data'!$U:$U),0)),"N/A - Facility Does Not Report to TRI")))</f>
        <v>N/A - Facility Does Not Report to TRI</v>
      </c>
      <c r="AL292" s="109" cm="1">
        <f t="array" ref="AL292">IFERROR(_xlfn.XLOOKUP(1,  (MAX(IF(H292 = 'Processed Non-zero TRI Data'!$I$2:$I$23,'Processed Non-zero TRI Data'!$A$2:$A$23)) = 'Processed Non-zero TRI Data'!$A$2:$A$23)*('Processed Non-zero TRI Data'!$I$2:$I$23 = H292), 'Processed Non-zero TRI Data'!$W$2:$W$23), "N/A- Facility Does Not Report to TRI")</f>
        <v>0</v>
      </c>
      <c r="AM292" s="33">
        <f t="shared" si="64"/>
        <v>0</v>
      </c>
      <c r="AN292" s="33" t="str" cm="1">
        <f t="array" ref="AN292">IF(COUNTIF('Processed Non-zero TRI Data'!$I:$I,$H292)&gt;0,MEDIAN(IF('Processed Non-zero TRI Data'!$I:$I=H292,'Processed Non-zero TRI Data'!$W:$W)), "N/A - Facility Does Not Report to TRI")</f>
        <v>N/A - Facility Does Not Report to TRI</v>
      </c>
      <c r="AO292" s="33" t="str">
        <f t="shared" si="65"/>
        <v>N/A - Facility Does Not Report to TRI</v>
      </c>
      <c r="AP292" s="33" t="str">
        <f>IF(COUNTIF('Processed Non-zero TRI Data'!$I:$I,$H292)&gt;0,_xlfn.MAXIFS('Processed Non-zero TRI Data'!$W:$W,'Processed Non-zero TRI Data'!$I:$I,$H292), "N/A - Facility Does Not Report to TRI")</f>
        <v>N/A - Facility Does Not Report to TRI</v>
      </c>
      <c r="AQ292" s="33" t="str">
        <f t="shared" si="66"/>
        <v>N/A - Facility Does Not Report to TRI</v>
      </c>
      <c r="AR292" s="110" t="str" cm="1">
        <f t="array" ref="AR292">IF(B292="TRI Form A",AD292,IF(AP292=0,"Facility has no transfers to non-POTWs between 2019-2023.",IF(COUNTIF('Processed Non-zero TRI Data'!$I:$I,$H292)&gt;0,INDEX('Processed Non-zero TRI Data'!$A:$A,MATCH(1,($H292='Processed Non-zero TRI Data'!$I:$I)*(AP292='Processed Non-zero TRI Data'!$W:$W),0)),"N/A - Facility Does Not Report to TRI")))</f>
        <v>N/A - Facility Does Not Report to TRI</v>
      </c>
    </row>
    <row r="293" spans="1:44" ht="29" x14ac:dyDescent="0.35">
      <c r="A293" s="34">
        <v>290</v>
      </c>
      <c r="B293" s="33" t="str">
        <f>IFERROR("TRI Form "&amp;VLOOKUP(H293,'Processed Non-zero TRI Data'!$I$2:$K$23,3,FALSE),"DMR")</f>
        <v>DMR</v>
      </c>
      <c r="C293" s="33" t="str">
        <f>VLOOKUP($D293, 'COU.OES Summary'!C:D, 2, FALSE)</f>
        <v> </v>
      </c>
      <c r="D293" s="33" t="str">
        <f>IFERROR(VLOOKUP($H293, 'Processed Non-zero TRI Data'!$I:$O, 7, FALSE), VLOOKUP($I293, 'Processed Non-zero DMR Data'!$K:$R, 8, FALSE))</f>
        <v>Waste handling, treatment, and disposal - POTW</v>
      </c>
      <c r="E293" s="34" t="s">
        <v>646</v>
      </c>
      <c r="F293" s="34" t="s">
        <v>647</v>
      </c>
      <c r="G293" s="34" t="s">
        <v>102</v>
      </c>
      <c r="H293" s="34"/>
      <c r="I293" s="105">
        <v>110002043217</v>
      </c>
      <c r="J293" s="33" t="str">
        <f>IFERROR(VLOOKUP($I293, 'Processed Non-zero DMR Data'!$K:$U, 11, FALSE),"")</f>
        <v>CA0105015</v>
      </c>
      <c r="K293" s="33" t="str">
        <f>IFERROR(VLOOKUP($I293, 'Processed Non-zero DMR Data'!$K:$V, 12, FALSE),"Not Reported")</f>
        <v>Town of Calipatria-Alamo River</v>
      </c>
      <c r="L293" s="106">
        <f>IFERROR(VLOOKUP($I293, 'Processed Non-zero DMR Data'!$K:$W, 13, FALSE),"No Reach Code Reported")</f>
        <v>181002040707</v>
      </c>
      <c r="M293" s="107" t="str">
        <f>IFERROR(IFERROR(VLOOKUP(H293, 'Off-site Locations'!$K$3:$O$5, 5, FALSE), VLOOKUP(H293, 'Off-site Locations'!$B$3:$E$4, 4, FALSE)), "No Offsite Transfers")</f>
        <v>No Offsite Transfers</v>
      </c>
      <c r="N293" s="33">
        <f>VLOOKUP($D293, 'COU.OES Summary'!C:E, 3, FALSE)</f>
        <v>365</v>
      </c>
      <c r="O293" s="108">
        <f t="shared" si="56"/>
        <v>0</v>
      </c>
      <c r="P293" s="108">
        <f t="shared" si="57"/>
        <v>4.1445750000000002E-3</v>
      </c>
      <c r="Q293" s="109" cm="1">
        <f t="array" ref="Q293">IFERROR(_xlfn.XLOOKUP(1,  (MAX(IF(I293 = 'Processed Non-zero DMR Data'!$K:$K,'Processed Non-zero DMR Data'!$A:$A)) = 'Processed Non-zero DMR Data'!$A:$A)*('Processed Non-zero DMR Data'!$K:$K = I293),'Processed Non-zero DMR Data'!$T:$T), "N/A- Facility Does Not Report DMRs")</f>
        <v>3.813009E-3</v>
      </c>
      <c r="R293" s="33">
        <f t="shared" si="67"/>
        <v>1.0446599999999999E-5</v>
      </c>
      <c r="S293" s="33" cm="1">
        <f t="array" ref="S293">IF(COUNTIF('Processed Non-zero DMR Data'!$K:$K,$I293)&gt;0,MEDIAN(IF('Processed Non-zero DMR Data'!$K:$K=I293,'Processed Non-zero DMR Data'!$T:$T)),"N/A - Facility Does Not Report DMRs")</f>
        <v>3.8544547499999998E-3</v>
      </c>
      <c r="T293" s="33">
        <f t="shared" si="68"/>
        <v>1.0560149999999999E-5</v>
      </c>
      <c r="U293" s="33">
        <f>IF(COUNTIF('Processed Non-zero DMR Data'!$K:$K,$I293)&gt;0,_xlfn.MAXIFS('Processed Non-zero DMR Data'!$T:$T,'Processed Non-zero DMR Data'!$K:$K,$I293), "N/A - Facility Does Not Report DMRs")</f>
        <v>4.1445750000000002E-3</v>
      </c>
      <c r="V293" s="33">
        <f t="shared" si="69"/>
        <v>1.1355000000000001E-5</v>
      </c>
      <c r="W293" s="110" cm="1">
        <f t="array" ref="W293">IF(COUNTIF('Processed Non-zero DMR Data'!$K:$K,$I293)&gt;0,INDEX('Processed Non-zero DMR Data'!$A:$A,MATCH(1,($I293='Processed Non-zero DMR Data'!$K:$K)*($U293='Processed Non-zero DMR Data'!$T:$T),0)), "N/A - Facility Does Not Report DMRs")</f>
        <v>2019</v>
      </c>
      <c r="X293" s="109" cm="1">
        <f t="array" ref="X293">IFERROR(_xlfn.XLOOKUP(1,  (MAX(IF(H293 = 'Processed Non-zero TRI Data'!$I:$I,'Processed Non-zero TRI Data'!$A:$A)) = 'Processed Non-zero TRI Data'!$A:$A)*('Processed Non-zero TRI Data'!$I:$I = H293), 'Processed Non-zero TRI Data'!$S:$S), "N/A- Facility Does Not Report to TRI")</f>
        <v>0</v>
      </c>
      <c r="Y293" s="33">
        <f t="shared" si="58"/>
        <v>0</v>
      </c>
      <c r="Z293" s="33" t="str" cm="1">
        <f t="array" ref="Z293">IF(COUNTIF('Processed Non-zero TRI Data'!$I:$I,$H293)&gt;0,MEDIAN(IF('Processed Non-zero TRI Data'!$I:$I=H293,'Processed Non-zero TRI Data'!$S:$S)), "N/A - Facility Does Not Report to TRI")</f>
        <v>N/A - Facility Does Not Report to TRI</v>
      </c>
      <c r="AA293" s="33" t="str">
        <f t="shared" si="59"/>
        <v>N/A - Facility Does Not Report to TRI</v>
      </c>
      <c r="AB293" s="33" t="str">
        <f>IF(COUNTIF('Processed Non-zero TRI Data'!$I:$I,$H293)&gt;0,_xlfn.MAXIFS('Processed Non-zero TRI Data'!$S:$S,'Processed Non-zero TRI Data'!$I:$I,$H293), "N/A - Facility Does Not Report to TRI")</f>
        <v>N/A - Facility Does Not Report to TRI</v>
      </c>
      <c r="AC293" s="33" t="str">
        <f t="shared" si="60"/>
        <v>N/A - Facility Does Not Report to TRI</v>
      </c>
      <c r="AD293" s="110" t="str" cm="1">
        <f t="array" ref="AD293">IFERROR(IF(B293 = "TRI Form R", IF(AB293 = 0, "Facility has no on-site water discharges between 2019-2023.",  IF(COUNTIF('Processed Non-zero TRI Data'!$I:$I,$H293)&gt;0,INDEX('Processed Non-zero TRI Data'!$A:$A,MATCH(1,($H293='Processed Non-zero TRI Data'!$I:$I)*(AB293='Processed Non-zero TRI Data'!$S:$S),0)))), VLOOKUP(H293, 'Form A Recent Reporting'!$L:$M, 2, FALSE)), ("N/A - Facility Does Not Report to TRI"))</f>
        <v>N/A - Facility Does Not Report to TRI</v>
      </c>
      <c r="AE293" s="109" cm="1">
        <f t="array" ref="AE293">IFERROR(_xlfn.XLOOKUP(1,  (MAX(IF(H293 = 'Processed Non-zero TRI Data'!$I:$I,'Processed Non-zero TRI Data'!$A:$A)) = 'Processed Non-zero TRI Data'!$A:$A)*('Processed Non-zero TRI Data'!$I:$I = H293), 'Processed Non-zero TRI Data'!$U:$U), "N/A- Facility Does Not Report to TRI")</f>
        <v>0</v>
      </c>
      <c r="AF293" s="33">
        <f t="shared" si="61"/>
        <v>0</v>
      </c>
      <c r="AG293" s="33" t="str" cm="1">
        <f t="array" ref="AG293">IF(COUNTIF('Processed Non-zero TRI Data'!$I:$I,$H293)&gt;0,MEDIAN(IF('Processed Non-zero TRI Data'!$I:$I=H293,'Processed Non-zero TRI Data'!$U:$U)), "N/A - Facility Does Not Report to TRI")</f>
        <v>N/A - Facility Does Not Report to TRI</v>
      </c>
      <c r="AH293" s="33" t="str">
        <f t="shared" si="62"/>
        <v>N/A - Facility Does Not Report to TRI</v>
      </c>
      <c r="AI293" s="33" t="str">
        <f>IF(COUNTIF('Processed Non-zero TRI Data'!$I:$I,$H293)&gt;0,_xlfn.MAXIFS('Processed Non-zero TRI Data'!$U:$U,'Processed Non-zero TRI Data'!$I:$I,$H293), "N/A - Facility Does Not Report to TRI")</f>
        <v>N/A - Facility Does Not Report to TRI</v>
      </c>
      <c r="AJ293" s="33" t="str">
        <f t="shared" si="63"/>
        <v>N/A - Facility Does Not Report to TRI</v>
      </c>
      <c r="AK293" s="110" t="str" cm="1">
        <f t="array" ref="AK293">IF(B293="TRI Form A",AD293,IF(AI293=0,"Facility has no transfers to POTWs between 2019-2023.",IF(COUNTIF('Processed Non-zero TRI Data'!$I:$I,$H293)&gt;0,INDEX('Processed Non-zero TRI Data'!$A:$A,MATCH(1,($H293='Processed Non-zero TRI Data'!$I:$I)*(AI293='Processed Non-zero TRI Data'!$U:$U),0)),"N/A - Facility Does Not Report to TRI")))</f>
        <v>N/A - Facility Does Not Report to TRI</v>
      </c>
      <c r="AL293" s="109" cm="1">
        <f t="array" ref="AL293">IFERROR(_xlfn.XLOOKUP(1,  (MAX(IF(H293 = 'Processed Non-zero TRI Data'!$I$2:$I$23,'Processed Non-zero TRI Data'!$A$2:$A$23)) = 'Processed Non-zero TRI Data'!$A$2:$A$23)*('Processed Non-zero TRI Data'!$I$2:$I$23 = H293), 'Processed Non-zero TRI Data'!$W$2:$W$23), "N/A- Facility Does Not Report to TRI")</f>
        <v>0</v>
      </c>
      <c r="AM293" s="33">
        <f t="shared" si="64"/>
        <v>0</v>
      </c>
      <c r="AN293" s="33" t="str" cm="1">
        <f t="array" ref="AN293">IF(COUNTIF('Processed Non-zero TRI Data'!$I:$I,$H293)&gt;0,MEDIAN(IF('Processed Non-zero TRI Data'!$I:$I=H293,'Processed Non-zero TRI Data'!$W:$W)), "N/A - Facility Does Not Report to TRI")</f>
        <v>N/A - Facility Does Not Report to TRI</v>
      </c>
      <c r="AO293" s="33" t="str">
        <f t="shared" si="65"/>
        <v>N/A - Facility Does Not Report to TRI</v>
      </c>
      <c r="AP293" s="33" t="str">
        <f>IF(COUNTIF('Processed Non-zero TRI Data'!$I:$I,$H293)&gt;0,_xlfn.MAXIFS('Processed Non-zero TRI Data'!$W:$W,'Processed Non-zero TRI Data'!$I:$I,$H293), "N/A - Facility Does Not Report to TRI")</f>
        <v>N/A - Facility Does Not Report to TRI</v>
      </c>
      <c r="AQ293" s="33" t="str">
        <f t="shared" si="66"/>
        <v>N/A - Facility Does Not Report to TRI</v>
      </c>
      <c r="AR293" s="110" t="str" cm="1">
        <f t="array" ref="AR293">IF(B293="TRI Form A",AD293,IF(AP293=0,"Facility has no transfers to non-POTWs between 2019-2023.",IF(COUNTIF('Processed Non-zero TRI Data'!$I:$I,$H293)&gt;0,INDEX('Processed Non-zero TRI Data'!$A:$A,MATCH(1,($H293='Processed Non-zero TRI Data'!$I:$I)*(AP293='Processed Non-zero TRI Data'!$W:$W),0)),"N/A - Facility Does Not Report to TRI")))</f>
        <v>N/A - Facility Does Not Report to TRI</v>
      </c>
    </row>
    <row r="294" spans="1:44" ht="29" x14ac:dyDescent="0.35">
      <c r="A294" s="34">
        <v>291</v>
      </c>
      <c r="B294" s="33" t="str">
        <f>IFERROR("TRI Form "&amp;VLOOKUP(H294,'Processed Non-zero TRI Data'!$I$2:$K$23,3,FALSE),"DMR")</f>
        <v>DMR</v>
      </c>
      <c r="C294" s="33" t="str">
        <f>VLOOKUP($D294, 'COU.OES Summary'!C:D, 2, FALSE)</f>
        <v> </v>
      </c>
      <c r="D294" s="33" t="str">
        <f>IFERROR(VLOOKUP($H294, 'Processed Non-zero TRI Data'!$I:$O, 7, FALSE), VLOOKUP($I294, 'Processed Non-zero DMR Data'!$K:$R, 8, FALSE))</f>
        <v>Waste handling, treatment, and disposal - Remediation or Monitoring</v>
      </c>
      <c r="E294" s="34" t="s">
        <v>648</v>
      </c>
      <c r="F294" s="34" t="s">
        <v>378</v>
      </c>
      <c r="G294" s="34" t="s">
        <v>181</v>
      </c>
      <c r="H294" s="34"/>
      <c r="I294" s="105">
        <v>110009900312</v>
      </c>
      <c r="J294" s="33" t="str">
        <f>IFERROR(VLOOKUP($I294, 'Processed Non-zero DMR Data'!$K:$U, 11, FALSE),"")</f>
        <v>MI0046841</v>
      </c>
      <c r="K294" s="33" t="str">
        <f>IFERROR(VLOOKUP($I294, 'Processed Non-zero DMR Data'!$K:$V, 12, FALSE),"Not Reported")</f>
        <v>Silver Creek-Grand River</v>
      </c>
      <c r="L294" s="106">
        <f>IFERROR(VLOOKUP($I294, 'Processed Non-zero DMR Data'!$K:$W, 13, FALSE),"No Reach Code Reported")</f>
        <v>40500040703</v>
      </c>
      <c r="M294" s="107" t="str">
        <f>IFERROR(IFERROR(VLOOKUP(H294, 'Off-site Locations'!$K$3:$O$5, 5, FALSE), VLOOKUP(H294, 'Off-site Locations'!$B$3:$E$4, 4, FALSE)), "No Offsite Transfers")</f>
        <v>No Offsite Transfers</v>
      </c>
      <c r="N294" s="33">
        <f>VLOOKUP($D294, 'COU.OES Summary'!C:E, 3, FALSE)</f>
        <v>365</v>
      </c>
      <c r="O294" s="108">
        <f t="shared" si="56"/>
        <v>0</v>
      </c>
      <c r="P294" s="108">
        <f t="shared" si="57"/>
        <v>4.0279281818181804E-3</v>
      </c>
      <c r="Q294" s="109" cm="1">
        <f t="array" ref="Q294">IFERROR(_xlfn.XLOOKUP(1,  (MAX(IF(I294 = 'Processed Non-zero DMR Data'!$K:$K,'Processed Non-zero DMR Data'!$A:$A)) = 'Processed Non-zero DMR Data'!$A:$A)*('Processed Non-zero DMR Data'!$K:$K = I294),'Processed Non-zero DMR Data'!$T:$T), "N/A- Facility Does Not Report DMRs")</f>
        <v>3.3002768137500001E-3</v>
      </c>
      <c r="R294" s="33">
        <f t="shared" si="67"/>
        <v>9.0418542842465759E-6</v>
      </c>
      <c r="S294" s="33" cm="1">
        <f t="array" ref="S294">IF(COUNTIF('Processed Non-zero DMR Data'!$K:$K,$I294)&gt;0,MEDIAN(IF('Processed Non-zero DMR Data'!$K:$K=I294,'Processed Non-zero DMR Data'!$T:$T)),"N/A - Facility Does Not Report DMRs")</f>
        <v>3.3002768137500001E-3</v>
      </c>
      <c r="T294" s="33">
        <f t="shared" si="68"/>
        <v>9.0418542842465759E-6</v>
      </c>
      <c r="U294" s="33">
        <f>IF(COUNTIF('Processed Non-zero DMR Data'!$K:$K,$I294)&gt;0,_xlfn.MAXIFS('Processed Non-zero DMR Data'!$T:$T,'Processed Non-zero DMR Data'!$K:$K,$I294), "N/A - Facility Does Not Report DMRs")</f>
        <v>4.0279281818181804E-3</v>
      </c>
      <c r="V294" s="33">
        <f t="shared" si="69"/>
        <v>1.1035419676214193E-5</v>
      </c>
      <c r="W294" s="110" cm="1">
        <f t="array" ref="W294">IF(COUNTIF('Processed Non-zero DMR Data'!$K:$K,$I294)&gt;0,INDEX('Processed Non-zero DMR Data'!$A:$A,MATCH(1,($I294='Processed Non-zero DMR Data'!$K:$K)*($U294='Processed Non-zero DMR Data'!$T:$T),0)), "N/A - Facility Does Not Report DMRs")</f>
        <v>2021</v>
      </c>
      <c r="X294" s="109" cm="1">
        <f t="array" ref="X294">IFERROR(_xlfn.XLOOKUP(1,  (MAX(IF(H294 = 'Processed Non-zero TRI Data'!$I:$I,'Processed Non-zero TRI Data'!$A:$A)) = 'Processed Non-zero TRI Data'!$A:$A)*('Processed Non-zero TRI Data'!$I:$I = H294), 'Processed Non-zero TRI Data'!$S:$S), "N/A- Facility Does Not Report to TRI")</f>
        <v>0</v>
      </c>
      <c r="Y294" s="33">
        <f t="shared" si="58"/>
        <v>0</v>
      </c>
      <c r="Z294" s="33" t="str" cm="1">
        <f t="array" ref="Z294">IF(COUNTIF('Processed Non-zero TRI Data'!$I:$I,$H294)&gt;0,MEDIAN(IF('Processed Non-zero TRI Data'!$I:$I=H294,'Processed Non-zero TRI Data'!$S:$S)), "N/A - Facility Does Not Report to TRI")</f>
        <v>N/A - Facility Does Not Report to TRI</v>
      </c>
      <c r="AA294" s="33" t="str">
        <f t="shared" si="59"/>
        <v>N/A - Facility Does Not Report to TRI</v>
      </c>
      <c r="AB294" s="33" t="str">
        <f>IF(COUNTIF('Processed Non-zero TRI Data'!$I:$I,$H294)&gt;0,_xlfn.MAXIFS('Processed Non-zero TRI Data'!$S:$S,'Processed Non-zero TRI Data'!$I:$I,$H294), "N/A - Facility Does Not Report to TRI")</f>
        <v>N/A - Facility Does Not Report to TRI</v>
      </c>
      <c r="AC294" s="33" t="str">
        <f t="shared" si="60"/>
        <v>N/A - Facility Does Not Report to TRI</v>
      </c>
      <c r="AD294" s="110" t="str" cm="1">
        <f t="array" ref="AD294">IFERROR(IF(B294 = "TRI Form R", IF(AB294 = 0, "Facility has no on-site water discharges between 2019-2023.",  IF(COUNTIF('Processed Non-zero TRI Data'!$I:$I,$H294)&gt;0,INDEX('Processed Non-zero TRI Data'!$A:$A,MATCH(1,($H294='Processed Non-zero TRI Data'!$I:$I)*(AB294='Processed Non-zero TRI Data'!$S:$S),0)))), VLOOKUP(H294, 'Form A Recent Reporting'!$L:$M, 2, FALSE)), ("N/A - Facility Does Not Report to TRI"))</f>
        <v>N/A - Facility Does Not Report to TRI</v>
      </c>
      <c r="AE294" s="109" cm="1">
        <f t="array" ref="AE294">IFERROR(_xlfn.XLOOKUP(1,  (MAX(IF(H294 = 'Processed Non-zero TRI Data'!$I:$I,'Processed Non-zero TRI Data'!$A:$A)) = 'Processed Non-zero TRI Data'!$A:$A)*('Processed Non-zero TRI Data'!$I:$I = H294), 'Processed Non-zero TRI Data'!$U:$U), "N/A- Facility Does Not Report to TRI")</f>
        <v>0</v>
      </c>
      <c r="AF294" s="33">
        <f t="shared" si="61"/>
        <v>0</v>
      </c>
      <c r="AG294" s="33" t="str" cm="1">
        <f t="array" ref="AG294">IF(COUNTIF('Processed Non-zero TRI Data'!$I:$I,$H294)&gt;0,MEDIAN(IF('Processed Non-zero TRI Data'!$I:$I=H294,'Processed Non-zero TRI Data'!$U:$U)), "N/A - Facility Does Not Report to TRI")</f>
        <v>N/A - Facility Does Not Report to TRI</v>
      </c>
      <c r="AH294" s="33" t="str">
        <f t="shared" si="62"/>
        <v>N/A - Facility Does Not Report to TRI</v>
      </c>
      <c r="AI294" s="33" t="str">
        <f>IF(COUNTIF('Processed Non-zero TRI Data'!$I:$I,$H294)&gt;0,_xlfn.MAXIFS('Processed Non-zero TRI Data'!$U:$U,'Processed Non-zero TRI Data'!$I:$I,$H294), "N/A - Facility Does Not Report to TRI")</f>
        <v>N/A - Facility Does Not Report to TRI</v>
      </c>
      <c r="AJ294" s="33" t="str">
        <f t="shared" si="63"/>
        <v>N/A - Facility Does Not Report to TRI</v>
      </c>
      <c r="AK294" s="110" t="str" cm="1">
        <f t="array" ref="AK294">IF(B294="TRI Form A",AD294,IF(AI294=0,"Facility has no transfers to POTWs between 2019-2023.",IF(COUNTIF('Processed Non-zero TRI Data'!$I:$I,$H294)&gt;0,INDEX('Processed Non-zero TRI Data'!$A:$A,MATCH(1,($H294='Processed Non-zero TRI Data'!$I:$I)*(AI294='Processed Non-zero TRI Data'!$U:$U),0)),"N/A - Facility Does Not Report to TRI")))</f>
        <v>N/A - Facility Does Not Report to TRI</v>
      </c>
      <c r="AL294" s="109" cm="1">
        <f t="array" ref="AL294">IFERROR(_xlfn.XLOOKUP(1,  (MAX(IF(H294 = 'Processed Non-zero TRI Data'!$I$2:$I$23,'Processed Non-zero TRI Data'!$A$2:$A$23)) = 'Processed Non-zero TRI Data'!$A$2:$A$23)*('Processed Non-zero TRI Data'!$I$2:$I$23 = H294), 'Processed Non-zero TRI Data'!$W$2:$W$23), "N/A- Facility Does Not Report to TRI")</f>
        <v>0</v>
      </c>
      <c r="AM294" s="33">
        <f t="shared" si="64"/>
        <v>0</v>
      </c>
      <c r="AN294" s="33" t="str" cm="1">
        <f t="array" ref="AN294">IF(COUNTIF('Processed Non-zero TRI Data'!$I:$I,$H294)&gt;0,MEDIAN(IF('Processed Non-zero TRI Data'!$I:$I=H294,'Processed Non-zero TRI Data'!$W:$W)), "N/A - Facility Does Not Report to TRI")</f>
        <v>N/A - Facility Does Not Report to TRI</v>
      </c>
      <c r="AO294" s="33" t="str">
        <f t="shared" si="65"/>
        <v>N/A - Facility Does Not Report to TRI</v>
      </c>
      <c r="AP294" s="33" t="str">
        <f>IF(COUNTIF('Processed Non-zero TRI Data'!$I:$I,$H294)&gt;0,_xlfn.MAXIFS('Processed Non-zero TRI Data'!$W:$W,'Processed Non-zero TRI Data'!$I:$I,$H294), "N/A - Facility Does Not Report to TRI")</f>
        <v>N/A - Facility Does Not Report to TRI</v>
      </c>
      <c r="AQ294" s="33" t="str">
        <f t="shared" si="66"/>
        <v>N/A - Facility Does Not Report to TRI</v>
      </c>
      <c r="AR294" s="110" t="str" cm="1">
        <f t="array" ref="AR294">IF(B294="TRI Form A",AD294,IF(AP294=0,"Facility has no transfers to non-POTWs between 2019-2023.",IF(COUNTIF('Processed Non-zero TRI Data'!$I:$I,$H294)&gt;0,INDEX('Processed Non-zero TRI Data'!$A:$A,MATCH(1,($H294='Processed Non-zero TRI Data'!$I:$I)*(AP294='Processed Non-zero TRI Data'!$W:$W),0)),"N/A - Facility Does Not Report to TRI")))</f>
        <v>N/A - Facility Does Not Report to TRI</v>
      </c>
    </row>
    <row r="295" spans="1:44" ht="29" x14ac:dyDescent="0.35">
      <c r="A295" s="34">
        <v>292</v>
      </c>
      <c r="B295" s="33" t="str">
        <f>IFERROR("TRI Form "&amp;VLOOKUP(H295,'Processed Non-zero TRI Data'!$I$2:$K$23,3,FALSE),"DMR")</f>
        <v>DMR</v>
      </c>
      <c r="C295" s="33" t="str">
        <f>VLOOKUP($D295, 'COU.OES Summary'!C:D, 2, FALSE)</f>
        <v> </v>
      </c>
      <c r="D295" s="33" t="str">
        <f>IFERROR(VLOOKUP($H295, 'Processed Non-zero TRI Data'!$I:$O, 7, FALSE), VLOOKUP($I295, 'Processed Non-zero DMR Data'!$K:$R, 8, FALSE))</f>
        <v>Waste handling, treatment, and disposal - Remediation or Monitoring</v>
      </c>
      <c r="E295" s="34" t="s">
        <v>649</v>
      </c>
      <c r="F295" s="34" t="s">
        <v>421</v>
      </c>
      <c r="G295" s="34" t="s">
        <v>95</v>
      </c>
      <c r="H295" s="34"/>
      <c r="I295" s="105">
        <v>110000463677</v>
      </c>
      <c r="J295" s="33" t="str">
        <f>IFERROR(VLOOKUP($I295, 'Processed Non-zero DMR Data'!$K:$U, 11, FALSE),"")</f>
        <v>TX0084808</v>
      </c>
      <c r="K295" s="33" t="str">
        <f>IFERROR(VLOOKUP($I295, 'Processed Non-zero DMR Data'!$K:$V, 12, FALSE),"Not Reported")</f>
        <v>Goose Creek-Frontal Galveston Bay</v>
      </c>
      <c r="L295" s="106">
        <f>IFERROR(VLOOKUP($I295, 'Processed Non-zero DMR Data'!$K:$W, 13, FALSE),"No Reach Code Reported")</f>
        <v>120401040706</v>
      </c>
      <c r="M295" s="107" t="str">
        <f>IFERROR(IFERROR(VLOOKUP(H295, 'Off-site Locations'!$K$3:$O$5, 5, FALSE), VLOOKUP(H295, 'Off-site Locations'!$B$3:$E$4, 4, FALSE)), "No Offsite Transfers")</f>
        <v>No Offsite Transfers</v>
      </c>
      <c r="N295" s="33">
        <f>VLOOKUP($D295, 'COU.OES Summary'!C:E, 3, FALSE)</f>
        <v>365</v>
      </c>
      <c r="O295" s="108">
        <f t="shared" si="56"/>
        <v>0</v>
      </c>
      <c r="P295" s="108">
        <f t="shared" si="57"/>
        <v>3.9438980000000004E-3</v>
      </c>
      <c r="Q295" s="109" cm="1">
        <f t="array" ref="Q295">IFERROR(_xlfn.XLOOKUP(1,  (MAX(IF(I295 = 'Processed Non-zero DMR Data'!$K:$K,'Processed Non-zero DMR Data'!$A:$A)) = 'Processed Non-zero DMR Data'!$A:$A)*('Processed Non-zero DMR Data'!$K:$K = I295),'Processed Non-zero DMR Data'!$T:$T), "N/A- Facility Does Not Report DMRs")</f>
        <v>3.4964810000000001E-3</v>
      </c>
      <c r="R295" s="33">
        <f t="shared" si="67"/>
        <v>9.5794000000000001E-6</v>
      </c>
      <c r="S295" s="33" cm="1">
        <f t="array" ref="S295">IF(COUNTIF('Processed Non-zero DMR Data'!$K:$K,$I295)&gt;0,MEDIAN(IF('Processed Non-zero DMR Data'!$K:$K=I295,'Processed Non-zero DMR Data'!$T:$T)),"N/A - Facility Does Not Report DMRs")</f>
        <v>3.0490640000000002E-3</v>
      </c>
      <c r="T295" s="33">
        <f t="shared" si="68"/>
        <v>8.3536000000000008E-6</v>
      </c>
      <c r="U295" s="33">
        <f>IF(COUNTIF('Processed Non-zero DMR Data'!$K:$K,$I295)&gt;0,_xlfn.MAXIFS('Processed Non-zero DMR Data'!$T:$T,'Processed Non-zero DMR Data'!$K:$K,$I295), "N/A - Facility Does Not Report DMRs")</f>
        <v>3.9438980000000004E-3</v>
      </c>
      <c r="V295" s="33">
        <f t="shared" si="69"/>
        <v>1.0805200000000001E-5</v>
      </c>
      <c r="W295" s="110" cm="1">
        <f t="array" ref="W295">IF(COUNTIF('Processed Non-zero DMR Data'!$K:$K,$I295)&gt;0,INDEX('Processed Non-zero DMR Data'!$A:$A,MATCH(1,($I295='Processed Non-zero DMR Data'!$K:$K)*($U295='Processed Non-zero DMR Data'!$T:$T),0)), "N/A - Facility Does Not Report DMRs")</f>
        <v>2022</v>
      </c>
      <c r="X295" s="109" cm="1">
        <f t="array" ref="X295">IFERROR(_xlfn.XLOOKUP(1,  (MAX(IF(H295 = 'Processed Non-zero TRI Data'!$I:$I,'Processed Non-zero TRI Data'!$A:$A)) = 'Processed Non-zero TRI Data'!$A:$A)*('Processed Non-zero TRI Data'!$I:$I = H295), 'Processed Non-zero TRI Data'!$S:$S), "N/A- Facility Does Not Report to TRI")</f>
        <v>0</v>
      </c>
      <c r="Y295" s="33">
        <f t="shared" si="58"/>
        <v>0</v>
      </c>
      <c r="Z295" s="33" t="str" cm="1">
        <f t="array" ref="Z295">IF(COUNTIF('Processed Non-zero TRI Data'!$I:$I,$H295)&gt;0,MEDIAN(IF('Processed Non-zero TRI Data'!$I:$I=H295,'Processed Non-zero TRI Data'!$S:$S)), "N/A - Facility Does Not Report to TRI")</f>
        <v>N/A - Facility Does Not Report to TRI</v>
      </c>
      <c r="AA295" s="33" t="str">
        <f t="shared" si="59"/>
        <v>N/A - Facility Does Not Report to TRI</v>
      </c>
      <c r="AB295" s="33" t="str">
        <f>IF(COUNTIF('Processed Non-zero TRI Data'!$I:$I,$H295)&gt;0,_xlfn.MAXIFS('Processed Non-zero TRI Data'!$S:$S,'Processed Non-zero TRI Data'!$I:$I,$H295), "N/A - Facility Does Not Report to TRI")</f>
        <v>N/A - Facility Does Not Report to TRI</v>
      </c>
      <c r="AC295" s="33" t="str">
        <f t="shared" si="60"/>
        <v>N/A - Facility Does Not Report to TRI</v>
      </c>
      <c r="AD295" s="110" t="str" cm="1">
        <f t="array" ref="AD295">IFERROR(IF(B295 = "TRI Form R", IF(AB295 = 0, "Facility has no on-site water discharges between 2019-2023.",  IF(COUNTIF('Processed Non-zero TRI Data'!$I:$I,$H295)&gt;0,INDEX('Processed Non-zero TRI Data'!$A:$A,MATCH(1,($H295='Processed Non-zero TRI Data'!$I:$I)*(AB295='Processed Non-zero TRI Data'!$S:$S),0)))), VLOOKUP(H295, 'Form A Recent Reporting'!$L:$M, 2, FALSE)), ("N/A - Facility Does Not Report to TRI"))</f>
        <v>N/A - Facility Does Not Report to TRI</v>
      </c>
      <c r="AE295" s="109" cm="1">
        <f t="array" ref="AE295">IFERROR(_xlfn.XLOOKUP(1,  (MAX(IF(H295 = 'Processed Non-zero TRI Data'!$I:$I,'Processed Non-zero TRI Data'!$A:$A)) = 'Processed Non-zero TRI Data'!$A:$A)*('Processed Non-zero TRI Data'!$I:$I = H295), 'Processed Non-zero TRI Data'!$U:$U), "N/A- Facility Does Not Report to TRI")</f>
        <v>0</v>
      </c>
      <c r="AF295" s="33">
        <f t="shared" si="61"/>
        <v>0</v>
      </c>
      <c r="AG295" s="33" t="str" cm="1">
        <f t="array" ref="AG295">IF(COUNTIF('Processed Non-zero TRI Data'!$I:$I,$H295)&gt;0,MEDIAN(IF('Processed Non-zero TRI Data'!$I:$I=H295,'Processed Non-zero TRI Data'!$U:$U)), "N/A - Facility Does Not Report to TRI")</f>
        <v>N/A - Facility Does Not Report to TRI</v>
      </c>
      <c r="AH295" s="33" t="str">
        <f t="shared" si="62"/>
        <v>N/A - Facility Does Not Report to TRI</v>
      </c>
      <c r="AI295" s="33" t="str">
        <f>IF(COUNTIF('Processed Non-zero TRI Data'!$I:$I,$H295)&gt;0,_xlfn.MAXIFS('Processed Non-zero TRI Data'!$U:$U,'Processed Non-zero TRI Data'!$I:$I,$H295), "N/A - Facility Does Not Report to TRI")</f>
        <v>N/A - Facility Does Not Report to TRI</v>
      </c>
      <c r="AJ295" s="33" t="str">
        <f t="shared" si="63"/>
        <v>N/A - Facility Does Not Report to TRI</v>
      </c>
      <c r="AK295" s="110" t="str" cm="1">
        <f t="array" ref="AK295">IF(B295="TRI Form A",AD295,IF(AI295=0,"Facility has no transfers to POTWs between 2019-2023.",IF(COUNTIF('Processed Non-zero TRI Data'!$I:$I,$H295)&gt;0,INDEX('Processed Non-zero TRI Data'!$A:$A,MATCH(1,($H295='Processed Non-zero TRI Data'!$I:$I)*(AI295='Processed Non-zero TRI Data'!$U:$U),0)),"N/A - Facility Does Not Report to TRI")))</f>
        <v>N/A - Facility Does Not Report to TRI</v>
      </c>
      <c r="AL295" s="109" cm="1">
        <f t="array" ref="AL295">IFERROR(_xlfn.XLOOKUP(1,  (MAX(IF(H295 = 'Processed Non-zero TRI Data'!$I$2:$I$23,'Processed Non-zero TRI Data'!$A$2:$A$23)) = 'Processed Non-zero TRI Data'!$A$2:$A$23)*('Processed Non-zero TRI Data'!$I$2:$I$23 = H295), 'Processed Non-zero TRI Data'!$W$2:$W$23), "N/A- Facility Does Not Report to TRI")</f>
        <v>0</v>
      </c>
      <c r="AM295" s="33">
        <f t="shared" si="64"/>
        <v>0</v>
      </c>
      <c r="AN295" s="33" t="str" cm="1">
        <f t="array" ref="AN295">IF(COUNTIF('Processed Non-zero TRI Data'!$I:$I,$H295)&gt;0,MEDIAN(IF('Processed Non-zero TRI Data'!$I:$I=H295,'Processed Non-zero TRI Data'!$W:$W)), "N/A - Facility Does Not Report to TRI")</f>
        <v>N/A - Facility Does Not Report to TRI</v>
      </c>
      <c r="AO295" s="33" t="str">
        <f t="shared" si="65"/>
        <v>N/A - Facility Does Not Report to TRI</v>
      </c>
      <c r="AP295" s="33" t="str">
        <f>IF(COUNTIF('Processed Non-zero TRI Data'!$I:$I,$H295)&gt;0,_xlfn.MAXIFS('Processed Non-zero TRI Data'!$W:$W,'Processed Non-zero TRI Data'!$I:$I,$H295), "N/A - Facility Does Not Report to TRI")</f>
        <v>N/A - Facility Does Not Report to TRI</v>
      </c>
      <c r="AQ295" s="33" t="str">
        <f t="shared" si="66"/>
        <v>N/A - Facility Does Not Report to TRI</v>
      </c>
      <c r="AR295" s="110" t="str" cm="1">
        <f t="array" ref="AR295">IF(B295="TRI Form A",AD295,IF(AP295=0,"Facility has no transfers to non-POTWs between 2019-2023.",IF(COUNTIF('Processed Non-zero TRI Data'!$I:$I,$H295)&gt;0,INDEX('Processed Non-zero TRI Data'!$A:$A,MATCH(1,($H295='Processed Non-zero TRI Data'!$I:$I)*(AP295='Processed Non-zero TRI Data'!$W:$W),0)),"N/A - Facility Does Not Report to TRI")))</f>
        <v>N/A - Facility Does Not Report to TRI</v>
      </c>
    </row>
    <row r="296" spans="1:44" ht="29" x14ac:dyDescent="0.35">
      <c r="A296" s="34">
        <v>293</v>
      </c>
      <c r="B296" s="33" t="str">
        <f>IFERROR("TRI Form "&amp;VLOOKUP(H296,'Processed Non-zero TRI Data'!$I$2:$K$23,3,FALSE),"DMR")</f>
        <v>DMR</v>
      </c>
      <c r="C296" s="33" t="str">
        <f>VLOOKUP($D296, 'COU.OES Summary'!C:D, 2, FALSE)</f>
        <v> </v>
      </c>
      <c r="D296" s="33" t="str">
        <f>IFERROR(VLOOKUP($H296, 'Processed Non-zero TRI Data'!$I:$O, 7, FALSE), VLOOKUP($I296, 'Processed Non-zero DMR Data'!$K:$R, 8, FALSE))</f>
        <v>Waste handling, treatment, and disposal - Remediation or Monitoring</v>
      </c>
      <c r="E296" s="34" t="s">
        <v>650</v>
      </c>
      <c r="F296" s="34" t="s">
        <v>651</v>
      </c>
      <c r="G296" s="34" t="s">
        <v>254</v>
      </c>
      <c r="H296" s="34"/>
      <c r="I296" s="105">
        <v>110070210457</v>
      </c>
      <c r="J296" s="33" t="str">
        <f>IFERROR(VLOOKUP($I296, 'Processed Non-zero DMR Data'!$K:$U, 11, FALSE),"")</f>
        <v>NJG005134</v>
      </c>
      <c r="K296" s="33" t="str">
        <f>IFERROR(VLOOKUP($I296, 'Processed Non-zero DMR Data'!$K:$V, 12, FALSE),"Not Reported")</f>
        <v>Woodbury Creek-Delaware River</v>
      </c>
      <c r="L296" s="106">
        <f>IFERROR(VLOOKUP($I296, 'Processed Non-zero DMR Data'!$K:$W, 13, FALSE),"No Reach Code Reported")</f>
        <v>20402020507</v>
      </c>
      <c r="M296" s="107" t="str">
        <f>IFERROR(IFERROR(VLOOKUP(H296, 'Off-site Locations'!$K$3:$O$5, 5, FALSE), VLOOKUP(H296, 'Off-site Locations'!$B$3:$E$4, 4, FALSE)), "No Offsite Transfers")</f>
        <v>No Offsite Transfers</v>
      </c>
      <c r="N296" s="33">
        <f>VLOOKUP($D296, 'COU.OES Summary'!C:E, 3, FALSE)</f>
        <v>365</v>
      </c>
      <c r="O296" s="108">
        <f t="shared" si="56"/>
        <v>0</v>
      </c>
      <c r="P296" s="108">
        <f t="shared" si="57"/>
        <v>3.6858443550000001E-3</v>
      </c>
      <c r="Q296" s="109" cm="1">
        <f t="array" ref="Q296">IFERROR(_xlfn.XLOOKUP(1,  (MAX(IF(I296 = 'Processed Non-zero DMR Data'!$K:$K,'Processed Non-zero DMR Data'!$A:$A)) = 'Processed Non-zero DMR Data'!$A:$A)*('Processed Non-zero DMR Data'!$K:$K = I296),'Processed Non-zero DMR Data'!$T:$T), "N/A- Facility Does Not Report DMRs")</f>
        <v>2.2850802000000002E-3</v>
      </c>
      <c r="R296" s="33">
        <f t="shared" si="67"/>
        <v>6.2604936986301377E-6</v>
      </c>
      <c r="S296" s="33" cm="1">
        <f t="array" ref="S296">IF(COUNTIF('Processed Non-zero DMR Data'!$K:$K,$I296)&gt;0,MEDIAN(IF('Processed Non-zero DMR Data'!$K:$K=I296,'Processed Non-zero DMR Data'!$T:$T)),"N/A - Facility Does Not Report DMRs")</f>
        <v>3.3072043099999998E-3</v>
      </c>
      <c r="T296" s="33">
        <f t="shared" si="68"/>
        <v>9.0608337260273976E-6</v>
      </c>
      <c r="U296" s="33">
        <f>IF(COUNTIF('Processed Non-zero DMR Data'!$K:$K,$I296)&gt;0,_xlfn.MAXIFS('Processed Non-zero DMR Data'!$T:$T,'Processed Non-zero DMR Data'!$K:$K,$I296), "N/A - Facility Does Not Report DMRs")</f>
        <v>3.6858443550000001E-3</v>
      </c>
      <c r="V296" s="33">
        <f t="shared" si="69"/>
        <v>1.0098203712328767E-5</v>
      </c>
      <c r="W296" s="110" cm="1">
        <f t="array" ref="W296">IF(COUNTIF('Processed Non-zero DMR Data'!$K:$K,$I296)&gt;0,INDEX('Processed Non-zero DMR Data'!$A:$A,MATCH(1,($I296='Processed Non-zero DMR Data'!$K:$K)*($U296='Processed Non-zero DMR Data'!$T:$T),0)), "N/A - Facility Does Not Report DMRs")</f>
        <v>2019</v>
      </c>
      <c r="X296" s="109" cm="1">
        <f t="array" ref="X296">IFERROR(_xlfn.XLOOKUP(1,  (MAX(IF(H296 = 'Processed Non-zero TRI Data'!$I:$I,'Processed Non-zero TRI Data'!$A:$A)) = 'Processed Non-zero TRI Data'!$A:$A)*('Processed Non-zero TRI Data'!$I:$I = H296), 'Processed Non-zero TRI Data'!$S:$S), "N/A- Facility Does Not Report to TRI")</f>
        <v>0</v>
      </c>
      <c r="Y296" s="33">
        <f t="shared" si="58"/>
        <v>0</v>
      </c>
      <c r="Z296" s="33" t="str" cm="1">
        <f t="array" ref="Z296">IF(COUNTIF('Processed Non-zero TRI Data'!$I:$I,$H296)&gt;0,MEDIAN(IF('Processed Non-zero TRI Data'!$I:$I=H296,'Processed Non-zero TRI Data'!$S:$S)), "N/A - Facility Does Not Report to TRI")</f>
        <v>N/A - Facility Does Not Report to TRI</v>
      </c>
      <c r="AA296" s="33" t="str">
        <f t="shared" si="59"/>
        <v>N/A - Facility Does Not Report to TRI</v>
      </c>
      <c r="AB296" s="33" t="str">
        <f>IF(COUNTIF('Processed Non-zero TRI Data'!$I:$I,$H296)&gt;0,_xlfn.MAXIFS('Processed Non-zero TRI Data'!$S:$S,'Processed Non-zero TRI Data'!$I:$I,$H296), "N/A - Facility Does Not Report to TRI")</f>
        <v>N/A - Facility Does Not Report to TRI</v>
      </c>
      <c r="AC296" s="33" t="str">
        <f t="shared" si="60"/>
        <v>N/A - Facility Does Not Report to TRI</v>
      </c>
      <c r="AD296" s="110" t="str" cm="1">
        <f t="array" ref="AD296">IFERROR(IF(B296 = "TRI Form R", IF(AB296 = 0, "Facility has no on-site water discharges between 2019-2023.",  IF(COUNTIF('Processed Non-zero TRI Data'!$I:$I,$H296)&gt;0,INDEX('Processed Non-zero TRI Data'!$A:$A,MATCH(1,($H296='Processed Non-zero TRI Data'!$I:$I)*(AB296='Processed Non-zero TRI Data'!$S:$S),0)))), VLOOKUP(H296, 'Form A Recent Reporting'!$L:$M, 2, FALSE)), ("N/A - Facility Does Not Report to TRI"))</f>
        <v>N/A - Facility Does Not Report to TRI</v>
      </c>
      <c r="AE296" s="109" cm="1">
        <f t="array" ref="AE296">IFERROR(_xlfn.XLOOKUP(1,  (MAX(IF(H296 = 'Processed Non-zero TRI Data'!$I:$I,'Processed Non-zero TRI Data'!$A:$A)) = 'Processed Non-zero TRI Data'!$A:$A)*('Processed Non-zero TRI Data'!$I:$I = H296), 'Processed Non-zero TRI Data'!$U:$U), "N/A- Facility Does Not Report to TRI")</f>
        <v>0</v>
      </c>
      <c r="AF296" s="33">
        <f t="shared" si="61"/>
        <v>0</v>
      </c>
      <c r="AG296" s="33" t="str" cm="1">
        <f t="array" ref="AG296">IF(COUNTIF('Processed Non-zero TRI Data'!$I:$I,$H296)&gt;0,MEDIAN(IF('Processed Non-zero TRI Data'!$I:$I=H296,'Processed Non-zero TRI Data'!$U:$U)), "N/A - Facility Does Not Report to TRI")</f>
        <v>N/A - Facility Does Not Report to TRI</v>
      </c>
      <c r="AH296" s="33" t="str">
        <f t="shared" si="62"/>
        <v>N/A - Facility Does Not Report to TRI</v>
      </c>
      <c r="AI296" s="33" t="str">
        <f>IF(COUNTIF('Processed Non-zero TRI Data'!$I:$I,$H296)&gt;0,_xlfn.MAXIFS('Processed Non-zero TRI Data'!$U:$U,'Processed Non-zero TRI Data'!$I:$I,$H296), "N/A - Facility Does Not Report to TRI")</f>
        <v>N/A - Facility Does Not Report to TRI</v>
      </c>
      <c r="AJ296" s="33" t="str">
        <f t="shared" si="63"/>
        <v>N/A - Facility Does Not Report to TRI</v>
      </c>
      <c r="AK296" s="110" t="str" cm="1">
        <f t="array" ref="AK296">IF(B296="TRI Form A",AD296,IF(AI296=0,"Facility has no transfers to POTWs between 2019-2023.",IF(COUNTIF('Processed Non-zero TRI Data'!$I:$I,$H296)&gt;0,INDEX('Processed Non-zero TRI Data'!$A:$A,MATCH(1,($H296='Processed Non-zero TRI Data'!$I:$I)*(AI296='Processed Non-zero TRI Data'!$U:$U),0)),"N/A - Facility Does Not Report to TRI")))</f>
        <v>N/A - Facility Does Not Report to TRI</v>
      </c>
      <c r="AL296" s="109" cm="1">
        <f t="array" ref="AL296">IFERROR(_xlfn.XLOOKUP(1,  (MAX(IF(H296 = 'Processed Non-zero TRI Data'!$I$2:$I$23,'Processed Non-zero TRI Data'!$A$2:$A$23)) = 'Processed Non-zero TRI Data'!$A$2:$A$23)*('Processed Non-zero TRI Data'!$I$2:$I$23 = H296), 'Processed Non-zero TRI Data'!$W$2:$W$23), "N/A- Facility Does Not Report to TRI")</f>
        <v>0</v>
      </c>
      <c r="AM296" s="33">
        <f t="shared" si="64"/>
        <v>0</v>
      </c>
      <c r="AN296" s="33" t="str" cm="1">
        <f t="array" ref="AN296">IF(COUNTIF('Processed Non-zero TRI Data'!$I:$I,$H296)&gt;0,MEDIAN(IF('Processed Non-zero TRI Data'!$I:$I=H296,'Processed Non-zero TRI Data'!$W:$W)), "N/A - Facility Does Not Report to TRI")</f>
        <v>N/A - Facility Does Not Report to TRI</v>
      </c>
      <c r="AO296" s="33" t="str">
        <f t="shared" si="65"/>
        <v>N/A - Facility Does Not Report to TRI</v>
      </c>
      <c r="AP296" s="33" t="str">
        <f>IF(COUNTIF('Processed Non-zero TRI Data'!$I:$I,$H296)&gt;0,_xlfn.MAXIFS('Processed Non-zero TRI Data'!$W:$W,'Processed Non-zero TRI Data'!$I:$I,$H296), "N/A - Facility Does Not Report to TRI")</f>
        <v>N/A - Facility Does Not Report to TRI</v>
      </c>
      <c r="AQ296" s="33" t="str">
        <f t="shared" si="66"/>
        <v>N/A - Facility Does Not Report to TRI</v>
      </c>
      <c r="AR296" s="110" t="str" cm="1">
        <f t="array" ref="AR296">IF(B296="TRI Form A",AD296,IF(AP296=0,"Facility has no transfers to non-POTWs between 2019-2023.",IF(COUNTIF('Processed Non-zero TRI Data'!$I:$I,$H296)&gt;0,INDEX('Processed Non-zero TRI Data'!$A:$A,MATCH(1,($H296='Processed Non-zero TRI Data'!$I:$I)*(AP296='Processed Non-zero TRI Data'!$W:$W),0)),"N/A - Facility Does Not Report to TRI")))</f>
        <v>N/A - Facility Does Not Report to TRI</v>
      </c>
    </row>
    <row r="297" spans="1:44" ht="29" x14ac:dyDescent="0.35">
      <c r="A297" s="34">
        <v>294</v>
      </c>
      <c r="B297" s="33" t="str">
        <f>IFERROR("TRI Form "&amp;VLOOKUP(H297,'Processed Non-zero TRI Data'!$I$2:$K$23,3,FALSE),"DMR")</f>
        <v>DMR</v>
      </c>
      <c r="C297" s="33" t="str">
        <f>VLOOKUP($D297, 'COU.OES Summary'!C:D, 2, FALSE)</f>
        <v> </v>
      </c>
      <c r="D297" s="33" t="str">
        <f>IFERROR(VLOOKUP($H297, 'Processed Non-zero TRI Data'!$I:$O, 7, FALSE), VLOOKUP($I297, 'Processed Non-zero DMR Data'!$K:$R, 8, FALSE))</f>
        <v>Waste handling, treatment, and disposal - Remediation or Monitoring</v>
      </c>
      <c r="E297" s="34" t="s">
        <v>652</v>
      </c>
      <c r="F297" s="34" t="s">
        <v>201</v>
      </c>
      <c r="G297" s="34" t="s">
        <v>151</v>
      </c>
      <c r="H297" s="34"/>
      <c r="I297" s="105">
        <v>110009974117</v>
      </c>
      <c r="J297" s="33" t="str">
        <f>IFERROR(VLOOKUP($I297, 'Processed Non-zero DMR Data'!$K:$U, 11, FALSE),"")</f>
        <v>IN0057118</v>
      </c>
      <c r="K297" s="33" t="str">
        <f>IFERROR(VLOOKUP($I297, 'Processed Non-zero DMR Data'!$K:$V, 12, FALSE),"Not Reported")</f>
        <v>Little Laughery Creek</v>
      </c>
      <c r="L297" s="106">
        <f>IFERROR(VLOOKUP($I297, 'Processed Non-zero DMR Data'!$K:$W, 13, FALSE),"No Reach Code Reported")</f>
        <v>50902030502</v>
      </c>
      <c r="M297" s="107" t="str">
        <f>IFERROR(IFERROR(VLOOKUP(H297, 'Off-site Locations'!$K$3:$O$5, 5, FALSE), VLOOKUP(H297, 'Off-site Locations'!$B$3:$E$4, 4, FALSE)), "No Offsite Transfers")</f>
        <v>No Offsite Transfers</v>
      </c>
      <c r="N297" s="33">
        <f>VLOOKUP($D297, 'COU.OES Summary'!C:E, 3, FALSE)</f>
        <v>365</v>
      </c>
      <c r="O297" s="108">
        <f t="shared" si="56"/>
        <v>0</v>
      </c>
      <c r="P297" s="108">
        <f t="shared" si="57"/>
        <v>3.6790199999999999E-3</v>
      </c>
      <c r="Q297" s="109" cm="1">
        <f t="array" ref="Q297">IFERROR(_xlfn.XLOOKUP(1,  (MAX(IF(I297 = 'Processed Non-zero DMR Data'!$K:$K,'Processed Non-zero DMR Data'!$A:$A)) = 'Processed Non-zero DMR Data'!$A:$A)*('Processed Non-zero DMR Data'!$K:$K = I297),'Processed Non-zero DMR Data'!$T:$T), "N/A- Facility Does Not Report DMRs")</f>
        <v>2.7498393810399999E-3</v>
      </c>
      <c r="R297" s="33">
        <f t="shared" si="67"/>
        <v>7.53380652339726E-6</v>
      </c>
      <c r="S297" s="33" cm="1">
        <f t="array" ref="S297">IF(COUNTIF('Processed Non-zero DMR Data'!$K:$K,$I297)&gt;0,MEDIAN(IF('Processed Non-zero DMR Data'!$K:$K=I297,'Processed Non-zero DMR Data'!$T:$T)),"N/A - Facility Does Not Report DMRs")</f>
        <v>3.372435E-3</v>
      </c>
      <c r="T297" s="33">
        <f t="shared" si="68"/>
        <v>9.2395479452054792E-6</v>
      </c>
      <c r="U297" s="33">
        <f>IF(COUNTIF('Processed Non-zero DMR Data'!$K:$K,$I297)&gt;0,_xlfn.MAXIFS('Processed Non-zero DMR Data'!$T:$T,'Processed Non-zero DMR Data'!$K:$K,$I297), "N/A - Facility Does Not Report DMRs")</f>
        <v>3.6790199999999999E-3</v>
      </c>
      <c r="V297" s="33">
        <f t="shared" si="69"/>
        <v>1.0079506849315068E-5</v>
      </c>
      <c r="W297" s="110" cm="1">
        <f t="array" ref="W297">IF(COUNTIF('Processed Non-zero DMR Data'!$K:$K,$I297)&gt;0,INDEX('Processed Non-zero DMR Data'!$A:$A,MATCH(1,($I297='Processed Non-zero DMR Data'!$K:$K)*($U297='Processed Non-zero DMR Data'!$T:$T),0)), "N/A - Facility Does Not Report DMRs")</f>
        <v>2022</v>
      </c>
      <c r="X297" s="109" cm="1">
        <f t="array" ref="X297">IFERROR(_xlfn.XLOOKUP(1,  (MAX(IF(H297 = 'Processed Non-zero TRI Data'!$I:$I,'Processed Non-zero TRI Data'!$A:$A)) = 'Processed Non-zero TRI Data'!$A:$A)*('Processed Non-zero TRI Data'!$I:$I = H297), 'Processed Non-zero TRI Data'!$S:$S), "N/A- Facility Does Not Report to TRI")</f>
        <v>0</v>
      </c>
      <c r="Y297" s="33">
        <f t="shared" si="58"/>
        <v>0</v>
      </c>
      <c r="Z297" s="33" t="str" cm="1">
        <f t="array" ref="Z297">IF(COUNTIF('Processed Non-zero TRI Data'!$I:$I,$H297)&gt;0,MEDIAN(IF('Processed Non-zero TRI Data'!$I:$I=H297,'Processed Non-zero TRI Data'!$S:$S)), "N/A - Facility Does Not Report to TRI")</f>
        <v>N/A - Facility Does Not Report to TRI</v>
      </c>
      <c r="AA297" s="33" t="str">
        <f t="shared" si="59"/>
        <v>N/A - Facility Does Not Report to TRI</v>
      </c>
      <c r="AB297" s="33" t="str">
        <f>IF(COUNTIF('Processed Non-zero TRI Data'!$I:$I,$H297)&gt;0,_xlfn.MAXIFS('Processed Non-zero TRI Data'!$S:$S,'Processed Non-zero TRI Data'!$I:$I,$H297), "N/A - Facility Does Not Report to TRI")</f>
        <v>N/A - Facility Does Not Report to TRI</v>
      </c>
      <c r="AC297" s="33" t="str">
        <f t="shared" si="60"/>
        <v>N/A - Facility Does Not Report to TRI</v>
      </c>
      <c r="AD297" s="110" t="str" cm="1">
        <f t="array" ref="AD297">IFERROR(IF(B297 = "TRI Form R", IF(AB297 = 0, "Facility has no on-site water discharges between 2019-2023.",  IF(COUNTIF('Processed Non-zero TRI Data'!$I:$I,$H297)&gt;0,INDEX('Processed Non-zero TRI Data'!$A:$A,MATCH(1,($H297='Processed Non-zero TRI Data'!$I:$I)*(AB297='Processed Non-zero TRI Data'!$S:$S),0)))), VLOOKUP(H297, 'Form A Recent Reporting'!$L:$M, 2, FALSE)), ("N/A - Facility Does Not Report to TRI"))</f>
        <v>N/A - Facility Does Not Report to TRI</v>
      </c>
      <c r="AE297" s="109" cm="1">
        <f t="array" ref="AE297">IFERROR(_xlfn.XLOOKUP(1,  (MAX(IF(H297 = 'Processed Non-zero TRI Data'!$I:$I,'Processed Non-zero TRI Data'!$A:$A)) = 'Processed Non-zero TRI Data'!$A:$A)*('Processed Non-zero TRI Data'!$I:$I = H297), 'Processed Non-zero TRI Data'!$U:$U), "N/A- Facility Does Not Report to TRI")</f>
        <v>0</v>
      </c>
      <c r="AF297" s="33">
        <f t="shared" si="61"/>
        <v>0</v>
      </c>
      <c r="AG297" s="33" t="str" cm="1">
        <f t="array" ref="AG297">IF(COUNTIF('Processed Non-zero TRI Data'!$I:$I,$H297)&gt;0,MEDIAN(IF('Processed Non-zero TRI Data'!$I:$I=H297,'Processed Non-zero TRI Data'!$U:$U)), "N/A - Facility Does Not Report to TRI")</f>
        <v>N/A - Facility Does Not Report to TRI</v>
      </c>
      <c r="AH297" s="33" t="str">
        <f t="shared" si="62"/>
        <v>N/A - Facility Does Not Report to TRI</v>
      </c>
      <c r="AI297" s="33" t="str">
        <f>IF(COUNTIF('Processed Non-zero TRI Data'!$I:$I,$H297)&gt;0,_xlfn.MAXIFS('Processed Non-zero TRI Data'!$U:$U,'Processed Non-zero TRI Data'!$I:$I,$H297), "N/A - Facility Does Not Report to TRI")</f>
        <v>N/A - Facility Does Not Report to TRI</v>
      </c>
      <c r="AJ297" s="33" t="str">
        <f t="shared" si="63"/>
        <v>N/A - Facility Does Not Report to TRI</v>
      </c>
      <c r="AK297" s="110" t="str" cm="1">
        <f t="array" ref="AK297">IF(B297="TRI Form A",AD297,IF(AI297=0,"Facility has no transfers to POTWs between 2019-2023.",IF(COUNTIF('Processed Non-zero TRI Data'!$I:$I,$H297)&gt;0,INDEX('Processed Non-zero TRI Data'!$A:$A,MATCH(1,($H297='Processed Non-zero TRI Data'!$I:$I)*(AI297='Processed Non-zero TRI Data'!$U:$U),0)),"N/A - Facility Does Not Report to TRI")))</f>
        <v>N/A - Facility Does Not Report to TRI</v>
      </c>
      <c r="AL297" s="109" cm="1">
        <f t="array" ref="AL297">IFERROR(_xlfn.XLOOKUP(1,  (MAX(IF(H297 = 'Processed Non-zero TRI Data'!$I$2:$I$23,'Processed Non-zero TRI Data'!$A$2:$A$23)) = 'Processed Non-zero TRI Data'!$A$2:$A$23)*('Processed Non-zero TRI Data'!$I$2:$I$23 = H297), 'Processed Non-zero TRI Data'!$W$2:$W$23), "N/A- Facility Does Not Report to TRI")</f>
        <v>0</v>
      </c>
      <c r="AM297" s="33">
        <f t="shared" si="64"/>
        <v>0</v>
      </c>
      <c r="AN297" s="33" t="str" cm="1">
        <f t="array" ref="AN297">IF(COUNTIF('Processed Non-zero TRI Data'!$I:$I,$H297)&gt;0,MEDIAN(IF('Processed Non-zero TRI Data'!$I:$I=H297,'Processed Non-zero TRI Data'!$W:$W)), "N/A - Facility Does Not Report to TRI")</f>
        <v>N/A - Facility Does Not Report to TRI</v>
      </c>
      <c r="AO297" s="33" t="str">
        <f t="shared" si="65"/>
        <v>N/A - Facility Does Not Report to TRI</v>
      </c>
      <c r="AP297" s="33" t="str">
        <f>IF(COUNTIF('Processed Non-zero TRI Data'!$I:$I,$H297)&gt;0,_xlfn.MAXIFS('Processed Non-zero TRI Data'!$W:$W,'Processed Non-zero TRI Data'!$I:$I,$H297), "N/A - Facility Does Not Report to TRI")</f>
        <v>N/A - Facility Does Not Report to TRI</v>
      </c>
      <c r="AQ297" s="33" t="str">
        <f t="shared" si="66"/>
        <v>N/A - Facility Does Not Report to TRI</v>
      </c>
      <c r="AR297" s="110" t="str" cm="1">
        <f t="array" ref="AR297">IF(B297="TRI Form A",AD297,IF(AP297=0,"Facility has no transfers to non-POTWs between 2019-2023.",IF(COUNTIF('Processed Non-zero TRI Data'!$I:$I,$H297)&gt;0,INDEX('Processed Non-zero TRI Data'!$A:$A,MATCH(1,($H297='Processed Non-zero TRI Data'!$I:$I)*(AP297='Processed Non-zero TRI Data'!$W:$W),0)),"N/A - Facility Does Not Report to TRI")))</f>
        <v>N/A - Facility Does Not Report to TRI</v>
      </c>
    </row>
    <row r="298" spans="1:44" ht="29" x14ac:dyDescent="0.35">
      <c r="A298" s="34">
        <v>295</v>
      </c>
      <c r="B298" s="33" t="str">
        <f>IFERROR("TRI Form "&amp;VLOOKUP(H298,'Processed Non-zero TRI Data'!$I$2:$K$23,3,FALSE),"DMR")</f>
        <v>DMR</v>
      </c>
      <c r="C298" s="33" t="str">
        <f>VLOOKUP($D298, 'COU.OES Summary'!C:D, 2, FALSE)</f>
        <v> </v>
      </c>
      <c r="D298" s="33" t="str">
        <f>IFERROR(VLOOKUP($H298, 'Processed Non-zero TRI Data'!$I:$O, 7, FALSE), VLOOKUP($I298, 'Processed Non-zero DMR Data'!$K:$R, 8, FALSE))</f>
        <v>Waste handling, treatment, and disposal - Remediation or Monitoring</v>
      </c>
      <c r="E298" s="34" t="s">
        <v>653</v>
      </c>
      <c r="F298" s="34" t="s">
        <v>337</v>
      </c>
      <c r="G298" s="34" t="s">
        <v>221</v>
      </c>
      <c r="H298" s="34"/>
      <c r="I298" s="105">
        <v>110017237373</v>
      </c>
      <c r="J298" s="33" t="str">
        <f>IFERROR(VLOOKUP($I298, 'Processed Non-zero DMR Data'!$K:$U, 11, FALSE),"")</f>
        <v>NV0023485</v>
      </c>
      <c r="K298" s="33" t="str">
        <f>IFERROR(VLOOKUP($I298, 'Processed Non-zero DMR Data'!$K:$V, 12, FALSE),"Not Reported")</f>
        <v>City of Las Vegas-Las Vegas Wash</v>
      </c>
      <c r="L298" s="106">
        <f>IFERROR(VLOOKUP($I298, 'Processed Non-zero DMR Data'!$K:$W, 13, FALSE),"No Reach Code Reported")</f>
        <v>150100150604</v>
      </c>
      <c r="M298" s="107" t="str">
        <f>IFERROR(IFERROR(VLOOKUP(H298, 'Off-site Locations'!$K$3:$O$5, 5, FALSE), VLOOKUP(H298, 'Off-site Locations'!$B$3:$E$4, 4, FALSE)), "No Offsite Transfers")</f>
        <v>No Offsite Transfers</v>
      </c>
      <c r="N298" s="33">
        <f>VLOOKUP($D298, 'COU.OES Summary'!C:E, 3, FALSE)</f>
        <v>365</v>
      </c>
      <c r="O298" s="108">
        <f t="shared" si="56"/>
        <v>0</v>
      </c>
      <c r="P298" s="108">
        <f t="shared" si="57"/>
        <v>3.3501981249999999E-3</v>
      </c>
      <c r="Q298" s="109" cm="1">
        <f t="array" ref="Q298">IFERROR(_xlfn.XLOOKUP(1,  (MAX(IF(I298 = 'Processed Non-zero DMR Data'!$K:$K,'Processed Non-zero DMR Data'!$A:$A)) = 'Processed Non-zero DMR Data'!$A:$A)*('Processed Non-zero DMR Data'!$K:$K = I298),'Processed Non-zero DMR Data'!$T:$T), "N/A- Facility Does Not Report DMRs")</f>
        <v>3.3501981249999999E-3</v>
      </c>
      <c r="R298" s="33">
        <f t="shared" si="67"/>
        <v>9.1786250000000006E-6</v>
      </c>
      <c r="S298" s="33" cm="1">
        <f t="array" ref="S298">IF(COUNTIF('Processed Non-zero DMR Data'!$K:$K,$I298)&gt;0,MEDIAN(IF('Processed Non-zero DMR Data'!$K:$K=I298,'Processed Non-zero DMR Data'!$T:$T)),"N/A - Facility Does Not Report DMRs")</f>
        <v>1.934135E-3</v>
      </c>
      <c r="T298" s="33">
        <f t="shared" si="68"/>
        <v>5.2990000000000004E-6</v>
      </c>
      <c r="U298" s="33">
        <f>IF(COUNTIF('Processed Non-zero DMR Data'!$K:$K,$I298)&gt;0,_xlfn.MAXIFS('Processed Non-zero DMR Data'!$T:$T,'Processed Non-zero DMR Data'!$K:$K,$I298), "N/A - Facility Does Not Report DMRs")</f>
        <v>3.3501981249999999E-3</v>
      </c>
      <c r="V298" s="33">
        <f t="shared" si="69"/>
        <v>9.1786250000000006E-6</v>
      </c>
      <c r="W298" s="110" cm="1">
        <f t="array" ref="W298">IF(COUNTIF('Processed Non-zero DMR Data'!$K:$K,$I298)&gt;0,INDEX('Processed Non-zero DMR Data'!$A:$A,MATCH(1,($I298='Processed Non-zero DMR Data'!$K:$K)*($U298='Processed Non-zero DMR Data'!$T:$T),0)), "N/A - Facility Does Not Report DMRs")</f>
        <v>2020</v>
      </c>
      <c r="X298" s="109" cm="1">
        <f t="array" ref="X298">IFERROR(_xlfn.XLOOKUP(1,  (MAX(IF(H298 = 'Processed Non-zero TRI Data'!$I:$I,'Processed Non-zero TRI Data'!$A:$A)) = 'Processed Non-zero TRI Data'!$A:$A)*('Processed Non-zero TRI Data'!$I:$I = H298), 'Processed Non-zero TRI Data'!$S:$S), "N/A- Facility Does Not Report to TRI")</f>
        <v>0</v>
      </c>
      <c r="Y298" s="33">
        <f t="shared" si="58"/>
        <v>0</v>
      </c>
      <c r="Z298" s="33" t="str" cm="1">
        <f t="array" ref="Z298">IF(COUNTIF('Processed Non-zero TRI Data'!$I:$I,$H298)&gt;0,MEDIAN(IF('Processed Non-zero TRI Data'!$I:$I=H298,'Processed Non-zero TRI Data'!$S:$S)), "N/A - Facility Does Not Report to TRI")</f>
        <v>N/A - Facility Does Not Report to TRI</v>
      </c>
      <c r="AA298" s="33" t="str">
        <f t="shared" si="59"/>
        <v>N/A - Facility Does Not Report to TRI</v>
      </c>
      <c r="AB298" s="33" t="str">
        <f>IF(COUNTIF('Processed Non-zero TRI Data'!$I:$I,$H298)&gt;0,_xlfn.MAXIFS('Processed Non-zero TRI Data'!$S:$S,'Processed Non-zero TRI Data'!$I:$I,$H298), "N/A - Facility Does Not Report to TRI")</f>
        <v>N/A - Facility Does Not Report to TRI</v>
      </c>
      <c r="AC298" s="33" t="str">
        <f t="shared" si="60"/>
        <v>N/A - Facility Does Not Report to TRI</v>
      </c>
      <c r="AD298" s="110" t="str" cm="1">
        <f t="array" ref="AD298">IFERROR(IF(B298 = "TRI Form R", IF(AB298 = 0, "Facility has no on-site water discharges between 2019-2023.",  IF(COUNTIF('Processed Non-zero TRI Data'!$I:$I,$H298)&gt;0,INDEX('Processed Non-zero TRI Data'!$A:$A,MATCH(1,($H298='Processed Non-zero TRI Data'!$I:$I)*(AB298='Processed Non-zero TRI Data'!$S:$S),0)))), VLOOKUP(H298, 'Form A Recent Reporting'!$L:$M, 2, FALSE)), ("N/A - Facility Does Not Report to TRI"))</f>
        <v>N/A - Facility Does Not Report to TRI</v>
      </c>
      <c r="AE298" s="109" cm="1">
        <f t="array" ref="AE298">IFERROR(_xlfn.XLOOKUP(1,  (MAX(IF(H298 = 'Processed Non-zero TRI Data'!$I:$I,'Processed Non-zero TRI Data'!$A:$A)) = 'Processed Non-zero TRI Data'!$A:$A)*('Processed Non-zero TRI Data'!$I:$I = H298), 'Processed Non-zero TRI Data'!$U:$U), "N/A- Facility Does Not Report to TRI")</f>
        <v>0</v>
      </c>
      <c r="AF298" s="33">
        <f t="shared" si="61"/>
        <v>0</v>
      </c>
      <c r="AG298" s="33" t="str" cm="1">
        <f t="array" ref="AG298">IF(COUNTIF('Processed Non-zero TRI Data'!$I:$I,$H298)&gt;0,MEDIAN(IF('Processed Non-zero TRI Data'!$I:$I=H298,'Processed Non-zero TRI Data'!$U:$U)), "N/A - Facility Does Not Report to TRI")</f>
        <v>N/A - Facility Does Not Report to TRI</v>
      </c>
      <c r="AH298" s="33" t="str">
        <f t="shared" si="62"/>
        <v>N/A - Facility Does Not Report to TRI</v>
      </c>
      <c r="AI298" s="33" t="str">
        <f>IF(COUNTIF('Processed Non-zero TRI Data'!$I:$I,$H298)&gt;0,_xlfn.MAXIFS('Processed Non-zero TRI Data'!$U:$U,'Processed Non-zero TRI Data'!$I:$I,$H298), "N/A - Facility Does Not Report to TRI")</f>
        <v>N/A - Facility Does Not Report to TRI</v>
      </c>
      <c r="AJ298" s="33" t="str">
        <f t="shared" si="63"/>
        <v>N/A - Facility Does Not Report to TRI</v>
      </c>
      <c r="AK298" s="110" t="str" cm="1">
        <f t="array" ref="AK298">IF(B298="TRI Form A",AD298,IF(AI298=0,"Facility has no transfers to POTWs between 2019-2023.",IF(COUNTIF('Processed Non-zero TRI Data'!$I:$I,$H298)&gt;0,INDEX('Processed Non-zero TRI Data'!$A:$A,MATCH(1,($H298='Processed Non-zero TRI Data'!$I:$I)*(AI298='Processed Non-zero TRI Data'!$U:$U),0)),"N/A - Facility Does Not Report to TRI")))</f>
        <v>N/A - Facility Does Not Report to TRI</v>
      </c>
      <c r="AL298" s="109" cm="1">
        <f t="array" ref="AL298">IFERROR(_xlfn.XLOOKUP(1,  (MAX(IF(H298 = 'Processed Non-zero TRI Data'!$I$2:$I$23,'Processed Non-zero TRI Data'!$A$2:$A$23)) = 'Processed Non-zero TRI Data'!$A$2:$A$23)*('Processed Non-zero TRI Data'!$I$2:$I$23 = H298), 'Processed Non-zero TRI Data'!$W$2:$W$23), "N/A- Facility Does Not Report to TRI")</f>
        <v>0</v>
      </c>
      <c r="AM298" s="33">
        <f t="shared" si="64"/>
        <v>0</v>
      </c>
      <c r="AN298" s="33" t="str" cm="1">
        <f t="array" ref="AN298">IF(COUNTIF('Processed Non-zero TRI Data'!$I:$I,$H298)&gt;0,MEDIAN(IF('Processed Non-zero TRI Data'!$I:$I=H298,'Processed Non-zero TRI Data'!$W:$W)), "N/A - Facility Does Not Report to TRI")</f>
        <v>N/A - Facility Does Not Report to TRI</v>
      </c>
      <c r="AO298" s="33" t="str">
        <f t="shared" si="65"/>
        <v>N/A - Facility Does Not Report to TRI</v>
      </c>
      <c r="AP298" s="33" t="str">
        <f>IF(COUNTIF('Processed Non-zero TRI Data'!$I:$I,$H298)&gt;0,_xlfn.MAXIFS('Processed Non-zero TRI Data'!$W:$W,'Processed Non-zero TRI Data'!$I:$I,$H298), "N/A - Facility Does Not Report to TRI")</f>
        <v>N/A - Facility Does Not Report to TRI</v>
      </c>
      <c r="AQ298" s="33" t="str">
        <f t="shared" si="66"/>
        <v>N/A - Facility Does Not Report to TRI</v>
      </c>
      <c r="AR298" s="110" t="str" cm="1">
        <f t="array" ref="AR298">IF(B298="TRI Form A",AD298,IF(AP298=0,"Facility has no transfers to non-POTWs between 2019-2023.",IF(COUNTIF('Processed Non-zero TRI Data'!$I:$I,$H298)&gt;0,INDEX('Processed Non-zero TRI Data'!$A:$A,MATCH(1,($H298='Processed Non-zero TRI Data'!$I:$I)*(AP298='Processed Non-zero TRI Data'!$W:$W),0)),"N/A - Facility Does Not Report to TRI")))</f>
        <v>N/A - Facility Does Not Report to TRI</v>
      </c>
    </row>
    <row r="299" spans="1:44" ht="29" x14ac:dyDescent="0.35">
      <c r="A299" s="34">
        <v>296</v>
      </c>
      <c r="B299" s="33" t="str">
        <f>IFERROR("TRI Form "&amp;VLOOKUP(H299,'Processed Non-zero TRI Data'!$I$2:$K$23,3,FALSE),"DMR")</f>
        <v>DMR</v>
      </c>
      <c r="C299" s="33" t="str">
        <f>VLOOKUP($D299, 'COU.OES Summary'!C:D, 2, FALSE)</f>
        <v> </v>
      </c>
      <c r="D299" s="33" t="str">
        <f>IFERROR(VLOOKUP($H299, 'Processed Non-zero TRI Data'!$I:$O, 7, FALSE), VLOOKUP($I299, 'Processed Non-zero DMR Data'!$K:$R, 8, FALSE))</f>
        <v>Waste handling, treatment, and disposal - Remediation or Monitoring</v>
      </c>
      <c r="E299" s="34" t="s">
        <v>654</v>
      </c>
      <c r="F299" s="34" t="s">
        <v>337</v>
      </c>
      <c r="G299" s="34" t="s">
        <v>221</v>
      </c>
      <c r="H299" s="34"/>
      <c r="I299" s="105">
        <v>110020039402</v>
      </c>
      <c r="J299" s="33" t="str">
        <f>IFERROR(VLOOKUP($I299, 'Processed Non-zero DMR Data'!$K:$U, 11, FALSE),"")</f>
        <v>NV0023256</v>
      </c>
      <c r="K299" s="33" t="str">
        <f>IFERROR(VLOOKUP($I299, 'Processed Non-zero DMR Data'!$K:$V, 12, FALSE),"Not Reported")</f>
        <v>City of Las Vegas-Las Vegas Wash</v>
      </c>
      <c r="L299" s="106">
        <f>IFERROR(VLOOKUP($I299, 'Processed Non-zero DMR Data'!$K:$W, 13, FALSE),"No Reach Code Reported")</f>
        <v>150100150604</v>
      </c>
      <c r="M299" s="107" t="str">
        <f>IFERROR(IFERROR(VLOOKUP(H299, 'Off-site Locations'!$K$3:$O$5, 5, FALSE), VLOOKUP(H299, 'Off-site Locations'!$B$3:$E$4, 4, FALSE)), "No Offsite Transfers")</f>
        <v>No Offsite Transfers</v>
      </c>
      <c r="N299" s="33">
        <f>VLOOKUP($D299, 'COU.OES Summary'!C:E, 3, FALSE)</f>
        <v>365</v>
      </c>
      <c r="O299" s="108">
        <f t="shared" si="56"/>
        <v>0</v>
      </c>
      <c r="P299" s="108">
        <f t="shared" si="57"/>
        <v>3.3080986137137502E-3</v>
      </c>
      <c r="Q299" s="109" cm="1">
        <f t="array" ref="Q299">IFERROR(_xlfn.XLOOKUP(1,  (MAX(IF(I299 = 'Processed Non-zero DMR Data'!$K:$K,'Processed Non-zero DMR Data'!$A:$A)) = 'Processed Non-zero DMR Data'!$A:$A)*('Processed Non-zero DMR Data'!$K:$K = I299),'Processed Non-zero DMR Data'!$T:$T), "N/A- Facility Does Not Report DMRs")</f>
        <v>1.9505063768887501E-3</v>
      </c>
      <c r="R299" s="33">
        <f t="shared" si="67"/>
        <v>5.3438530873664387E-6</v>
      </c>
      <c r="S299" s="33" cm="1">
        <f t="array" ref="S299">IF(COUNTIF('Processed Non-zero DMR Data'!$K:$K,$I299)&gt;0,MEDIAN(IF('Processed Non-zero DMR Data'!$K:$K=I299,'Processed Non-zero DMR Data'!$T:$T)),"N/A - Facility Does Not Report DMRs")</f>
        <v>2.00586075E-8</v>
      </c>
      <c r="T299" s="33">
        <f t="shared" si="68"/>
        <v>5.4955089041095889E-11</v>
      </c>
      <c r="U299" s="33">
        <f>IF(COUNTIF('Processed Non-zero DMR Data'!$K:$K,$I299)&gt;0,_xlfn.MAXIFS('Processed Non-zero DMR Data'!$T:$T,'Processed Non-zero DMR Data'!$K:$K,$I299), "N/A - Facility Does Not Report DMRs")</f>
        <v>3.3080986137137502E-3</v>
      </c>
      <c r="V299" s="33">
        <f t="shared" si="69"/>
        <v>9.0632838731883559E-6</v>
      </c>
      <c r="W299" s="110" cm="1">
        <f t="array" ref="W299">IF(COUNTIF('Processed Non-zero DMR Data'!$K:$K,$I299)&gt;0,INDEX('Processed Non-zero DMR Data'!$A:$A,MATCH(1,($I299='Processed Non-zero DMR Data'!$K:$K)*($U299='Processed Non-zero DMR Data'!$T:$T),0)), "N/A - Facility Does Not Report DMRs")</f>
        <v>2021</v>
      </c>
      <c r="X299" s="109" cm="1">
        <f t="array" ref="X299">IFERROR(_xlfn.XLOOKUP(1,  (MAX(IF(H299 = 'Processed Non-zero TRI Data'!$I:$I,'Processed Non-zero TRI Data'!$A:$A)) = 'Processed Non-zero TRI Data'!$A:$A)*('Processed Non-zero TRI Data'!$I:$I = H299), 'Processed Non-zero TRI Data'!$S:$S), "N/A- Facility Does Not Report to TRI")</f>
        <v>0</v>
      </c>
      <c r="Y299" s="33">
        <f t="shared" si="58"/>
        <v>0</v>
      </c>
      <c r="Z299" s="33" t="str" cm="1">
        <f t="array" ref="Z299">IF(COUNTIF('Processed Non-zero TRI Data'!$I:$I,$H299)&gt;0,MEDIAN(IF('Processed Non-zero TRI Data'!$I:$I=H299,'Processed Non-zero TRI Data'!$S:$S)), "N/A - Facility Does Not Report to TRI")</f>
        <v>N/A - Facility Does Not Report to TRI</v>
      </c>
      <c r="AA299" s="33" t="str">
        <f t="shared" si="59"/>
        <v>N/A - Facility Does Not Report to TRI</v>
      </c>
      <c r="AB299" s="33" t="str">
        <f>IF(COUNTIF('Processed Non-zero TRI Data'!$I:$I,$H299)&gt;0,_xlfn.MAXIFS('Processed Non-zero TRI Data'!$S:$S,'Processed Non-zero TRI Data'!$I:$I,$H299), "N/A - Facility Does Not Report to TRI")</f>
        <v>N/A - Facility Does Not Report to TRI</v>
      </c>
      <c r="AC299" s="33" t="str">
        <f t="shared" si="60"/>
        <v>N/A - Facility Does Not Report to TRI</v>
      </c>
      <c r="AD299" s="110" t="str" cm="1">
        <f t="array" ref="AD299">IFERROR(IF(B299 = "TRI Form R", IF(AB299 = 0, "Facility has no on-site water discharges between 2019-2023.",  IF(COUNTIF('Processed Non-zero TRI Data'!$I:$I,$H299)&gt;0,INDEX('Processed Non-zero TRI Data'!$A:$A,MATCH(1,($H299='Processed Non-zero TRI Data'!$I:$I)*(AB299='Processed Non-zero TRI Data'!$S:$S),0)))), VLOOKUP(H299, 'Form A Recent Reporting'!$L:$M, 2, FALSE)), ("N/A - Facility Does Not Report to TRI"))</f>
        <v>N/A - Facility Does Not Report to TRI</v>
      </c>
      <c r="AE299" s="109" cm="1">
        <f t="array" ref="AE299">IFERROR(_xlfn.XLOOKUP(1,  (MAX(IF(H299 = 'Processed Non-zero TRI Data'!$I:$I,'Processed Non-zero TRI Data'!$A:$A)) = 'Processed Non-zero TRI Data'!$A:$A)*('Processed Non-zero TRI Data'!$I:$I = H299), 'Processed Non-zero TRI Data'!$U:$U), "N/A- Facility Does Not Report to TRI")</f>
        <v>0</v>
      </c>
      <c r="AF299" s="33">
        <f t="shared" si="61"/>
        <v>0</v>
      </c>
      <c r="AG299" s="33" t="str" cm="1">
        <f t="array" ref="AG299">IF(COUNTIF('Processed Non-zero TRI Data'!$I:$I,$H299)&gt;0,MEDIAN(IF('Processed Non-zero TRI Data'!$I:$I=H299,'Processed Non-zero TRI Data'!$U:$U)), "N/A - Facility Does Not Report to TRI")</f>
        <v>N/A - Facility Does Not Report to TRI</v>
      </c>
      <c r="AH299" s="33" t="str">
        <f t="shared" si="62"/>
        <v>N/A - Facility Does Not Report to TRI</v>
      </c>
      <c r="AI299" s="33" t="str">
        <f>IF(COUNTIF('Processed Non-zero TRI Data'!$I:$I,$H299)&gt;0,_xlfn.MAXIFS('Processed Non-zero TRI Data'!$U:$U,'Processed Non-zero TRI Data'!$I:$I,$H299), "N/A - Facility Does Not Report to TRI")</f>
        <v>N/A - Facility Does Not Report to TRI</v>
      </c>
      <c r="AJ299" s="33" t="str">
        <f t="shared" si="63"/>
        <v>N/A - Facility Does Not Report to TRI</v>
      </c>
      <c r="AK299" s="110" t="str" cm="1">
        <f t="array" ref="AK299">IF(B299="TRI Form A",AD299,IF(AI299=0,"Facility has no transfers to POTWs between 2019-2023.",IF(COUNTIF('Processed Non-zero TRI Data'!$I:$I,$H299)&gt;0,INDEX('Processed Non-zero TRI Data'!$A:$A,MATCH(1,($H299='Processed Non-zero TRI Data'!$I:$I)*(AI299='Processed Non-zero TRI Data'!$U:$U),0)),"N/A - Facility Does Not Report to TRI")))</f>
        <v>N/A - Facility Does Not Report to TRI</v>
      </c>
      <c r="AL299" s="109" cm="1">
        <f t="array" ref="AL299">IFERROR(_xlfn.XLOOKUP(1,  (MAX(IF(H299 = 'Processed Non-zero TRI Data'!$I$2:$I$23,'Processed Non-zero TRI Data'!$A$2:$A$23)) = 'Processed Non-zero TRI Data'!$A$2:$A$23)*('Processed Non-zero TRI Data'!$I$2:$I$23 = H299), 'Processed Non-zero TRI Data'!$W$2:$W$23), "N/A- Facility Does Not Report to TRI")</f>
        <v>0</v>
      </c>
      <c r="AM299" s="33">
        <f t="shared" si="64"/>
        <v>0</v>
      </c>
      <c r="AN299" s="33" t="str" cm="1">
        <f t="array" ref="AN299">IF(COUNTIF('Processed Non-zero TRI Data'!$I:$I,$H299)&gt;0,MEDIAN(IF('Processed Non-zero TRI Data'!$I:$I=H299,'Processed Non-zero TRI Data'!$W:$W)), "N/A - Facility Does Not Report to TRI")</f>
        <v>N/A - Facility Does Not Report to TRI</v>
      </c>
      <c r="AO299" s="33" t="str">
        <f t="shared" si="65"/>
        <v>N/A - Facility Does Not Report to TRI</v>
      </c>
      <c r="AP299" s="33" t="str">
        <f>IF(COUNTIF('Processed Non-zero TRI Data'!$I:$I,$H299)&gt;0,_xlfn.MAXIFS('Processed Non-zero TRI Data'!$W:$W,'Processed Non-zero TRI Data'!$I:$I,$H299), "N/A - Facility Does Not Report to TRI")</f>
        <v>N/A - Facility Does Not Report to TRI</v>
      </c>
      <c r="AQ299" s="33" t="str">
        <f t="shared" si="66"/>
        <v>N/A - Facility Does Not Report to TRI</v>
      </c>
      <c r="AR299" s="110" t="str" cm="1">
        <f t="array" ref="AR299">IF(B299="TRI Form A",AD299,IF(AP299=0,"Facility has no transfers to non-POTWs between 2019-2023.",IF(COUNTIF('Processed Non-zero TRI Data'!$I:$I,$H299)&gt;0,INDEX('Processed Non-zero TRI Data'!$A:$A,MATCH(1,($H299='Processed Non-zero TRI Data'!$I:$I)*(AP299='Processed Non-zero TRI Data'!$W:$W),0)),"N/A - Facility Does Not Report to TRI")))</f>
        <v>N/A - Facility Does Not Report to TRI</v>
      </c>
    </row>
    <row r="300" spans="1:44" ht="29" x14ac:dyDescent="0.35">
      <c r="A300" s="34">
        <v>297</v>
      </c>
      <c r="B300" s="33" t="str">
        <f>IFERROR("TRI Form "&amp;VLOOKUP(H300,'Processed Non-zero TRI Data'!$I$2:$K$23,3,FALSE),"DMR")</f>
        <v>DMR</v>
      </c>
      <c r="C300" s="33" t="str">
        <f>VLOOKUP($D300, 'COU.OES Summary'!C:D, 2, FALSE)</f>
        <v> </v>
      </c>
      <c r="D300" s="33" t="str">
        <f>IFERROR(VLOOKUP($H300, 'Processed Non-zero TRI Data'!$I:$O, 7, FALSE), VLOOKUP($I300, 'Processed Non-zero DMR Data'!$K:$R, 8, FALSE))</f>
        <v>Waste handling, treatment, and disposal - Remediation or Monitoring</v>
      </c>
      <c r="E300" s="34" t="s">
        <v>655</v>
      </c>
      <c r="F300" s="34" t="s">
        <v>600</v>
      </c>
      <c r="G300" s="34" t="s">
        <v>601</v>
      </c>
      <c r="H300" s="34"/>
      <c r="I300" s="105">
        <v>110000487447</v>
      </c>
      <c r="J300" s="33" t="str">
        <f>IFERROR(VLOOKUP($I300, 'Processed Non-zero DMR Data'!$K:$U, 11, FALSE),"")</f>
        <v>OR0034606</v>
      </c>
      <c r="K300" s="33" t="str">
        <f>IFERROR(VLOOKUP($I300, 'Processed Non-zero DMR Data'!$K:$V, 12, FALSE),"Not Reported")</f>
        <v>Willamette River</v>
      </c>
      <c r="L300" s="106">
        <f>IFERROR(VLOOKUP($I300, 'Processed Non-zero DMR Data'!$K:$W, 13, FALSE),"No Reach Code Reported")</f>
        <v>170900120202</v>
      </c>
      <c r="M300" s="107" t="str">
        <f>IFERROR(IFERROR(VLOOKUP(H300, 'Off-site Locations'!$K$3:$O$5, 5, FALSE), VLOOKUP(H300, 'Off-site Locations'!$B$3:$E$4, 4, FALSE)), "No Offsite Transfers")</f>
        <v>No Offsite Transfers</v>
      </c>
      <c r="N300" s="33">
        <f>VLOOKUP($D300, 'COU.OES Summary'!C:E, 3, FALSE)</f>
        <v>365</v>
      </c>
      <c r="O300" s="108">
        <f t="shared" si="56"/>
        <v>0</v>
      </c>
      <c r="P300" s="108">
        <f t="shared" si="57"/>
        <v>3.1110610680000002E-3</v>
      </c>
      <c r="Q300" s="109" cm="1">
        <f t="array" ref="Q300">IFERROR(_xlfn.XLOOKUP(1,  (MAX(IF(I300 = 'Processed Non-zero DMR Data'!$K:$K,'Processed Non-zero DMR Data'!$A:$A)) = 'Processed Non-zero DMR Data'!$A:$A)*('Processed Non-zero DMR Data'!$K:$K = I300),'Processed Non-zero DMR Data'!$T:$T), "N/A- Facility Does Not Report DMRs")</f>
        <v>1.2107627568E-3</v>
      </c>
      <c r="R300" s="33">
        <f t="shared" si="67"/>
        <v>3.3171582378082191E-6</v>
      </c>
      <c r="S300" s="33" cm="1">
        <f t="array" ref="S300">IF(COUNTIF('Processed Non-zero DMR Data'!$K:$K,$I300)&gt;0,MEDIAN(IF('Processed Non-zero DMR Data'!$K:$K=I300,'Processed Non-zero DMR Data'!$T:$T)),"N/A - Facility Does Not Report DMRs")</f>
        <v>1.7917971983999999E-3</v>
      </c>
      <c r="T300" s="33">
        <f t="shared" si="68"/>
        <v>4.9090334202739724E-6</v>
      </c>
      <c r="U300" s="33">
        <f>IF(COUNTIF('Processed Non-zero DMR Data'!$K:$K,$I300)&gt;0,_xlfn.MAXIFS('Processed Non-zero DMR Data'!$T:$T,'Processed Non-zero DMR Data'!$K:$K,$I300), "N/A - Facility Does Not Report DMRs")</f>
        <v>3.1110610680000002E-3</v>
      </c>
      <c r="V300" s="33">
        <f t="shared" si="69"/>
        <v>8.523454980821918E-6</v>
      </c>
      <c r="W300" s="110" cm="1">
        <f t="array" ref="W300">IF(COUNTIF('Processed Non-zero DMR Data'!$K:$K,$I300)&gt;0,INDEX('Processed Non-zero DMR Data'!$A:$A,MATCH(1,($I300='Processed Non-zero DMR Data'!$K:$K)*($U300='Processed Non-zero DMR Data'!$T:$T),0)), "N/A - Facility Does Not Report DMRs")</f>
        <v>2020</v>
      </c>
      <c r="X300" s="109" cm="1">
        <f t="array" ref="X300">IFERROR(_xlfn.XLOOKUP(1,  (MAX(IF(H300 = 'Processed Non-zero TRI Data'!$I:$I,'Processed Non-zero TRI Data'!$A:$A)) = 'Processed Non-zero TRI Data'!$A:$A)*('Processed Non-zero TRI Data'!$I:$I = H300), 'Processed Non-zero TRI Data'!$S:$S), "N/A- Facility Does Not Report to TRI")</f>
        <v>0</v>
      </c>
      <c r="Y300" s="33">
        <f t="shared" si="58"/>
        <v>0</v>
      </c>
      <c r="Z300" s="33" t="str" cm="1">
        <f t="array" ref="Z300">IF(COUNTIF('Processed Non-zero TRI Data'!$I:$I,$H300)&gt;0,MEDIAN(IF('Processed Non-zero TRI Data'!$I:$I=H300,'Processed Non-zero TRI Data'!$S:$S)), "N/A - Facility Does Not Report to TRI")</f>
        <v>N/A - Facility Does Not Report to TRI</v>
      </c>
      <c r="AA300" s="33" t="str">
        <f t="shared" si="59"/>
        <v>N/A - Facility Does Not Report to TRI</v>
      </c>
      <c r="AB300" s="33" t="str">
        <f>IF(COUNTIF('Processed Non-zero TRI Data'!$I:$I,$H300)&gt;0,_xlfn.MAXIFS('Processed Non-zero TRI Data'!$S:$S,'Processed Non-zero TRI Data'!$I:$I,$H300), "N/A - Facility Does Not Report to TRI")</f>
        <v>N/A - Facility Does Not Report to TRI</v>
      </c>
      <c r="AC300" s="33" t="str">
        <f t="shared" si="60"/>
        <v>N/A - Facility Does Not Report to TRI</v>
      </c>
      <c r="AD300" s="110" t="str" cm="1">
        <f t="array" ref="AD300">IFERROR(IF(B300 = "TRI Form R", IF(AB300 = 0, "Facility has no on-site water discharges between 2019-2023.",  IF(COUNTIF('Processed Non-zero TRI Data'!$I:$I,$H300)&gt;0,INDEX('Processed Non-zero TRI Data'!$A:$A,MATCH(1,($H300='Processed Non-zero TRI Data'!$I:$I)*(AB300='Processed Non-zero TRI Data'!$S:$S),0)))), VLOOKUP(H300, 'Form A Recent Reporting'!$L:$M, 2, FALSE)), ("N/A - Facility Does Not Report to TRI"))</f>
        <v>N/A - Facility Does Not Report to TRI</v>
      </c>
      <c r="AE300" s="109" cm="1">
        <f t="array" ref="AE300">IFERROR(_xlfn.XLOOKUP(1,  (MAX(IF(H300 = 'Processed Non-zero TRI Data'!$I:$I,'Processed Non-zero TRI Data'!$A:$A)) = 'Processed Non-zero TRI Data'!$A:$A)*('Processed Non-zero TRI Data'!$I:$I = H300), 'Processed Non-zero TRI Data'!$U:$U), "N/A- Facility Does Not Report to TRI")</f>
        <v>0</v>
      </c>
      <c r="AF300" s="33">
        <f t="shared" si="61"/>
        <v>0</v>
      </c>
      <c r="AG300" s="33" t="str" cm="1">
        <f t="array" ref="AG300">IF(COUNTIF('Processed Non-zero TRI Data'!$I:$I,$H300)&gt;0,MEDIAN(IF('Processed Non-zero TRI Data'!$I:$I=H300,'Processed Non-zero TRI Data'!$U:$U)), "N/A - Facility Does Not Report to TRI")</f>
        <v>N/A - Facility Does Not Report to TRI</v>
      </c>
      <c r="AH300" s="33" t="str">
        <f t="shared" si="62"/>
        <v>N/A - Facility Does Not Report to TRI</v>
      </c>
      <c r="AI300" s="33" t="str">
        <f>IF(COUNTIF('Processed Non-zero TRI Data'!$I:$I,$H300)&gt;0,_xlfn.MAXIFS('Processed Non-zero TRI Data'!$U:$U,'Processed Non-zero TRI Data'!$I:$I,$H300), "N/A - Facility Does Not Report to TRI")</f>
        <v>N/A - Facility Does Not Report to TRI</v>
      </c>
      <c r="AJ300" s="33" t="str">
        <f t="shared" si="63"/>
        <v>N/A - Facility Does Not Report to TRI</v>
      </c>
      <c r="AK300" s="110" t="str" cm="1">
        <f t="array" ref="AK300">IF(B300="TRI Form A",AD300,IF(AI300=0,"Facility has no transfers to POTWs between 2019-2023.",IF(COUNTIF('Processed Non-zero TRI Data'!$I:$I,$H300)&gt;0,INDEX('Processed Non-zero TRI Data'!$A:$A,MATCH(1,($H300='Processed Non-zero TRI Data'!$I:$I)*(AI300='Processed Non-zero TRI Data'!$U:$U),0)),"N/A - Facility Does Not Report to TRI")))</f>
        <v>N/A - Facility Does Not Report to TRI</v>
      </c>
      <c r="AL300" s="109" cm="1">
        <f t="array" ref="AL300">IFERROR(_xlfn.XLOOKUP(1,  (MAX(IF(H300 = 'Processed Non-zero TRI Data'!$I$2:$I$23,'Processed Non-zero TRI Data'!$A$2:$A$23)) = 'Processed Non-zero TRI Data'!$A$2:$A$23)*('Processed Non-zero TRI Data'!$I$2:$I$23 = H300), 'Processed Non-zero TRI Data'!$W$2:$W$23), "N/A- Facility Does Not Report to TRI")</f>
        <v>0</v>
      </c>
      <c r="AM300" s="33">
        <f t="shared" si="64"/>
        <v>0</v>
      </c>
      <c r="AN300" s="33" t="str" cm="1">
        <f t="array" ref="AN300">IF(COUNTIF('Processed Non-zero TRI Data'!$I:$I,$H300)&gt;0,MEDIAN(IF('Processed Non-zero TRI Data'!$I:$I=H300,'Processed Non-zero TRI Data'!$W:$W)), "N/A - Facility Does Not Report to TRI")</f>
        <v>N/A - Facility Does Not Report to TRI</v>
      </c>
      <c r="AO300" s="33" t="str">
        <f t="shared" si="65"/>
        <v>N/A - Facility Does Not Report to TRI</v>
      </c>
      <c r="AP300" s="33" t="str">
        <f>IF(COUNTIF('Processed Non-zero TRI Data'!$I:$I,$H300)&gt;0,_xlfn.MAXIFS('Processed Non-zero TRI Data'!$W:$W,'Processed Non-zero TRI Data'!$I:$I,$H300), "N/A - Facility Does Not Report to TRI")</f>
        <v>N/A - Facility Does Not Report to TRI</v>
      </c>
      <c r="AQ300" s="33" t="str">
        <f t="shared" si="66"/>
        <v>N/A - Facility Does Not Report to TRI</v>
      </c>
      <c r="AR300" s="110" t="str" cm="1">
        <f t="array" ref="AR300">IF(B300="TRI Form A",AD300,IF(AP300=0,"Facility has no transfers to non-POTWs between 2019-2023.",IF(COUNTIF('Processed Non-zero TRI Data'!$I:$I,$H300)&gt;0,INDEX('Processed Non-zero TRI Data'!$A:$A,MATCH(1,($H300='Processed Non-zero TRI Data'!$I:$I)*(AP300='Processed Non-zero TRI Data'!$W:$W),0)),"N/A - Facility Does Not Report to TRI")))</f>
        <v>N/A - Facility Does Not Report to TRI</v>
      </c>
    </row>
    <row r="301" spans="1:44" ht="29" x14ac:dyDescent="0.35">
      <c r="A301" s="34">
        <v>298</v>
      </c>
      <c r="B301" s="33" t="str">
        <f>IFERROR("TRI Form "&amp;VLOOKUP(H301,'Processed Non-zero TRI Data'!$I$2:$K$23,3,FALSE),"DMR")</f>
        <v>DMR</v>
      </c>
      <c r="C301" s="33" t="str">
        <f>VLOOKUP($D301, 'COU.OES Summary'!C:D, 2, FALSE)</f>
        <v> </v>
      </c>
      <c r="D301" s="33" t="str">
        <f>IFERROR(VLOOKUP($H301, 'Processed Non-zero TRI Data'!$I:$O, 7, FALSE), VLOOKUP($I301, 'Processed Non-zero DMR Data'!$K:$R, 8, FALSE))</f>
        <v>Waste handling, treatment, and disposal - Remediation or Monitoring</v>
      </c>
      <c r="E301" s="34" t="s">
        <v>656</v>
      </c>
      <c r="F301" s="34" t="s">
        <v>337</v>
      </c>
      <c r="G301" s="34" t="s">
        <v>221</v>
      </c>
      <c r="H301" s="34"/>
      <c r="I301" s="105">
        <v>110041903223</v>
      </c>
      <c r="J301" s="33" t="str">
        <f>IFERROR(VLOOKUP($I301, 'Processed Non-zero DMR Data'!$K:$U, 11, FALSE),"")</f>
        <v>NV0023809</v>
      </c>
      <c r="K301" s="33" t="str">
        <f>IFERROR(VLOOKUP($I301, 'Processed Non-zero DMR Data'!$K:$V, 12, FALSE),"Not Reported")</f>
        <v>Tropicana Wash</v>
      </c>
      <c r="L301" s="106">
        <f>IFERROR(VLOOKUP($I301, 'Processed Non-zero DMR Data'!$K:$W, 13, FALSE),"No Reach Code Reported")</f>
        <v>150100150505</v>
      </c>
      <c r="M301" s="107" t="str">
        <f>IFERROR(IFERROR(VLOOKUP(H301, 'Off-site Locations'!$K$3:$O$5, 5, FALSE), VLOOKUP(H301, 'Off-site Locations'!$B$3:$E$4, 4, FALSE)), "No Offsite Transfers")</f>
        <v>No Offsite Transfers</v>
      </c>
      <c r="N301" s="33">
        <f>VLOOKUP($D301, 'COU.OES Summary'!C:E, 3, FALSE)</f>
        <v>365</v>
      </c>
      <c r="O301" s="108">
        <f t="shared" si="56"/>
        <v>0</v>
      </c>
      <c r="P301" s="108">
        <f t="shared" si="57"/>
        <v>2.39176515625E-3</v>
      </c>
      <c r="Q301" s="109" cm="1">
        <f t="array" ref="Q301">IFERROR(_xlfn.XLOOKUP(1,  (MAX(IF(I301 = 'Processed Non-zero DMR Data'!$K:$K,'Processed Non-zero DMR Data'!$A:$A)) = 'Processed Non-zero DMR Data'!$A:$A)*('Processed Non-zero DMR Data'!$K:$K = I301),'Processed Non-zero DMR Data'!$T:$T), "N/A- Facility Does Not Report DMRs")</f>
        <v>1.8132515625E-3</v>
      </c>
      <c r="R301" s="33">
        <f t="shared" si="67"/>
        <v>4.9678125000000001E-6</v>
      </c>
      <c r="S301" s="33" cm="1">
        <f t="array" ref="S301">IF(COUNTIF('Processed Non-zero DMR Data'!$K:$K,$I301)&gt;0,MEDIAN(IF('Processed Non-zero DMR Data'!$K:$K=I301,'Processed Non-zero DMR Data'!$T:$T)),"N/A - Facility Does Not Report DMRs")</f>
        <v>2.1025083593750001E-3</v>
      </c>
      <c r="T301" s="33">
        <f t="shared" si="68"/>
        <v>5.7602968750000003E-6</v>
      </c>
      <c r="U301" s="33">
        <f>IF(COUNTIF('Processed Non-zero DMR Data'!$K:$K,$I301)&gt;0,_xlfn.MAXIFS('Processed Non-zero DMR Data'!$T:$T,'Processed Non-zero DMR Data'!$K:$K,$I301), "N/A - Facility Does Not Report DMRs")</f>
        <v>2.39176515625E-3</v>
      </c>
      <c r="V301" s="33">
        <f t="shared" si="69"/>
        <v>6.5527812499999997E-6</v>
      </c>
      <c r="W301" s="110" cm="1">
        <f t="array" ref="W301">IF(COUNTIF('Processed Non-zero DMR Data'!$K:$K,$I301)&gt;0,INDEX('Processed Non-zero DMR Data'!$A:$A,MATCH(1,($I301='Processed Non-zero DMR Data'!$K:$K)*($U301='Processed Non-zero DMR Data'!$T:$T),0)), "N/A - Facility Does Not Report DMRs")</f>
        <v>2019</v>
      </c>
      <c r="X301" s="109" cm="1">
        <f t="array" ref="X301">IFERROR(_xlfn.XLOOKUP(1,  (MAX(IF(H301 = 'Processed Non-zero TRI Data'!$I:$I,'Processed Non-zero TRI Data'!$A:$A)) = 'Processed Non-zero TRI Data'!$A:$A)*('Processed Non-zero TRI Data'!$I:$I = H301), 'Processed Non-zero TRI Data'!$S:$S), "N/A- Facility Does Not Report to TRI")</f>
        <v>0</v>
      </c>
      <c r="Y301" s="33">
        <f t="shared" si="58"/>
        <v>0</v>
      </c>
      <c r="Z301" s="33" t="str" cm="1">
        <f t="array" ref="Z301">IF(COUNTIF('Processed Non-zero TRI Data'!$I:$I,$H301)&gt;0,MEDIAN(IF('Processed Non-zero TRI Data'!$I:$I=H301,'Processed Non-zero TRI Data'!$S:$S)), "N/A - Facility Does Not Report to TRI")</f>
        <v>N/A - Facility Does Not Report to TRI</v>
      </c>
      <c r="AA301" s="33" t="str">
        <f t="shared" si="59"/>
        <v>N/A - Facility Does Not Report to TRI</v>
      </c>
      <c r="AB301" s="33" t="str">
        <f>IF(COUNTIF('Processed Non-zero TRI Data'!$I:$I,$H301)&gt;0,_xlfn.MAXIFS('Processed Non-zero TRI Data'!$S:$S,'Processed Non-zero TRI Data'!$I:$I,$H301), "N/A - Facility Does Not Report to TRI")</f>
        <v>N/A - Facility Does Not Report to TRI</v>
      </c>
      <c r="AC301" s="33" t="str">
        <f t="shared" si="60"/>
        <v>N/A - Facility Does Not Report to TRI</v>
      </c>
      <c r="AD301" s="110" t="str" cm="1">
        <f t="array" ref="AD301">IFERROR(IF(B301 = "TRI Form R", IF(AB301 = 0, "Facility has no on-site water discharges between 2019-2023.",  IF(COUNTIF('Processed Non-zero TRI Data'!$I:$I,$H301)&gt;0,INDEX('Processed Non-zero TRI Data'!$A:$A,MATCH(1,($H301='Processed Non-zero TRI Data'!$I:$I)*(AB301='Processed Non-zero TRI Data'!$S:$S),0)))), VLOOKUP(H301, 'Form A Recent Reporting'!$L:$M, 2, FALSE)), ("N/A - Facility Does Not Report to TRI"))</f>
        <v>N/A - Facility Does Not Report to TRI</v>
      </c>
      <c r="AE301" s="109" cm="1">
        <f t="array" ref="AE301">IFERROR(_xlfn.XLOOKUP(1,  (MAX(IF(H301 = 'Processed Non-zero TRI Data'!$I:$I,'Processed Non-zero TRI Data'!$A:$A)) = 'Processed Non-zero TRI Data'!$A:$A)*('Processed Non-zero TRI Data'!$I:$I = H301), 'Processed Non-zero TRI Data'!$U:$U), "N/A- Facility Does Not Report to TRI")</f>
        <v>0</v>
      </c>
      <c r="AF301" s="33">
        <f t="shared" si="61"/>
        <v>0</v>
      </c>
      <c r="AG301" s="33" t="str" cm="1">
        <f t="array" ref="AG301">IF(COUNTIF('Processed Non-zero TRI Data'!$I:$I,$H301)&gt;0,MEDIAN(IF('Processed Non-zero TRI Data'!$I:$I=H301,'Processed Non-zero TRI Data'!$U:$U)), "N/A - Facility Does Not Report to TRI")</f>
        <v>N/A - Facility Does Not Report to TRI</v>
      </c>
      <c r="AH301" s="33" t="str">
        <f t="shared" si="62"/>
        <v>N/A - Facility Does Not Report to TRI</v>
      </c>
      <c r="AI301" s="33" t="str">
        <f>IF(COUNTIF('Processed Non-zero TRI Data'!$I:$I,$H301)&gt;0,_xlfn.MAXIFS('Processed Non-zero TRI Data'!$U:$U,'Processed Non-zero TRI Data'!$I:$I,$H301), "N/A - Facility Does Not Report to TRI")</f>
        <v>N/A - Facility Does Not Report to TRI</v>
      </c>
      <c r="AJ301" s="33" t="str">
        <f t="shared" si="63"/>
        <v>N/A - Facility Does Not Report to TRI</v>
      </c>
      <c r="AK301" s="110" t="str" cm="1">
        <f t="array" ref="AK301">IF(B301="TRI Form A",AD301,IF(AI301=0,"Facility has no transfers to POTWs between 2019-2023.",IF(COUNTIF('Processed Non-zero TRI Data'!$I:$I,$H301)&gt;0,INDEX('Processed Non-zero TRI Data'!$A:$A,MATCH(1,($H301='Processed Non-zero TRI Data'!$I:$I)*(AI301='Processed Non-zero TRI Data'!$U:$U),0)),"N/A - Facility Does Not Report to TRI")))</f>
        <v>N/A - Facility Does Not Report to TRI</v>
      </c>
      <c r="AL301" s="109" cm="1">
        <f t="array" ref="AL301">IFERROR(_xlfn.XLOOKUP(1,  (MAX(IF(H301 = 'Processed Non-zero TRI Data'!$I$2:$I$23,'Processed Non-zero TRI Data'!$A$2:$A$23)) = 'Processed Non-zero TRI Data'!$A$2:$A$23)*('Processed Non-zero TRI Data'!$I$2:$I$23 = H301), 'Processed Non-zero TRI Data'!$W$2:$W$23), "N/A- Facility Does Not Report to TRI")</f>
        <v>0</v>
      </c>
      <c r="AM301" s="33">
        <f t="shared" si="64"/>
        <v>0</v>
      </c>
      <c r="AN301" s="33" t="str" cm="1">
        <f t="array" ref="AN301">IF(COUNTIF('Processed Non-zero TRI Data'!$I:$I,$H301)&gt;0,MEDIAN(IF('Processed Non-zero TRI Data'!$I:$I=H301,'Processed Non-zero TRI Data'!$W:$W)), "N/A - Facility Does Not Report to TRI")</f>
        <v>N/A - Facility Does Not Report to TRI</v>
      </c>
      <c r="AO301" s="33" t="str">
        <f t="shared" si="65"/>
        <v>N/A - Facility Does Not Report to TRI</v>
      </c>
      <c r="AP301" s="33" t="str">
        <f>IF(COUNTIF('Processed Non-zero TRI Data'!$I:$I,$H301)&gt;0,_xlfn.MAXIFS('Processed Non-zero TRI Data'!$W:$W,'Processed Non-zero TRI Data'!$I:$I,$H301), "N/A - Facility Does Not Report to TRI")</f>
        <v>N/A - Facility Does Not Report to TRI</v>
      </c>
      <c r="AQ301" s="33" t="str">
        <f t="shared" si="66"/>
        <v>N/A - Facility Does Not Report to TRI</v>
      </c>
      <c r="AR301" s="110" t="str" cm="1">
        <f t="array" ref="AR301">IF(B301="TRI Form A",AD301,IF(AP301=0,"Facility has no transfers to non-POTWs between 2019-2023.",IF(COUNTIF('Processed Non-zero TRI Data'!$I:$I,$H301)&gt;0,INDEX('Processed Non-zero TRI Data'!$A:$A,MATCH(1,($H301='Processed Non-zero TRI Data'!$I:$I)*(AP301='Processed Non-zero TRI Data'!$W:$W),0)),"N/A - Facility Does Not Report to TRI")))</f>
        <v>N/A - Facility Does Not Report to TRI</v>
      </c>
    </row>
    <row r="302" spans="1:44" ht="29" x14ac:dyDescent="0.35">
      <c r="A302" s="34">
        <v>299</v>
      </c>
      <c r="B302" s="33" t="str">
        <f>IFERROR("TRI Form "&amp;VLOOKUP(H302,'Processed Non-zero TRI Data'!$I$2:$K$23,3,FALSE),"DMR")</f>
        <v>DMR</v>
      </c>
      <c r="C302" s="33" t="str">
        <f>VLOOKUP($D302, 'COU.OES Summary'!C:D, 2, FALSE)</f>
        <v> </v>
      </c>
      <c r="D302" s="33" t="str">
        <f>IFERROR(VLOOKUP($H302, 'Processed Non-zero TRI Data'!$I:$O, 7, FALSE), VLOOKUP($I302, 'Processed Non-zero DMR Data'!$K:$R, 8, FALSE))</f>
        <v>Waste handling, treatment, and disposal - Remediation or Monitoring</v>
      </c>
      <c r="E302" s="34" t="s">
        <v>657</v>
      </c>
      <c r="F302" s="34" t="s">
        <v>337</v>
      </c>
      <c r="G302" s="34" t="s">
        <v>221</v>
      </c>
      <c r="H302" s="34"/>
      <c r="I302" s="105">
        <v>110037274133</v>
      </c>
      <c r="J302" s="33" t="str">
        <f>IFERROR(VLOOKUP($I302, 'Processed Non-zero DMR Data'!$K:$U, 11, FALSE),"")</f>
        <v>NV0023604</v>
      </c>
      <c r="K302" s="33" t="str">
        <f>IFERROR(VLOOKUP($I302, 'Processed Non-zero DMR Data'!$K:$V, 12, FALSE),"Not Reported")</f>
        <v>Tropicana Wash</v>
      </c>
      <c r="L302" s="106">
        <f>IFERROR(VLOOKUP($I302, 'Processed Non-zero DMR Data'!$K:$W, 13, FALSE),"No Reach Code Reported")</f>
        <v>150100150505</v>
      </c>
      <c r="M302" s="107" t="str">
        <f>IFERROR(IFERROR(VLOOKUP(H302, 'Off-site Locations'!$K$3:$O$5, 5, FALSE), VLOOKUP(H302, 'Off-site Locations'!$B$3:$E$4, 4, FALSE)), "No Offsite Transfers")</f>
        <v>No Offsite Transfers</v>
      </c>
      <c r="N302" s="33">
        <f>VLOOKUP($D302, 'COU.OES Summary'!C:E, 3, FALSE)</f>
        <v>365</v>
      </c>
      <c r="O302" s="108">
        <f t="shared" si="56"/>
        <v>0</v>
      </c>
      <c r="P302" s="108">
        <f t="shared" si="57"/>
        <v>2.3036929374999999E-3</v>
      </c>
      <c r="Q302" s="109" cm="1">
        <f t="array" ref="Q302">IFERROR(_xlfn.XLOOKUP(1,  (MAX(IF(I302 = 'Processed Non-zero DMR Data'!$K:$K,'Processed Non-zero DMR Data'!$A:$A)) = 'Processed Non-zero DMR Data'!$A:$A)*('Processed Non-zero DMR Data'!$K:$K = I302),'Processed Non-zero DMR Data'!$T:$T), "N/A- Facility Does Not Report DMRs")</f>
        <v>2.0722875E-6</v>
      </c>
      <c r="R302" s="33">
        <f t="shared" si="67"/>
        <v>5.6774999999999999E-9</v>
      </c>
      <c r="S302" s="33" cm="1">
        <f t="array" ref="S302">IF(COUNTIF('Processed Non-zero DMR Data'!$K:$K,$I302)&gt;0,MEDIAN(IF('Processed Non-zero DMR Data'!$K:$K=I302,'Processed Non-zero DMR Data'!$T:$T)),"N/A - Facility Does Not Report DMRs")</f>
        <v>3.2154994374999994E-4</v>
      </c>
      <c r="T302" s="33">
        <f t="shared" si="68"/>
        <v>8.8095874999999978E-7</v>
      </c>
      <c r="U302" s="33">
        <f>IF(COUNTIF('Processed Non-zero DMR Data'!$K:$K,$I302)&gt;0,_xlfn.MAXIFS('Processed Non-zero DMR Data'!$T:$T,'Processed Non-zero DMR Data'!$K:$K,$I302), "N/A - Facility Does Not Report DMRs")</f>
        <v>2.3036929374999999E-3</v>
      </c>
      <c r="V302" s="33">
        <f t="shared" si="69"/>
        <v>6.3114874999999996E-6</v>
      </c>
      <c r="W302" s="110" cm="1">
        <f t="array" ref="W302">IF(COUNTIF('Processed Non-zero DMR Data'!$K:$K,$I302)&gt;0,INDEX('Processed Non-zero DMR Data'!$A:$A,MATCH(1,($I302='Processed Non-zero DMR Data'!$K:$K)*($U302='Processed Non-zero DMR Data'!$T:$T),0)), "N/A - Facility Does Not Report DMRs")</f>
        <v>2020</v>
      </c>
      <c r="X302" s="109" cm="1">
        <f t="array" ref="X302">IFERROR(_xlfn.XLOOKUP(1,  (MAX(IF(H302 = 'Processed Non-zero TRI Data'!$I:$I,'Processed Non-zero TRI Data'!$A:$A)) = 'Processed Non-zero TRI Data'!$A:$A)*('Processed Non-zero TRI Data'!$I:$I = H302), 'Processed Non-zero TRI Data'!$S:$S), "N/A- Facility Does Not Report to TRI")</f>
        <v>0</v>
      </c>
      <c r="Y302" s="33">
        <f t="shared" si="58"/>
        <v>0</v>
      </c>
      <c r="Z302" s="33" t="str" cm="1">
        <f t="array" ref="Z302">IF(COUNTIF('Processed Non-zero TRI Data'!$I:$I,$H302)&gt;0,MEDIAN(IF('Processed Non-zero TRI Data'!$I:$I=H302,'Processed Non-zero TRI Data'!$S:$S)), "N/A - Facility Does Not Report to TRI")</f>
        <v>N/A - Facility Does Not Report to TRI</v>
      </c>
      <c r="AA302" s="33" t="str">
        <f t="shared" si="59"/>
        <v>N/A - Facility Does Not Report to TRI</v>
      </c>
      <c r="AB302" s="33" t="str">
        <f>IF(COUNTIF('Processed Non-zero TRI Data'!$I:$I,$H302)&gt;0,_xlfn.MAXIFS('Processed Non-zero TRI Data'!$S:$S,'Processed Non-zero TRI Data'!$I:$I,$H302), "N/A - Facility Does Not Report to TRI")</f>
        <v>N/A - Facility Does Not Report to TRI</v>
      </c>
      <c r="AC302" s="33" t="str">
        <f t="shared" si="60"/>
        <v>N/A - Facility Does Not Report to TRI</v>
      </c>
      <c r="AD302" s="110" t="str" cm="1">
        <f t="array" ref="AD302">IFERROR(IF(B302 = "TRI Form R", IF(AB302 = 0, "Facility has no on-site water discharges between 2019-2023.",  IF(COUNTIF('Processed Non-zero TRI Data'!$I:$I,$H302)&gt;0,INDEX('Processed Non-zero TRI Data'!$A:$A,MATCH(1,($H302='Processed Non-zero TRI Data'!$I:$I)*(AB302='Processed Non-zero TRI Data'!$S:$S),0)))), VLOOKUP(H302, 'Form A Recent Reporting'!$L:$M, 2, FALSE)), ("N/A - Facility Does Not Report to TRI"))</f>
        <v>N/A - Facility Does Not Report to TRI</v>
      </c>
      <c r="AE302" s="109" cm="1">
        <f t="array" ref="AE302">IFERROR(_xlfn.XLOOKUP(1,  (MAX(IF(H302 = 'Processed Non-zero TRI Data'!$I:$I,'Processed Non-zero TRI Data'!$A:$A)) = 'Processed Non-zero TRI Data'!$A:$A)*('Processed Non-zero TRI Data'!$I:$I = H302), 'Processed Non-zero TRI Data'!$U:$U), "N/A- Facility Does Not Report to TRI")</f>
        <v>0</v>
      </c>
      <c r="AF302" s="33">
        <f t="shared" si="61"/>
        <v>0</v>
      </c>
      <c r="AG302" s="33" t="str" cm="1">
        <f t="array" ref="AG302">IF(COUNTIF('Processed Non-zero TRI Data'!$I:$I,$H302)&gt;0,MEDIAN(IF('Processed Non-zero TRI Data'!$I:$I=H302,'Processed Non-zero TRI Data'!$U:$U)), "N/A - Facility Does Not Report to TRI")</f>
        <v>N/A - Facility Does Not Report to TRI</v>
      </c>
      <c r="AH302" s="33" t="str">
        <f t="shared" si="62"/>
        <v>N/A - Facility Does Not Report to TRI</v>
      </c>
      <c r="AI302" s="33" t="str">
        <f>IF(COUNTIF('Processed Non-zero TRI Data'!$I:$I,$H302)&gt;0,_xlfn.MAXIFS('Processed Non-zero TRI Data'!$U:$U,'Processed Non-zero TRI Data'!$I:$I,$H302), "N/A - Facility Does Not Report to TRI")</f>
        <v>N/A - Facility Does Not Report to TRI</v>
      </c>
      <c r="AJ302" s="33" t="str">
        <f t="shared" si="63"/>
        <v>N/A - Facility Does Not Report to TRI</v>
      </c>
      <c r="AK302" s="110" t="str" cm="1">
        <f t="array" ref="AK302">IF(B302="TRI Form A",AD302,IF(AI302=0,"Facility has no transfers to POTWs between 2019-2023.",IF(COUNTIF('Processed Non-zero TRI Data'!$I:$I,$H302)&gt;0,INDEX('Processed Non-zero TRI Data'!$A:$A,MATCH(1,($H302='Processed Non-zero TRI Data'!$I:$I)*(AI302='Processed Non-zero TRI Data'!$U:$U),0)),"N/A - Facility Does Not Report to TRI")))</f>
        <v>N/A - Facility Does Not Report to TRI</v>
      </c>
      <c r="AL302" s="109" cm="1">
        <f t="array" ref="AL302">IFERROR(_xlfn.XLOOKUP(1,  (MAX(IF(H302 = 'Processed Non-zero TRI Data'!$I$2:$I$23,'Processed Non-zero TRI Data'!$A$2:$A$23)) = 'Processed Non-zero TRI Data'!$A$2:$A$23)*('Processed Non-zero TRI Data'!$I$2:$I$23 = H302), 'Processed Non-zero TRI Data'!$W$2:$W$23), "N/A- Facility Does Not Report to TRI")</f>
        <v>0</v>
      </c>
      <c r="AM302" s="33">
        <f t="shared" si="64"/>
        <v>0</v>
      </c>
      <c r="AN302" s="33" t="str" cm="1">
        <f t="array" ref="AN302">IF(COUNTIF('Processed Non-zero TRI Data'!$I:$I,$H302)&gt;0,MEDIAN(IF('Processed Non-zero TRI Data'!$I:$I=H302,'Processed Non-zero TRI Data'!$W:$W)), "N/A - Facility Does Not Report to TRI")</f>
        <v>N/A - Facility Does Not Report to TRI</v>
      </c>
      <c r="AO302" s="33" t="str">
        <f t="shared" si="65"/>
        <v>N/A - Facility Does Not Report to TRI</v>
      </c>
      <c r="AP302" s="33" t="str">
        <f>IF(COUNTIF('Processed Non-zero TRI Data'!$I:$I,$H302)&gt;0,_xlfn.MAXIFS('Processed Non-zero TRI Data'!$W:$W,'Processed Non-zero TRI Data'!$I:$I,$H302), "N/A - Facility Does Not Report to TRI")</f>
        <v>N/A - Facility Does Not Report to TRI</v>
      </c>
      <c r="AQ302" s="33" t="str">
        <f t="shared" si="66"/>
        <v>N/A - Facility Does Not Report to TRI</v>
      </c>
      <c r="AR302" s="110" t="str" cm="1">
        <f t="array" ref="AR302">IF(B302="TRI Form A",AD302,IF(AP302=0,"Facility has no transfers to non-POTWs between 2019-2023.",IF(COUNTIF('Processed Non-zero TRI Data'!$I:$I,$H302)&gt;0,INDEX('Processed Non-zero TRI Data'!$A:$A,MATCH(1,($H302='Processed Non-zero TRI Data'!$I:$I)*(AP302='Processed Non-zero TRI Data'!$W:$W),0)),"N/A - Facility Does Not Report to TRI")))</f>
        <v>N/A - Facility Does Not Report to TRI</v>
      </c>
    </row>
    <row r="303" spans="1:44" ht="29" x14ac:dyDescent="0.35">
      <c r="A303" s="34">
        <v>300</v>
      </c>
      <c r="B303" s="33" t="str">
        <f>IFERROR("TRI Form "&amp;VLOOKUP(H303,'Processed Non-zero TRI Data'!$I$2:$K$23,3,FALSE),"DMR")</f>
        <v>DMR</v>
      </c>
      <c r="C303" s="33" t="str">
        <f>VLOOKUP($D303, 'COU.OES Summary'!C:D, 2, FALSE)</f>
        <v> </v>
      </c>
      <c r="D303" s="33" t="str">
        <f>IFERROR(VLOOKUP($H303, 'Processed Non-zero TRI Data'!$I:$O, 7, FALSE), VLOOKUP($I303, 'Processed Non-zero DMR Data'!$K:$R, 8, FALSE))</f>
        <v>Waste handling, treatment, and disposal - Remediation or Monitoring</v>
      </c>
      <c r="E303" s="34" t="s">
        <v>658</v>
      </c>
      <c r="F303" s="34" t="s">
        <v>337</v>
      </c>
      <c r="G303" s="34" t="s">
        <v>221</v>
      </c>
      <c r="H303" s="34"/>
      <c r="I303" s="105">
        <v>110004300596</v>
      </c>
      <c r="J303" s="33" t="str">
        <f>IFERROR(VLOOKUP($I303, 'Processed Non-zero DMR Data'!$K:$U, 11, FALSE),"")</f>
        <v>NV0022993</v>
      </c>
      <c r="K303" s="33" t="str">
        <f>IFERROR(VLOOKUP($I303, 'Processed Non-zero DMR Data'!$K:$V, 12, FALSE),"Not Reported")</f>
        <v>City of Las Vegas-Las Vegas Wash</v>
      </c>
      <c r="L303" s="106">
        <f>IFERROR(VLOOKUP($I303, 'Processed Non-zero DMR Data'!$K:$W, 13, FALSE),"No Reach Code Reported")</f>
        <v>150100150604</v>
      </c>
      <c r="M303" s="107" t="str">
        <f>IFERROR(IFERROR(VLOOKUP(H303, 'Off-site Locations'!$K$3:$O$5, 5, FALSE), VLOOKUP(H303, 'Off-site Locations'!$B$3:$E$4, 4, FALSE)), "No Offsite Transfers")</f>
        <v>No Offsite Transfers</v>
      </c>
      <c r="N303" s="33">
        <f>VLOOKUP($D303, 'COU.OES Summary'!C:E, 3, FALSE)</f>
        <v>365</v>
      </c>
      <c r="O303" s="108">
        <f t="shared" si="56"/>
        <v>0</v>
      </c>
      <c r="P303" s="108">
        <f t="shared" si="57"/>
        <v>2.2898776875000001E-3</v>
      </c>
      <c r="Q303" s="109" cm="1">
        <f t="array" ref="Q303">IFERROR(_xlfn.XLOOKUP(1,  (MAX(IF(I303 = 'Processed Non-zero DMR Data'!$K:$K,'Processed Non-zero DMR Data'!$A:$A)) = 'Processed Non-zero DMR Data'!$A:$A)*('Processed Non-zero DMR Data'!$K:$K = I303),'Processed Non-zero DMR Data'!$T:$T), "N/A- Facility Does Not Report DMRs")</f>
        <v>2.2898776875000001E-3</v>
      </c>
      <c r="R303" s="33">
        <f t="shared" si="67"/>
        <v>6.2736375000000005E-6</v>
      </c>
      <c r="S303" s="33" cm="1">
        <f t="array" ref="S303">IF(COUNTIF('Processed Non-zero DMR Data'!$K:$K,$I303)&gt;0,MEDIAN(IF('Processed Non-zero DMR Data'!$K:$K=I303,'Processed Non-zero DMR Data'!$T:$T)),"N/A - Facility Does Not Report DMRs")</f>
        <v>2.2898776875000001E-3</v>
      </c>
      <c r="T303" s="33">
        <f t="shared" si="68"/>
        <v>6.2736375000000005E-6</v>
      </c>
      <c r="U303" s="33">
        <f>IF(COUNTIF('Processed Non-zero DMR Data'!$K:$K,$I303)&gt;0,_xlfn.MAXIFS('Processed Non-zero DMR Data'!$T:$T,'Processed Non-zero DMR Data'!$K:$K,$I303), "N/A - Facility Does Not Report DMRs")</f>
        <v>2.2898776875000001E-3</v>
      </c>
      <c r="V303" s="33">
        <f t="shared" si="69"/>
        <v>6.2736375000000005E-6</v>
      </c>
      <c r="W303" s="110" cm="1">
        <f t="array" ref="W303">IF(COUNTIF('Processed Non-zero DMR Data'!$K:$K,$I303)&gt;0,INDEX('Processed Non-zero DMR Data'!$A:$A,MATCH(1,($I303='Processed Non-zero DMR Data'!$K:$K)*($U303='Processed Non-zero DMR Data'!$T:$T),0)), "N/A - Facility Does Not Report DMRs")</f>
        <v>2023</v>
      </c>
      <c r="X303" s="109" cm="1">
        <f t="array" ref="X303">IFERROR(_xlfn.XLOOKUP(1,  (MAX(IF(H303 = 'Processed Non-zero TRI Data'!$I:$I,'Processed Non-zero TRI Data'!$A:$A)) = 'Processed Non-zero TRI Data'!$A:$A)*('Processed Non-zero TRI Data'!$I:$I = H303), 'Processed Non-zero TRI Data'!$S:$S), "N/A- Facility Does Not Report to TRI")</f>
        <v>0</v>
      </c>
      <c r="Y303" s="33">
        <f t="shared" si="58"/>
        <v>0</v>
      </c>
      <c r="Z303" s="33" t="str" cm="1">
        <f t="array" ref="Z303">IF(COUNTIF('Processed Non-zero TRI Data'!$I:$I,$H303)&gt;0,MEDIAN(IF('Processed Non-zero TRI Data'!$I:$I=H303,'Processed Non-zero TRI Data'!$S:$S)), "N/A - Facility Does Not Report to TRI")</f>
        <v>N/A - Facility Does Not Report to TRI</v>
      </c>
      <c r="AA303" s="33" t="str">
        <f t="shared" si="59"/>
        <v>N/A - Facility Does Not Report to TRI</v>
      </c>
      <c r="AB303" s="33" t="str">
        <f>IF(COUNTIF('Processed Non-zero TRI Data'!$I:$I,$H303)&gt;0,_xlfn.MAXIFS('Processed Non-zero TRI Data'!$S:$S,'Processed Non-zero TRI Data'!$I:$I,$H303), "N/A - Facility Does Not Report to TRI")</f>
        <v>N/A - Facility Does Not Report to TRI</v>
      </c>
      <c r="AC303" s="33" t="str">
        <f t="shared" si="60"/>
        <v>N/A - Facility Does Not Report to TRI</v>
      </c>
      <c r="AD303" s="110" t="str" cm="1">
        <f t="array" ref="AD303">IFERROR(IF(B303 = "TRI Form R", IF(AB303 = 0, "Facility has no on-site water discharges between 2019-2023.",  IF(COUNTIF('Processed Non-zero TRI Data'!$I:$I,$H303)&gt;0,INDEX('Processed Non-zero TRI Data'!$A:$A,MATCH(1,($H303='Processed Non-zero TRI Data'!$I:$I)*(AB303='Processed Non-zero TRI Data'!$S:$S),0)))), VLOOKUP(H303, 'Form A Recent Reporting'!$L:$M, 2, FALSE)), ("N/A - Facility Does Not Report to TRI"))</f>
        <v>N/A - Facility Does Not Report to TRI</v>
      </c>
      <c r="AE303" s="109" cm="1">
        <f t="array" ref="AE303">IFERROR(_xlfn.XLOOKUP(1,  (MAX(IF(H303 = 'Processed Non-zero TRI Data'!$I:$I,'Processed Non-zero TRI Data'!$A:$A)) = 'Processed Non-zero TRI Data'!$A:$A)*('Processed Non-zero TRI Data'!$I:$I = H303), 'Processed Non-zero TRI Data'!$U:$U), "N/A- Facility Does Not Report to TRI")</f>
        <v>0</v>
      </c>
      <c r="AF303" s="33">
        <f t="shared" si="61"/>
        <v>0</v>
      </c>
      <c r="AG303" s="33" t="str" cm="1">
        <f t="array" ref="AG303">IF(COUNTIF('Processed Non-zero TRI Data'!$I:$I,$H303)&gt;0,MEDIAN(IF('Processed Non-zero TRI Data'!$I:$I=H303,'Processed Non-zero TRI Data'!$U:$U)), "N/A - Facility Does Not Report to TRI")</f>
        <v>N/A - Facility Does Not Report to TRI</v>
      </c>
      <c r="AH303" s="33" t="str">
        <f t="shared" si="62"/>
        <v>N/A - Facility Does Not Report to TRI</v>
      </c>
      <c r="AI303" s="33" t="str">
        <f>IF(COUNTIF('Processed Non-zero TRI Data'!$I:$I,$H303)&gt;0,_xlfn.MAXIFS('Processed Non-zero TRI Data'!$U:$U,'Processed Non-zero TRI Data'!$I:$I,$H303), "N/A - Facility Does Not Report to TRI")</f>
        <v>N/A - Facility Does Not Report to TRI</v>
      </c>
      <c r="AJ303" s="33" t="str">
        <f t="shared" si="63"/>
        <v>N/A - Facility Does Not Report to TRI</v>
      </c>
      <c r="AK303" s="110" t="str" cm="1">
        <f t="array" ref="AK303">IF(B303="TRI Form A",AD303,IF(AI303=0,"Facility has no transfers to POTWs between 2019-2023.",IF(COUNTIF('Processed Non-zero TRI Data'!$I:$I,$H303)&gt;0,INDEX('Processed Non-zero TRI Data'!$A:$A,MATCH(1,($H303='Processed Non-zero TRI Data'!$I:$I)*(AI303='Processed Non-zero TRI Data'!$U:$U),0)),"N/A - Facility Does Not Report to TRI")))</f>
        <v>N/A - Facility Does Not Report to TRI</v>
      </c>
      <c r="AL303" s="109" cm="1">
        <f t="array" ref="AL303">IFERROR(_xlfn.XLOOKUP(1,  (MAX(IF(H303 = 'Processed Non-zero TRI Data'!$I$2:$I$23,'Processed Non-zero TRI Data'!$A$2:$A$23)) = 'Processed Non-zero TRI Data'!$A$2:$A$23)*('Processed Non-zero TRI Data'!$I$2:$I$23 = H303), 'Processed Non-zero TRI Data'!$W$2:$W$23), "N/A- Facility Does Not Report to TRI")</f>
        <v>0</v>
      </c>
      <c r="AM303" s="33">
        <f t="shared" si="64"/>
        <v>0</v>
      </c>
      <c r="AN303" s="33" t="str" cm="1">
        <f t="array" ref="AN303">IF(COUNTIF('Processed Non-zero TRI Data'!$I:$I,$H303)&gt;0,MEDIAN(IF('Processed Non-zero TRI Data'!$I:$I=H303,'Processed Non-zero TRI Data'!$W:$W)), "N/A - Facility Does Not Report to TRI")</f>
        <v>N/A - Facility Does Not Report to TRI</v>
      </c>
      <c r="AO303" s="33" t="str">
        <f t="shared" si="65"/>
        <v>N/A - Facility Does Not Report to TRI</v>
      </c>
      <c r="AP303" s="33" t="str">
        <f>IF(COUNTIF('Processed Non-zero TRI Data'!$I:$I,$H303)&gt;0,_xlfn.MAXIFS('Processed Non-zero TRI Data'!$W:$W,'Processed Non-zero TRI Data'!$I:$I,$H303), "N/A - Facility Does Not Report to TRI")</f>
        <v>N/A - Facility Does Not Report to TRI</v>
      </c>
      <c r="AQ303" s="33" t="str">
        <f t="shared" si="66"/>
        <v>N/A - Facility Does Not Report to TRI</v>
      </c>
      <c r="AR303" s="110" t="str" cm="1">
        <f t="array" ref="AR303">IF(B303="TRI Form A",AD303,IF(AP303=0,"Facility has no transfers to non-POTWs between 2019-2023.",IF(COUNTIF('Processed Non-zero TRI Data'!$I:$I,$H303)&gt;0,INDEX('Processed Non-zero TRI Data'!$A:$A,MATCH(1,($H303='Processed Non-zero TRI Data'!$I:$I)*(AP303='Processed Non-zero TRI Data'!$W:$W),0)),"N/A - Facility Does Not Report to TRI")))</f>
        <v>N/A - Facility Does Not Report to TRI</v>
      </c>
    </row>
    <row r="304" spans="1:44" ht="29" x14ac:dyDescent="0.35">
      <c r="A304" s="34">
        <v>301</v>
      </c>
      <c r="B304" s="33" t="str">
        <f>IFERROR("TRI Form "&amp;VLOOKUP(H304,'Processed Non-zero TRI Data'!$I$2:$K$23,3,FALSE),"DMR")</f>
        <v>DMR</v>
      </c>
      <c r="C304" s="33" t="str">
        <f>VLOOKUP($D304, 'COU.OES Summary'!C:D, 2, FALSE)</f>
        <v> </v>
      </c>
      <c r="D304" s="33" t="str">
        <f>IFERROR(VLOOKUP($H304, 'Processed Non-zero TRI Data'!$I:$O, 7, FALSE), VLOOKUP($I304, 'Processed Non-zero DMR Data'!$K:$R, 8, FALSE))</f>
        <v>Waste handling, treatment, and disposal - Remediation or Monitoring</v>
      </c>
      <c r="E304" s="34" t="s">
        <v>659</v>
      </c>
      <c r="F304" s="34" t="s">
        <v>660</v>
      </c>
      <c r="G304" s="34" t="s">
        <v>254</v>
      </c>
      <c r="H304" s="34"/>
      <c r="I304" s="105">
        <v>110070220269</v>
      </c>
      <c r="J304" s="33" t="str">
        <f>IFERROR(VLOOKUP($I304, 'Processed Non-zero DMR Data'!$K:$U, 11, FALSE),"")</f>
        <v>NJG129127</v>
      </c>
      <c r="K304" s="33" t="str">
        <f>IFERROR(VLOOKUP($I304, 'Processed Non-zero DMR Data'!$K:$V, 12, FALSE),"Not Reported")</f>
        <v>Lawrence Brook</v>
      </c>
      <c r="L304" s="106">
        <f>IFERROR(VLOOKUP($I304, 'Processed Non-zero DMR Data'!$K:$W, 13, FALSE),"No Reach Code Reported")</f>
        <v>20301050505</v>
      </c>
      <c r="M304" s="107" t="str">
        <f>IFERROR(IFERROR(VLOOKUP(H304, 'Off-site Locations'!$K$3:$O$5, 5, FALSE), VLOOKUP(H304, 'Off-site Locations'!$B$3:$E$4, 4, FALSE)), "No Offsite Transfers")</f>
        <v>No Offsite Transfers</v>
      </c>
      <c r="N304" s="33">
        <f>VLOOKUP($D304, 'COU.OES Summary'!C:E, 3, FALSE)</f>
        <v>365</v>
      </c>
      <c r="O304" s="108">
        <f t="shared" si="56"/>
        <v>0</v>
      </c>
      <c r="P304" s="108">
        <f t="shared" si="57"/>
        <v>2.15688225E-3</v>
      </c>
      <c r="Q304" s="109" cm="1">
        <f t="array" ref="Q304">IFERROR(_xlfn.XLOOKUP(1,  (MAX(IF(I304 = 'Processed Non-zero DMR Data'!$K:$K,'Processed Non-zero DMR Data'!$A:$A)) = 'Processed Non-zero DMR Data'!$A:$A)*('Processed Non-zero DMR Data'!$K:$K = I304),'Processed Non-zero DMR Data'!$T:$T), "N/A- Facility Does Not Report DMRs")</f>
        <v>1.1696047424999999E-3</v>
      </c>
      <c r="R304" s="33">
        <f t="shared" si="67"/>
        <v>3.2043965547945205E-6</v>
      </c>
      <c r="S304" s="33" cm="1">
        <f t="array" ref="S304">IF(COUNTIF('Processed Non-zero DMR Data'!$K:$K,$I304)&gt;0,MEDIAN(IF('Processed Non-zero DMR Data'!$K:$K=I304,'Processed Non-zero DMR Data'!$T:$T)),"N/A - Facility Does Not Report DMRs")</f>
        <v>1.3327583029999999E-3</v>
      </c>
      <c r="T304" s="33">
        <f t="shared" si="68"/>
        <v>3.6513926109589039E-6</v>
      </c>
      <c r="U304" s="33">
        <f>IF(COUNTIF('Processed Non-zero DMR Data'!$K:$K,$I304)&gt;0,_xlfn.MAXIFS('Processed Non-zero DMR Data'!$T:$T,'Processed Non-zero DMR Data'!$K:$K,$I304), "N/A - Facility Does Not Report DMRs")</f>
        <v>2.15688225E-3</v>
      </c>
      <c r="V304" s="33">
        <f t="shared" si="69"/>
        <v>5.9092664383561646E-6</v>
      </c>
      <c r="W304" s="110" cm="1">
        <f t="array" ref="W304">IF(COUNTIF('Processed Non-zero DMR Data'!$K:$K,$I304)&gt;0,INDEX('Processed Non-zero DMR Data'!$A:$A,MATCH(1,($I304='Processed Non-zero DMR Data'!$K:$K)*($U304='Processed Non-zero DMR Data'!$T:$T),0)), "N/A - Facility Does Not Report DMRs")</f>
        <v>2019</v>
      </c>
      <c r="X304" s="109" cm="1">
        <f t="array" ref="X304">IFERROR(_xlfn.XLOOKUP(1,  (MAX(IF(H304 = 'Processed Non-zero TRI Data'!$I:$I,'Processed Non-zero TRI Data'!$A:$A)) = 'Processed Non-zero TRI Data'!$A:$A)*('Processed Non-zero TRI Data'!$I:$I = H304), 'Processed Non-zero TRI Data'!$S:$S), "N/A- Facility Does Not Report to TRI")</f>
        <v>0</v>
      </c>
      <c r="Y304" s="33">
        <f t="shared" si="58"/>
        <v>0</v>
      </c>
      <c r="Z304" s="33" t="str" cm="1">
        <f t="array" ref="Z304">IF(COUNTIF('Processed Non-zero TRI Data'!$I:$I,$H304)&gt;0,MEDIAN(IF('Processed Non-zero TRI Data'!$I:$I=H304,'Processed Non-zero TRI Data'!$S:$S)), "N/A - Facility Does Not Report to TRI")</f>
        <v>N/A - Facility Does Not Report to TRI</v>
      </c>
      <c r="AA304" s="33" t="str">
        <f t="shared" si="59"/>
        <v>N/A - Facility Does Not Report to TRI</v>
      </c>
      <c r="AB304" s="33" t="str">
        <f>IF(COUNTIF('Processed Non-zero TRI Data'!$I:$I,$H304)&gt;0,_xlfn.MAXIFS('Processed Non-zero TRI Data'!$S:$S,'Processed Non-zero TRI Data'!$I:$I,$H304), "N/A - Facility Does Not Report to TRI")</f>
        <v>N/A - Facility Does Not Report to TRI</v>
      </c>
      <c r="AC304" s="33" t="str">
        <f t="shared" si="60"/>
        <v>N/A - Facility Does Not Report to TRI</v>
      </c>
      <c r="AD304" s="110" t="str" cm="1">
        <f t="array" ref="AD304">IFERROR(IF(B304 = "TRI Form R", IF(AB304 = 0, "Facility has no on-site water discharges between 2019-2023.",  IF(COUNTIF('Processed Non-zero TRI Data'!$I:$I,$H304)&gt;0,INDEX('Processed Non-zero TRI Data'!$A:$A,MATCH(1,($H304='Processed Non-zero TRI Data'!$I:$I)*(AB304='Processed Non-zero TRI Data'!$S:$S),0)))), VLOOKUP(H304, 'Form A Recent Reporting'!$L:$M, 2, FALSE)), ("N/A - Facility Does Not Report to TRI"))</f>
        <v>N/A - Facility Does Not Report to TRI</v>
      </c>
      <c r="AE304" s="109" cm="1">
        <f t="array" ref="AE304">IFERROR(_xlfn.XLOOKUP(1,  (MAX(IF(H304 = 'Processed Non-zero TRI Data'!$I:$I,'Processed Non-zero TRI Data'!$A:$A)) = 'Processed Non-zero TRI Data'!$A:$A)*('Processed Non-zero TRI Data'!$I:$I = H304), 'Processed Non-zero TRI Data'!$U:$U), "N/A- Facility Does Not Report to TRI")</f>
        <v>0</v>
      </c>
      <c r="AF304" s="33">
        <f t="shared" si="61"/>
        <v>0</v>
      </c>
      <c r="AG304" s="33" t="str" cm="1">
        <f t="array" ref="AG304">IF(COUNTIF('Processed Non-zero TRI Data'!$I:$I,$H304)&gt;0,MEDIAN(IF('Processed Non-zero TRI Data'!$I:$I=H304,'Processed Non-zero TRI Data'!$U:$U)), "N/A - Facility Does Not Report to TRI")</f>
        <v>N/A - Facility Does Not Report to TRI</v>
      </c>
      <c r="AH304" s="33" t="str">
        <f t="shared" si="62"/>
        <v>N/A - Facility Does Not Report to TRI</v>
      </c>
      <c r="AI304" s="33" t="str">
        <f>IF(COUNTIF('Processed Non-zero TRI Data'!$I:$I,$H304)&gt;0,_xlfn.MAXIFS('Processed Non-zero TRI Data'!$U:$U,'Processed Non-zero TRI Data'!$I:$I,$H304), "N/A - Facility Does Not Report to TRI")</f>
        <v>N/A - Facility Does Not Report to TRI</v>
      </c>
      <c r="AJ304" s="33" t="str">
        <f t="shared" si="63"/>
        <v>N/A - Facility Does Not Report to TRI</v>
      </c>
      <c r="AK304" s="110" t="str" cm="1">
        <f t="array" ref="AK304">IF(B304="TRI Form A",AD304,IF(AI304=0,"Facility has no transfers to POTWs between 2019-2023.",IF(COUNTIF('Processed Non-zero TRI Data'!$I:$I,$H304)&gt;0,INDEX('Processed Non-zero TRI Data'!$A:$A,MATCH(1,($H304='Processed Non-zero TRI Data'!$I:$I)*(AI304='Processed Non-zero TRI Data'!$U:$U),0)),"N/A - Facility Does Not Report to TRI")))</f>
        <v>N/A - Facility Does Not Report to TRI</v>
      </c>
      <c r="AL304" s="109" cm="1">
        <f t="array" ref="AL304">IFERROR(_xlfn.XLOOKUP(1,  (MAX(IF(H304 = 'Processed Non-zero TRI Data'!$I$2:$I$23,'Processed Non-zero TRI Data'!$A$2:$A$23)) = 'Processed Non-zero TRI Data'!$A$2:$A$23)*('Processed Non-zero TRI Data'!$I$2:$I$23 = H304), 'Processed Non-zero TRI Data'!$W$2:$W$23), "N/A- Facility Does Not Report to TRI")</f>
        <v>0</v>
      </c>
      <c r="AM304" s="33">
        <f t="shared" si="64"/>
        <v>0</v>
      </c>
      <c r="AN304" s="33" t="str" cm="1">
        <f t="array" ref="AN304">IF(COUNTIF('Processed Non-zero TRI Data'!$I:$I,$H304)&gt;0,MEDIAN(IF('Processed Non-zero TRI Data'!$I:$I=H304,'Processed Non-zero TRI Data'!$W:$W)), "N/A - Facility Does Not Report to TRI")</f>
        <v>N/A - Facility Does Not Report to TRI</v>
      </c>
      <c r="AO304" s="33" t="str">
        <f t="shared" si="65"/>
        <v>N/A - Facility Does Not Report to TRI</v>
      </c>
      <c r="AP304" s="33" t="str">
        <f>IF(COUNTIF('Processed Non-zero TRI Data'!$I:$I,$H304)&gt;0,_xlfn.MAXIFS('Processed Non-zero TRI Data'!$W:$W,'Processed Non-zero TRI Data'!$I:$I,$H304), "N/A - Facility Does Not Report to TRI")</f>
        <v>N/A - Facility Does Not Report to TRI</v>
      </c>
      <c r="AQ304" s="33" t="str">
        <f t="shared" si="66"/>
        <v>N/A - Facility Does Not Report to TRI</v>
      </c>
      <c r="AR304" s="110" t="str" cm="1">
        <f t="array" ref="AR304">IF(B304="TRI Form A",AD304,IF(AP304=0,"Facility has no transfers to non-POTWs between 2019-2023.",IF(COUNTIF('Processed Non-zero TRI Data'!$I:$I,$H304)&gt;0,INDEX('Processed Non-zero TRI Data'!$A:$A,MATCH(1,($H304='Processed Non-zero TRI Data'!$I:$I)*(AP304='Processed Non-zero TRI Data'!$W:$W),0)),"N/A - Facility Does Not Report to TRI")))</f>
        <v>N/A - Facility Does Not Report to TRI</v>
      </c>
    </row>
    <row r="305" spans="1:44" ht="29" x14ac:dyDescent="0.35">
      <c r="A305" s="34">
        <v>302</v>
      </c>
      <c r="B305" s="33" t="str">
        <f>IFERROR("TRI Form "&amp;VLOOKUP(H305,'Processed Non-zero TRI Data'!$I$2:$K$23,3,FALSE),"DMR")</f>
        <v>DMR</v>
      </c>
      <c r="C305" s="33" t="str">
        <f>VLOOKUP($D305, 'COU.OES Summary'!C:D, 2, FALSE)</f>
        <v> </v>
      </c>
      <c r="D305" s="33" t="str">
        <f>IFERROR(VLOOKUP($H305, 'Processed Non-zero TRI Data'!$I:$O, 7, FALSE), VLOOKUP($I305, 'Processed Non-zero DMR Data'!$K:$R, 8, FALSE))</f>
        <v>Waste handling, treatment, and disposal - POTW</v>
      </c>
      <c r="E305" s="34" t="s">
        <v>661</v>
      </c>
      <c r="F305" s="34" t="s">
        <v>504</v>
      </c>
      <c r="G305" s="34" t="s">
        <v>102</v>
      </c>
      <c r="H305" s="34"/>
      <c r="I305" s="105">
        <v>110013128169</v>
      </c>
      <c r="J305" s="33" t="str">
        <f>IFERROR(VLOOKUP($I305, 'Processed Non-zero DMR Data'!$K:$U, 11, FALSE),"")</f>
        <v>CA0104841</v>
      </c>
      <c r="K305" s="33" t="str">
        <f>IFERROR(VLOOKUP($I305, 'Processed Non-zero DMR Data'!$K:$V, 12, FALSE),"Not Reported")</f>
        <v>Upper New River</v>
      </c>
      <c r="L305" s="106">
        <f>IFERROR(VLOOKUP($I305, 'Processed Non-zero DMR Data'!$K:$W, 13, FALSE),"No Reach Code Reported")</f>
        <v>181002040902</v>
      </c>
      <c r="M305" s="107" t="str">
        <f>IFERROR(IFERROR(VLOOKUP(H305, 'Off-site Locations'!$K$3:$O$5, 5, FALSE), VLOOKUP(H305, 'Off-site Locations'!$B$3:$E$4, 4, FALSE)), "No Offsite Transfers")</f>
        <v>No Offsite Transfers</v>
      </c>
      <c r="N305" s="33">
        <f>VLOOKUP($D305, 'COU.OES Summary'!C:E, 3, FALSE)</f>
        <v>365</v>
      </c>
      <c r="O305" s="108">
        <f t="shared" si="56"/>
        <v>0</v>
      </c>
      <c r="P305" s="108">
        <f t="shared" si="57"/>
        <v>2.0722875000000001E-3</v>
      </c>
      <c r="Q305" s="109" cm="1">
        <f t="array" ref="Q305">IFERROR(_xlfn.XLOOKUP(1,  (MAX(IF(I305 = 'Processed Non-zero DMR Data'!$K:$K,'Processed Non-zero DMR Data'!$A:$A)) = 'Processed Non-zero DMR Data'!$A:$A)*('Processed Non-zero DMR Data'!$K:$K = I305),'Processed Non-zero DMR Data'!$T:$T), "N/A- Facility Does Not Report DMRs")</f>
        <v>2.0722875000000001E-3</v>
      </c>
      <c r="R305" s="33">
        <f t="shared" si="67"/>
        <v>5.6775000000000003E-6</v>
      </c>
      <c r="S305" s="33" cm="1">
        <f t="array" ref="S305">IF(COUNTIF('Processed Non-zero DMR Data'!$K:$K,$I305)&gt;0,MEDIAN(IF('Processed Non-zero DMR Data'!$K:$K=I305,'Processed Non-zero DMR Data'!$T:$T)),"N/A - Facility Does Not Report DMRs")</f>
        <v>2.0722875000000001E-3</v>
      </c>
      <c r="T305" s="33">
        <f t="shared" si="68"/>
        <v>5.6775000000000003E-6</v>
      </c>
      <c r="U305" s="33">
        <f>IF(COUNTIF('Processed Non-zero DMR Data'!$K:$K,$I305)&gt;0,_xlfn.MAXIFS('Processed Non-zero DMR Data'!$T:$T,'Processed Non-zero DMR Data'!$K:$K,$I305), "N/A - Facility Does Not Report DMRs")</f>
        <v>2.0722875000000001E-3</v>
      </c>
      <c r="V305" s="33">
        <f t="shared" si="69"/>
        <v>5.6775000000000003E-6</v>
      </c>
      <c r="W305" s="110" cm="1">
        <f t="array" ref="W305">IF(COUNTIF('Processed Non-zero DMR Data'!$K:$K,$I305)&gt;0,INDEX('Processed Non-zero DMR Data'!$A:$A,MATCH(1,($I305='Processed Non-zero DMR Data'!$K:$K)*($U305='Processed Non-zero DMR Data'!$T:$T),0)), "N/A - Facility Does Not Report DMRs")</f>
        <v>2023</v>
      </c>
      <c r="X305" s="109" cm="1">
        <f t="array" ref="X305">IFERROR(_xlfn.XLOOKUP(1,  (MAX(IF(H305 = 'Processed Non-zero TRI Data'!$I:$I,'Processed Non-zero TRI Data'!$A:$A)) = 'Processed Non-zero TRI Data'!$A:$A)*('Processed Non-zero TRI Data'!$I:$I = H305), 'Processed Non-zero TRI Data'!$S:$S), "N/A- Facility Does Not Report to TRI")</f>
        <v>0</v>
      </c>
      <c r="Y305" s="33">
        <f t="shared" si="58"/>
        <v>0</v>
      </c>
      <c r="Z305" s="33" t="str" cm="1">
        <f t="array" ref="Z305">IF(COUNTIF('Processed Non-zero TRI Data'!$I:$I,$H305)&gt;0,MEDIAN(IF('Processed Non-zero TRI Data'!$I:$I=H305,'Processed Non-zero TRI Data'!$S:$S)), "N/A - Facility Does Not Report to TRI")</f>
        <v>N/A - Facility Does Not Report to TRI</v>
      </c>
      <c r="AA305" s="33" t="str">
        <f t="shared" si="59"/>
        <v>N/A - Facility Does Not Report to TRI</v>
      </c>
      <c r="AB305" s="33" t="str">
        <f>IF(COUNTIF('Processed Non-zero TRI Data'!$I:$I,$H305)&gt;0,_xlfn.MAXIFS('Processed Non-zero TRI Data'!$S:$S,'Processed Non-zero TRI Data'!$I:$I,$H305), "N/A - Facility Does Not Report to TRI")</f>
        <v>N/A - Facility Does Not Report to TRI</v>
      </c>
      <c r="AC305" s="33" t="str">
        <f t="shared" si="60"/>
        <v>N/A - Facility Does Not Report to TRI</v>
      </c>
      <c r="AD305" s="110" t="str" cm="1">
        <f t="array" ref="AD305">IFERROR(IF(B305 = "TRI Form R", IF(AB305 = 0, "Facility has no on-site water discharges between 2019-2023.",  IF(COUNTIF('Processed Non-zero TRI Data'!$I:$I,$H305)&gt;0,INDEX('Processed Non-zero TRI Data'!$A:$A,MATCH(1,($H305='Processed Non-zero TRI Data'!$I:$I)*(AB305='Processed Non-zero TRI Data'!$S:$S),0)))), VLOOKUP(H305, 'Form A Recent Reporting'!$L:$M, 2, FALSE)), ("N/A - Facility Does Not Report to TRI"))</f>
        <v>N/A - Facility Does Not Report to TRI</v>
      </c>
      <c r="AE305" s="109" cm="1">
        <f t="array" ref="AE305">IFERROR(_xlfn.XLOOKUP(1,  (MAX(IF(H305 = 'Processed Non-zero TRI Data'!$I:$I,'Processed Non-zero TRI Data'!$A:$A)) = 'Processed Non-zero TRI Data'!$A:$A)*('Processed Non-zero TRI Data'!$I:$I = H305), 'Processed Non-zero TRI Data'!$U:$U), "N/A- Facility Does Not Report to TRI")</f>
        <v>0</v>
      </c>
      <c r="AF305" s="33">
        <f t="shared" si="61"/>
        <v>0</v>
      </c>
      <c r="AG305" s="33" t="str" cm="1">
        <f t="array" ref="AG305">IF(COUNTIF('Processed Non-zero TRI Data'!$I:$I,$H305)&gt;0,MEDIAN(IF('Processed Non-zero TRI Data'!$I:$I=H305,'Processed Non-zero TRI Data'!$U:$U)), "N/A - Facility Does Not Report to TRI")</f>
        <v>N/A - Facility Does Not Report to TRI</v>
      </c>
      <c r="AH305" s="33" t="str">
        <f t="shared" si="62"/>
        <v>N/A - Facility Does Not Report to TRI</v>
      </c>
      <c r="AI305" s="33" t="str">
        <f>IF(COUNTIF('Processed Non-zero TRI Data'!$I:$I,$H305)&gt;0,_xlfn.MAXIFS('Processed Non-zero TRI Data'!$U:$U,'Processed Non-zero TRI Data'!$I:$I,$H305), "N/A - Facility Does Not Report to TRI")</f>
        <v>N/A - Facility Does Not Report to TRI</v>
      </c>
      <c r="AJ305" s="33" t="str">
        <f t="shared" si="63"/>
        <v>N/A - Facility Does Not Report to TRI</v>
      </c>
      <c r="AK305" s="110" t="str" cm="1">
        <f t="array" ref="AK305">IF(B305="TRI Form A",AD305,IF(AI305=0,"Facility has no transfers to POTWs between 2019-2023.",IF(COUNTIF('Processed Non-zero TRI Data'!$I:$I,$H305)&gt;0,INDEX('Processed Non-zero TRI Data'!$A:$A,MATCH(1,($H305='Processed Non-zero TRI Data'!$I:$I)*(AI305='Processed Non-zero TRI Data'!$U:$U),0)),"N/A - Facility Does Not Report to TRI")))</f>
        <v>N/A - Facility Does Not Report to TRI</v>
      </c>
      <c r="AL305" s="109" cm="1">
        <f t="array" ref="AL305">IFERROR(_xlfn.XLOOKUP(1,  (MAX(IF(H305 = 'Processed Non-zero TRI Data'!$I$2:$I$23,'Processed Non-zero TRI Data'!$A$2:$A$23)) = 'Processed Non-zero TRI Data'!$A$2:$A$23)*('Processed Non-zero TRI Data'!$I$2:$I$23 = H305), 'Processed Non-zero TRI Data'!$W$2:$W$23), "N/A- Facility Does Not Report to TRI")</f>
        <v>0</v>
      </c>
      <c r="AM305" s="33">
        <f t="shared" si="64"/>
        <v>0</v>
      </c>
      <c r="AN305" s="33" t="str" cm="1">
        <f t="array" ref="AN305">IF(COUNTIF('Processed Non-zero TRI Data'!$I:$I,$H305)&gt;0,MEDIAN(IF('Processed Non-zero TRI Data'!$I:$I=H305,'Processed Non-zero TRI Data'!$W:$W)), "N/A - Facility Does Not Report to TRI")</f>
        <v>N/A - Facility Does Not Report to TRI</v>
      </c>
      <c r="AO305" s="33" t="str">
        <f t="shared" si="65"/>
        <v>N/A - Facility Does Not Report to TRI</v>
      </c>
      <c r="AP305" s="33" t="str">
        <f>IF(COUNTIF('Processed Non-zero TRI Data'!$I:$I,$H305)&gt;0,_xlfn.MAXIFS('Processed Non-zero TRI Data'!$W:$W,'Processed Non-zero TRI Data'!$I:$I,$H305), "N/A - Facility Does Not Report to TRI")</f>
        <v>N/A - Facility Does Not Report to TRI</v>
      </c>
      <c r="AQ305" s="33" t="str">
        <f t="shared" si="66"/>
        <v>N/A - Facility Does Not Report to TRI</v>
      </c>
      <c r="AR305" s="110" t="str" cm="1">
        <f t="array" ref="AR305">IF(B305="TRI Form A",AD305,IF(AP305=0,"Facility has no transfers to non-POTWs between 2019-2023.",IF(COUNTIF('Processed Non-zero TRI Data'!$I:$I,$H305)&gt;0,INDEX('Processed Non-zero TRI Data'!$A:$A,MATCH(1,($H305='Processed Non-zero TRI Data'!$I:$I)*(AP305='Processed Non-zero TRI Data'!$W:$W),0)),"N/A - Facility Does Not Report to TRI")))</f>
        <v>N/A - Facility Does Not Report to TRI</v>
      </c>
    </row>
    <row r="306" spans="1:44" ht="29" x14ac:dyDescent="0.35">
      <c r="A306" s="34">
        <v>303</v>
      </c>
      <c r="B306" s="33" t="str">
        <f>IFERROR("TRI Form "&amp;VLOOKUP(H306,'Processed Non-zero TRI Data'!$I$2:$K$23,3,FALSE),"DMR")</f>
        <v>DMR</v>
      </c>
      <c r="C306" s="33" t="str">
        <f>VLOOKUP($D306, 'COU.OES Summary'!C:D, 2, FALSE)</f>
        <v> </v>
      </c>
      <c r="D306" s="33" t="str">
        <f>IFERROR(VLOOKUP($H306, 'Processed Non-zero TRI Data'!$I:$O, 7, FALSE), VLOOKUP($I306, 'Processed Non-zero DMR Data'!$K:$R, 8, FALSE))</f>
        <v>Waste handling, treatment, and disposal - Remediation or Monitoring</v>
      </c>
      <c r="E306" s="34" t="s">
        <v>662</v>
      </c>
      <c r="F306" s="34" t="s">
        <v>557</v>
      </c>
      <c r="G306" s="34" t="s">
        <v>254</v>
      </c>
      <c r="H306" s="34"/>
      <c r="I306" s="105">
        <v>110070212323</v>
      </c>
      <c r="J306" s="33" t="str">
        <f>IFERROR(VLOOKUP($I306, 'Processed Non-zero DMR Data'!$K:$U, 11, FALSE),"")</f>
        <v>NJG132829</v>
      </c>
      <c r="K306" s="33" t="str">
        <f>IFERROR(VLOOKUP($I306, 'Processed Non-zero DMR Data'!$K:$V, 12, FALSE),"Not Reported")</f>
        <v>Lawrence Brook</v>
      </c>
      <c r="L306" s="106">
        <f>IFERROR(VLOOKUP($I306, 'Processed Non-zero DMR Data'!$K:$W, 13, FALSE),"No Reach Code Reported")</f>
        <v>20301050505</v>
      </c>
      <c r="M306" s="107" t="str">
        <f>IFERROR(IFERROR(VLOOKUP(H306, 'Off-site Locations'!$K$3:$O$5, 5, FALSE), VLOOKUP(H306, 'Off-site Locations'!$B$3:$E$4, 4, FALSE)), "No Offsite Transfers")</f>
        <v>No Offsite Transfers</v>
      </c>
      <c r="N306" s="33">
        <f>VLOOKUP($D306, 'COU.OES Summary'!C:E, 3, FALSE)</f>
        <v>365</v>
      </c>
      <c r="O306" s="108">
        <f t="shared" si="56"/>
        <v>0</v>
      </c>
      <c r="P306" s="108">
        <f t="shared" si="57"/>
        <v>1.8990217064E-3</v>
      </c>
      <c r="Q306" s="109" cm="1">
        <f t="array" ref="Q306">IFERROR(_xlfn.XLOOKUP(1,  (MAX(IF(I306 = 'Processed Non-zero DMR Data'!$K:$K,'Processed Non-zero DMR Data'!$A:$A)) = 'Processed Non-zero DMR Data'!$A:$A)*('Processed Non-zero DMR Data'!$K:$K = I306),'Processed Non-zero DMR Data'!$T:$T), "N/A- Facility Does Not Report DMRs")</f>
        <v>1.7107079639999999E-3</v>
      </c>
      <c r="R306" s="33">
        <f t="shared" si="67"/>
        <v>4.6868711342465752E-6</v>
      </c>
      <c r="S306" s="33" cm="1">
        <f t="array" ref="S306">IF(COUNTIF('Processed Non-zero DMR Data'!$K:$K,$I306)&gt;0,MEDIAN(IF('Processed Non-zero DMR Data'!$K:$K=I306,'Processed Non-zero DMR Data'!$T:$T)),"N/A - Facility Does Not Report DMRs")</f>
        <v>1.7107079639999999E-3</v>
      </c>
      <c r="T306" s="33">
        <f t="shared" si="68"/>
        <v>4.6868711342465752E-6</v>
      </c>
      <c r="U306" s="33">
        <f>IF(COUNTIF('Processed Non-zero DMR Data'!$K:$K,$I306)&gt;0,_xlfn.MAXIFS('Processed Non-zero DMR Data'!$T:$T,'Processed Non-zero DMR Data'!$K:$K,$I306), "N/A - Facility Does Not Report DMRs")</f>
        <v>1.8990217064E-3</v>
      </c>
      <c r="V306" s="33">
        <f t="shared" si="69"/>
        <v>5.2027991956164385E-6</v>
      </c>
      <c r="W306" s="110" cm="1">
        <f t="array" ref="W306">IF(COUNTIF('Processed Non-zero DMR Data'!$K:$K,$I306)&gt;0,INDEX('Processed Non-zero DMR Data'!$A:$A,MATCH(1,($I306='Processed Non-zero DMR Data'!$K:$K)*($U306='Processed Non-zero DMR Data'!$T:$T),0)), "N/A - Facility Does Not Report DMRs")</f>
        <v>2019</v>
      </c>
      <c r="X306" s="109" cm="1">
        <f t="array" ref="X306">IFERROR(_xlfn.XLOOKUP(1,  (MAX(IF(H306 = 'Processed Non-zero TRI Data'!$I:$I,'Processed Non-zero TRI Data'!$A:$A)) = 'Processed Non-zero TRI Data'!$A:$A)*('Processed Non-zero TRI Data'!$I:$I = H306), 'Processed Non-zero TRI Data'!$S:$S), "N/A- Facility Does Not Report to TRI")</f>
        <v>0</v>
      </c>
      <c r="Y306" s="33">
        <f t="shared" si="58"/>
        <v>0</v>
      </c>
      <c r="Z306" s="33" t="str" cm="1">
        <f t="array" ref="Z306">IF(COUNTIF('Processed Non-zero TRI Data'!$I:$I,$H306)&gt;0,MEDIAN(IF('Processed Non-zero TRI Data'!$I:$I=H306,'Processed Non-zero TRI Data'!$S:$S)), "N/A - Facility Does Not Report to TRI")</f>
        <v>N/A - Facility Does Not Report to TRI</v>
      </c>
      <c r="AA306" s="33" t="str">
        <f t="shared" si="59"/>
        <v>N/A - Facility Does Not Report to TRI</v>
      </c>
      <c r="AB306" s="33" t="str">
        <f>IF(COUNTIF('Processed Non-zero TRI Data'!$I:$I,$H306)&gt;0,_xlfn.MAXIFS('Processed Non-zero TRI Data'!$S:$S,'Processed Non-zero TRI Data'!$I:$I,$H306), "N/A - Facility Does Not Report to TRI")</f>
        <v>N/A - Facility Does Not Report to TRI</v>
      </c>
      <c r="AC306" s="33" t="str">
        <f t="shared" si="60"/>
        <v>N/A - Facility Does Not Report to TRI</v>
      </c>
      <c r="AD306" s="110" t="str" cm="1">
        <f t="array" ref="AD306">IFERROR(IF(B306 = "TRI Form R", IF(AB306 = 0, "Facility has no on-site water discharges between 2019-2023.",  IF(COUNTIF('Processed Non-zero TRI Data'!$I:$I,$H306)&gt;0,INDEX('Processed Non-zero TRI Data'!$A:$A,MATCH(1,($H306='Processed Non-zero TRI Data'!$I:$I)*(AB306='Processed Non-zero TRI Data'!$S:$S),0)))), VLOOKUP(H306, 'Form A Recent Reporting'!$L:$M, 2, FALSE)), ("N/A - Facility Does Not Report to TRI"))</f>
        <v>N/A - Facility Does Not Report to TRI</v>
      </c>
      <c r="AE306" s="109" cm="1">
        <f t="array" ref="AE306">IFERROR(_xlfn.XLOOKUP(1,  (MAX(IF(H306 = 'Processed Non-zero TRI Data'!$I:$I,'Processed Non-zero TRI Data'!$A:$A)) = 'Processed Non-zero TRI Data'!$A:$A)*('Processed Non-zero TRI Data'!$I:$I = H306), 'Processed Non-zero TRI Data'!$U:$U), "N/A- Facility Does Not Report to TRI")</f>
        <v>0</v>
      </c>
      <c r="AF306" s="33">
        <f t="shared" si="61"/>
        <v>0</v>
      </c>
      <c r="AG306" s="33" t="str" cm="1">
        <f t="array" ref="AG306">IF(COUNTIF('Processed Non-zero TRI Data'!$I:$I,$H306)&gt;0,MEDIAN(IF('Processed Non-zero TRI Data'!$I:$I=H306,'Processed Non-zero TRI Data'!$U:$U)), "N/A - Facility Does Not Report to TRI")</f>
        <v>N/A - Facility Does Not Report to TRI</v>
      </c>
      <c r="AH306" s="33" t="str">
        <f t="shared" si="62"/>
        <v>N/A - Facility Does Not Report to TRI</v>
      </c>
      <c r="AI306" s="33" t="str">
        <f>IF(COUNTIF('Processed Non-zero TRI Data'!$I:$I,$H306)&gt;0,_xlfn.MAXIFS('Processed Non-zero TRI Data'!$U:$U,'Processed Non-zero TRI Data'!$I:$I,$H306), "N/A - Facility Does Not Report to TRI")</f>
        <v>N/A - Facility Does Not Report to TRI</v>
      </c>
      <c r="AJ306" s="33" t="str">
        <f t="shared" si="63"/>
        <v>N/A - Facility Does Not Report to TRI</v>
      </c>
      <c r="AK306" s="110" t="str" cm="1">
        <f t="array" ref="AK306">IF(B306="TRI Form A",AD306,IF(AI306=0,"Facility has no transfers to POTWs between 2019-2023.",IF(COUNTIF('Processed Non-zero TRI Data'!$I:$I,$H306)&gt;0,INDEX('Processed Non-zero TRI Data'!$A:$A,MATCH(1,($H306='Processed Non-zero TRI Data'!$I:$I)*(AI306='Processed Non-zero TRI Data'!$U:$U),0)),"N/A - Facility Does Not Report to TRI")))</f>
        <v>N/A - Facility Does Not Report to TRI</v>
      </c>
      <c r="AL306" s="109" cm="1">
        <f t="array" ref="AL306">IFERROR(_xlfn.XLOOKUP(1,  (MAX(IF(H306 = 'Processed Non-zero TRI Data'!$I$2:$I$23,'Processed Non-zero TRI Data'!$A$2:$A$23)) = 'Processed Non-zero TRI Data'!$A$2:$A$23)*('Processed Non-zero TRI Data'!$I$2:$I$23 = H306), 'Processed Non-zero TRI Data'!$W$2:$W$23), "N/A- Facility Does Not Report to TRI")</f>
        <v>0</v>
      </c>
      <c r="AM306" s="33">
        <f t="shared" si="64"/>
        <v>0</v>
      </c>
      <c r="AN306" s="33" t="str" cm="1">
        <f t="array" ref="AN306">IF(COUNTIF('Processed Non-zero TRI Data'!$I:$I,$H306)&gt;0,MEDIAN(IF('Processed Non-zero TRI Data'!$I:$I=H306,'Processed Non-zero TRI Data'!$W:$W)), "N/A - Facility Does Not Report to TRI")</f>
        <v>N/A - Facility Does Not Report to TRI</v>
      </c>
      <c r="AO306" s="33" t="str">
        <f t="shared" si="65"/>
        <v>N/A - Facility Does Not Report to TRI</v>
      </c>
      <c r="AP306" s="33" t="str">
        <f>IF(COUNTIF('Processed Non-zero TRI Data'!$I:$I,$H306)&gt;0,_xlfn.MAXIFS('Processed Non-zero TRI Data'!$W:$W,'Processed Non-zero TRI Data'!$I:$I,$H306), "N/A - Facility Does Not Report to TRI")</f>
        <v>N/A - Facility Does Not Report to TRI</v>
      </c>
      <c r="AQ306" s="33" t="str">
        <f t="shared" si="66"/>
        <v>N/A - Facility Does Not Report to TRI</v>
      </c>
      <c r="AR306" s="110" t="str" cm="1">
        <f t="array" ref="AR306">IF(B306="TRI Form A",AD306,IF(AP306=0,"Facility has no transfers to non-POTWs between 2019-2023.",IF(COUNTIF('Processed Non-zero TRI Data'!$I:$I,$H306)&gt;0,INDEX('Processed Non-zero TRI Data'!$A:$A,MATCH(1,($H306='Processed Non-zero TRI Data'!$I:$I)*(AP306='Processed Non-zero TRI Data'!$W:$W),0)),"N/A - Facility Does Not Report to TRI")))</f>
        <v>N/A - Facility Does Not Report to TRI</v>
      </c>
    </row>
    <row r="307" spans="1:44" ht="29" x14ac:dyDescent="0.35">
      <c r="A307" s="34">
        <v>304</v>
      </c>
      <c r="B307" s="33" t="str">
        <f>IFERROR("TRI Form "&amp;VLOOKUP(H307,'Processed Non-zero TRI Data'!$I$2:$K$23,3,FALSE),"DMR")</f>
        <v>DMR</v>
      </c>
      <c r="C307" s="33" t="str">
        <f>VLOOKUP($D307, 'COU.OES Summary'!C:D, 2, FALSE)</f>
        <v> </v>
      </c>
      <c r="D307" s="33" t="str">
        <f>IFERROR(VLOOKUP($H307, 'Processed Non-zero TRI Data'!$I:$O, 7, FALSE), VLOOKUP($I307, 'Processed Non-zero DMR Data'!$K:$R, 8, FALSE))</f>
        <v>Waste handling, treatment, and disposal - non-POTW WWT</v>
      </c>
      <c r="E307" s="34" t="s">
        <v>663</v>
      </c>
      <c r="F307" s="34" t="s">
        <v>664</v>
      </c>
      <c r="G307" s="34" t="s">
        <v>492</v>
      </c>
      <c r="H307" s="34"/>
      <c r="I307" s="105">
        <v>110012150858</v>
      </c>
      <c r="J307" s="33" t="str">
        <f>IFERROR(VLOOKUP($I307, 'Processed Non-zero DMR Data'!$K:$U, 11, FALSE),"")</f>
        <v>CO0049056</v>
      </c>
      <c r="K307" s="33" t="str">
        <f>IFERROR(VLOOKUP($I307, 'Processed Non-zero DMR Data'!$K:$V, 12, FALSE),"Not Reported")</f>
        <v>Fossil Creek-Reservoir-Cache La Poudre River</v>
      </c>
      <c r="L307" s="106">
        <f>IFERROR(VLOOKUP($I307, 'Processed Non-zero DMR Data'!$K:$W, 13, FALSE),"No Reach Code Reported")</f>
        <v>101900071002</v>
      </c>
      <c r="M307" s="107" t="str">
        <f>IFERROR(IFERROR(VLOOKUP(H307, 'Off-site Locations'!$K$3:$O$5, 5, FALSE), VLOOKUP(H307, 'Off-site Locations'!$B$3:$E$4, 4, FALSE)), "No Offsite Transfers")</f>
        <v>No Offsite Transfers</v>
      </c>
      <c r="N307" s="33">
        <f>VLOOKUP($D307, 'COU.OES Summary'!C:E, 3, FALSE)</f>
        <v>365</v>
      </c>
      <c r="O307" s="108">
        <f t="shared" si="56"/>
        <v>0</v>
      </c>
      <c r="P307" s="108">
        <f t="shared" si="57"/>
        <v>1.7898783272727199E-3</v>
      </c>
      <c r="Q307" s="109" cm="1">
        <f t="array" ref="Q307">IFERROR(_xlfn.XLOOKUP(1,  (MAX(IF(I307 = 'Processed Non-zero DMR Data'!$K:$K,'Processed Non-zero DMR Data'!$A:$A)) = 'Processed Non-zero DMR Data'!$A:$A)*('Processed Non-zero DMR Data'!$K:$K = I307),'Processed Non-zero DMR Data'!$T:$T), "N/A- Facility Does Not Report DMRs")</f>
        <v>1.7898783272727199E-3</v>
      </c>
      <c r="R307" s="33">
        <f t="shared" si="67"/>
        <v>4.9037762391033425E-6</v>
      </c>
      <c r="S307" s="33" cm="1">
        <f t="array" ref="S307">IF(COUNTIF('Processed Non-zero DMR Data'!$K:$K,$I307)&gt;0,MEDIAN(IF('Processed Non-zero DMR Data'!$K:$K=I307,'Processed Non-zero DMR Data'!$T:$T)),"N/A - Facility Does Not Report DMRs")</f>
        <v>1.7898783272727199E-3</v>
      </c>
      <c r="T307" s="33">
        <f t="shared" si="68"/>
        <v>4.9037762391033425E-6</v>
      </c>
      <c r="U307" s="33">
        <f>IF(COUNTIF('Processed Non-zero DMR Data'!$K:$K,$I307)&gt;0,_xlfn.MAXIFS('Processed Non-zero DMR Data'!$T:$T,'Processed Non-zero DMR Data'!$K:$K,$I307), "N/A - Facility Does Not Report DMRs")</f>
        <v>1.7898783272727199E-3</v>
      </c>
      <c r="V307" s="33">
        <f t="shared" si="69"/>
        <v>4.9037762391033425E-6</v>
      </c>
      <c r="W307" s="110" cm="1">
        <f t="array" ref="W307">IF(COUNTIF('Processed Non-zero DMR Data'!$K:$K,$I307)&gt;0,INDEX('Processed Non-zero DMR Data'!$A:$A,MATCH(1,($I307='Processed Non-zero DMR Data'!$K:$K)*($U307='Processed Non-zero DMR Data'!$T:$T),0)), "N/A - Facility Does Not Report DMRs")</f>
        <v>2023</v>
      </c>
      <c r="X307" s="109" cm="1">
        <f t="array" ref="X307">IFERROR(_xlfn.XLOOKUP(1,  (MAX(IF(H307 = 'Processed Non-zero TRI Data'!$I:$I,'Processed Non-zero TRI Data'!$A:$A)) = 'Processed Non-zero TRI Data'!$A:$A)*('Processed Non-zero TRI Data'!$I:$I = H307), 'Processed Non-zero TRI Data'!$S:$S), "N/A- Facility Does Not Report to TRI")</f>
        <v>0</v>
      </c>
      <c r="Y307" s="33">
        <f t="shared" si="58"/>
        <v>0</v>
      </c>
      <c r="Z307" s="33" t="str" cm="1">
        <f t="array" ref="Z307">IF(COUNTIF('Processed Non-zero TRI Data'!$I:$I,$H307)&gt;0,MEDIAN(IF('Processed Non-zero TRI Data'!$I:$I=H307,'Processed Non-zero TRI Data'!$S:$S)), "N/A - Facility Does Not Report to TRI")</f>
        <v>N/A - Facility Does Not Report to TRI</v>
      </c>
      <c r="AA307" s="33" t="str">
        <f t="shared" si="59"/>
        <v>N/A - Facility Does Not Report to TRI</v>
      </c>
      <c r="AB307" s="33" t="str">
        <f>IF(COUNTIF('Processed Non-zero TRI Data'!$I:$I,$H307)&gt;0,_xlfn.MAXIFS('Processed Non-zero TRI Data'!$S:$S,'Processed Non-zero TRI Data'!$I:$I,$H307), "N/A - Facility Does Not Report to TRI")</f>
        <v>N/A - Facility Does Not Report to TRI</v>
      </c>
      <c r="AC307" s="33" t="str">
        <f t="shared" si="60"/>
        <v>N/A - Facility Does Not Report to TRI</v>
      </c>
      <c r="AD307" s="110" t="str" cm="1">
        <f t="array" ref="AD307">IFERROR(IF(B307 = "TRI Form R", IF(AB307 = 0, "Facility has no on-site water discharges between 2019-2023.",  IF(COUNTIF('Processed Non-zero TRI Data'!$I:$I,$H307)&gt;0,INDEX('Processed Non-zero TRI Data'!$A:$A,MATCH(1,($H307='Processed Non-zero TRI Data'!$I:$I)*(AB307='Processed Non-zero TRI Data'!$S:$S),0)))), VLOOKUP(H307, 'Form A Recent Reporting'!$L:$M, 2, FALSE)), ("N/A - Facility Does Not Report to TRI"))</f>
        <v>N/A - Facility Does Not Report to TRI</v>
      </c>
      <c r="AE307" s="109" cm="1">
        <f t="array" ref="AE307">IFERROR(_xlfn.XLOOKUP(1,  (MAX(IF(H307 = 'Processed Non-zero TRI Data'!$I:$I,'Processed Non-zero TRI Data'!$A:$A)) = 'Processed Non-zero TRI Data'!$A:$A)*('Processed Non-zero TRI Data'!$I:$I = H307), 'Processed Non-zero TRI Data'!$U:$U), "N/A- Facility Does Not Report to TRI")</f>
        <v>0</v>
      </c>
      <c r="AF307" s="33">
        <f t="shared" si="61"/>
        <v>0</v>
      </c>
      <c r="AG307" s="33" t="str" cm="1">
        <f t="array" ref="AG307">IF(COUNTIF('Processed Non-zero TRI Data'!$I:$I,$H307)&gt;0,MEDIAN(IF('Processed Non-zero TRI Data'!$I:$I=H307,'Processed Non-zero TRI Data'!$U:$U)), "N/A - Facility Does Not Report to TRI")</f>
        <v>N/A - Facility Does Not Report to TRI</v>
      </c>
      <c r="AH307" s="33" t="str">
        <f t="shared" si="62"/>
        <v>N/A - Facility Does Not Report to TRI</v>
      </c>
      <c r="AI307" s="33" t="str">
        <f>IF(COUNTIF('Processed Non-zero TRI Data'!$I:$I,$H307)&gt;0,_xlfn.MAXIFS('Processed Non-zero TRI Data'!$U:$U,'Processed Non-zero TRI Data'!$I:$I,$H307), "N/A - Facility Does Not Report to TRI")</f>
        <v>N/A - Facility Does Not Report to TRI</v>
      </c>
      <c r="AJ307" s="33" t="str">
        <f t="shared" si="63"/>
        <v>N/A - Facility Does Not Report to TRI</v>
      </c>
      <c r="AK307" s="110" t="str" cm="1">
        <f t="array" ref="AK307">IF(B307="TRI Form A",AD307,IF(AI307=0,"Facility has no transfers to POTWs between 2019-2023.",IF(COUNTIF('Processed Non-zero TRI Data'!$I:$I,$H307)&gt;0,INDEX('Processed Non-zero TRI Data'!$A:$A,MATCH(1,($H307='Processed Non-zero TRI Data'!$I:$I)*(AI307='Processed Non-zero TRI Data'!$U:$U),0)),"N/A - Facility Does Not Report to TRI")))</f>
        <v>N/A - Facility Does Not Report to TRI</v>
      </c>
      <c r="AL307" s="109" cm="1">
        <f t="array" ref="AL307">IFERROR(_xlfn.XLOOKUP(1,  (MAX(IF(H307 = 'Processed Non-zero TRI Data'!$I$2:$I$23,'Processed Non-zero TRI Data'!$A$2:$A$23)) = 'Processed Non-zero TRI Data'!$A$2:$A$23)*('Processed Non-zero TRI Data'!$I$2:$I$23 = H307), 'Processed Non-zero TRI Data'!$W$2:$W$23), "N/A- Facility Does Not Report to TRI")</f>
        <v>0</v>
      </c>
      <c r="AM307" s="33">
        <f t="shared" si="64"/>
        <v>0</v>
      </c>
      <c r="AN307" s="33" t="str" cm="1">
        <f t="array" ref="AN307">IF(COUNTIF('Processed Non-zero TRI Data'!$I:$I,$H307)&gt;0,MEDIAN(IF('Processed Non-zero TRI Data'!$I:$I=H307,'Processed Non-zero TRI Data'!$W:$W)), "N/A - Facility Does Not Report to TRI")</f>
        <v>N/A - Facility Does Not Report to TRI</v>
      </c>
      <c r="AO307" s="33" t="str">
        <f t="shared" si="65"/>
        <v>N/A - Facility Does Not Report to TRI</v>
      </c>
      <c r="AP307" s="33" t="str">
        <f>IF(COUNTIF('Processed Non-zero TRI Data'!$I:$I,$H307)&gt;0,_xlfn.MAXIFS('Processed Non-zero TRI Data'!$W:$W,'Processed Non-zero TRI Data'!$I:$I,$H307), "N/A - Facility Does Not Report to TRI")</f>
        <v>N/A - Facility Does Not Report to TRI</v>
      </c>
      <c r="AQ307" s="33" t="str">
        <f t="shared" si="66"/>
        <v>N/A - Facility Does Not Report to TRI</v>
      </c>
      <c r="AR307" s="110" t="str" cm="1">
        <f t="array" ref="AR307">IF(B307="TRI Form A",AD307,IF(AP307=0,"Facility has no transfers to non-POTWs between 2019-2023.",IF(COUNTIF('Processed Non-zero TRI Data'!$I:$I,$H307)&gt;0,INDEX('Processed Non-zero TRI Data'!$A:$A,MATCH(1,($H307='Processed Non-zero TRI Data'!$I:$I)*(AP307='Processed Non-zero TRI Data'!$W:$W),0)),"N/A - Facility Does Not Report to TRI")))</f>
        <v>N/A - Facility Does Not Report to TRI</v>
      </c>
    </row>
    <row r="308" spans="1:44" ht="29" x14ac:dyDescent="0.35">
      <c r="A308" s="34">
        <v>305</v>
      </c>
      <c r="B308" s="33" t="str">
        <f>IFERROR("TRI Form "&amp;VLOOKUP(H308,'Processed Non-zero TRI Data'!$I$2:$K$23,3,FALSE),"DMR")</f>
        <v>DMR</v>
      </c>
      <c r="C308" s="33" t="str">
        <f>VLOOKUP($D308, 'COU.OES Summary'!C:D, 2, FALSE)</f>
        <v> </v>
      </c>
      <c r="D308" s="33" t="str">
        <f>IFERROR(VLOOKUP($H308, 'Processed Non-zero TRI Data'!$I:$O, 7, FALSE), VLOOKUP($I308, 'Processed Non-zero DMR Data'!$K:$R, 8, FALSE))</f>
        <v>Waste handling, treatment, and disposal - Remediation or Monitoring</v>
      </c>
      <c r="E308" s="34" t="s">
        <v>665</v>
      </c>
      <c r="F308" s="34" t="s">
        <v>396</v>
      </c>
      <c r="G308" s="34" t="s">
        <v>276</v>
      </c>
      <c r="H308" s="34"/>
      <c r="I308" s="105">
        <v>110070598729</v>
      </c>
      <c r="J308" s="33" t="str">
        <f>IFERROR(VLOOKUP($I308, 'Processed Non-zero DMR Data'!$K:$U, 11, FALSE),"")</f>
        <v>VAG830548</v>
      </c>
      <c r="K308" s="33" t="str">
        <f>IFERROR(VLOOKUP($I308, 'Processed Non-zero DMR Data'!$K:$V, 12, FALSE),"Not Reported")</f>
        <v>Fourmile Run-Potomac River</v>
      </c>
      <c r="L308" s="106">
        <f>IFERROR(VLOOKUP($I308, 'Processed Non-zero DMR Data'!$K:$W, 13, FALSE),"No Reach Code Reported")</f>
        <v>20700100301</v>
      </c>
      <c r="M308" s="107" t="str">
        <f>IFERROR(IFERROR(VLOOKUP(H308, 'Off-site Locations'!$K$3:$O$5, 5, FALSE), VLOOKUP(H308, 'Off-site Locations'!$B$3:$E$4, 4, FALSE)), "No Offsite Transfers")</f>
        <v>No Offsite Transfers</v>
      </c>
      <c r="N308" s="33">
        <f>VLOOKUP($D308, 'COU.OES Summary'!C:E, 3, FALSE)</f>
        <v>365</v>
      </c>
      <c r="O308" s="108">
        <f t="shared" si="56"/>
        <v>0</v>
      </c>
      <c r="P308" s="108">
        <f t="shared" si="57"/>
        <v>1.59854176E-3</v>
      </c>
      <c r="Q308" s="109" cm="1">
        <f t="array" ref="Q308">IFERROR(_xlfn.XLOOKUP(1,  (MAX(IF(I308 = 'Processed Non-zero DMR Data'!$K:$K,'Processed Non-zero DMR Data'!$A:$A)) = 'Processed Non-zero DMR Data'!$A:$A)*('Processed Non-zero DMR Data'!$K:$K = I308),'Processed Non-zero DMR Data'!$T:$T), "N/A- Facility Does Not Report DMRs")</f>
        <v>9.9821805000000001E-5</v>
      </c>
      <c r="R308" s="33">
        <f t="shared" si="67"/>
        <v>2.7348439726027395E-7</v>
      </c>
      <c r="S308" s="33" cm="1">
        <f t="array" ref="S308">IF(COUNTIF('Processed Non-zero DMR Data'!$K:$K,$I308)&gt;0,MEDIAN(IF('Processed Non-zero DMR Data'!$K:$K=I308,'Processed Non-zero DMR Data'!$T:$T)),"N/A - Facility Does Not Report DMRs")</f>
        <v>1.42196394E-4</v>
      </c>
      <c r="T308" s="33">
        <f t="shared" si="68"/>
        <v>3.8957916164383562E-7</v>
      </c>
      <c r="U308" s="33">
        <f>IF(COUNTIF('Processed Non-zero DMR Data'!$K:$K,$I308)&gt;0,_xlfn.MAXIFS('Processed Non-zero DMR Data'!$T:$T,'Processed Non-zero DMR Data'!$K:$K,$I308), "N/A - Facility Does Not Report DMRs")</f>
        <v>1.59854176E-3</v>
      </c>
      <c r="V308" s="33">
        <f t="shared" si="69"/>
        <v>4.379566465753425E-6</v>
      </c>
      <c r="W308" s="110" cm="1">
        <f t="array" ref="W308">IF(COUNTIF('Processed Non-zero DMR Data'!$K:$K,$I308)&gt;0,INDEX('Processed Non-zero DMR Data'!$A:$A,MATCH(1,($I308='Processed Non-zero DMR Data'!$K:$K)*($U308='Processed Non-zero DMR Data'!$T:$T),0)), "N/A - Facility Does Not Report DMRs")</f>
        <v>2020</v>
      </c>
      <c r="X308" s="109" cm="1">
        <f t="array" ref="X308">IFERROR(_xlfn.XLOOKUP(1,  (MAX(IF(H308 = 'Processed Non-zero TRI Data'!$I:$I,'Processed Non-zero TRI Data'!$A:$A)) = 'Processed Non-zero TRI Data'!$A:$A)*('Processed Non-zero TRI Data'!$I:$I = H308), 'Processed Non-zero TRI Data'!$S:$S), "N/A- Facility Does Not Report to TRI")</f>
        <v>0</v>
      </c>
      <c r="Y308" s="33">
        <f t="shared" si="58"/>
        <v>0</v>
      </c>
      <c r="Z308" s="33" t="str" cm="1">
        <f t="array" ref="Z308">IF(COUNTIF('Processed Non-zero TRI Data'!$I:$I,$H308)&gt;0,MEDIAN(IF('Processed Non-zero TRI Data'!$I:$I=H308,'Processed Non-zero TRI Data'!$S:$S)), "N/A - Facility Does Not Report to TRI")</f>
        <v>N/A - Facility Does Not Report to TRI</v>
      </c>
      <c r="AA308" s="33" t="str">
        <f t="shared" si="59"/>
        <v>N/A - Facility Does Not Report to TRI</v>
      </c>
      <c r="AB308" s="33" t="str">
        <f>IF(COUNTIF('Processed Non-zero TRI Data'!$I:$I,$H308)&gt;0,_xlfn.MAXIFS('Processed Non-zero TRI Data'!$S:$S,'Processed Non-zero TRI Data'!$I:$I,$H308), "N/A - Facility Does Not Report to TRI")</f>
        <v>N/A - Facility Does Not Report to TRI</v>
      </c>
      <c r="AC308" s="33" t="str">
        <f t="shared" si="60"/>
        <v>N/A - Facility Does Not Report to TRI</v>
      </c>
      <c r="AD308" s="110" t="str" cm="1">
        <f t="array" ref="AD308">IFERROR(IF(B308 = "TRI Form R", IF(AB308 = 0, "Facility has no on-site water discharges between 2019-2023.",  IF(COUNTIF('Processed Non-zero TRI Data'!$I:$I,$H308)&gt;0,INDEX('Processed Non-zero TRI Data'!$A:$A,MATCH(1,($H308='Processed Non-zero TRI Data'!$I:$I)*(AB308='Processed Non-zero TRI Data'!$S:$S),0)))), VLOOKUP(H308, 'Form A Recent Reporting'!$L:$M, 2, FALSE)), ("N/A - Facility Does Not Report to TRI"))</f>
        <v>N/A - Facility Does Not Report to TRI</v>
      </c>
      <c r="AE308" s="109" cm="1">
        <f t="array" ref="AE308">IFERROR(_xlfn.XLOOKUP(1,  (MAX(IF(H308 = 'Processed Non-zero TRI Data'!$I:$I,'Processed Non-zero TRI Data'!$A:$A)) = 'Processed Non-zero TRI Data'!$A:$A)*('Processed Non-zero TRI Data'!$I:$I = H308), 'Processed Non-zero TRI Data'!$U:$U), "N/A- Facility Does Not Report to TRI")</f>
        <v>0</v>
      </c>
      <c r="AF308" s="33">
        <f t="shared" si="61"/>
        <v>0</v>
      </c>
      <c r="AG308" s="33" t="str" cm="1">
        <f t="array" ref="AG308">IF(COUNTIF('Processed Non-zero TRI Data'!$I:$I,$H308)&gt;0,MEDIAN(IF('Processed Non-zero TRI Data'!$I:$I=H308,'Processed Non-zero TRI Data'!$U:$U)), "N/A - Facility Does Not Report to TRI")</f>
        <v>N/A - Facility Does Not Report to TRI</v>
      </c>
      <c r="AH308" s="33" t="str">
        <f t="shared" si="62"/>
        <v>N/A - Facility Does Not Report to TRI</v>
      </c>
      <c r="AI308" s="33" t="str">
        <f>IF(COUNTIF('Processed Non-zero TRI Data'!$I:$I,$H308)&gt;0,_xlfn.MAXIFS('Processed Non-zero TRI Data'!$U:$U,'Processed Non-zero TRI Data'!$I:$I,$H308), "N/A - Facility Does Not Report to TRI")</f>
        <v>N/A - Facility Does Not Report to TRI</v>
      </c>
      <c r="AJ308" s="33" t="str">
        <f t="shared" si="63"/>
        <v>N/A - Facility Does Not Report to TRI</v>
      </c>
      <c r="AK308" s="110" t="str" cm="1">
        <f t="array" ref="AK308">IF(B308="TRI Form A",AD308,IF(AI308=0,"Facility has no transfers to POTWs between 2019-2023.",IF(COUNTIF('Processed Non-zero TRI Data'!$I:$I,$H308)&gt;0,INDEX('Processed Non-zero TRI Data'!$A:$A,MATCH(1,($H308='Processed Non-zero TRI Data'!$I:$I)*(AI308='Processed Non-zero TRI Data'!$U:$U),0)),"N/A - Facility Does Not Report to TRI")))</f>
        <v>N/A - Facility Does Not Report to TRI</v>
      </c>
      <c r="AL308" s="109" cm="1">
        <f t="array" ref="AL308">IFERROR(_xlfn.XLOOKUP(1,  (MAX(IF(H308 = 'Processed Non-zero TRI Data'!$I$2:$I$23,'Processed Non-zero TRI Data'!$A$2:$A$23)) = 'Processed Non-zero TRI Data'!$A$2:$A$23)*('Processed Non-zero TRI Data'!$I$2:$I$23 = H308), 'Processed Non-zero TRI Data'!$W$2:$W$23), "N/A- Facility Does Not Report to TRI")</f>
        <v>0</v>
      </c>
      <c r="AM308" s="33">
        <f t="shared" si="64"/>
        <v>0</v>
      </c>
      <c r="AN308" s="33" t="str" cm="1">
        <f t="array" ref="AN308">IF(COUNTIF('Processed Non-zero TRI Data'!$I:$I,$H308)&gt;0,MEDIAN(IF('Processed Non-zero TRI Data'!$I:$I=H308,'Processed Non-zero TRI Data'!$W:$W)), "N/A - Facility Does Not Report to TRI")</f>
        <v>N/A - Facility Does Not Report to TRI</v>
      </c>
      <c r="AO308" s="33" t="str">
        <f t="shared" si="65"/>
        <v>N/A - Facility Does Not Report to TRI</v>
      </c>
      <c r="AP308" s="33" t="str">
        <f>IF(COUNTIF('Processed Non-zero TRI Data'!$I:$I,$H308)&gt;0,_xlfn.MAXIFS('Processed Non-zero TRI Data'!$W:$W,'Processed Non-zero TRI Data'!$I:$I,$H308), "N/A - Facility Does Not Report to TRI")</f>
        <v>N/A - Facility Does Not Report to TRI</v>
      </c>
      <c r="AQ308" s="33" t="str">
        <f t="shared" si="66"/>
        <v>N/A - Facility Does Not Report to TRI</v>
      </c>
      <c r="AR308" s="110" t="str" cm="1">
        <f t="array" ref="AR308">IF(B308="TRI Form A",AD308,IF(AP308=0,"Facility has no transfers to non-POTWs between 2019-2023.",IF(COUNTIF('Processed Non-zero TRI Data'!$I:$I,$H308)&gt;0,INDEX('Processed Non-zero TRI Data'!$A:$A,MATCH(1,($H308='Processed Non-zero TRI Data'!$I:$I)*(AP308='Processed Non-zero TRI Data'!$W:$W),0)),"N/A - Facility Does Not Report to TRI")))</f>
        <v>N/A - Facility Does Not Report to TRI</v>
      </c>
    </row>
    <row r="309" spans="1:44" ht="29" x14ac:dyDescent="0.35">
      <c r="A309" s="34">
        <v>306</v>
      </c>
      <c r="B309" s="33" t="str">
        <f>IFERROR("TRI Form "&amp;VLOOKUP(H309,'Processed Non-zero TRI Data'!$I$2:$K$23,3,FALSE),"DMR")</f>
        <v>DMR</v>
      </c>
      <c r="C309" s="33" t="str">
        <f>VLOOKUP($D309, 'COU.OES Summary'!C:D, 2, FALSE)</f>
        <v> </v>
      </c>
      <c r="D309" s="33" t="str">
        <f>IFERROR(VLOOKUP($H309, 'Processed Non-zero TRI Data'!$I:$O, 7, FALSE), VLOOKUP($I309, 'Processed Non-zero DMR Data'!$K:$R, 8, FALSE))</f>
        <v>Waste handling, treatment, and disposal - POTW</v>
      </c>
      <c r="E309" s="34" t="s">
        <v>666</v>
      </c>
      <c r="F309" s="34" t="s">
        <v>667</v>
      </c>
      <c r="G309" s="34" t="s">
        <v>194</v>
      </c>
      <c r="H309" s="34"/>
      <c r="I309" s="105">
        <v>110002311551</v>
      </c>
      <c r="J309" s="33" t="str">
        <f>IFERROR(VLOOKUP($I309, 'Processed Non-zero DMR Data'!$K:$U, 11, FALSE),"")</f>
        <v>SC0047813</v>
      </c>
      <c r="K309" s="33" t="str">
        <f>IFERROR(VLOOKUP($I309, 'Processed Non-zero DMR Data'!$K:$V, 12, FALSE),"Not Reported")</f>
        <v>Beaverdam Creek-Turkey Creek</v>
      </c>
      <c r="L309" s="106">
        <f>IFERROR(VLOOKUP($I309, 'Processed Non-zero DMR Data'!$K:$W, 13, FALSE),"No Reach Code Reported")</f>
        <v>30601070207</v>
      </c>
      <c r="M309" s="107" t="str">
        <f>IFERROR(IFERROR(VLOOKUP(H309, 'Off-site Locations'!$K$3:$O$5, 5, FALSE), VLOOKUP(H309, 'Off-site Locations'!$B$3:$E$4, 4, FALSE)), "No Offsite Transfers")</f>
        <v>No Offsite Transfers</v>
      </c>
      <c r="N309" s="33">
        <f>VLOOKUP($D309, 'COU.OES Summary'!C:E, 3, FALSE)</f>
        <v>365</v>
      </c>
      <c r="O309" s="108">
        <f t="shared" si="56"/>
        <v>0</v>
      </c>
      <c r="P309" s="108">
        <f t="shared" si="57"/>
        <v>1.257660875E-3</v>
      </c>
      <c r="Q309" s="109" cm="1">
        <f t="array" ref="Q309">IFERROR(_xlfn.XLOOKUP(1,  (MAX(IF(I309 = 'Processed Non-zero DMR Data'!$K:$K,'Processed Non-zero DMR Data'!$A:$A)) = 'Processed Non-zero DMR Data'!$A:$A)*('Processed Non-zero DMR Data'!$K:$K = I309),'Processed Non-zero DMR Data'!$T:$T), "N/A- Facility Does Not Report DMRs")</f>
        <v>4.8845425000000001E-4</v>
      </c>
      <c r="R309" s="33">
        <f t="shared" si="67"/>
        <v>1.3382308219178083E-6</v>
      </c>
      <c r="S309" s="33" cm="1">
        <f t="array" ref="S309">IF(COUNTIF('Processed Non-zero DMR Data'!$K:$K,$I309)&gt;0,MEDIAN(IF('Processed Non-zero DMR Data'!$K:$K=I309,'Processed Non-zero DMR Data'!$T:$T)),"N/A - Facility Does Not Report DMRs")</f>
        <v>4.9939857750000004E-4</v>
      </c>
      <c r="T309" s="33">
        <f t="shared" si="68"/>
        <v>1.3682152808219178E-6</v>
      </c>
      <c r="U309" s="33">
        <f>IF(COUNTIF('Processed Non-zero DMR Data'!$K:$K,$I309)&gt;0,_xlfn.MAXIFS('Processed Non-zero DMR Data'!$T:$T,'Processed Non-zero DMR Data'!$K:$K,$I309), "N/A - Facility Does Not Report DMRs")</f>
        <v>1.257660875E-3</v>
      </c>
      <c r="V309" s="33">
        <f t="shared" si="69"/>
        <v>3.4456462328767126E-6</v>
      </c>
      <c r="W309" s="110" cm="1">
        <f t="array" ref="W309">IF(COUNTIF('Processed Non-zero DMR Data'!$K:$K,$I309)&gt;0,INDEX('Processed Non-zero DMR Data'!$A:$A,MATCH(1,($I309='Processed Non-zero DMR Data'!$K:$K)*($U309='Processed Non-zero DMR Data'!$T:$T),0)), "N/A - Facility Does Not Report DMRs")</f>
        <v>2019</v>
      </c>
      <c r="X309" s="109" cm="1">
        <f t="array" ref="X309">IFERROR(_xlfn.XLOOKUP(1,  (MAX(IF(H309 = 'Processed Non-zero TRI Data'!$I:$I,'Processed Non-zero TRI Data'!$A:$A)) = 'Processed Non-zero TRI Data'!$A:$A)*('Processed Non-zero TRI Data'!$I:$I = H309), 'Processed Non-zero TRI Data'!$S:$S), "N/A- Facility Does Not Report to TRI")</f>
        <v>0</v>
      </c>
      <c r="Y309" s="33">
        <f t="shared" si="58"/>
        <v>0</v>
      </c>
      <c r="Z309" s="33" t="str" cm="1">
        <f t="array" ref="Z309">IF(COUNTIF('Processed Non-zero TRI Data'!$I:$I,$H309)&gt;0,MEDIAN(IF('Processed Non-zero TRI Data'!$I:$I=H309,'Processed Non-zero TRI Data'!$S:$S)), "N/A - Facility Does Not Report to TRI")</f>
        <v>N/A - Facility Does Not Report to TRI</v>
      </c>
      <c r="AA309" s="33" t="str">
        <f t="shared" si="59"/>
        <v>N/A - Facility Does Not Report to TRI</v>
      </c>
      <c r="AB309" s="33" t="str">
        <f>IF(COUNTIF('Processed Non-zero TRI Data'!$I:$I,$H309)&gt;0,_xlfn.MAXIFS('Processed Non-zero TRI Data'!$S:$S,'Processed Non-zero TRI Data'!$I:$I,$H309), "N/A - Facility Does Not Report to TRI")</f>
        <v>N/A - Facility Does Not Report to TRI</v>
      </c>
      <c r="AC309" s="33" t="str">
        <f t="shared" si="60"/>
        <v>N/A - Facility Does Not Report to TRI</v>
      </c>
      <c r="AD309" s="110" t="str" cm="1">
        <f t="array" ref="AD309">IFERROR(IF(B309 = "TRI Form R", IF(AB309 = 0, "Facility has no on-site water discharges between 2019-2023.",  IF(COUNTIF('Processed Non-zero TRI Data'!$I:$I,$H309)&gt;0,INDEX('Processed Non-zero TRI Data'!$A:$A,MATCH(1,($H309='Processed Non-zero TRI Data'!$I:$I)*(AB309='Processed Non-zero TRI Data'!$S:$S),0)))), VLOOKUP(H309, 'Form A Recent Reporting'!$L:$M, 2, FALSE)), ("N/A - Facility Does Not Report to TRI"))</f>
        <v>N/A - Facility Does Not Report to TRI</v>
      </c>
      <c r="AE309" s="109" cm="1">
        <f t="array" ref="AE309">IFERROR(_xlfn.XLOOKUP(1,  (MAX(IF(H309 = 'Processed Non-zero TRI Data'!$I:$I,'Processed Non-zero TRI Data'!$A:$A)) = 'Processed Non-zero TRI Data'!$A:$A)*('Processed Non-zero TRI Data'!$I:$I = H309), 'Processed Non-zero TRI Data'!$U:$U), "N/A- Facility Does Not Report to TRI")</f>
        <v>0</v>
      </c>
      <c r="AF309" s="33">
        <f t="shared" si="61"/>
        <v>0</v>
      </c>
      <c r="AG309" s="33" t="str" cm="1">
        <f t="array" ref="AG309">IF(COUNTIF('Processed Non-zero TRI Data'!$I:$I,$H309)&gt;0,MEDIAN(IF('Processed Non-zero TRI Data'!$I:$I=H309,'Processed Non-zero TRI Data'!$U:$U)), "N/A - Facility Does Not Report to TRI")</f>
        <v>N/A - Facility Does Not Report to TRI</v>
      </c>
      <c r="AH309" s="33" t="str">
        <f t="shared" si="62"/>
        <v>N/A - Facility Does Not Report to TRI</v>
      </c>
      <c r="AI309" s="33" t="str">
        <f>IF(COUNTIF('Processed Non-zero TRI Data'!$I:$I,$H309)&gt;0,_xlfn.MAXIFS('Processed Non-zero TRI Data'!$U:$U,'Processed Non-zero TRI Data'!$I:$I,$H309), "N/A - Facility Does Not Report to TRI")</f>
        <v>N/A - Facility Does Not Report to TRI</v>
      </c>
      <c r="AJ309" s="33" t="str">
        <f t="shared" si="63"/>
        <v>N/A - Facility Does Not Report to TRI</v>
      </c>
      <c r="AK309" s="110" t="str" cm="1">
        <f t="array" ref="AK309">IF(B309="TRI Form A",AD309,IF(AI309=0,"Facility has no transfers to POTWs between 2019-2023.",IF(COUNTIF('Processed Non-zero TRI Data'!$I:$I,$H309)&gt;0,INDEX('Processed Non-zero TRI Data'!$A:$A,MATCH(1,($H309='Processed Non-zero TRI Data'!$I:$I)*(AI309='Processed Non-zero TRI Data'!$U:$U),0)),"N/A - Facility Does Not Report to TRI")))</f>
        <v>N/A - Facility Does Not Report to TRI</v>
      </c>
      <c r="AL309" s="109" cm="1">
        <f t="array" ref="AL309">IFERROR(_xlfn.XLOOKUP(1,  (MAX(IF(H309 = 'Processed Non-zero TRI Data'!$I$2:$I$23,'Processed Non-zero TRI Data'!$A$2:$A$23)) = 'Processed Non-zero TRI Data'!$A$2:$A$23)*('Processed Non-zero TRI Data'!$I$2:$I$23 = H309), 'Processed Non-zero TRI Data'!$W$2:$W$23), "N/A- Facility Does Not Report to TRI")</f>
        <v>0</v>
      </c>
      <c r="AM309" s="33">
        <f t="shared" si="64"/>
        <v>0</v>
      </c>
      <c r="AN309" s="33" t="str" cm="1">
        <f t="array" ref="AN309">IF(COUNTIF('Processed Non-zero TRI Data'!$I:$I,$H309)&gt;0,MEDIAN(IF('Processed Non-zero TRI Data'!$I:$I=H309,'Processed Non-zero TRI Data'!$W:$W)), "N/A - Facility Does Not Report to TRI")</f>
        <v>N/A - Facility Does Not Report to TRI</v>
      </c>
      <c r="AO309" s="33" t="str">
        <f t="shared" si="65"/>
        <v>N/A - Facility Does Not Report to TRI</v>
      </c>
      <c r="AP309" s="33" t="str">
        <f>IF(COUNTIF('Processed Non-zero TRI Data'!$I:$I,$H309)&gt;0,_xlfn.MAXIFS('Processed Non-zero TRI Data'!$W:$W,'Processed Non-zero TRI Data'!$I:$I,$H309), "N/A - Facility Does Not Report to TRI")</f>
        <v>N/A - Facility Does Not Report to TRI</v>
      </c>
      <c r="AQ309" s="33" t="str">
        <f t="shared" si="66"/>
        <v>N/A - Facility Does Not Report to TRI</v>
      </c>
      <c r="AR309" s="110" t="str" cm="1">
        <f t="array" ref="AR309">IF(B309="TRI Form A",AD309,IF(AP309=0,"Facility has no transfers to non-POTWs between 2019-2023.",IF(COUNTIF('Processed Non-zero TRI Data'!$I:$I,$H309)&gt;0,INDEX('Processed Non-zero TRI Data'!$A:$A,MATCH(1,($H309='Processed Non-zero TRI Data'!$I:$I)*(AP309='Processed Non-zero TRI Data'!$W:$W),0)),"N/A - Facility Does Not Report to TRI")))</f>
        <v>N/A - Facility Does Not Report to TRI</v>
      </c>
    </row>
    <row r="310" spans="1:44" ht="29" x14ac:dyDescent="0.35">
      <c r="A310" s="34">
        <v>307</v>
      </c>
      <c r="B310" s="33" t="str">
        <f>IFERROR("TRI Form "&amp;VLOOKUP(H310,'Processed Non-zero TRI Data'!$I$2:$K$23,3,FALSE),"DMR")</f>
        <v>DMR</v>
      </c>
      <c r="C310" s="33" t="str">
        <f>VLOOKUP($D310, 'COU.OES Summary'!C:D, 2, FALSE)</f>
        <v> </v>
      </c>
      <c r="D310" s="33" t="str">
        <f>IFERROR(VLOOKUP($H310, 'Processed Non-zero TRI Data'!$I:$O, 7, FALSE), VLOOKUP($I310, 'Processed Non-zero DMR Data'!$K:$R, 8, FALSE))</f>
        <v>Waste handling, treatment, and disposal - Remediation or Monitoring</v>
      </c>
      <c r="E310" s="34" t="s">
        <v>668</v>
      </c>
      <c r="F310" s="34" t="s">
        <v>669</v>
      </c>
      <c r="G310" s="34" t="s">
        <v>670</v>
      </c>
      <c r="H310" s="34"/>
      <c r="I310" s="105">
        <v>110010134185</v>
      </c>
      <c r="J310" s="33" t="str">
        <f>IFERROR(VLOOKUP($I310, 'Processed Non-zero DMR Data'!$K:$U, 11, FALSE),"")</f>
        <v>NN0020133</v>
      </c>
      <c r="K310" s="33" t="str">
        <f>IFERROR(VLOOKUP($I310, 'Processed Non-zero DMR Data'!$K:$V, 12, FALSE),"Not Reported")</f>
        <v>Upper Gothic Creek</v>
      </c>
      <c r="L310" s="106">
        <f>IFERROR(VLOOKUP($I310, 'Processed Non-zero DMR Data'!$K:$W, 13, FALSE),"No Reach Code Reported")</f>
        <v>140802010602</v>
      </c>
      <c r="M310" s="107" t="str">
        <f>IFERROR(IFERROR(VLOOKUP(H310, 'Off-site Locations'!$K$3:$O$5, 5, FALSE), VLOOKUP(H310, 'Off-site Locations'!$B$3:$E$4, 4, FALSE)), "No Offsite Transfers")</f>
        <v>No Offsite Transfers</v>
      </c>
      <c r="N310" s="33">
        <f>VLOOKUP($D310, 'COU.OES Summary'!C:E, 3, FALSE)</f>
        <v>365</v>
      </c>
      <c r="O310" s="108">
        <f t="shared" si="56"/>
        <v>0</v>
      </c>
      <c r="P310" s="108">
        <f t="shared" si="57"/>
        <v>1.124145E-3</v>
      </c>
      <c r="Q310" s="109" cm="1">
        <f t="array" ref="Q310">IFERROR(_xlfn.XLOOKUP(1,  (MAX(IF(I310 = 'Processed Non-zero DMR Data'!$K:$K,'Processed Non-zero DMR Data'!$A:$A)) = 'Processed Non-zero DMR Data'!$A:$A)*('Processed Non-zero DMR Data'!$K:$K = I310),'Processed Non-zero DMR Data'!$T:$T), "N/A- Facility Does Not Report DMRs")</f>
        <v>1.124145E-3</v>
      </c>
      <c r="R310" s="33">
        <f t="shared" si="67"/>
        <v>3.0798493150684932E-6</v>
      </c>
      <c r="S310" s="33" cm="1">
        <f t="array" ref="S310">IF(COUNTIF('Processed Non-zero DMR Data'!$K:$K,$I310)&gt;0,MEDIAN(IF('Processed Non-zero DMR Data'!$K:$K=I310,'Processed Non-zero DMR Data'!$T:$T)),"N/A - Facility Does Not Report DMRs")</f>
        <v>1.124145E-3</v>
      </c>
      <c r="T310" s="33">
        <f t="shared" si="68"/>
        <v>3.0798493150684932E-6</v>
      </c>
      <c r="U310" s="33">
        <f>IF(COUNTIF('Processed Non-zero DMR Data'!$K:$K,$I310)&gt;0,_xlfn.MAXIFS('Processed Non-zero DMR Data'!$T:$T,'Processed Non-zero DMR Data'!$K:$K,$I310), "N/A - Facility Does Not Report DMRs")</f>
        <v>1.124145E-3</v>
      </c>
      <c r="V310" s="33">
        <f t="shared" si="69"/>
        <v>3.0798493150684932E-6</v>
      </c>
      <c r="W310" s="110" cm="1">
        <f t="array" ref="W310">IF(COUNTIF('Processed Non-zero DMR Data'!$K:$K,$I310)&gt;0,INDEX('Processed Non-zero DMR Data'!$A:$A,MATCH(1,($I310='Processed Non-zero DMR Data'!$K:$K)*($U310='Processed Non-zero DMR Data'!$T:$T),0)), "N/A - Facility Does Not Report DMRs")</f>
        <v>2023</v>
      </c>
      <c r="X310" s="109" cm="1">
        <f t="array" ref="X310">IFERROR(_xlfn.XLOOKUP(1,  (MAX(IF(H310 = 'Processed Non-zero TRI Data'!$I:$I,'Processed Non-zero TRI Data'!$A:$A)) = 'Processed Non-zero TRI Data'!$A:$A)*('Processed Non-zero TRI Data'!$I:$I = H310), 'Processed Non-zero TRI Data'!$S:$S), "N/A- Facility Does Not Report to TRI")</f>
        <v>0</v>
      </c>
      <c r="Y310" s="33">
        <f t="shared" si="58"/>
        <v>0</v>
      </c>
      <c r="Z310" s="33" t="str" cm="1">
        <f t="array" ref="Z310">IF(COUNTIF('Processed Non-zero TRI Data'!$I:$I,$H310)&gt;0,MEDIAN(IF('Processed Non-zero TRI Data'!$I:$I=H310,'Processed Non-zero TRI Data'!$S:$S)), "N/A - Facility Does Not Report to TRI")</f>
        <v>N/A - Facility Does Not Report to TRI</v>
      </c>
      <c r="AA310" s="33" t="str">
        <f t="shared" si="59"/>
        <v>N/A - Facility Does Not Report to TRI</v>
      </c>
      <c r="AB310" s="33" t="str">
        <f>IF(COUNTIF('Processed Non-zero TRI Data'!$I:$I,$H310)&gt;0,_xlfn.MAXIFS('Processed Non-zero TRI Data'!$S:$S,'Processed Non-zero TRI Data'!$I:$I,$H310), "N/A - Facility Does Not Report to TRI")</f>
        <v>N/A - Facility Does Not Report to TRI</v>
      </c>
      <c r="AC310" s="33" t="str">
        <f t="shared" si="60"/>
        <v>N/A - Facility Does Not Report to TRI</v>
      </c>
      <c r="AD310" s="110" t="str" cm="1">
        <f t="array" ref="AD310">IFERROR(IF(B310 = "TRI Form R", IF(AB310 = 0, "Facility has no on-site water discharges between 2019-2023.",  IF(COUNTIF('Processed Non-zero TRI Data'!$I:$I,$H310)&gt;0,INDEX('Processed Non-zero TRI Data'!$A:$A,MATCH(1,($H310='Processed Non-zero TRI Data'!$I:$I)*(AB310='Processed Non-zero TRI Data'!$S:$S),0)))), VLOOKUP(H310, 'Form A Recent Reporting'!$L:$M, 2, FALSE)), ("N/A - Facility Does Not Report to TRI"))</f>
        <v>N/A - Facility Does Not Report to TRI</v>
      </c>
      <c r="AE310" s="109" cm="1">
        <f t="array" ref="AE310">IFERROR(_xlfn.XLOOKUP(1,  (MAX(IF(H310 = 'Processed Non-zero TRI Data'!$I:$I,'Processed Non-zero TRI Data'!$A:$A)) = 'Processed Non-zero TRI Data'!$A:$A)*('Processed Non-zero TRI Data'!$I:$I = H310), 'Processed Non-zero TRI Data'!$U:$U), "N/A- Facility Does Not Report to TRI")</f>
        <v>0</v>
      </c>
      <c r="AF310" s="33">
        <f t="shared" si="61"/>
        <v>0</v>
      </c>
      <c r="AG310" s="33" t="str" cm="1">
        <f t="array" ref="AG310">IF(COUNTIF('Processed Non-zero TRI Data'!$I:$I,$H310)&gt;0,MEDIAN(IF('Processed Non-zero TRI Data'!$I:$I=H310,'Processed Non-zero TRI Data'!$U:$U)), "N/A - Facility Does Not Report to TRI")</f>
        <v>N/A - Facility Does Not Report to TRI</v>
      </c>
      <c r="AH310" s="33" t="str">
        <f t="shared" si="62"/>
        <v>N/A - Facility Does Not Report to TRI</v>
      </c>
      <c r="AI310" s="33" t="str">
        <f>IF(COUNTIF('Processed Non-zero TRI Data'!$I:$I,$H310)&gt;0,_xlfn.MAXIFS('Processed Non-zero TRI Data'!$U:$U,'Processed Non-zero TRI Data'!$I:$I,$H310), "N/A - Facility Does Not Report to TRI")</f>
        <v>N/A - Facility Does Not Report to TRI</v>
      </c>
      <c r="AJ310" s="33" t="str">
        <f t="shared" si="63"/>
        <v>N/A - Facility Does Not Report to TRI</v>
      </c>
      <c r="AK310" s="110" t="str" cm="1">
        <f t="array" ref="AK310">IF(B310="TRI Form A",AD310,IF(AI310=0,"Facility has no transfers to POTWs between 2019-2023.",IF(COUNTIF('Processed Non-zero TRI Data'!$I:$I,$H310)&gt;0,INDEX('Processed Non-zero TRI Data'!$A:$A,MATCH(1,($H310='Processed Non-zero TRI Data'!$I:$I)*(AI310='Processed Non-zero TRI Data'!$U:$U),0)),"N/A - Facility Does Not Report to TRI")))</f>
        <v>N/A - Facility Does Not Report to TRI</v>
      </c>
      <c r="AL310" s="109" cm="1">
        <f t="array" ref="AL310">IFERROR(_xlfn.XLOOKUP(1,  (MAX(IF(H310 = 'Processed Non-zero TRI Data'!$I$2:$I$23,'Processed Non-zero TRI Data'!$A$2:$A$23)) = 'Processed Non-zero TRI Data'!$A$2:$A$23)*('Processed Non-zero TRI Data'!$I$2:$I$23 = H310), 'Processed Non-zero TRI Data'!$W$2:$W$23), "N/A- Facility Does Not Report to TRI")</f>
        <v>0</v>
      </c>
      <c r="AM310" s="33">
        <f t="shared" si="64"/>
        <v>0</v>
      </c>
      <c r="AN310" s="33" t="str" cm="1">
        <f t="array" ref="AN310">IF(COUNTIF('Processed Non-zero TRI Data'!$I:$I,$H310)&gt;0,MEDIAN(IF('Processed Non-zero TRI Data'!$I:$I=H310,'Processed Non-zero TRI Data'!$W:$W)), "N/A - Facility Does Not Report to TRI")</f>
        <v>N/A - Facility Does Not Report to TRI</v>
      </c>
      <c r="AO310" s="33" t="str">
        <f t="shared" si="65"/>
        <v>N/A - Facility Does Not Report to TRI</v>
      </c>
      <c r="AP310" s="33" t="str">
        <f>IF(COUNTIF('Processed Non-zero TRI Data'!$I:$I,$H310)&gt;0,_xlfn.MAXIFS('Processed Non-zero TRI Data'!$W:$W,'Processed Non-zero TRI Data'!$I:$I,$H310), "N/A - Facility Does Not Report to TRI")</f>
        <v>N/A - Facility Does Not Report to TRI</v>
      </c>
      <c r="AQ310" s="33" t="str">
        <f t="shared" si="66"/>
        <v>N/A - Facility Does Not Report to TRI</v>
      </c>
      <c r="AR310" s="110" t="str" cm="1">
        <f t="array" ref="AR310">IF(B310="TRI Form A",AD310,IF(AP310=0,"Facility has no transfers to non-POTWs between 2019-2023.",IF(COUNTIF('Processed Non-zero TRI Data'!$I:$I,$H310)&gt;0,INDEX('Processed Non-zero TRI Data'!$A:$A,MATCH(1,($H310='Processed Non-zero TRI Data'!$I:$I)*(AP310='Processed Non-zero TRI Data'!$W:$W),0)),"N/A - Facility Does Not Report to TRI")))</f>
        <v>N/A - Facility Does Not Report to TRI</v>
      </c>
    </row>
    <row r="311" spans="1:44" ht="29" x14ac:dyDescent="0.35">
      <c r="A311" s="34">
        <v>308</v>
      </c>
      <c r="B311" s="33" t="str">
        <f>IFERROR("TRI Form "&amp;VLOOKUP(H311,'Processed Non-zero TRI Data'!$I$2:$K$23,3,FALSE),"DMR")</f>
        <v>DMR</v>
      </c>
      <c r="C311" s="33" t="str">
        <f>VLOOKUP($D311, 'COU.OES Summary'!C:D, 2, FALSE)</f>
        <v> </v>
      </c>
      <c r="D311" s="33" t="str">
        <f>IFERROR(VLOOKUP($H311, 'Processed Non-zero TRI Data'!$I:$O, 7, FALSE), VLOOKUP($I311, 'Processed Non-zero DMR Data'!$K:$R, 8, FALSE))</f>
        <v>Waste handling, treatment, and disposal - POTW</v>
      </c>
      <c r="E311" s="34" t="s">
        <v>671</v>
      </c>
      <c r="F311" s="34" t="s">
        <v>672</v>
      </c>
      <c r="G311" s="34" t="s">
        <v>102</v>
      </c>
      <c r="H311" s="34"/>
      <c r="I311" s="105">
        <v>110000730745</v>
      </c>
      <c r="J311" s="33" t="str">
        <f>IFERROR(VLOOKUP($I311, 'Processed Non-zero DMR Data'!$K:$U, 11, FALSE),"")</f>
        <v>CA0078891</v>
      </c>
      <c r="K311" s="33" t="str">
        <f>IFERROR(VLOOKUP($I311, 'Processed Non-zero DMR Data'!$K:$V, 12, FALSE),"Not Reported")</f>
        <v>Sevenmile Creek-Sacramento River</v>
      </c>
      <c r="L311" s="106">
        <f>IFERROR(VLOOKUP($I311, 'Processed Non-zero DMR Data'!$K:$W, 13, FALSE),"No Reach Code Reported")</f>
        <v>180201550405</v>
      </c>
      <c r="M311" s="107" t="str">
        <f>IFERROR(IFERROR(VLOOKUP(H311, 'Off-site Locations'!$K$3:$O$5, 5, FALSE), VLOOKUP(H311, 'Off-site Locations'!$B$3:$E$4, 4, FALSE)), "No Offsite Transfers")</f>
        <v>No Offsite Transfers</v>
      </c>
      <c r="N311" s="33">
        <f>VLOOKUP($D311, 'COU.OES Summary'!C:E, 3, FALSE)</f>
        <v>365</v>
      </c>
      <c r="O311" s="108">
        <f t="shared" si="56"/>
        <v>0</v>
      </c>
      <c r="P311" s="108">
        <f t="shared" si="57"/>
        <v>1.1003752000000001E-3</v>
      </c>
      <c r="Q311" s="109" cm="1">
        <f t="array" ref="Q311">IFERROR(_xlfn.XLOOKUP(1,  (MAX(IF(I311 = 'Processed Non-zero DMR Data'!$K:$K,'Processed Non-zero DMR Data'!$A:$A)) = 'Processed Non-zero DMR Data'!$A:$A)*('Processed Non-zero DMR Data'!$K:$K = I311),'Processed Non-zero DMR Data'!$T:$T), "N/A- Facility Does Not Report DMRs")</f>
        <v>7.5336640000000002E-4</v>
      </c>
      <c r="R311" s="33">
        <f t="shared" si="67"/>
        <v>2.0640175342465755E-6</v>
      </c>
      <c r="S311" s="33" cm="1">
        <f t="array" ref="S311">IF(COUNTIF('Processed Non-zero DMR Data'!$K:$K,$I311)&gt;0,MEDIAN(IF('Processed Non-zero DMR Data'!$K:$K=I311,'Processed Non-zero DMR Data'!$T:$T)),"N/A - Facility Does Not Report DMRs")</f>
        <v>9.2687080000000005E-4</v>
      </c>
      <c r="T311" s="33">
        <f t="shared" si="68"/>
        <v>2.5393720547945206E-6</v>
      </c>
      <c r="U311" s="33">
        <f>IF(COUNTIF('Processed Non-zero DMR Data'!$K:$K,$I311)&gt;0,_xlfn.MAXIFS('Processed Non-zero DMR Data'!$T:$T,'Processed Non-zero DMR Data'!$K:$K,$I311), "N/A - Facility Does Not Report DMRs")</f>
        <v>1.1003752000000001E-3</v>
      </c>
      <c r="V311" s="33">
        <f t="shared" si="69"/>
        <v>3.0147265753424661E-6</v>
      </c>
      <c r="W311" s="110" cm="1">
        <f t="array" ref="W311">IF(COUNTIF('Processed Non-zero DMR Data'!$K:$K,$I311)&gt;0,INDEX('Processed Non-zero DMR Data'!$A:$A,MATCH(1,($I311='Processed Non-zero DMR Data'!$K:$K)*($U311='Processed Non-zero DMR Data'!$T:$T),0)), "N/A - Facility Does Not Report DMRs")</f>
        <v>2020</v>
      </c>
      <c r="X311" s="109" cm="1">
        <f t="array" ref="X311">IFERROR(_xlfn.XLOOKUP(1,  (MAX(IF(H311 = 'Processed Non-zero TRI Data'!$I:$I,'Processed Non-zero TRI Data'!$A:$A)) = 'Processed Non-zero TRI Data'!$A:$A)*('Processed Non-zero TRI Data'!$I:$I = H311), 'Processed Non-zero TRI Data'!$S:$S), "N/A- Facility Does Not Report to TRI")</f>
        <v>0</v>
      </c>
      <c r="Y311" s="33">
        <f t="shared" si="58"/>
        <v>0</v>
      </c>
      <c r="Z311" s="33" t="str" cm="1">
        <f t="array" ref="Z311">IF(COUNTIF('Processed Non-zero TRI Data'!$I:$I,$H311)&gt;0,MEDIAN(IF('Processed Non-zero TRI Data'!$I:$I=H311,'Processed Non-zero TRI Data'!$S:$S)), "N/A - Facility Does Not Report to TRI")</f>
        <v>N/A - Facility Does Not Report to TRI</v>
      </c>
      <c r="AA311" s="33" t="str">
        <f t="shared" si="59"/>
        <v>N/A - Facility Does Not Report to TRI</v>
      </c>
      <c r="AB311" s="33" t="str">
        <f>IF(COUNTIF('Processed Non-zero TRI Data'!$I:$I,$H311)&gt;0,_xlfn.MAXIFS('Processed Non-zero TRI Data'!$S:$S,'Processed Non-zero TRI Data'!$I:$I,$H311), "N/A - Facility Does Not Report to TRI")</f>
        <v>N/A - Facility Does Not Report to TRI</v>
      </c>
      <c r="AC311" s="33" t="str">
        <f t="shared" si="60"/>
        <v>N/A - Facility Does Not Report to TRI</v>
      </c>
      <c r="AD311" s="110" t="str" cm="1">
        <f t="array" ref="AD311">IFERROR(IF(B311 = "TRI Form R", IF(AB311 = 0, "Facility has no on-site water discharges between 2019-2023.",  IF(COUNTIF('Processed Non-zero TRI Data'!$I:$I,$H311)&gt;0,INDEX('Processed Non-zero TRI Data'!$A:$A,MATCH(1,($H311='Processed Non-zero TRI Data'!$I:$I)*(AB311='Processed Non-zero TRI Data'!$S:$S),0)))), VLOOKUP(H311, 'Form A Recent Reporting'!$L:$M, 2, FALSE)), ("N/A - Facility Does Not Report to TRI"))</f>
        <v>N/A - Facility Does Not Report to TRI</v>
      </c>
      <c r="AE311" s="109" cm="1">
        <f t="array" ref="AE311">IFERROR(_xlfn.XLOOKUP(1,  (MAX(IF(H311 = 'Processed Non-zero TRI Data'!$I:$I,'Processed Non-zero TRI Data'!$A:$A)) = 'Processed Non-zero TRI Data'!$A:$A)*('Processed Non-zero TRI Data'!$I:$I = H311), 'Processed Non-zero TRI Data'!$U:$U), "N/A- Facility Does Not Report to TRI")</f>
        <v>0</v>
      </c>
      <c r="AF311" s="33">
        <f t="shared" si="61"/>
        <v>0</v>
      </c>
      <c r="AG311" s="33" t="str" cm="1">
        <f t="array" ref="AG311">IF(COUNTIF('Processed Non-zero TRI Data'!$I:$I,$H311)&gt;0,MEDIAN(IF('Processed Non-zero TRI Data'!$I:$I=H311,'Processed Non-zero TRI Data'!$U:$U)), "N/A - Facility Does Not Report to TRI")</f>
        <v>N/A - Facility Does Not Report to TRI</v>
      </c>
      <c r="AH311" s="33" t="str">
        <f t="shared" si="62"/>
        <v>N/A - Facility Does Not Report to TRI</v>
      </c>
      <c r="AI311" s="33" t="str">
        <f>IF(COUNTIF('Processed Non-zero TRI Data'!$I:$I,$H311)&gt;0,_xlfn.MAXIFS('Processed Non-zero TRI Data'!$U:$U,'Processed Non-zero TRI Data'!$I:$I,$H311), "N/A - Facility Does Not Report to TRI")</f>
        <v>N/A - Facility Does Not Report to TRI</v>
      </c>
      <c r="AJ311" s="33" t="str">
        <f t="shared" si="63"/>
        <v>N/A - Facility Does Not Report to TRI</v>
      </c>
      <c r="AK311" s="110" t="str" cm="1">
        <f t="array" ref="AK311">IF(B311="TRI Form A",AD311,IF(AI311=0,"Facility has no transfers to POTWs between 2019-2023.",IF(COUNTIF('Processed Non-zero TRI Data'!$I:$I,$H311)&gt;0,INDEX('Processed Non-zero TRI Data'!$A:$A,MATCH(1,($H311='Processed Non-zero TRI Data'!$I:$I)*(AI311='Processed Non-zero TRI Data'!$U:$U),0)),"N/A - Facility Does Not Report to TRI")))</f>
        <v>N/A - Facility Does Not Report to TRI</v>
      </c>
      <c r="AL311" s="109" cm="1">
        <f t="array" ref="AL311">IFERROR(_xlfn.XLOOKUP(1,  (MAX(IF(H311 = 'Processed Non-zero TRI Data'!$I$2:$I$23,'Processed Non-zero TRI Data'!$A$2:$A$23)) = 'Processed Non-zero TRI Data'!$A$2:$A$23)*('Processed Non-zero TRI Data'!$I$2:$I$23 = H311), 'Processed Non-zero TRI Data'!$W$2:$W$23), "N/A- Facility Does Not Report to TRI")</f>
        <v>0</v>
      </c>
      <c r="AM311" s="33">
        <f t="shared" si="64"/>
        <v>0</v>
      </c>
      <c r="AN311" s="33" t="str" cm="1">
        <f t="array" ref="AN311">IF(COUNTIF('Processed Non-zero TRI Data'!$I:$I,$H311)&gt;0,MEDIAN(IF('Processed Non-zero TRI Data'!$I:$I=H311,'Processed Non-zero TRI Data'!$W:$W)), "N/A - Facility Does Not Report to TRI")</f>
        <v>N/A - Facility Does Not Report to TRI</v>
      </c>
      <c r="AO311" s="33" t="str">
        <f t="shared" si="65"/>
        <v>N/A - Facility Does Not Report to TRI</v>
      </c>
      <c r="AP311" s="33" t="str">
        <f>IF(COUNTIF('Processed Non-zero TRI Data'!$I:$I,$H311)&gt;0,_xlfn.MAXIFS('Processed Non-zero TRI Data'!$W:$W,'Processed Non-zero TRI Data'!$I:$I,$H311), "N/A - Facility Does Not Report to TRI")</f>
        <v>N/A - Facility Does Not Report to TRI</v>
      </c>
      <c r="AQ311" s="33" t="str">
        <f t="shared" si="66"/>
        <v>N/A - Facility Does Not Report to TRI</v>
      </c>
      <c r="AR311" s="110" t="str" cm="1">
        <f t="array" ref="AR311">IF(B311="TRI Form A",AD311,IF(AP311=0,"Facility has no transfers to non-POTWs between 2019-2023.",IF(COUNTIF('Processed Non-zero TRI Data'!$I:$I,$H311)&gt;0,INDEX('Processed Non-zero TRI Data'!$A:$A,MATCH(1,($H311='Processed Non-zero TRI Data'!$I:$I)*(AP311='Processed Non-zero TRI Data'!$W:$W),0)),"N/A - Facility Does Not Report to TRI")))</f>
        <v>N/A - Facility Does Not Report to TRI</v>
      </c>
    </row>
    <row r="312" spans="1:44" ht="29" x14ac:dyDescent="0.35">
      <c r="A312" s="34">
        <v>309</v>
      </c>
      <c r="B312" s="33" t="str">
        <f>IFERROR("TRI Form "&amp;VLOOKUP(H312,'Processed Non-zero TRI Data'!$I$2:$K$23,3,FALSE),"DMR")</f>
        <v>DMR</v>
      </c>
      <c r="C312" s="33" t="str">
        <f>VLOOKUP($D312, 'COU.OES Summary'!C:D, 2, FALSE)</f>
        <v> </v>
      </c>
      <c r="D312" s="33" t="str">
        <f>IFERROR(VLOOKUP($H312, 'Processed Non-zero TRI Data'!$I:$O, 7, FALSE), VLOOKUP($I312, 'Processed Non-zero DMR Data'!$K:$R, 8, FALSE))</f>
        <v>Waste handling, treatment, and disposal - Remediation or Monitoring</v>
      </c>
      <c r="E312" s="34" t="s">
        <v>673</v>
      </c>
      <c r="F312" s="34" t="s">
        <v>674</v>
      </c>
      <c r="G312" s="34" t="s">
        <v>481</v>
      </c>
      <c r="H312" s="34"/>
      <c r="I312" s="105">
        <v>110041245015</v>
      </c>
      <c r="J312" s="33" t="str">
        <f>IFERROR(VLOOKUP($I312, 'Processed Non-zero DMR Data'!$K:$U, 11, FALSE),"")</f>
        <v>MDGVW3674</v>
      </c>
      <c r="K312" s="33" t="str">
        <f>IFERROR(VLOOKUP($I312, 'Processed Non-zero DMR Data'!$K:$V, 12, FALSE),"Not Reported")</f>
        <v>Headwaters North Branch Patapsco River</v>
      </c>
      <c r="L312" s="106">
        <f>IFERROR(VLOOKUP($I312, 'Processed Non-zero DMR Data'!$K:$W, 13, FALSE),"No Reach Code Reported")</f>
        <v>20600030802</v>
      </c>
      <c r="M312" s="107" t="str">
        <f>IFERROR(IFERROR(VLOOKUP(H312, 'Off-site Locations'!$K$3:$O$5, 5, FALSE), VLOOKUP(H312, 'Off-site Locations'!$B$3:$E$4, 4, FALSE)), "No Offsite Transfers")</f>
        <v>No Offsite Transfers</v>
      </c>
      <c r="N312" s="33">
        <f>VLOOKUP($D312, 'COU.OES Summary'!C:E, 3, FALSE)</f>
        <v>365</v>
      </c>
      <c r="O312" s="108">
        <f t="shared" si="56"/>
        <v>0</v>
      </c>
      <c r="P312" s="108">
        <f t="shared" si="57"/>
        <v>1.0603204375E-3</v>
      </c>
      <c r="Q312" s="109" cm="1">
        <f t="array" ref="Q312">IFERROR(_xlfn.XLOOKUP(1,  (MAX(IF(I312 = 'Processed Non-zero DMR Data'!$K:$K,'Processed Non-zero DMR Data'!$A:$A)) = 'Processed Non-zero DMR Data'!$A:$A)*('Processed Non-zero DMR Data'!$K:$K = I312),'Processed Non-zero DMR Data'!$T:$T), "N/A- Facility Does Not Report DMRs")</f>
        <v>1.0257823125000001E-3</v>
      </c>
      <c r="R312" s="33">
        <f t="shared" si="67"/>
        <v>2.8103625000000001E-6</v>
      </c>
      <c r="S312" s="33" cm="1">
        <f t="array" ref="S312">IF(COUNTIF('Processed Non-zero DMR Data'!$K:$K,$I312)&gt;0,MEDIAN(IF('Processed Non-zero DMR Data'!$K:$K=I312,'Processed Non-zero DMR Data'!$T:$T)),"N/A - Facility Does Not Report DMRs")</f>
        <v>7.5638493749999997E-4</v>
      </c>
      <c r="T312" s="33">
        <f t="shared" si="68"/>
        <v>2.0722875E-6</v>
      </c>
      <c r="U312" s="33">
        <f>IF(COUNTIF('Processed Non-zero DMR Data'!$K:$K,$I312)&gt;0,_xlfn.MAXIFS('Processed Non-zero DMR Data'!$T:$T,'Processed Non-zero DMR Data'!$K:$K,$I312), "N/A - Facility Does Not Report DMRs")</f>
        <v>1.0603204375E-3</v>
      </c>
      <c r="V312" s="33">
        <f t="shared" si="69"/>
        <v>2.9049875000000001E-6</v>
      </c>
      <c r="W312" s="110" cm="1">
        <f t="array" ref="W312">IF(COUNTIF('Processed Non-zero DMR Data'!$K:$K,$I312)&gt;0,INDEX('Processed Non-zero DMR Data'!$A:$A,MATCH(1,($I312='Processed Non-zero DMR Data'!$K:$K)*($U312='Processed Non-zero DMR Data'!$T:$T),0)), "N/A - Facility Does Not Report DMRs")</f>
        <v>2022</v>
      </c>
      <c r="X312" s="109" cm="1">
        <f t="array" ref="X312">IFERROR(_xlfn.XLOOKUP(1,  (MAX(IF(H312 = 'Processed Non-zero TRI Data'!$I:$I,'Processed Non-zero TRI Data'!$A:$A)) = 'Processed Non-zero TRI Data'!$A:$A)*('Processed Non-zero TRI Data'!$I:$I = H312), 'Processed Non-zero TRI Data'!$S:$S), "N/A- Facility Does Not Report to TRI")</f>
        <v>0</v>
      </c>
      <c r="Y312" s="33">
        <f t="shared" si="58"/>
        <v>0</v>
      </c>
      <c r="Z312" s="33" t="str" cm="1">
        <f t="array" ref="Z312">IF(COUNTIF('Processed Non-zero TRI Data'!$I:$I,$H312)&gt;0,MEDIAN(IF('Processed Non-zero TRI Data'!$I:$I=H312,'Processed Non-zero TRI Data'!$S:$S)), "N/A - Facility Does Not Report to TRI")</f>
        <v>N/A - Facility Does Not Report to TRI</v>
      </c>
      <c r="AA312" s="33" t="str">
        <f t="shared" si="59"/>
        <v>N/A - Facility Does Not Report to TRI</v>
      </c>
      <c r="AB312" s="33" t="str">
        <f>IF(COUNTIF('Processed Non-zero TRI Data'!$I:$I,$H312)&gt;0,_xlfn.MAXIFS('Processed Non-zero TRI Data'!$S:$S,'Processed Non-zero TRI Data'!$I:$I,$H312), "N/A - Facility Does Not Report to TRI")</f>
        <v>N/A - Facility Does Not Report to TRI</v>
      </c>
      <c r="AC312" s="33" t="str">
        <f t="shared" si="60"/>
        <v>N/A - Facility Does Not Report to TRI</v>
      </c>
      <c r="AD312" s="110" t="str" cm="1">
        <f t="array" ref="AD312">IFERROR(IF(B312 = "TRI Form R", IF(AB312 = 0, "Facility has no on-site water discharges between 2019-2023.",  IF(COUNTIF('Processed Non-zero TRI Data'!$I:$I,$H312)&gt;0,INDEX('Processed Non-zero TRI Data'!$A:$A,MATCH(1,($H312='Processed Non-zero TRI Data'!$I:$I)*(AB312='Processed Non-zero TRI Data'!$S:$S),0)))), VLOOKUP(H312, 'Form A Recent Reporting'!$L:$M, 2, FALSE)), ("N/A - Facility Does Not Report to TRI"))</f>
        <v>N/A - Facility Does Not Report to TRI</v>
      </c>
      <c r="AE312" s="109" cm="1">
        <f t="array" ref="AE312">IFERROR(_xlfn.XLOOKUP(1,  (MAX(IF(H312 = 'Processed Non-zero TRI Data'!$I:$I,'Processed Non-zero TRI Data'!$A:$A)) = 'Processed Non-zero TRI Data'!$A:$A)*('Processed Non-zero TRI Data'!$I:$I = H312), 'Processed Non-zero TRI Data'!$U:$U), "N/A- Facility Does Not Report to TRI")</f>
        <v>0</v>
      </c>
      <c r="AF312" s="33">
        <f t="shared" si="61"/>
        <v>0</v>
      </c>
      <c r="AG312" s="33" t="str" cm="1">
        <f t="array" ref="AG312">IF(COUNTIF('Processed Non-zero TRI Data'!$I:$I,$H312)&gt;0,MEDIAN(IF('Processed Non-zero TRI Data'!$I:$I=H312,'Processed Non-zero TRI Data'!$U:$U)), "N/A - Facility Does Not Report to TRI")</f>
        <v>N/A - Facility Does Not Report to TRI</v>
      </c>
      <c r="AH312" s="33" t="str">
        <f t="shared" si="62"/>
        <v>N/A - Facility Does Not Report to TRI</v>
      </c>
      <c r="AI312" s="33" t="str">
        <f>IF(COUNTIF('Processed Non-zero TRI Data'!$I:$I,$H312)&gt;0,_xlfn.MAXIFS('Processed Non-zero TRI Data'!$U:$U,'Processed Non-zero TRI Data'!$I:$I,$H312), "N/A - Facility Does Not Report to TRI")</f>
        <v>N/A - Facility Does Not Report to TRI</v>
      </c>
      <c r="AJ312" s="33" t="str">
        <f t="shared" si="63"/>
        <v>N/A - Facility Does Not Report to TRI</v>
      </c>
      <c r="AK312" s="110" t="str" cm="1">
        <f t="array" ref="AK312">IF(B312="TRI Form A",AD312,IF(AI312=0,"Facility has no transfers to POTWs between 2019-2023.",IF(COUNTIF('Processed Non-zero TRI Data'!$I:$I,$H312)&gt;0,INDEX('Processed Non-zero TRI Data'!$A:$A,MATCH(1,($H312='Processed Non-zero TRI Data'!$I:$I)*(AI312='Processed Non-zero TRI Data'!$U:$U),0)),"N/A - Facility Does Not Report to TRI")))</f>
        <v>N/A - Facility Does Not Report to TRI</v>
      </c>
      <c r="AL312" s="109" cm="1">
        <f t="array" ref="AL312">IFERROR(_xlfn.XLOOKUP(1,  (MAX(IF(H312 = 'Processed Non-zero TRI Data'!$I$2:$I$23,'Processed Non-zero TRI Data'!$A$2:$A$23)) = 'Processed Non-zero TRI Data'!$A$2:$A$23)*('Processed Non-zero TRI Data'!$I$2:$I$23 = H312), 'Processed Non-zero TRI Data'!$W$2:$W$23), "N/A- Facility Does Not Report to TRI")</f>
        <v>0</v>
      </c>
      <c r="AM312" s="33">
        <f t="shared" si="64"/>
        <v>0</v>
      </c>
      <c r="AN312" s="33" t="str" cm="1">
        <f t="array" ref="AN312">IF(COUNTIF('Processed Non-zero TRI Data'!$I:$I,$H312)&gt;0,MEDIAN(IF('Processed Non-zero TRI Data'!$I:$I=H312,'Processed Non-zero TRI Data'!$W:$W)), "N/A - Facility Does Not Report to TRI")</f>
        <v>N/A - Facility Does Not Report to TRI</v>
      </c>
      <c r="AO312" s="33" t="str">
        <f t="shared" si="65"/>
        <v>N/A - Facility Does Not Report to TRI</v>
      </c>
      <c r="AP312" s="33" t="str">
        <f>IF(COUNTIF('Processed Non-zero TRI Data'!$I:$I,$H312)&gt;0,_xlfn.MAXIFS('Processed Non-zero TRI Data'!$W:$W,'Processed Non-zero TRI Data'!$I:$I,$H312), "N/A - Facility Does Not Report to TRI")</f>
        <v>N/A - Facility Does Not Report to TRI</v>
      </c>
      <c r="AQ312" s="33" t="str">
        <f t="shared" si="66"/>
        <v>N/A - Facility Does Not Report to TRI</v>
      </c>
      <c r="AR312" s="110" t="str" cm="1">
        <f t="array" ref="AR312">IF(B312="TRI Form A",AD312,IF(AP312=0,"Facility has no transfers to non-POTWs between 2019-2023.",IF(COUNTIF('Processed Non-zero TRI Data'!$I:$I,$H312)&gt;0,INDEX('Processed Non-zero TRI Data'!$A:$A,MATCH(1,($H312='Processed Non-zero TRI Data'!$I:$I)*(AP312='Processed Non-zero TRI Data'!$W:$W),0)),"N/A - Facility Does Not Report to TRI")))</f>
        <v>N/A - Facility Does Not Report to TRI</v>
      </c>
    </row>
    <row r="313" spans="1:44" ht="29" x14ac:dyDescent="0.35">
      <c r="A313" s="34">
        <v>310</v>
      </c>
      <c r="B313" s="33" t="str">
        <f>IFERROR("TRI Form "&amp;VLOOKUP(H313,'Processed Non-zero TRI Data'!$I$2:$K$23,3,FALSE),"DMR")</f>
        <v>DMR</v>
      </c>
      <c r="C313" s="33" t="str">
        <f>VLOOKUP($D313, 'COU.OES Summary'!C:D, 2, FALSE)</f>
        <v> </v>
      </c>
      <c r="D313" s="33" t="str">
        <f>IFERROR(VLOOKUP($H313, 'Processed Non-zero TRI Data'!$I:$O, 7, FALSE), VLOOKUP($I313, 'Processed Non-zero DMR Data'!$K:$R, 8, FALSE))</f>
        <v>Waste handling, treatment, and disposal - Remediation or Monitoring</v>
      </c>
      <c r="E313" s="34" t="s">
        <v>675</v>
      </c>
      <c r="F313" s="34" t="s">
        <v>402</v>
      </c>
      <c r="G313" s="34" t="s">
        <v>276</v>
      </c>
      <c r="H313" s="34"/>
      <c r="I313" s="105">
        <v>110071427202</v>
      </c>
      <c r="J313" s="33" t="str">
        <f>IFERROR(VLOOKUP($I313, 'Processed Non-zero DMR Data'!$K:$U, 11, FALSE),"")</f>
        <v>VAG830598</v>
      </c>
      <c r="K313" s="33" t="str">
        <f>IFERROR(VLOOKUP($I313, 'Processed Non-zero DMR Data'!$K:$V, 12, FALSE),"Not Reported")</f>
        <v>Cameron Run</v>
      </c>
      <c r="L313" s="106" t="str">
        <f>IFERROR(VLOOKUP($I313, 'Processed Non-zero DMR Data'!$K:$W, 13, FALSE),"No Reach Code Reported")</f>
        <v>020700100302</v>
      </c>
      <c r="M313" s="107" t="str">
        <f>IFERROR(IFERROR(VLOOKUP(H313, 'Off-site Locations'!$K$3:$O$5, 5, FALSE), VLOOKUP(H313, 'Off-site Locations'!$B$3:$E$4, 4, FALSE)), "No Offsite Transfers")</f>
        <v>No Offsite Transfers</v>
      </c>
      <c r="N313" s="33">
        <f>VLOOKUP($D313, 'COU.OES Summary'!C:E, 3, FALSE)</f>
        <v>365</v>
      </c>
      <c r="O313" s="108">
        <f t="shared" si="56"/>
        <v>0</v>
      </c>
      <c r="P313" s="108">
        <f t="shared" si="57"/>
        <v>1.0137744E-3</v>
      </c>
      <c r="Q313" s="109" cm="1">
        <f t="array" ref="Q313">IFERROR(_xlfn.XLOOKUP(1,  (MAX(IF(I313 = 'Processed Non-zero DMR Data'!$K:$K,'Processed Non-zero DMR Data'!$A:$A)) = 'Processed Non-zero DMR Data'!$A:$A)*('Processed Non-zero DMR Data'!$K:$K = I313),'Processed Non-zero DMR Data'!$T:$T), "N/A- Facility Does Not Report DMRs")</f>
        <v>1.0137744E-3</v>
      </c>
      <c r="R313" s="33">
        <f t="shared" si="67"/>
        <v>2.7774641095890409E-6</v>
      </c>
      <c r="S313" s="33" cm="1">
        <f t="array" ref="S313">IF(COUNTIF('Processed Non-zero DMR Data'!$K:$K,$I313)&gt;0,MEDIAN(IF('Processed Non-zero DMR Data'!$K:$K=I313,'Processed Non-zero DMR Data'!$T:$T)),"N/A - Facility Does Not Report DMRs")</f>
        <v>1.0137744E-3</v>
      </c>
      <c r="T313" s="33">
        <f t="shared" si="68"/>
        <v>2.7774641095890409E-6</v>
      </c>
      <c r="U313" s="33">
        <f>IF(COUNTIF('Processed Non-zero DMR Data'!$K:$K,$I313)&gt;0,_xlfn.MAXIFS('Processed Non-zero DMR Data'!$T:$T,'Processed Non-zero DMR Data'!$K:$K,$I313), "N/A - Facility Does Not Report DMRs")</f>
        <v>1.0137744E-3</v>
      </c>
      <c r="V313" s="33">
        <f t="shared" si="69"/>
        <v>2.7774641095890409E-6</v>
      </c>
      <c r="W313" s="110" cm="1">
        <f t="array" ref="W313">IF(COUNTIF('Processed Non-zero DMR Data'!$K:$K,$I313)&gt;0,INDEX('Processed Non-zero DMR Data'!$A:$A,MATCH(1,($I313='Processed Non-zero DMR Data'!$K:$K)*($U313='Processed Non-zero DMR Data'!$T:$T),0)), "N/A - Facility Does Not Report DMRs")</f>
        <v>2023</v>
      </c>
      <c r="X313" s="109" cm="1">
        <f t="array" ref="X313">IFERROR(_xlfn.XLOOKUP(1,  (MAX(IF(H313 = 'Processed Non-zero TRI Data'!$I:$I,'Processed Non-zero TRI Data'!$A:$A)) = 'Processed Non-zero TRI Data'!$A:$A)*('Processed Non-zero TRI Data'!$I:$I = H313), 'Processed Non-zero TRI Data'!$S:$S), "N/A- Facility Does Not Report to TRI")</f>
        <v>0</v>
      </c>
      <c r="Y313" s="33">
        <f t="shared" si="58"/>
        <v>0</v>
      </c>
      <c r="Z313" s="33" t="str" cm="1">
        <f t="array" ref="Z313">IF(COUNTIF('Processed Non-zero TRI Data'!$I:$I,$H313)&gt;0,MEDIAN(IF('Processed Non-zero TRI Data'!$I:$I=H313,'Processed Non-zero TRI Data'!$S:$S)), "N/A - Facility Does Not Report to TRI")</f>
        <v>N/A - Facility Does Not Report to TRI</v>
      </c>
      <c r="AA313" s="33" t="str">
        <f t="shared" si="59"/>
        <v>N/A - Facility Does Not Report to TRI</v>
      </c>
      <c r="AB313" s="33" t="str">
        <f>IF(COUNTIF('Processed Non-zero TRI Data'!$I:$I,$H313)&gt;0,_xlfn.MAXIFS('Processed Non-zero TRI Data'!$S:$S,'Processed Non-zero TRI Data'!$I:$I,$H313), "N/A - Facility Does Not Report to TRI")</f>
        <v>N/A - Facility Does Not Report to TRI</v>
      </c>
      <c r="AC313" s="33" t="str">
        <f t="shared" si="60"/>
        <v>N/A - Facility Does Not Report to TRI</v>
      </c>
      <c r="AD313" s="110" t="str" cm="1">
        <f t="array" ref="AD313">IFERROR(IF(B313 = "TRI Form R", IF(AB313 = 0, "Facility has no on-site water discharges between 2019-2023.",  IF(COUNTIF('Processed Non-zero TRI Data'!$I:$I,$H313)&gt;0,INDEX('Processed Non-zero TRI Data'!$A:$A,MATCH(1,($H313='Processed Non-zero TRI Data'!$I:$I)*(AB313='Processed Non-zero TRI Data'!$S:$S),0)))), VLOOKUP(H313, 'Form A Recent Reporting'!$L:$M, 2, FALSE)), ("N/A - Facility Does Not Report to TRI"))</f>
        <v>N/A - Facility Does Not Report to TRI</v>
      </c>
      <c r="AE313" s="109" cm="1">
        <f t="array" ref="AE313">IFERROR(_xlfn.XLOOKUP(1,  (MAX(IF(H313 = 'Processed Non-zero TRI Data'!$I:$I,'Processed Non-zero TRI Data'!$A:$A)) = 'Processed Non-zero TRI Data'!$A:$A)*('Processed Non-zero TRI Data'!$I:$I = H313), 'Processed Non-zero TRI Data'!$U:$U), "N/A- Facility Does Not Report to TRI")</f>
        <v>0</v>
      </c>
      <c r="AF313" s="33">
        <f t="shared" si="61"/>
        <v>0</v>
      </c>
      <c r="AG313" s="33" t="str" cm="1">
        <f t="array" ref="AG313">IF(COUNTIF('Processed Non-zero TRI Data'!$I:$I,$H313)&gt;0,MEDIAN(IF('Processed Non-zero TRI Data'!$I:$I=H313,'Processed Non-zero TRI Data'!$U:$U)), "N/A - Facility Does Not Report to TRI")</f>
        <v>N/A - Facility Does Not Report to TRI</v>
      </c>
      <c r="AH313" s="33" t="str">
        <f t="shared" si="62"/>
        <v>N/A - Facility Does Not Report to TRI</v>
      </c>
      <c r="AI313" s="33" t="str">
        <f>IF(COUNTIF('Processed Non-zero TRI Data'!$I:$I,$H313)&gt;0,_xlfn.MAXIFS('Processed Non-zero TRI Data'!$U:$U,'Processed Non-zero TRI Data'!$I:$I,$H313), "N/A - Facility Does Not Report to TRI")</f>
        <v>N/A - Facility Does Not Report to TRI</v>
      </c>
      <c r="AJ313" s="33" t="str">
        <f t="shared" si="63"/>
        <v>N/A - Facility Does Not Report to TRI</v>
      </c>
      <c r="AK313" s="110" t="str" cm="1">
        <f t="array" ref="AK313">IF(B313="TRI Form A",AD313,IF(AI313=0,"Facility has no transfers to POTWs between 2019-2023.",IF(COUNTIF('Processed Non-zero TRI Data'!$I:$I,$H313)&gt;0,INDEX('Processed Non-zero TRI Data'!$A:$A,MATCH(1,($H313='Processed Non-zero TRI Data'!$I:$I)*(AI313='Processed Non-zero TRI Data'!$U:$U),0)),"N/A - Facility Does Not Report to TRI")))</f>
        <v>N/A - Facility Does Not Report to TRI</v>
      </c>
      <c r="AL313" s="109" cm="1">
        <f t="array" ref="AL313">IFERROR(_xlfn.XLOOKUP(1,  (MAX(IF(H313 = 'Processed Non-zero TRI Data'!$I$2:$I$23,'Processed Non-zero TRI Data'!$A$2:$A$23)) = 'Processed Non-zero TRI Data'!$A$2:$A$23)*('Processed Non-zero TRI Data'!$I$2:$I$23 = H313), 'Processed Non-zero TRI Data'!$W$2:$W$23), "N/A- Facility Does Not Report to TRI")</f>
        <v>0</v>
      </c>
      <c r="AM313" s="33">
        <f t="shared" si="64"/>
        <v>0</v>
      </c>
      <c r="AN313" s="33" t="str" cm="1">
        <f t="array" ref="AN313">IF(COUNTIF('Processed Non-zero TRI Data'!$I:$I,$H313)&gt;0,MEDIAN(IF('Processed Non-zero TRI Data'!$I:$I=H313,'Processed Non-zero TRI Data'!$W:$W)), "N/A - Facility Does Not Report to TRI")</f>
        <v>N/A - Facility Does Not Report to TRI</v>
      </c>
      <c r="AO313" s="33" t="str">
        <f t="shared" si="65"/>
        <v>N/A - Facility Does Not Report to TRI</v>
      </c>
      <c r="AP313" s="33" t="str">
        <f>IF(COUNTIF('Processed Non-zero TRI Data'!$I:$I,$H313)&gt;0,_xlfn.MAXIFS('Processed Non-zero TRI Data'!$W:$W,'Processed Non-zero TRI Data'!$I:$I,$H313), "N/A - Facility Does Not Report to TRI")</f>
        <v>N/A - Facility Does Not Report to TRI</v>
      </c>
      <c r="AQ313" s="33" t="str">
        <f t="shared" si="66"/>
        <v>N/A - Facility Does Not Report to TRI</v>
      </c>
      <c r="AR313" s="110" t="str" cm="1">
        <f t="array" ref="AR313">IF(B313="TRI Form A",AD313,IF(AP313=0,"Facility has no transfers to non-POTWs between 2019-2023.",IF(COUNTIF('Processed Non-zero TRI Data'!$I:$I,$H313)&gt;0,INDEX('Processed Non-zero TRI Data'!$A:$A,MATCH(1,($H313='Processed Non-zero TRI Data'!$I:$I)*(AP313='Processed Non-zero TRI Data'!$W:$W),0)),"N/A - Facility Does Not Report to TRI")))</f>
        <v>N/A - Facility Does Not Report to TRI</v>
      </c>
    </row>
    <row r="314" spans="1:44" ht="29" x14ac:dyDescent="0.35">
      <c r="A314" s="34">
        <v>311</v>
      </c>
      <c r="B314" s="33" t="str">
        <f>IFERROR("TRI Form "&amp;VLOOKUP(H314,'Processed Non-zero TRI Data'!$I$2:$K$23,3,FALSE),"DMR")</f>
        <v>DMR</v>
      </c>
      <c r="C314" s="33" t="str">
        <f>VLOOKUP($D314, 'COU.OES Summary'!C:D, 2, FALSE)</f>
        <v> </v>
      </c>
      <c r="D314" s="33" t="str">
        <f>IFERROR(VLOOKUP($H314, 'Processed Non-zero TRI Data'!$I:$O, 7, FALSE), VLOOKUP($I314, 'Processed Non-zero DMR Data'!$K:$R, 8, FALSE))</f>
        <v>Waste handling, treatment, and disposal - Remediation or Monitoring</v>
      </c>
      <c r="E314" s="34" t="s">
        <v>676</v>
      </c>
      <c r="F314" s="34" t="s">
        <v>396</v>
      </c>
      <c r="G314" s="34" t="s">
        <v>276</v>
      </c>
      <c r="H314" s="34"/>
      <c r="I314" s="105">
        <v>110070884090</v>
      </c>
      <c r="J314" s="33" t="str">
        <f>IFERROR(VLOOKUP($I314, 'Processed Non-zero DMR Data'!$K:$U, 11, FALSE),"")</f>
        <v>VAG830558</v>
      </c>
      <c r="K314" s="33" t="str">
        <f>IFERROR(VLOOKUP($I314, 'Processed Non-zero DMR Data'!$K:$V, 12, FALSE),"Not Reported")</f>
        <v>Cameron Run</v>
      </c>
      <c r="L314" s="106">
        <f>IFERROR(VLOOKUP($I314, 'Processed Non-zero DMR Data'!$K:$W, 13, FALSE),"No Reach Code Reported")</f>
        <v>20700100302</v>
      </c>
      <c r="M314" s="107" t="str">
        <f>IFERROR(IFERROR(VLOOKUP(H314, 'Off-site Locations'!$K$3:$O$5, 5, FALSE), VLOOKUP(H314, 'Off-site Locations'!$B$3:$E$4, 4, FALSE)), "No Offsite Transfers")</f>
        <v>No Offsite Transfers</v>
      </c>
      <c r="N314" s="33">
        <f>VLOOKUP($D314, 'COU.OES Summary'!C:E, 3, FALSE)</f>
        <v>365</v>
      </c>
      <c r="O314" s="108">
        <f t="shared" si="56"/>
        <v>0</v>
      </c>
      <c r="P314" s="108">
        <f t="shared" si="57"/>
        <v>1.0046147E-3</v>
      </c>
      <c r="Q314" s="109" cm="1">
        <f t="array" ref="Q314">IFERROR(_xlfn.XLOOKUP(1,  (MAX(IF(I314 = 'Processed Non-zero DMR Data'!$K:$K,'Processed Non-zero DMR Data'!$A:$A)) = 'Processed Non-zero DMR Data'!$A:$A)*('Processed Non-zero DMR Data'!$K:$K = I314),'Processed Non-zero DMR Data'!$T:$T), "N/A- Facility Does Not Report DMRs")</f>
        <v>1.0046147E-3</v>
      </c>
      <c r="R314" s="33">
        <f t="shared" si="67"/>
        <v>2.7523690410958904E-6</v>
      </c>
      <c r="S314" s="33" cm="1">
        <f t="array" ref="S314">IF(COUNTIF('Processed Non-zero DMR Data'!$K:$K,$I314)&gt;0,MEDIAN(IF('Processed Non-zero DMR Data'!$K:$K=I314,'Processed Non-zero DMR Data'!$T:$T)),"N/A - Facility Does Not Report DMRs")</f>
        <v>1.0046147E-3</v>
      </c>
      <c r="T314" s="33">
        <f t="shared" si="68"/>
        <v>2.7523690410958904E-6</v>
      </c>
      <c r="U314" s="33">
        <f>IF(COUNTIF('Processed Non-zero DMR Data'!$K:$K,$I314)&gt;0,_xlfn.MAXIFS('Processed Non-zero DMR Data'!$T:$T,'Processed Non-zero DMR Data'!$K:$K,$I314), "N/A - Facility Does Not Report DMRs")</f>
        <v>1.0046147E-3</v>
      </c>
      <c r="V314" s="33">
        <f t="shared" si="69"/>
        <v>2.7523690410958904E-6</v>
      </c>
      <c r="W314" s="110" cm="1">
        <f t="array" ref="W314">IF(COUNTIF('Processed Non-zero DMR Data'!$K:$K,$I314)&gt;0,INDEX('Processed Non-zero DMR Data'!$A:$A,MATCH(1,($I314='Processed Non-zero DMR Data'!$K:$K)*($U314='Processed Non-zero DMR Data'!$T:$T),0)), "N/A - Facility Does Not Report DMRs")</f>
        <v>2020</v>
      </c>
      <c r="X314" s="109" cm="1">
        <f t="array" ref="X314">IFERROR(_xlfn.XLOOKUP(1,  (MAX(IF(H314 = 'Processed Non-zero TRI Data'!$I:$I,'Processed Non-zero TRI Data'!$A:$A)) = 'Processed Non-zero TRI Data'!$A:$A)*('Processed Non-zero TRI Data'!$I:$I = H314), 'Processed Non-zero TRI Data'!$S:$S), "N/A- Facility Does Not Report to TRI")</f>
        <v>0</v>
      </c>
      <c r="Y314" s="33">
        <f t="shared" si="58"/>
        <v>0</v>
      </c>
      <c r="Z314" s="33" t="str" cm="1">
        <f t="array" ref="Z314">IF(COUNTIF('Processed Non-zero TRI Data'!$I:$I,$H314)&gt;0,MEDIAN(IF('Processed Non-zero TRI Data'!$I:$I=H314,'Processed Non-zero TRI Data'!$S:$S)), "N/A - Facility Does Not Report to TRI")</f>
        <v>N/A - Facility Does Not Report to TRI</v>
      </c>
      <c r="AA314" s="33" t="str">
        <f t="shared" si="59"/>
        <v>N/A - Facility Does Not Report to TRI</v>
      </c>
      <c r="AB314" s="33" t="str">
        <f>IF(COUNTIF('Processed Non-zero TRI Data'!$I:$I,$H314)&gt;0,_xlfn.MAXIFS('Processed Non-zero TRI Data'!$S:$S,'Processed Non-zero TRI Data'!$I:$I,$H314), "N/A - Facility Does Not Report to TRI")</f>
        <v>N/A - Facility Does Not Report to TRI</v>
      </c>
      <c r="AC314" s="33" t="str">
        <f t="shared" si="60"/>
        <v>N/A - Facility Does Not Report to TRI</v>
      </c>
      <c r="AD314" s="110" t="str" cm="1">
        <f t="array" ref="AD314">IFERROR(IF(B314 = "TRI Form R", IF(AB314 = 0, "Facility has no on-site water discharges between 2019-2023.",  IF(COUNTIF('Processed Non-zero TRI Data'!$I:$I,$H314)&gt;0,INDEX('Processed Non-zero TRI Data'!$A:$A,MATCH(1,($H314='Processed Non-zero TRI Data'!$I:$I)*(AB314='Processed Non-zero TRI Data'!$S:$S),0)))), VLOOKUP(H314, 'Form A Recent Reporting'!$L:$M, 2, FALSE)), ("N/A - Facility Does Not Report to TRI"))</f>
        <v>N/A - Facility Does Not Report to TRI</v>
      </c>
      <c r="AE314" s="109" cm="1">
        <f t="array" ref="AE314">IFERROR(_xlfn.XLOOKUP(1,  (MAX(IF(H314 = 'Processed Non-zero TRI Data'!$I:$I,'Processed Non-zero TRI Data'!$A:$A)) = 'Processed Non-zero TRI Data'!$A:$A)*('Processed Non-zero TRI Data'!$I:$I = H314), 'Processed Non-zero TRI Data'!$U:$U), "N/A- Facility Does Not Report to TRI")</f>
        <v>0</v>
      </c>
      <c r="AF314" s="33">
        <f t="shared" si="61"/>
        <v>0</v>
      </c>
      <c r="AG314" s="33" t="str" cm="1">
        <f t="array" ref="AG314">IF(COUNTIF('Processed Non-zero TRI Data'!$I:$I,$H314)&gt;0,MEDIAN(IF('Processed Non-zero TRI Data'!$I:$I=H314,'Processed Non-zero TRI Data'!$U:$U)), "N/A - Facility Does Not Report to TRI")</f>
        <v>N/A - Facility Does Not Report to TRI</v>
      </c>
      <c r="AH314" s="33" t="str">
        <f t="shared" si="62"/>
        <v>N/A - Facility Does Not Report to TRI</v>
      </c>
      <c r="AI314" s="33" t="str">
        <f>IF(COUNTIF('Processed Non-zero TRI Data'!$I:$I,$H314)&gt;0,_xlfn.MAXIFS('Processed Non-zero TRI Data'!$U:$U,'Processed Non-zero TRI Data'!$I:$I,$H314), "N/A - Facility Does Not Report to TRI")</f>
        <v>N/A - Facility Does Not Report to TRI</v>
      </c>
      <c r="AJ314" s="33" t="str">
        <f t="shared" si="63"/>
        <v>N/A - Facility Does Not Report to TRI</v>
      </c>
      <c r="AK314" s="110" t="str" cm="1">
        <f t="array" ref="AK314">IF(B314="TRI Form A",AD314,IF(AI314=0,"Facility has no transfers to POTWs between 2019-2023.",IF(COUNTIF('Processed Non-zero TRI Data'!$I:$I,$H314)&gt;0,INDEX('Processed Non-zero TRI Data'!$A:$A,MATCH(1,($H314='Processed Non-zero TRI Data'!$I:$I)*(AI314='Processed Non-zero TRI Data'!$U:$U),0)),"N/A - Facility Does Not Report to TRI")))</f>
        <v>N/A - Facility Does Not Report to TRI</v>
      </c>
      <c r="AL314" s="109" cm="1">
        <f t="array" ref="AL314">IFERROR(_xlfn.XLOOKUP(1,  (MAX(IF(H314 = 'Processed Non-zero TRI Data'!$I$2:$I$23,'Processed Non-zero TRI Data'!$A$2:$A$23)) = 'Processed Non-zero TRI Data'!$A$2:$A$23)*('Processed Non-zero TRI Data'!$I$2:$I$23 = H314), 'Processed Non-zero TRI Data'!$W$2:$W$23), "N/A- Facility Does Not Report to TRI")</f>
        <v>0</v>
      </c>
      <c r="AM314" s="33">
        <f t="shared" si="64"/>
        <v>0</v>
      </c>
      <c r="AN314" s="33" t="str" cm="1">
        <f t="array" ref="AN314">IF(COUNTIF('Processed Non-zero TRI Data'!$I:$I,$H314)&gt;0,MEDIAN(IF('Processed Non-zero TRI Data'!$I:$I=H314,'Processed Non-zero TRI Data'!$W:$W)), "N/A - Facility Does Not Report to TRI")</f>
        <v>N/A - Facility Does Not Report to TRI</v>
      </c>
      <c r="AO314" s="33" t="str">
        <f t="shared" si="65"/>
        <v>N/A - Facility Does Not Report to TRI</v>
      </c>
      <c r="AP314" s="33" t="str">
        <f>IF(COUNTIF('Processed Non-zero TRI Data'!$I:$I,$H314)&gt;0,_xlfn.MAXIFS('Processed Non-zero TRI Data'!$W:$W,'Processed Non-zero TRI Data'!$I:$I,$H314), "N/A - Facility Does Not Report to TRI")</f>
        <v>N/A - Facility Does Not Report to TRI</v>
      </c>
      <c r="AQ314" s="33" t="str">
        <f t="shared" si="66"/>
        <v>N/A - Facility Does Not Report to TRI</v>
      </c>
      <c r="AR314" s="110" t="str" cm="1">
        <f t="array" ref="AR314">IF(B314="TRI Form A",AD314,IF(AP314=0,"Facility has no transfers to non-POTWs between 2019-2023.",IF(COUNTIF('Processed Non-zero TRI Data'!$I:$I,$H314)&gt;0,INDEX('Processed Non-zero TRI Data'!$A:$A,MATCH(1,($H314='Processed Non-zero TRI Data'!$I:$I)*(AP314='Processed Non-zero TRI Data'!$W:$W),0)),"N/A - Facility Does Not Report to TRI")))</f>
        <v>N/A - Facility Does Not Report to TRI</v>
      </c>
    </row>
    <row r="315" spans="1:44" ht="29" x14ac:dyDescent="0.35">
      <c r="A315" s="34">
        <v>312</v>
      </c>
      <c r="B315" s="33" t="str">
        <f>IFERROR("TRI Form "&amp;VLOOKUP(H315,'Processed Non-zero TRI Data'!$I$2:$K$23,3,FALSE),"DMR")</f>
        <v>DMR</v>
      </c>
      <c r="C315" s="33" t="str">
        <f>VLOOKUP($D315, 'COU.OES Summary'!C:D, 2, FALSE)</f>
        <v> </v>
      </c>
      <c r="D315" s="33" t="str">
        <f>IFERROR(VLOOKUP($H315, 'Processed Non-zero TRI Data'!$I:$O, 7, FALSE), VLOOKUP($I315, 'Processed Non-zero DMR Data'!$K:$R, 8, FALSE))</f>
        <v>Waste handling, treatment, and disposal - Remediation or Monitoring</v>
      </c>
      <c r="E315" s="34" t="s">
        <v>677</v>
      </c>
      <c r="F315" s="34" t="s">
        <v>337</v>
      </c>
      <c r="G315" s="34" t="s">
        <v>221</v>
      </c>
      <c r="H315" s="34"/>
      <c r="I315" s="105">
        <v>110059861065</v>
      </c>
      <c r="J315" s="33" t="str">
        <f>IFERROR(VLOOKUP($I315, 'Processed Non-zero DMR Data'!$K:$U, 11, FALSE),"")</f>
        <v>NV0023558</v>
      </c>
      <c r="K315" s="33" t="str">
        <f>IFERROR(VLOOKUP($I315, 'Processed Non-zero DMR Data'!$K:$V, 12, FALSE),"Not Reported")</f>
        <v>Tropicana Wash</v>
      </c>
      <c r="L315" s="106">
        <f>IFERROR(VLOOKUP($I315, 'Processed Non-zero DMR Data'!$K:$W, 13, FALSE),"No Reach Code Reported")</f>
        <v>150100150505</v>
      </c>
      <c r="M315" s="107" t="str">
        <f>IFERROR(IFERROR(VLOOKUP(H315, 'Off-site Locations'!$K$3:$O$5, 5, FALSE), VLOOKUP(H315, 'Off-site Locations'!$B$3:$E$4, 4, FALSE)), "No Offsite Transfers")</f>
        <v>No Offsite Transfers</v>
      </c>
      <c r="N315" s="33">
        <f>VLOOKUP($D315, 'COU.OES Summary'!C:E, 3, FALSE)</f>
        <v>365</v>
      </c>
      <c r="O315" s="108">
        <f t="shared" si="56"/>
        <v>0</v>
      </c>
      <c r="P315" s="108">
        <f t="shared" si="57"/>
        <v>1.4816855625000001E-3</v>
      </c>
      <c r="Q315" s="109" cm="1">
        <f t="array" ref="Q315">IFERROR(_xlfn.XLOOKUP(1,  (MAX(IF(I315 = 'Processed Non-zero DMR Data'!$K:$K,'Processed Non-zero DMR Data'!$A:$A)) = 'Processed Non-zero DMR Data'!$A:$A)*('Processed Non-zero DMR Data'!$K:$K = I315),'Processed Non-zero DMR Data'!$T:$T), "N/A- Facility Does Not Report DMRs")</f>
        <v>1.0699911124999999E-3</v>
      </c>
      <c r="R315" s="33">
        <f t="shared" si="67"/>
        <v>2.9314824999999998E-6</v>
      </c>
      <c r="S315" s="33" cm="1">
        <f t="array" ref="S315">IF(COUNTIF('Processed Non-zero DMR Data'!$K:$K,$I315)&gt;0,MEDIAN(IF('Processed Non-zero DMR Data'!$K:$K=I315,'Processed Non-zero DMR Data'!$T:$T)),"N/A - Facility Does Not Report DMRs")</f>
        <v>1.0416698499999999E-3</v>
      </c>
      <c r="T315" s="33">
        <f t="shared" si="68"/>
        <v>2.8538899999999996E-6</v>
      </c>
      <c r="U315" s="33">
        <f>IF(COUNTIF('Processed Non-zero DMR Data'!$K:$K,$I315)&gt;0,_xlfn.MAXIFS('Processed Non-zero DMR Data'!$T:$T,'Processed Non-zero DMR Data'!$K:$K,$I315), "N/A - Facility Does Not Report DMRs")</f>
        <v>1.4816855625000001E-3</v>
      </c>
      <c r="V315" s="33">
        <f t="shared" si="69"/>
        <v>4.0594125000000005E-6</v>
      </c>
      <c r="W315" s="110" cm="1">
        <f t="array" ref="W315">IF(COUNTIF('Processed Non-zero DMR Data'!$K:$K,$I315)&gt;0,INDEX('Processed Non-zero DMR Data'!$A:$A,MATCH(1,($I315='Processed Non-zero DMR Data'!$K:$K)*($U315='Processed Non-zero DMR Data'!$T:$T),0)), "N/A - Facility Does Not Report DMRs")</f>
        <v>2020</v>
      </c>
      <c r="X315" s="109" cm="1">
        <f t="array" ref="X315">IFERROR(_xlfn.XLOOKUP(1,  (MAX(IF(H315 = 'Processed Non-zero TRI Data'!$I:$I,'Processed Non-zero TRI Data'!$A:$A)) = 'Processed Non-zero TRI Data'!$A:$A)*('Processed Non-zero TRI Data'!$I:$I = H315), 'Processed Non-zero TRI Data'!$S:$S), "N/A- Facility Does Not Report to TRI")</f>
        <v>0</v>
      </c>
      <c r="Y315" s="33">
        <f t="shared" si="58"/>
        <v>0</v>
      </c>
      <c r="Z315" s="33" t="str" cm="1">
        <f t="array" ref="Z315">IF(COUNTIF('Processed Non-zero TRI Data'!$I:$I,$H315)&gt;0,MEDIAN(IF('Processed Non-zero TRI Data'!$I:$I=H315,'Processed Non-zero TRI Data'!$S:$S)), "N/A - Facility Does Not Report to TRI")</f>
        <v>N/A - Facility Does Not Report to TRI</v>
      </c>
      <c r="AA315" s="33" t="str">
        <f t="shared" si="59"/>
        <v>N/A - Facility Does Not Report to TRI</v>
      </c>
      <c r="AB315" s="33" t="str">
        <f>IF(COUNTIF('Processed Non-zero TRI Data'!$I:$I,$H315)&gt;0,_xlfn.MAXIFS('Processed Non-zero TRI Data'!$S:$S,'Processed Non-zero TRI Data'!$I:$I,$H315), "N/A - Facility Does Not Report to TRI")</f>
        <v>N/A - Facility Does Not Report to TRI</v>
      </c>
      <c r="AC315" s="33" t="str">
        <f t="shared" si="60"/>
        <v>N/A - Facility Does Not Report to TRI</v>
      </c>
      <c r="AD315" s="110" t="str" cm="1">
        <f t="array" ref="AD315">IFERROR(IF(B315 = "TRI Form R", IF(AB315 = 0, "Facility has no on-site water discharges between 2019-2023.",  IF(COUNTIF('Processed Non-zero TRI Data'!$I:$I,$H315)&gt;0,INDEX('Processed Non-zero TRI Data'!$A:$A,MATCH(1,($H315='Processed Non-zero TRI Data'!$I:$I)*(AB315='Processed Non-zero TRI Data'!$S:$S),0)))), VLOOKUP(H315, 'Form A Recent Reporting'!$L:$M, 2, FALSE)), ("N/A - Facility Does Not Report to TRI"))</f>
        <v>N/A - Facility Does Not Report to TRI</v>
      </c>
      <c r="AE315" s="109" cm="1">
        <f t="array" ref="AE315">IFERROR(_xlfn.XLOOKUP(1,  (MAX(IF(H315 = 'Processed Non-zero TRI Data'!$I:$I,'Processed Non-zero TRI Data'!$A:$A)) = 'Processed Non-zero TRI Data'!$A:$A)*('Processed Non-zero TRI Data'!$I:$I = H315), 'Processed Non-zero TRI Data'!$U:$U), "N/A- Facility Does Not Report to TRI")</f>
        <v>0</v>
      </c>
      <c r="AF315" s="33">
        <f t="shared" si="61"/>
        <v>0</v>
      </c>
      <c r="AG315" s="33" t="str" cm="1">
        <f t="array" ref="AG315">IF(COUNTIF('Processed Non-zero TRI Data'!$I:$I,$H315)&gt;0,MEDIAN(IF('Processed Non-zero TRI Data'!$I:$I=H315,'Processed Non-zero TRI Data'!$U:$U)), "N/A - Facility Does Not Report to TRI")</f>
        <v>N/A - Facility Does Not Report to TRI</v>
      </c>
      <c r="AH315" s="33" t="str">
        <f t="shared" si="62"/>
        <v>N/A - Facility Does Not Report to TRI</v>
      </c>
      <c r="AI315" s="33" t="str">
        <f>IF(COUNTIF('Processed Non-zero TRI Data'!$I:$I,$H315)&gt;0,_xlfn.MAXIFS('Processed Non-zero TRI Data'!$U:$U,'Processed Non-zero TRI Data'!$I:$I,$H315), "N/A - Facility Does Not Report to TRI")</f>
        <v>N/A - Facility Does Not Report to TRI</v>
      </c>
      <c r="AJ315" s="33" t="str">
        <f t="shared" si="63"/>
        <v>N/A - Facility Does Not Report to TRI</v>
      </c>
      <c r="AK315" s="110" t="str" cm="1">
        <f t="array" ref="AK315">IF(B315="TRI Form A",AD315,IF(AI315=0,"Facility has no transfers to POTWs between 2019-2023.",IF(COUNTIF('Processed Non-zero TRI Data'!$I:$I,$H315)&gt;0,INDEX('Processed Non-zero TRI Data'!$A:$A,MATCH(1,($H315='Processed Non-zero TRI Data'!$I:$I)*(AI315='Processed Non-zero TRI Data'!$U:$U),0)),"N/A - Facility Does Not Report to TRI")))</f>
        <v>N/A - Facility Does Not Report to TRI</v>
      </c>
      <c r="AL315" s="109" cm="1">
        <f t="array" ref="AL315">IFERROR(_xlfn.XLOOKUP(1,  (MAX(IF(H315 = 'Processed Non-zero TRI Data'!$I$2:$I$23,'Processed Non-zero TRI Data'!$A$2:$A$23)) = 'Processed Non-zero TRI Data'!$A$2:$A$23)*('Processed Non-zero TRI Data'!$I$2:$I$23 = H315), 'Processed Non-zero TRI Data'!$W$2:$W$23), "N/A- Facility Does Not Report to TRI")</f>
        <v>0</v>
      </c>
      <c r="AM315" s="33">
        <f t="shared" si="64"/>
        <v>0</v>
      </c>
      <c r="AN315" s="33" t="str" cm="1">
        <f t="array" ref="AN315">IF(COUNTIF('Processed Non-zero TRI Data'!$I:$I,$H315)&gt;0,MEDIAN(IF('Processed Non-zero TRI Data'!$I:$I=H315,'Processed Non-zero TRI Data'!$W:$W)), "N/A - Facility Does Not Report to TRI")</f>
        <v>N/A - Facility Does Not Report to TRI</v>
      </c>
      <c r="AO315" s="33" t="str">
        <f t="shared" si="65"/>
        <v>N/A - Facility Does Not Report to TRI</v>
      </c>
      <c r="AP315" s="33" t="str">
        <f>IF(COUNTIF('Processed Non-zero TRI Data'!$I:$I,$H315)&gt;0,_xlfn.MAXIFS('Processed Non-zero TRI Data'!$W:$W,'Processed Non-zero TRI Data'!$I:$I,$H315), "N/A - Facility Does Not Report to TRI")</f>
        <v>N/A - Facility Does Not Report to TRI</v>
      </c>
      <c r="AQ315" s="33" t="str">
        <f t="shared" si="66"/>
        <v>N/A - Facility Does Not Report to TRI</v>
      </c>
      <c r="AR315" s="110" t="str" cm="1">
        <f t="array" ref="AR315">IF(B315="TRI Form A",AD315,IF(AP315=0,"Facility has no transfers to non-POTWs between 2019-2023.",IF(COUNTIF('Processed Non-zero TRI Data'!$I:$I,$H315)&gt;0,INDEX('Processed Non-zero TRI Data'!$A:$A,MATCH(1,($H315='Processed Non-zero TRI Data'!$I:$I)*(AP315='Processed Non-zero TRI Data'!$W:$W),0)),"N/A - Facility Does Not Report to TRI")))</f>
        <v>N/A - Facility Does Not Report to TRI</v>
      </c>
    </row>
    <row r="316" spans="1:44" ht="29" x14ac:dyDescent="0.35">
      <c r="A316" s="34">
        <v>313</v>
      </c>
      <c r="B316" s="33" t="str">
        <f>IFERROR("TRI Form "&amp;VLOOKUP(H316,'Processed Non-zero TRI Data'!$I$2:$K$23,3,FALSE),"DMR")</f>
        <v>DMR</v>
      </c>
      <c r="C316" s="33" t="str">
        <f>VLOOKUP($D316, 'COU.OES Summary'!C:D, 2, FALSE)</f>
        <v> </v>
      </c>
      <c r="D316" s="33" t="str">
        <f>IFERROR(VLOOKUP($H316, 'Processed Non-zero TRI Data'!$I:$O, 7, FALSE), VLOOKUP($I316, 'Processed Non-zero DMR Data'!$K:$R, 8, FALSE))</f>
        <v>Waste handling, treatment, and disposal - POTW</v>
      </c>
      <c r="E316" s="34" t="s">
        <v>678</v>
      </c>
      <c r="F316" s="34" t="s">
        <v>396</v>
      </c>
      <c r="G316" s="34" t="s">
        <v>108</v>
      </c>
      <c r="H316" s="34"/>
      <c r="I316" s="105">
        <v>110013680837</v>
      </c>
      <c r="J316" s="33" t="str">
        <f>IFERROR(VLOOKUP($I316, 'Processed Non-zero DMR Data'!$K:$U, 11, FALSE),"")</f>
        <v>KY0105031</v>
      </c>
      <c r="K316" s="33" t="str">
        <f>IFERROR(VLOOKUP($I316, 'Processed Non-zero DMR Data'!$K:$V, 12, FALSE),"Not Reported")</f>
        <v>Twelvemile Creek</v>
      </c>
      <c r="L316" s="106">
        <f>IFERROR(VLOOKUP($I316, 'Processed Non-zero DMR Data'!$K:$W, 13, FALSE),"No Reach Code Reported")</f>
        <v>50902011205</v>
      </c>
      <c r="M316" s="107" t="str">
        <f>IFERROR(IFERROR(VLOOKUP(H316, 'Off-site Locations'!$K$3:$O$5, 5, FALSE), VLOOKUP(H316, 'Off-site Locations'!$B$3:$E$4, 4, FALSE)), "No Offsite Transfers")</f>
        <v>No Offsite Transfers</v>
      </c>
      <c r="N316" s="33">
        <f>VLOOKUP($D316, 'COU.OES Summary'!C:E, 3, FALSE)</f>
        <v>365</v>
      </c>
      <c r="O316" s="108">
        <f t="shared" si="56"/>
        <v>0</v>
      </c>
      <c r="P316" s="108">
        <f t="shared" si="57"/>
        <v>7.5293112500000002E-4</v>
      </c>
      <c r="Q316" s="109" cm="1">
        <f t="array" ref="Q316">IFERROR(_xlfn.XLOOKUP(1,  (MAX(IF(I316 = 'Processed Non-zero DMR Data'!$K:$K,'Processed Non-zero DMR Data'!$A:$A)) = 'Processed Non-zero DMR Data'!$A:$A)*('Processed Non-zero DMR Data'!$K:$K = I316),'Processed Non-zero DMR Data'!$T:$T), "N/A- Facility Does Not Report DMRs")</f>
        <v>7.5293112500000002E-4</v>
      </c>
      <c r="R316" s="33">
        <f t="shared" si="67"/>
        <v>2.062825E-6</v>
      </c>
      <c r="S316" s="33" cm="1">
        <f t="array" ref="S316">IF(COUNTIF('Processed Non-zero DMR Data'!$K:$K,$I316)&gt;0,MEDIAN(IF('Processed Non-zero DMR Data'!$K:$K=I316,'Processed Non-zero DMR Data'!$T:$T)),"N/A - Facility Does Not Report DMRs")</f>
        <v>7.5293112500000002E-4</v>
      </c>
      <c r="T316" s="33">
        <f t="shared" si="68"/>
        <v>2.062825E-6</v>
      </c>
      <c r="U316" s="33">
        <f>IF(COUNTIF('Processed Non-zero DMR Data'!$K:$K,$I316)&gt;0,_xlfn.MAXIFS('Processed Non-zero DMR Data'!$T:$T,'Processed Non-zero DMR Data'!$K:$K,$I316), "N/A - Facility Does Not Report DMRs")</f>
        <v>7.5293112500000002E-4</v>
      </c>
      <c r="V316" s="33">
        <f t="shared" si="69"/>
        <v>2.062825E-6</v>
      </c>
      <c r="W316" s="110" cm="1">
        <f t="array" ref="W316">IF(COUNTIF('Processed Non-zero DMR Data'!$K:$K,$I316)&gt;0,INDEX('Processed Non-zero DMR Data'!$A:$A,MATCH(1,($I316='Processed Non-zero DMR Data'!$K:$K)*($U316='Processed Non-zero DMR Data'!$T:$T),0)), "N/A - Facility Does Not Report DMRs")</f>
        <v>2020</v>
      </c>
      <c r="X316" s="109" cm="1">
        <f t="array" ref="X316">IFERROR(_xlfn.XLOOKUP(1,  (MAX(IF(H316 = 'Processed Non-zero TRI Data'!$I:$I,'Processed Non-zero TRI Data'!$A:$A)) = 'Processed Non-zero TRI Data'!$A:$A)*('Processed Non-zero TRI Data'!$I:$I = H316), 'Processed Non-zero TRI Data'!$S:$S), "N/A- Facility Does Not Report to TRI")</f>
        <v>0</v>
      </c>
      <c r="Y316" s="33">
        <f t="shared" si="58"/>
        <v>0</v>
      </c>
      <c r="Z316" s="33" t="str" cm="1">
        <f t="array" ref="Z316">IF(COUNTIF('Processed Non-zero TRI Data'!$I:$I,$H316)&gt;0,MEDIAN(IF('Processed Non-zero TRI Data'!$I:$I=H316,'Processed Non-zero TRI Data'!$S:$S)), "N/A - Facility Does Not Report to TRI")</f>
        <v>N/A - Facility Does Not Report to TRI</v>
      </c>
      <c r="AA316" s="33" t="str">
        <f t="shared" si="59"/>
        <v>N/A - Facility Does Not Report to TRI</v>
      </c>
      <c r="AB316" s="33" t="str">
        <f>IF(COUNTIF('Processed Non-zero TRI Data'!$I:$I,$H316)&gt;0,_xlfn.MAXIFS('Processed Non-zero TRI Data'!$S:$S,'Processed Non-zero TRI Data'!$I:$I,$H316), "N/A - Facility Does Not Report to TRI")</f>
        <v>N/A - Facility Does Not Report to TRI</v>
      </c>
      <c r="AC316" s="33" t="str">
        <f t="shared" si="60"/>
        <v>N/A - Facility Does Not Report to TRI</v>
      </c>
      <c r="AD316" s="110" t="str" cm="1">
        <f t="array" ref="AD316">IFERROR(IF(B316 = "TRI Form R", IF(AB316 = 0, "Facility has no on-site water discharges between 2019-2023.",  IF(COUNTIF('Processed Non-zero TRI Data'!$I:$I,$H316)&gt;0,INDEX('Processed Non-zero TRI Data'!$A:$A,MATCH(1,($H316='Processed Non-zero TRI Data'!$I:$I)*(AB316='Processed Non-zero TRI Data'!$S:$S),0)))), VLOOKUP(H316, 'Form A Recent Reporting'!$L:$M, 2, FALSE)), ("N/A - Facility Does Not Report to TRI"))</f>
        <v>N/A - Facility Does Not Report to TRI</v>
      </c>
      <c r="AE316" s="109" cm="1">
        <f t="array" ref="AE316">IFERROR(_xlfn.XLOOKUP(1,  (MAX(IF(H316 = 'Processed Non-zero TRI Data'!$I:$I,'Processed Non-zero TRI Data'!$A:$A)) = 'Processed Non-zero TRI Data'!$A:$A)*('Processed Non-zero TRI Data'!$I:$I = H316), 'Processed Non-zero TRI Data'!$U:$U), "N/A- Facility Does Not Report to TRI")</f>
        <v>0</v>
      </c>
      <c r="AF316" s="33">
        <f t="shared" si="61"/>
        <v>0</v>
      </c>
      <c r="AG316" s="33" t="str" cm="1">
        <f t="array" ref="AG316">IF(COUNTIF('Processed Non-zero TRI Data'!$I:$I,$H316)&gt;0,MEDIAN(IF('Processed Non-zero TRI Data'!$I:$I=H316,'Processed Non-zero TRI Data'!$U:$U)), "N/A - Facility Does Not Report to TRI")</f>
        <v>N/A - Facility Does Not Report to TRI</v>
      </c>
      <c r="AH316" s="33" t="str">
        <f t="shared" si="62"/>
        <v>N/A - Facility Does Not Report to TRI</v>
      </c>
      <c r="AI316" s="33" t="str">
        <f>IF(COUNTIF('Processed Non-zero TRI Data'!$I:$I,$H316)&gt;0,_xlfn.MAXIFS('Processed Non-zero TRI Data'!$U:$U,'Processed Non-zero TRI Data'!$I:$I,$H316), "N/A - Facility Does Not Report to TRI")</f>
        <v>N/A - Facility Does Not Report to TRI</v>
      </c>
      <c r="AJ316" s="33" t="str">
        <f t="shared" si="63"/>
        <v>N/A - Facility Does Not Report to TRI</v>
      </c>
      <c r="AK316" s="110" t="str" cm="1">
        <f t="array" ref="AK316">IF(B316="TRI Form A",AD316,IF(AI316=0,"Facility has no transfers to POTWs between 2019-2023.",IF(COUNTIF('Processed Non-zero TRI Data'!$I:$I,$H316)&gt;0,INDEX('Processed Non-zero TRI Data'!$A:$A,MATCH(1,($H316='Processed Non-zero TRI Data'!$I:$I)*(AI316='Processed Non-zero TRI Data'!$U:$U),0)),"N/A - Facility Does Not Report to TRI")))</f>
        <v>N/A - Facility Does Not Report to TRI</v>
      </c>
      <c r="AL316" s="109" cm="1">
        <f t="array" ref="AL316">IFERROR(_xlfn.XLOOKUP(1,  (MAX(IF(H316 = 'Processed Non-zero TRI Data'!$I$2:$I$23,'Processed Non-zero TRI Data'!$A$2:$A$23)) = 'Processed Non-zero TRI Data'!$A$2:$A$23)*('Processed Non-zero TRI Data'!$I$2:$I$23 = H316), 'Processed Non-zero TRI Data'!$W$2:$W$23), "N/A- Facility Does Not Report to TRI")</f>
        <v>0</v>
      </c>
      <c r="AM316" s="33">
        <f t="shared" si="64"/>
        <v>0</v>
      </c>
      <c r="AN316" s="33" t="str" cm="1">
        <f t="array" ref="AN316">IF(COUNTIF('Processed Non-zero TRI Data'!$I:$I,$H316)&gt;0,MEDIAN(IF('Processed Non-zero TRI Data'!$I:$I=H316,'Processed Non-zero TRI Data'!$W:$W)), "N/A - Facility Does Not Report to TRI")</f>
        <v>N/A - Facility Does Not Report to TRI</v>
      </c>
      <c r="AO316" s="33" t="str">
        <f t="shared" si="65"/>
        <v>N/A - Facility Does Not Report to TRI</v>
      </c>
      <c r="AP316" s="33" t="str">
        <f>IF(COUNTIF('Processed Non-zero TRI Data'!$I:$I,$H316)&gt;0,_xlfn.MAXIFS('Processed Non-zero TRI Data'!$W:$W,'Processed Non-zero TRI Data'!$I:$I,$H316), "N/A - Facility Does Not Report to TRI")</f>
        <v>N/A - Facility Does Not Report to TRI</v>
      </c>
      <c r="AQ316" s="33" t="str">
        <f t="shared" si="66"/>
        <v>N/A - Facility Does Not Report to TRI</v>
      </c>
      <c r="AR316" s="110" t="str" cm="1">
        <f t="array" ref="AR316">IF(B316="TRI Form A",AD316,IF(AP316=0,"Facility has no transfers to non-POTWs between 2019-2023.",IF(COUNTIF('Processed Non-zero TRI Data'!$I:$I,$H316)&gt;0,INDEX('Processed Non-zero TRI Data'!$A:$A,MATCH(1,($H316='Processed Non-zero TRI Data'!$I:$I)*(AP316='Processed Non-zero TRI Data'!$W:$W),0)),"N/A - Facility Does Not Report to TRI")))</f>
        <v>N/A - Facility Does Not Report to TRI</v>
      </c>
    </row>
    <row r="317" spans="1:44" ht="29" x14ac:dyDescent="0.35">
      <c r="A317" s="34">
        <v>314</v>
      </c>
      <c r="B317" s="33" t="str">
        <f>IFERROR("TRI Form "&amp;VLOOKUP(H317,'Processed Non-zero TRI Data'!$I$2:$K$23,3,FALSE),"DMR")</f>
        <v>DMR</v>
      </c>
      <c r="C317" s="33" t="str">
        <f>VLOOKUP($D317, 'COU.OES Summary'!C:D, 2, FALSE)</f>
        <v> </v>
      </c>
      <c r="D317" s="33" t="str">
        <f>IFERROR(VLOOKUP($H317, 'Processed Non-zero TRI Data'!$I:$O, 7, FALSE), VLOOKUP($I317, 'Processed Non-zero DMR Data'!$K:$R, 8, FALSE))</f>
        <v>Waste handling, treatment, and disposal - Remediation or Monitoring</v>
      </c>
      <c r="E317" s="34" t="s">
        <v>679</v>
      </c>
      <c r="F317" s="34" t="s">
        <v>680</v>
      </c>
      <c r="G317" s="34" t="s">
        <v>515</v>
      </c>
      <c r="H317" s="34"/>
      <c r="I317" s="105">
        <v>110000339027</v>
      </c>
      <c r="J317" s="33" t="str">
        <f>IFERROR(VLOOKUP($I317, 'Processed Non-zero DMR Data'!$K:$U, 11, FALSE),"")</f>
        <v>DE0000035</v>
      </c>
      <c r="K317" s="33" t="str">
        <f>IFERROR(VLOOKUP($I317, 'Processed Non-zero DMR Data'!$K:$V, 12, FALSE),"Not Reported")</f>
        <v>Butler Mill Branch-Nanticoke River</v>
      </c>
      <c r="L317" s="106">
        <f>IFERROR(VLOOKUP($I317, 'Processed Non-zero DMR Data'!$K:$W, 13, FALSE),"No Reach Code Reported")</f>
        <v>20801090405</v>
      </c>
      <c r="M317" s="107" t="str">
        <f>IFERROR(IFERROR(VLOOKUP(H317, 'Off-site Locations'!$K$3:$O$5, 5, FALSE), VLOOKUP(H317, 'Off-site Locations'!$B$3:$E$4, 4, FALSE)), "No Offsite Transfers")</f>
        <v>No Offsite Transfers</v>
      </c>
      <c r="N317" s="33">
        <f>VLOOKUP($D317, 'COU.OES Summary'!C:E, 3, FALSE)</f>
        <v>365</v>
      </c>
      <c r="O317" s="108">
        <f t="shared" si="56"/>
        <v>0</v>
      </c>
      <c r="P317" s="108">
        <f t="shared" si="57"/>
        <v>7.0370000000000003E-4</v>
      </c>
      <c r="Q317" s="109" cm="1">
        <f t="array" ref="Q317">IFERROR(_xlfn.XLOOKUP(1,  (MAX(IF(I317 = 'Processed Non-zero DMR Data'!$K:$K,'Processed Non-zero DMR Data'!$A:$A)) = 'Processed Non-zero DMR Data'!$A:$A)*('Processed Non-zero DMR Data'!$K:$K = I317),'Processed Non-zero DMR Data'!$T:$T), "N/A- Facility Does Not Report DMRs")</f>
        <v>4.9258999999999997E-5</v>
      </c>
      <c r="R317" s="33">
        <f t="shared" si="67"/>
        <v>1.3495616438356163E-7</v>
      </c>
      <c r="S317" s="33" cm="1">
        <f t="array" ref="S317">IF(COUNTIF('Processed Non-zero DMR Data'!$K:$K,$I317)&gt;0,MEDIAN(IF('Processed Non-zero DMR Data'!$K:$K=I317,'Processed Non-zero DMR Data'!$T:$T)),"N/A - Facility Does Not Report DMRs")</f>
        <v>9.1481E-5</v>
      </c>
      <c r="T317" s="33">
        <f t="shared" si="68"/>
        <v>2.5063287671232879E-7</v>
      </c>
      <c r="U317" s="33">
        <f>IF(COUNTIF('Processed Non-zero DMR Data'!$K:$K,$I317)&gt;0,_xlfn.MAXIFS('Processed Non-zero DMR Data'!$T:$T,'Processed Non-zero DMR Data'!$K:$K,$I317), "N/A - Facility Does Not Report DMRs")</f>
        <v>7.0370000000000003E-4</v>
      </c>
      <c r="V317" s="33">
        <f t="shared" si="69"/>
        <v>1.9279452054794522E-6</v>
      </c>
      <c r="W317" s="110" cm="1">
        <f t="array" ref="W317">IF(COUNTIF('Processed Non-zero DMR Data'!$K:$K,$I317)&gt;0,INDEX('Processed Non-zero DMR Data'!$A:$A,MATCH(1,($I317='Processed Non-zero DMR Data'!$K:$K)*($U317='Processed Non-zero DMR Data'!$T:$T),0)), "N/A - Facility Does Not Report DMRs")</f>
        <v>2020</v>
      </c>
      <c r="X317" s="109" cm="1">
        <f t="array" ref="X317">IFERROR(_xlfn.XLOOKUP(1,  (MAX(IF(H317 = 'Processed Non-zero TRI Data'!$I:$I,'Processed Non-zero TRI Data'!$A:$A)) = 'Processed Non-zero TRI Data'!$A:$A)*('Processed Non-zero TRI Data'!$I:$I = H317), 'Processed Non-zero TRI Data'!$S:$S), "N/A- Facility Does Not Report to TRI")</f>
        <v>0</v>
      </c>
      <c r="Y317" s="33">
        <f t="shared" si="58"/>
        <v>0</v>
      </c>
      <c r="Z317" s="33" t="str" cm="1">
        <f t="array" ref="Z317">IF(COUNTIF('Processed Non-zero TRI Data'!$I:$I,$H317)&gt;0,MEDIAN(IF('Processed Non-zero TRI Data'!$I:$I=H317,'Processed Non-zero TRI Data'!$S:$S)), "N/A - Facility Does Not Report to TRI")</f>
        <v>N/A - Facility Does Not Report to TRI</v>
      </c>
      <c r="AA317" s="33" t="str">
        <f t="shared" si="59"/>
        <v>N/A - Facility Does Not Report to TRI</v>
      </c>
      <c r="AB317" s="33" t="str">
        <f>IF(COUNTIF('Processed Non-zero TRI Data'!$I:$I,$H317)&gt;0,_xlfn.MAXIFS('Processed Non-zero TRI Data'!$S:$S,'Processed Non-zero TRI Data'!$I:$I,$H317), "N/A - Facility Does Not Report to TRI")</f>
        <v>N/A - Facility Does Not Report to TRI</v>
      </c>
      <c r="AC317" s="33" t="str">
        <f t="shared" si="60"/>
        <v>N/A - Facility Does Not Report to TRI</v>
      </c>
      <c r="AD317" s="110" t="str" cm="1">
        <f t="array" ref="AD317">IFERROR(IF(B317 = "TRI Form R", IF(AB317 = 0, "Facility has no on-site water discharges between 2019-2023.",  IF(COUNTIF('Processed Non-zero TRI Data'!$I:$I,$H317)&gt;0,INDEX('Processed Non-zero TRI Data'!$A:$A,MATCH(1,($H317='Processed Non-zero TRI Data'!$I:$I)*(AB317='Processed Non-zero TRI Data'!$S:$S),0)))), VLOOKUP(H317, 'Form A Recent Reporting'!$L:$M, 2, FALSE)), ("N/A - Facility Does Not Report to TRI"))</f>
        <v>N/A - Facility Does Not Report to TRI</v>
      </c>
      <c r="AE317" s="109" cm="1">
        <f t="array" ref="AE317">IFERROR(_xlfn.XLOOKUP(1,  (MAX(IF(H317 = 'Processed Non-zero TRI Data'!$I:$I,'Processed Non-zero TRI Data'!$A:$A)) = 'Processed Non-zero TRI Data'!$A:$A)*('Processed Non-zero TRI Data'!$I:$I = H317), 'Processed Non-zero TRI Data'!$U:$U), "N/A- Facility Does Not Report to TRI")</f>
        <v>0</v>
      </c>
      <c r="AF317" s="33">
        <f t="shared" si="61"/>
        <v>0</v>
      </c>
      <c r="AG317" s="33" t="str" cm="1">
        <f t="array" ref="AG317">IF(COUNTIF('Processed Non-zero TRI Data'!$I:$I,$H317)&gt;0,MEDIAN(IF('Processed Non-zero TRI Data'!$I:$I=H317,'Processed Non-zero TRI Data'!$U:$U)), "N/A - Facility Does Not Report to TRI")</f>
        <v>N/A - Facility Does Not Report to TRI</v>
      </c>
      <c r="AH317" s="33" t="str">
        <f t="shared" si="62"/>
        <v>N/A - Facility Does Not Report to TRI</v>
      </c>
      <c r="AI317" s="33" t="str">
        <f>IF(COUNTIF('Processed Non-zero TRI Data'!$I:$I,$H317)&gt;0,_xlfn.MAXIFS('Processed Non-zero TRI Data'!$U:$U,'Processed Non-zero TRI Data'!$I:$I,$H317), "N/A - Facility Does Not Report to TRI")</f>
        <v>N/A - Facility Does Not Report to TRI</v>
      </c>
      <c r="AJ317" s="33" t="str">
        <f t="shared" si="63"/>
        <v>N/A - Facility Does Not Report to TRI</v>
      </c>
      <c r="AK317" s="110" t="str" cm="1">
        <f t="array" ref="AK317">IF(B317="TRI Form A",AD317,IF(AI317=0,"Facility has no transfers to POTWs between 2019-2023.",IF(COUNTIF('Processed Non-zero TRI Data'!$I:$I,$H317)&gt;0,INDEX('Processed Non-zero TRI Data'!$A:$A,MATCH(1,($H317='Processed Non-zero TRI Data'!$I:$I)*(AI317='Processed Non-zero TRI Data'!$U:$U),0)),"N/A - Facility Does Not Report to TRI")))</f>
        <v>N/A - Facility Does Not Report to TRI</v>
      </c>
      <c r="AL317" s="109" cm="1">
        <f t="array" ref="AL317">IFERROR(_xlfn.XLOOKUP(1,  (MAX(IF(H317 = 'Processed Non-zero TRI Data'!$I$2:$I$23,'Processed Non-zero TRI Data'!$A$2:$A$23)) = 'Processed Non-zero TRI Data'!$A$2:$A$23)*('Processed Non-zero TRI Data'!$I$2:$I$23 = H317), 'Processed Non-zero TRI Data'!$W$2:$W$23), "N/A- Facility Does Not Report to TRI")</f>
        <v>0</v>
      </c>
      <c r="AM317" s="33">
        <f t="shared" si="64"/>
        <v>0</v>
      </c>
      <c r="AN317" s="33" t="str" cm="1">
        <f t="array" ref="AN317">IF(COUNTIF('Processed Non-zero TRI Data'!$I:$I,$H317)&gt;0,MEDIAN(IF('Processed Non-zero TRI Data'!$I:$I=H317,'Processed Non-zero TRI Data'!$W:$W)), "N/A - Facility Does Not Report to TRI")</f>
        <v>N/A - Facility Does Not Report to TRI</v>
      </c>
      <c r="AO317" s="33" t="str">
        <f t="shared" si="65"/>
        <v>N/A - Facility Does Not Report to TRI</v>
      </c>
      <c r="AP317" s="33" t="str">
        <f>IF(COUNTIF('Processed Non-zero TRI Data'!$I:$I,$H317)&gt;0,_xlfn.MAXIFS('Processed Non-zero TRI Data'!$W:$W,'Processed Non-zero TRI Data'!$I:$I,$H317), "N/A - Facility Does Not Report to TRI")</f>
        <v>N/A - Facility Does Not Report to TRI</v>
      </c>
      <c r="AQ317" s="33" t="str">
        <f t="shared" si="66"/>
        <v>N/A - Facility Does Not Report to TRI</v>
      </c>
      <c r="AR317" s="110" t="str" cm="1">
        <f t="array" ref="AR317">IF(B317="TRI Form A",AD317,IF(AP317=0,"Facility has no transfers to non-POTWs between 2019-2023.",IF(COUNTIF('Processed Non-zero TRI Data'!$I:$I,$H317)&gt;0,INDEX('Processed Non-zero TRI Data'!$A:$A,MATCH(1,($H317='Processed Non-zero TRI Data'!$I:$I)*(AP317='Processed Non-zero TRI Data'!$W:$W),0)),"N/A - Facility Does Not Report to TRI")))</f>
        <v>N/A - Facility Does Not Report to TRI</v>
      </c>
    </row>
    <row r="318" spans="1:44" ht="29" x14ac:dyDescent="0.35">
      <c r="A318" s="34">
        <v>315</v>
      </c>
      <c r="B318" s="33" t="str">
        <f>IFERROR("TRI Form "&amp;VLOOKUP(H318,'Processed Non-zero TRI Data'!$I$2:$K$23,3,FALSE),"DMR")</f>
        <v>DMR</v>
      </c>
      <c r="C318" s="33" t="str">
        <f>VLOOKUP($D318, 'COU.OES Summary'!C:D, 2, FALSE)</f>
        <v> </v>
      </c>
      <c r="D318" s="33" t="str">
        <f>IFERROR(VLOOKUP($H318, 'Processed Non-zero TRI Data'!$I:$O, 7, FALSE), VLOOKUP($I318, 'Processed Non-zero DMR Data'!$K:$R, 8, FALSE))</f>
        <v>Waste handling, treatment, and disposal - Remediation or Monitoring</v>
      </c>
      <c r="E318" s="34" t="s">
        <v>681</v>
      </c>
      <c r="F318" s="34" t="s">
        <v>645</v>
      </c>
      <c r="G318" s="34" t="s">
        <v>276</v>
      </c>
      <c r="H318" s="34"/>
      <c r="I318" s="105">
        <v>110071076435</v>
      </c>
      <c r="J318" s="33" t="str">
        <f>IFERROR(VLOOKUP($I318, 'Processed Non-zero DMR Data'!$K:$U, 11, FALSE),"")</f>
        <v>VAG830568</v>
      </c>
      <c r="K318" s="33" t="str">
        <f>IFERROR(VLOOKUP($I318, 'Processed Non-zero DMR Data'!$K:$V, 12, FALSE),"Not Reported")</f>
        <v>Rudee Inlet-Atlantic Ocean</v>
      </c>
      <c r="L318" s="106" t="str">
        <f>IFERROR(VLOOKUP($I318, 'Processed Non-zero DMR Data'!$K:$W, 13, FALSE),"No Reach Code Reported")</f>
        <v>020403040501</v>
      </c>
      <c r="M318" s="107" t="str">
        <f>IFERROR(IFERROR(VLOOKUP(H318, 'Off-site Locations'!$K$3:$O$5, 5, FALSE), VLOOKUP(H318, 'Off-site Locations'!$B$3:$E$4, 4, FALSE)), "No Offsite Transfers")</f>
        <v>No Offsite Transfers</v>
      </c>
      <c r="N318" s="33">
        <f>VLOOKUP($D318, 'COU.OES Summary'!C:E, 3, FALSE)</f>
        <v>365</v>
      </c>
      <c r="O318" s="108">
        <f t="shared" si="56"/>
        <v>0</v>
      </c>
      <c r="P318" s="108">
        <f t="shared" si="57"/>
        <v>6.1416356249999996E-4</v>
      </c>
      <c r="Q318" s="109" cm="1">
        <f t="array" ref="Q318">IFERROR(_xlfn.XLOOKUP(1,  (MAX(IF(I318 = 'Processed Non-zero DMR Data'!$K:$K,'Processed Non-zero DMR Data'!$A:$A)) = 'Processed Non-zero DMR Data'!$A:$A)*('Processed Non-zero DMR Data'!$K:$K = I318),'Processed Non-zero DMR Data'!$T:$T), "N/A- Facility Does Not Report DMRs")</f>
        <v>5.0529749999999997E-6</v>
      </c>
      <c r="R318" s="33">
        <f t="shared" si="67"/>
        <v>1.384376712328767E-8</v>
      </c>
      <c r="S318" s="33" cm="1">
        <f t="array" ref="S318">IF(COUNTIF('Processed Non-zero DMR Data'!$K:$K,$I318)&gt;0,MEDIAN(IF('Processed Non-zero DMR Data'!$K:$K=I318,'Processed Non-zero DMR Data'!$T:$T)),"N/A - Facility Does Not Report DMRs")</f>
        <v>3.0960826875000002E-4</v>
      </c>
      <c r="T318" s="33">
        <f t="shared" si="68"/>
        <v>8.4824183219178086E-7</v>
      </c>
      <c r="U318" s="33">
        <f>IF(COUNTIF('Processed Non-zero DMR Data'!$K:$K,$I318)&gt;0,_xlfn.MAXIFS('Processed Non-zero DMR Data'!$T:$T,'Processed Non-zero DMR Data'!$K:$K,$I318), "N/A - Facility Does Not Report DMRs")</f>
        <v>6.1416356249999996E-4</v>
      </c>
      <c r="V318" s="33">
        <f t="shared" si="69"/>
        <v>1.6826398972602739E-6</v>
      </c>
      <c r="W318" s="110" cm="1">
        <f t="array" ref="W318">IF(COUNTIF('Processed Non-zero DMR Data'!$K:$K,$I318)&gt;0,INDEX('Processed Non-zero DMR Data'!$A:$A,MATCH(1,($I318='Processed Non-zero DMR Data'!$K:$K)*($U318='Processed Non-zero DMR Data'!$T:$T),0)), "N/A - Facility Does Not Report DMRs")</f>
        <v>2022</v>
      </c>
      <c r="X318" s="109" cm="1">
        <f t="array" ref="X318">IFERROR(_xlfn.XLOOKUP(1,  (MAX(IF(H318 = 'Processed Non-zero TRI Data'!$I:$I,'Processed Non-zero TRI Data'!$A:$A)) = 'Processed Non-zero TRI Data'!$A:$A)*('Processed Non-zero TRI Data'!$I:$I = H318), 'Processed Non-zero TRI Data'!$S:$S), "N/A- Facility Does Not Report to TRI")</f>
        <v>0</v>
      </c>
      <c r="Y318" s="33">
        <f t="shared" si="58"/>
        <v>0</v>
      </c>
      <c r="Z318" s="33" t="str" cm="1">
        <f t="array" ref="Z318">IF(COUNTIF('Processed Non-zero TRI Data'!$I:$I,$H318)&gt;0,MEDIAN(IF('Processed Non-zero TRI Data'!$I:$I=H318,'Processed Non-zero TRI Data'!$S:$S)), "N/A - Facility Does Not Report to TRI")</f>
        <v>N/A - Facility Does Not Report to TRI</v>
      </c>
      <c r="AA318" s="33" t="str">
        <f t="shared" si="59"/>
        <v>N/A - Facility Does Not Report to TRI</v>
      </c>
      <c r="AB318" s="33" t="str">
        <f>IF(COUNTIF('Processed Non-zero TRI Data'!$I:$I,$H318)&gt;0,_xlfn.MAXIFS('Processed Non-zero TRI Data'!$S:$S,'Processed Non-zero TRI Data'!$I:$I,$H318), "N/A - Facility Does Not Report to TRI")</f>
        <v>N/A - Facility Does Not Report to TRI</v>
      </c>
      <c r="AC318" s="33" t="str">
        <f t="shared" si="60"/>
        <v>N/A - Facility Does Not Report to TRI</v>
      </c>
      <c r="AD318" s="110" t="str" cm="1">
        <f t="array" ref="AD318">IFERROR(IF(B318 = "TRI Form R", IF(AB318 = 0, "Facility has no on-site water discharges between 2019-2023.",  IF(COUNTIF('Processed Non-zero TRI Data'!$I:$I,$H318)&gt;0,INDEX('Processed Non-zero TRI Data'!$A:$A,MATCH(1,($H318='Processed Non-zero TRI Data'!$I:$I)*(AB318='Processed Non-zero TRI Data'!$S:$S),0)))), VLOOKUP(H318, 'Form A Recent Reporting'!$L:$M, 2, FALSE)), ("N/A - Facility Does Not Report to TRI"))</f>
        <v>N/A - Facility Does Not Report to TRI</v>
      </c>
      <c r="AE318" s="109" cm="1">
        <f t="array" ref="AE318">IFERROR(_xlfn.XLOOKUP(1,  (MAX(IF(H318 = 'Processed Non-zero TRI Data'!$I:$I,'Processed Non-zero TRI Data'!$A:$A)) = 'Processed Non-zero TRI Data'!$A:$A)*('Processed Non-zero TRI Data'!$I:$I = H318), 'Processed Non-zero TRI Data'!$U:$U), "N/A- Facility Does Not Report to TRI")</f>
        <v>0</v>
      </c>
      <c r="AF318" s="33">
        <f t="shared" si="61"/>
        <v>0</v>
      </c>
      <c r="AG318" s="33" t="str" cm="1">
        <f t="array" ref="AG318">IF(COUNTIF('Processed Non-zero TRI Data'!$I:$I,$H318)&gt;0,MEDIAN(IF('Processed Non-zero TRI Data'!$I:$I=H318,'Processed Non-zero TRI Data'!$U:$U)), "N/A - Facility Does Not Report to TRI")</f>
        <v>N/A - Facility Does Not Report to TRI</v>
      </c>
      <c r="AH318" s="33" t="str">
        <f t="shared" si="62"/>
        <v>N/A - Facility Does Not Report to TRI</v>
      </c>
      <c r="AI318" s="33" t="str">
        <f>IF(COUNTIF('Processed Non-zero TRI Data'!$I:$I,$H318)&gt;0,_xlfn.MAXIFS('Processed Non-zero TRI Data'!$U:$U,'Processed Non-zero TRI Data'!$I:$I,$H318), "N/A - Facility Does Not Report to TRI")</f>
        <v>N/A - Facility Does Not Report to TRI</v>
      </c>
      <c r="AJ318" s="33" t="str">
        <f t="shared" si="63"/>
        <v>N/A - Facility Does Not Report to TRI</v>
      </c>
      <c r="AK318" s="110" t="str" cm="1">
        <f t="array" ref="AK318">IF(B318="TRI Form A",AD318,IF(AI318=0,"Facility has no transfers to POTWs between 2019-2023.",IF(COUNTIF('Processed Non-zero TRI Data'!$I:$I,$H318)&gt;0,INDEX('Processed Non-zero TRI Data'!$A:$A,MATCH(1,($H318='Processed Non-zero TRI Data'!$I:$I)*(AI318='Processed Non-zero TRI Data'!$U:$U),0)),"N/A - Facility Does Not Report to TRI")))</f>
        <v>N/A - Facility Does Not Report to TRI</v>
      </c>
      <c r="AL318" s="109" cm="1">
        <f t="array" ref="AL318">IFERROR(_xlfn.XLOOKUP(1,  (MAX(IF(H318 = 'Processed Non-zero TRI Data'!$I$2:$I$23,'Processed Non-zero TRI Data'!$A$2:$A$23)) = 'Processed Non-zero TRI Data'!$A$2:$A$23)*('Processed Non-zero TRI Data'!$I$2:$I$23 = H318), 'Processed Non-zero TRI Data'!$W$2:$W$23), "N/A- Facility Does Not Report to TRI")</f>
        <v>0</v>
      </c>
      <c r="AM318" s="33">
        <f t="shared" si="64"/>
        <v>0</v>
      </c>
      <c r="AN318" s="33" t="str" cm="1">
        <f t="array" ref="AN318">IF(COUNTIF('Processed Non-zero TRI Data'!$I:$I,$H318)&gt;0,MEDIAN(IF('Processed Non-zero TRI Data'!$I:$I=H318,'Processed Non-zero TRI Data'!$W:$W)), "N/A - Facility Does Not Report to TRI")</f>
        <v>N/A - Facility Does Not Report to TRI</v>
      </c>
      <c r="AO318" s="33" t="str">
        <f t="shared" si="65"/>
        <v>N/A - Facility Does Not Report to TRI</v>
      </c>
      <c r="AP318" s="33" t="str">
        <f>IF(COUNTIF('Processed Non-zero TRI Data'!$I:$I,$H318)&gt;0,_xlfn.MAXIFS('Processed Non-zero TRI Data'!$W:$W,'Processed Non-zero TRI Data'!$I:$I,$H318), "N/A - Facility Does Not Report to TRI")</f>
        <v>N/A - Facility Does Not Report to TRI</v>
      </c>
      <c r="AQ318" s="33" t="str">
        <f t="shared" si="66"/>
        <v>N/A - Facility Does Not Report to TRI</v>
      </c>
      <c r="AR318" s="110" t="str" cm="1">
        <f t="array" ref="AR318">IF(B318="TRI Form A",AD318,IF(AP318=0,"Facility has no transfers to non-POTWs between 2019-2023.",IF(COUNTIF('Processed Non-zero TRI Data'!$I:$I,$H318)&gt;0,INDEX('Processed Non-zero TRI Data'!$A:$A,MATCH(1,($H318='Processed Non-zero TRI Data'!$I:$I)*(AP318='Processed Non-zero TRI Data'!$W:$W),0)),"N/A - Facility Does Not Report to TRI")))</f>
        <v>N/A - Facility Does Not Report to TRI</v>
      </c>
    </row>
    <row r="319" spans="1:44" ht="29" x14ac:dyDescent="0.35">
      <c r="A319" s="34">
        <v>316</v>
      </c>
      <c r="B319" s="33" t="str">
        <f>IFERROR("TRI Form "&amp;VLOOKUP(H319,'Processed Non-zero TRI Data'!$I$2:$K$23,3,FALSE),"DMR")</f>
        <v>DMR</v>
      </c>
      <c r="C319" s="33" t="str">
        <f>VLOOKUP($D319, 'COU.OES Summary'!C:D, 2, FALSE)</f>
        <v> </v>
      </c>
      <c r="D319" s="33" t="str">
        <f>IFERROR(VLOOKUP($H319, 'Processed Non-zero TRI Data'!$I:$O, 7, FALSE), VLOOKUP($I319, 'Processed Non-zero DMR Data'!$K:$R, 8, FALSE))</f>
        <v>Waste handling, treatment, and disposal - Remediation or Monitoring</v>
      </c>
      <c r="E319" s="34" t="s">
        <v>682</v>
      </c>
      <c r="F319" s="34" t="s">
        <v>683</v>
      </c>
      <c r="G319" s="34" t="s">
        <v>91</v>
      </c>
      <c r="H319" s="34"/>
      <c r="I319" s="105">
        <v>110007300330</v>
      </c>
      <c r="J319" s="33" t="str">
        <f>IFERROR(VLOOKUP($I319, 'Processed Non-zero DMR Data'!$K:$U, 11, FALSE),"")</f>
        <v>LAG420116</v>
      </c>
      <c r="K319" s="33" t="str">
        <f>IFERROR(VLOOKUP($I319, 'Processed Non-zero DMR Data'!$K:$V, 12, FALSE),"Not Reported")</f>
        <v>Bayou Rigollette-Lake Buhlow</v>
      </c>
      <c r="L319" s="106">
        <f>IFERROR(VLOOKUP($I319, 'Processed Non-zero DMR Data'!$K:$W, 13, FALSE),"No Reach Code Reported")</f>
        <v>111402070904</v>
      </c>
      <c r="M319" s="107" t="str">
        <f>IFERROR(IFERROR(VLOOKUP(H319, 'Off-site Locations'!$K$3:$O$5, 5, FALSE), VLOOKUP(H319, 'Off-site Locations'!$B$3:$E$4, 4, FALSE)), "No Offsite Transfers")</f>
        <v>No Offsite Transfers</v>
      </c>
      <c r="N319" s="33">
        <f>VLOOKUP($D319, 'COU.OES Summary'!C:E, 3, FALSE)</f>
        <v>365</v>
      </c>
      <c r="O319" s="108">
        <f t="shared" si="56"/>
        <v>0</v>
      </c>
      <c r="P319" s="108">
        <f t="shared" si="57"/>
        <v>6.0908220000000001E-4</v>
      </c>
      <c r="Q319" s="109" cm="1">
        <f t="array" ref="Q319">IFERROR(_xlfn.XLOOKUP(1,  (MAX(IF(I319 = 'Processed Non-zero DMR Data'!$K:$K,'Processed Non-zero DMR Data'!$A:$A)) = 'Processed Non-zero DMR Data'!$A:$A)*('Processed Non-zero DMR Data'!$K:$K = I319),'Processed Non-zero DMR Data'!$T:$T), "N/A- Facility Does Not Report DMRs")</f>
        <v>6.0908220000000001E-4</v>
      </c>
      <c r="R319" s="33">
        <f t="shared" si="67"/>
        <v>1.6687183561643836E-6</v>
      </c>
      <c r="S319" s="33" cm="1">
        <f t="array" ref="S319">IF(COUNTIF('Processed Non-zero DMR Data'!$K:$K,$I319)&gt;0,MEDIAN(IF('Processed Non-zero DMR Data'!$K:$K=I319,'Processed Non-zero DMR Data'!$T:$T)),"N/A - Facility Does Not Report DMRs")</f>
        <v>6.0908220000000001E-4</v>
      </c>
      <c r="T319" s="33">
        <f t="shared" si="68"/>
        <v>1.6687183561643836E-6</v>
      </c>
      <c r="U319" s="33">
        <f>IF(COUNTIF('Processed Non-zero DMR Data'!$K:$K,$I319)&gt;0,_xlfn.MAXIFS('Processed Non-zero DMR Data'!$T:$T,'Processed Non-zero DMR Data'!$K:$K,$I319), "N/A - Facility Does Not Report DMRs")</f>
        <v>6.0908220000000001E-4</v>
      </c>
      <c r="V319" s="33">
        <f t="shared" si="69"/>
        <v>1.6687183561643836E-6</v>
      </c>
      <c r="W319" s="110" cm="1">
        <f t="array" ref="W319">IF(COUNTIF('Processed Non-zero DMR Data'!$K:$K,$I319)&gt;0,INDEX('Processed Non-zero DMR Data'!$A:$A,MATCH(1,($I319='Processed Non-zero DMR Data'!$K:$K)*($U319='Processed Non-zero DMR Data'!$T:$T),0)), "N/A - Facility Does Not Report DMRs")</f>
        <v>2021</v>
      </c>
      <c r="X319" s="109" cm="1">
        <f t="array" ref="X319">IFERROR(_xlfn.XLOOKUP(1,  (MAX(IF(H319 = 'Processed Non-zero TRI Data'!$I:$I,'Processed Non-zero TRI Data'!$A:$A)) = 'Processed Non-zero TRI Data'!$A:$A)*('Processed Non-zero TRI Data'!$I:$I = H319), 'Processed Non-zero TRI Data'!$S:$S), "N/A- Facility Does Not Report to TRI")</f>
        <v>0</v>
      </c>
      <c r="Y319" s="33">
        <f t="shared" si="58"/>
        <v>0</v>
      </c>
      <c r="Z319" s="33" t="str" cm="1">
        <f t="array" ref="Z319">IF(COUNTIF('Processed Non-zero TRI Data'!$I:$I,$H319)&gt;0,MEDIAN(IF('Processed Non-zero TRI Data'!$I:$I=H319,'Processed Non-zero TRI Data'!$S:$S)), "N/A - Facility Does Not Report to TRI")</f>
        <v>N/A - Facility Does Not Report to TRI</v>
      </c>
      <c r="AA319" s="33" t="str">
        <f t="shared" si="59"/>
        <v>N/A - Facility Does Not Report to TRI</v>
      </c>
      <c r="AB319" s="33" t="str">
        <f>IF(COUNTIF('Processed Non-zero TRI Data'!$I:$I,$H319)&gt;0,_xlfn.MAXIFS('Processed Non-zero TRI Data'!$S:$S,'Processed Non-zero TRI Data'!$I:$I,$H319), "N/A - Facility Does Not Report to TRI")</f>
        <v>N/A - Facility Does Not Report to TRI</v>
      </c>
      <c r="AC319" s="33" t="str">
        <f t="shared" si="60"/>
        <v>N/A - Facility Does Not Report to TRI</v>
      </c>
      <c r="AD319" s="110" t="str" cm="1">
        <f t="array" ref="AD319">IFERROR(IF(B319 = "TRI Form R", IF(AB319 = 0, "Facility has no on-site water discharges between 2019-2023.",  IF(COUNTIF('Processed Non-zero TRI Data'!$I:$I,$H319)&gt;0,INDEX('Processed Non-zero TRI Data'!$A:$A,MATCH(1,($H319='Processed Non-zero TRI Data'!$I:$I)*(AB319='Processed Non-zero TRI Data'!$S:$S),0)))), VLOOKUP(H319, 'Form A Recent Reporting'!$L:$M, 2, FALSE)), ("N/A - Facility Does Not Report to TRI"))</f>
        <v>N/A - Facility Does Not Report to TRI</v>
      </c>
      <c r="AE319" s="109" cm="1">
        <f t="array" ref="AE319">IFERROR(_xlfn.XLOOKUP(1,  (MAX(IF(H319 = 'Processed Non-zero TRI Data'!$I:$I,'Processed Non-zero TRI Data'!$A:$A)) = 'Processed Non-zero TRI Data'!$A:$A)*('Processed Non-zero TRI Data'!$I:$I = H319), 'Processed Non-zero TRI Data'!$U:$U), "N/A- Facility Does Not Report to TRI")</f>
        <v>0</v>
      </c>
      <c r="AF319" s="33">
        <f t="shared" si="61"/>
        <v>0</v>
      </c>
      <c r="AG319" s="33" t="str" cm="1">
        <f t="array" ref="AG319">IF(COUNTIF('Processed Non-zero TRI Data'!$I:$I,$H319)&gt;0,MEDIAN(IF('Processed Non-zero TRI Data'!$I:$I=H319,'Processed Non-zero TRI Data'!$U:$U)), "N/A - Facility Does Not Report to TRI")</f>
        <v>N/A - Facility Does Not Report to TRI</v>
      </c>
      <c r="AH319" s="33" t="str">
        <f t="shared" si="62"/>
        <v>N/A - Facility Does Not Report to TRI</v>
      </c>
      <c r="AI319" s="33" t="str">
        <f>IF(COUNTIF('Processed Non-zero TRI Data'!$I:$I,$H319)&gt;0,_xlfn.MAXIFS('Processed Non-zero TRI Data'!$U:$U,'Processed Non-zero TRI Data'!$I:$I,$H319), "N/A - Facility Does Not Report to TRI")</f>
        <v>N/A - Facility Does Not Report to TRI</v>
      </c>
      <c r="AJ319" s="33" t="str">
        <f t="shared" si="63"/>
        <v>N/A - Facility Does Not Report to TRI</v>
      </c>
      <c r="AK319" s="110" t="str" cm="1">
        <f t="array" ref="AK319">IF(B319="TRI Form A",AD319,IF(AI319=0,"Facility has no transfers to POTWs between 2019-2023.",IF(COUNTIF('Processed Non-zero TRI Data'!$I:$I,$H319)&gt;0,INDEX('Processed Non-zero TRI Data'!$A:$A,MATCH(1,($H319='Processed Non-zero TRI Data'!$I:$I)*(AI319='Processed Non-zero TRI Data'!$U:$U),0)),"N/A - Facility Does Not Report to TRI")))</f>
        <v>N/A - Facility Does Not Report to TRI</v>
      </c>
      <c r="AL319" s="109" cm="1">
        <f t="array" ref="AL319">IFERROR(_xlfn.XLOOKUP(1,  (MAX(IF(H319 = 'Processed Non-zero TRI Data'!$I$2:$I$23,'Processed Non-zero TRI Data'!$A$2:$A$23)) = 'Processed Non-zero TRI Data'!$A$2:$A$23)*('Processed Non-zero TRI Data'!$I$2:$I$23 = H319), 'Processed Non-zero TRI Data'!$W$2:$W$23), "N/A- Facility Does Not Report to TRI")</f>
        <v>0</v>
      </c>
      <c r="AM319" s="33">
        <f t="shared" si="64"/>
        <v>0</v>
      </c>
      <c r="AN319" s="33" t="str" cm="1">
        <f t="array" ref="AN319">IF(COUNTIF('Processed Non-zero TRI Data'!$I:$I,$H319)&gt;0,MEDIAN(IF('Processed Non-zero TRI Data'!$I:$I=H319,'Processed Non-zero TRI Data'!$W:$W)), "N/A - Facility Does Not Report to TRI")</f>
        <v>N/A - Facility Does Not Report to TRI</v>
      </c>
      <c r="AO319" s="33" t="str">
        <f t="shared" si="65"/>
        <v>N/A - Facility Does Not Report to TRI</v>
      </c>
      <c r="AP319" s="33" t="str">
        <f>IF(COUNTIF('Processed Non-zero TRI Data'!$I:$I,$H319)&gt;0,_xlfn.MAXIFS('Processed Non-zero TRI Data'!$W:$W,'Processed Non-zero TRI Data'!$I:$I,$H319), "N/A - Facility Does Not Report to TRI")</f>
        <v>N/A - Facility Does Not Report to TRI</v>
      </c>
      <c r="AQ319" s="33" t="str">
        <f t="shared" si="66"/>
        <v>N/A - Facility Does Not Report to TRI</v>
      </c>
      <c r="AR319" s="110" t="str" cm="1">
        <f t="array" ref="AR319">IF(B319="TRI Form A",AD319,IF(AP319=0,"Facility has no transfers to non-POTWs between 2019-2023.",IF(COUNTIF('Processed Non-zero TRI Data'!$I:$I,$H319)&gt;0,INDEX('Processed Non-zero TRI Data'!$A:$A,MATCH(1,($H319='Processed Non-zero TRI Data'!$I:$I)*(AP319='Processed Non-zero TRI Data'!$W:$W),0)),"N/A - Facility Does Not Report to TRI")))</f>
        <v>N/A - Facility Does Not Report to TRI</v>
      </c>
    </row>
    <row r="320" spans="1:44" ht="29" x14ac:dyDescent="0.35">
      <c r="A320" s="34">
        <v>317</v>
      </c>
      <c r="B320" s="33" t="str">
        <f>IFERROR("TRI Form "&amp;VLOOKUP(H320,'Processed Non-zero TRI Data'!$I$2:$K$23,3,FALSE),"DMR")</f>
        <v>DMR</v>
      </c>
      <c r="C320" s="33" t="str">
        <f>VLOOKUP($D320, 'COU.OES Summary'!C:D, 2, FALSE)</f>
        <v> </v>
      </c>
      <c r="D320" s="33" t="str">
        <f>IFERROR(VLOOKUP($H320, 'Processed Non-zero TRI Data'!$I:$O, 7, FALSE), VLOOKUP($I320, 'Processed Non-zero DMR Data'!$K:$R, 8, FALSE))</f>
        <v>Waste handling, treatment, and disposal - Remediation or Monitoring</v>
      </c>
      <c r="E320" s="34" t="s">
        <v>684</v>
      </c>
      <c r="F320" s="34" t="s">
        <v>685</v>
      </c>
      <c r="G320" s="34" t="s">
        <v>254</v>
      </c>
      <c r="H320" s="34"/>
      <c r="I320" s="105">
        <v>110070217974</v>
      </c>
      <c r="J320" s="33" t="str">
        <f>IFERROR(VLOOKUP($I320, 'Processed Non-zero DMR Data'!$K:$U, 11, FALSE),"")</f>
        <v>NJG156922</v>
      </c>
      <c r="K320" s="33" t="str">
        <f>IFERROR(VLOOKUP($I320, 'Processed Non-zero DMR Data'!$K:$V, 12, FALSE),"Not Reported")</f>
        <v>Royce Brook</v>
      </c>
      <c r="L320" s="106">
        <f>IFERROR(VLOOKUP($I320, 'Processed Non-zero DMR Data'!$K:$W, 13, FALSE),"No Reach Code Reported")</f>
        <v>20301050311</v>
      </c>
      <c r="M320" s="107" t="str">
        <f>IFERROR(IFERROR(VLOOKUP(H320, 'Off-site Locations'!$K$3:$O$5, 5, FALSE), VLOOKUP(H320, 'Off-site Locations'!$B$3:$E$4, 4, FALSE)), "No Offsite Transfers")</f>
        <v>No Offsite Transfers</v>
      </c>
      <c r="N320" s="33">
        <f>VLOOKUP($D320, 'COU.OES Summary'!C:E, 3, FALSE)</f>
        <v>365</v>
      </c>
      <c r="O320" s="108">
        <f t="shared" si="56"/>
        <v>0</v>
      </c>
      <c r="P320" s="108">
        <f t="shared" si="57"/>
        <v>4.4448093755999999E-4</v>
      </c>
      <c r="Q320" s="109" cm="1">
        <f t="array" ref="Q320">IFERROR(_xlfn.XLOOKUP(1,  (MAX(IF(I320 = 'Processed Non-zero DMR Data'!$K:$K,'Processed Non-zero DMR Data'!$A:$A)) = 'Processed Non-zero DMR Data'!$A:$A)*('Processed Non-zero DMR Data'!$K:$K = I320),'Processed Non-zero DMR Data'!$T:$T), "N/A- Facility Does Not Report DMRs")</f>
        <v>4.4448093755999999E-4</v>
      </c>
      <c r="R320" s="33">
        <f t="shared" si="67"/>
        <v>1.2177559933150685E-6</v>
      </c>
      <c r="S320" s="33" cm="1">
        <f t="array" ref="S320">IF(COUNTIF('Processed Non-zero DMR Data'!$K:$K,$I320)&gt;0,MEDIAN(IF('Processed Non-zero DMR Data'!$K:$K=I320,'Processed Non-zero DMR Data'!$T:$T)),"N/A - Facility Does Not Report DMRs")</f>
        <v>3.3339097560000001E-4</v>
      </c>
      <c r="T320" s="33">
        <f t="shared" si="68"/>
        <v>9.1339993315068492E-7</v>
      </c>
      <c r="U320" s="33">
        <f>IF(COUNTIF('Processed Non-zero DMR Data'!$K:$K,$I320)&gt;0,_xlfn.MAXIFS('Processed Non-zero DMR Data'!$T:$T,'Processed Non-zero DMR Data'!$K:$K,$I320), "N/A - Facility Does Not Report DMRs")</f>
        <v>4.4448093755999999E-4</v>
      </c>
      <c r="V320" s="33">
        <f t="shared" si="69"/>
        <v>1.2177559933150685E-6</v>
      </c>
      <c r="W320" s="110" cm="1">
        <f t="array" ref="W320">IF(COUNTIF('Processed Non-zero DMR Data'!$K:$K,$I320)&gt;0,INDEX('Processed Non-zero DMR Data'!$A:$A,MATCH(1,($I320='Processed Non-zero DMR Data'!$K:$K)*($U320='Processed Non-zero DMR Data'!$T:$T),0)), "N/A - Facility Does Not Report DMRs")</f>
        <v>2023</v>
      </c>
      <c r="X320" s="109" cm="1">
        <f t="array" ref="X320">IFERROR(_xlfn.XLOOKUP(1,  (MAX(IF(H320 = 'Processed Non-zero TRI Data'!$I:$I,'Processed Non-zero TRI Data'!$A:$A)) = 'Processed Non-zero TRI Data'!$A:$A)*('Processed Non-zero TRI Data'!$I:$I = H320), 'Processed Non-zero TRI Data'!$S:$S), "N/A- Facility Does Not Report to TRI")</f>
        <v>0</v>
      </c>
      <c r="Y320" s="33">
        <f t="shared" si="58"/>
        <v>0</v>
      </c>
      <c r="Z320" s="33" t="str" cm="1">
        <f t="array" ref="Z320">IF(COUNTIF('Processed Non-zero TRI Data'!$I:$I,$H320)&gt;0,MEDIAN(IF('Processed Non-zero TRI Data'!$I:$I=H320,'Processed Non-zero TRI Data'!$S:$S)), "N/A - Facility Does Not Report to TRI")</f>
        <v>N/A - Facility Does Not Report to TRI</v>
      </c>
      <c r="AA320" s="33" t="str">
        <f t="shared" si="59"/>
        <v>N/A - Facility Does Not Report to TRI</v>
      </c>
      <c r="AB320" s="33" t="str">
        <f>IF(COUNTIF('Processed Non-zero TRI Data'!$I:$I,$H320)&gt;0,_xlfn.MAXIFS('Processed Non-zero TRI Data'!$S:$S,'Processed Non-zero TRI Data'!$I:$I,$H320), "N/A - Facility Does Not Report to TRI")</f>
        <v>N/A - Facility Does Not Report to TRI</v>
      </c>
      <c r="AC320" s="33" t="str">
        <f t="shared" si="60"/>
        <v>N/A - Facility Does Not Report to TRI</v>
      </c>
      <c r="AD320" s="110" t="str" cm="1">
        <f t="array" ref="AD320">IFERROR(IF(B320 = "TRI Form R", IF(AB320 = 0, "Facility has no on-site water discharges between 2019-2023.",  IF(COUNTIF('Processed Non-zero TRI Data'!$I:$I,$H320)&gt;0,INDEX('Processed Non-zero TRI Data'!$A:$A,MATCH(1,($H320='Processed Non-zero TRI Data'!$I:$I)*(AB320='Processed Non-zero TRI Data'!$S:$S),0)))), VLOOKUP(H320, 'Form A Recent Reporting'!$L:$M, 2, FALSE)), ("N/A - Facility Does Not Report to TRI"))</f>
        <v>N/A - Facility Does Not Report to TRI</v>
      </c>
      <c r="AE320" s="109" cm="1">
        <f t="array" ref="AE320">IFERROR(_xlfn.XLOOKUP(1,  (MAX(IF(H320 = 'Processed Non-zero TRI Data'!$I:$I,'Processed Non-zero TRI Data'!$A:$A)) = 'Processed Non-zero TRI Data'!$A:$A)*('Processed Non-zero TRI Data'!$I:$I = H320), 'Processed Non-zero TRI Data'!$U:$U), "N/A- Facility Does Not Report to TRI")</f>
        <v>0</v>
      </c>
      <c r="AF320" s="33">
        <f t="shared" si="61"/>
        <v>0</v>
      </c>
      <c r="AG320" s="33" t="str" cm="1">
        <f t="array" ref="AG320">IF(COUNTIF('Processed Non-zero TRI Data'!$I:$I,$H320)&gt;0,MEDIAN(IF('Processed Non-zero TRI Data'!$I:$I=H320,'Processed Non-zero TRI Data'!$U:$U)), "N/A - Facility Does Not Report to TRI")</f>
        <v>N/A - Facility Does Not Report to TRI</v>
      </c>
      <c r="AH320" s="33" t="str">
        <f t="shared" si="62"/>
        <v>N/A - Facility Does Not Report to TRI</v>
      </c>
      <c r="AI320" s="33" t="str">
        <f>IF(COUNTIF('Processed Non-zero TRI Data'!$I:$I,$H320)&gt;0,_xlfn.MAXIFS('Processed Non-zero TRI Data'!$U:$U,'Processed Non-zero TRI Data'!$I:$I,$H320), "N/A - Facility Does Not Report to TRI")</f>
        <v>N/A - Facility Does Not Report to TRI</v>
      </c>
      <c r="AJ320" s="33" t="str">
        <f t="shared" si="63"/>
        <v>N/A - Facility Does Not Report to TRI</v>
      </c>
      <c r="AK320" s="110" t="str" cm="1">
        <f t="array" ref="AK320">IF(B320="TRI Form A",AD320,IF(AI320=0,"Facility has no transfers to POTWs between 2019-2023.",IF(COUNTIF('Processed Non-zero TRI Data'!$I:$I,$H320)&gt;0,INDEX('Processed Non-zero TRI Data'!$A:$A,MATCH(1,($H320='Processed Non-zero TRI Data'!$I:$I)*(AI320='Processed Non-zero TRI Data'!$U:$U),0)),"N/A - Facility Does Not Report to TRI")))</f>
        <v>N/A - Facility Does Not Report to TRI</v>
      </c>
      <c r="AL320" s="109" cm="1">
        <f t="array" ref="AL320">IFERROR(_xlfn.XLOOKUP(1,  (MAX(IF(H320 = 'Processed Non-zero TRI Data'!$I$2:$I$23,'Processed Non-zero TRI Data'!$A$2:$A$23)) = 'Processed Non-zero TRI Data'!$A$2:$A$23)*('Processed Non-zero TRI Data'!$I$2:$I$23 = H320), 'Processed Non-zero TRI Data'!$W$2:$W$23), "N/A- Facility Does Not Report to TRI")</f>
        <v>0</v>
      </c>
      <c r="AM320" s="33">
        <f t="shared" si="64"/>
        <v>0</v>
      </c>
      <c r="AN320" s="33" t="str" cm="1">
        <f t="array" ref="AN320">IF(COUNTIF('Processed Non-zero TRI Data'!$I:$I,$H320)&gt;0,MEDIAN(IF('Processed Non-zero TRI Data'!$I:$I=H320,'Processed Non-zero TRI Data'!$W:$W)), "N/A - Facility Does Not Report to TRI")</f>
        <v>N/A - Facility Does Not Report to TRI</v>
      </c>
      <c r="AO320" s="33" t="str">
        <f t="shared" si="65"/>
        <v>N/A - Facility Does Not Report to TRI</v>
      </c>
      <c r="AP320" s="33" t="str">
        <f>IF(COUNTIF('Processed Non-zero TRI Data'!$I:$I,$H320)&gt;0,_xlfn.MAXIFS('Processed Non-zero TRI Data'!$W:$W,'Processed Non-zero TRI Data'!$I:$I,$H320), "N/A - Facility Does Not Report to TRI")</f>
        <v>N/A - Facility Does Not Report to TRI</v>
      </c>
      <c r="AQ320" s="33" t="str">
        <f t="shared" si="66"/>
        <v>N/A - Facility Does Not Report to TRI</v>
      </c>
      <c r="AR320" s="110" t="str" cm="1">
        <f t="array" ref="AR320">IF(B320="TRI Form A",AD320,IF(AP320=0,"Facility has no transfers to non-POTWs between 2019-2023.",IF(COUNTIF('Processed Non-zero TRI Data'!$I:$I,$H320)&gt;0,INDEX('Processed Non-zero TRI Data'!$A:$A,MATCH(1,($H320='Processed Non-zero TRI Data'!$I:$I)*(AP320='Processed Non-zero TRI Data'!$W:$W),0)),"N/A - Facility Does Not Report to TRI")))</f>
        <v>N/A - Facility Does Not Report to TRI</v>
      </c>
    </row>
    <row r="321" spans="1:44" ht="29" x14ac:dyDescent="0.35">
      <c r="A321" s="34">
        <v>318</v>
      </c>
      <c r="B321" s="33" t="str">
        <f>IFERROR("TRI Form "&amp;VLOOKUP(H321,'Processed Non-zero TRI Data'!$I$2:$K$23,3,FALSE),"DMR")</f>
        <v>DMR</v>
      </c>
      <c r="C321" s="33" t="str">
        <f>VLOOKUP($D321, 'COU.OES Summary'!C:D, 2, FALSE)</f>
        <v> </v>
      </c>
      <c r="D321" s="33" t="str">
        <f>IFERROR(VLOOKUP($H321, 'Processed Non-zero TRI Data'!$I:$O, 7, FALSE), VLOOKUP($I321, 'Processed Non-zero DMR Data'!$K:$R, 8, FALSE))</f>
        <v>Waste handling, treatment, and disposal - Remediation or Monitoring</v>
      </c>
      <c r="E321" s="34" t="s">
        <v>686</v>
      </c>
      <c r="F321" s="34" t="s">
        <v>304</v>
      </c>
      <c r="G321" s="34" t="s">
        <v>91</v>
      </c>
      <c r="H321" s="34"/>
      <c r="I321" s="105">
        <v>110012254363</v>
      </c>
      <c r="J321" s="33" t="str">
        <f>IFERROR(VLOOKUP($I321, 'Processed Non-zero DMR Data'!$K:$U, 11, FALSE),"")</f>
        <v>LA0115606</v>
      </c>
      <c r="K321" s="33" t="str">
        <f>IFERROR(VLOOKUP($I321, 'Processed Non-zero DMR Data'!$K:$V, 12, FALSE),"Not Reported")</f>
        <v>Devils Swamp-Bayou Baton Rouge</v>
      </c>
      <c r="L321" s="106">
        <f>IFERROR(VLOOKUP($I321, 'Processed Non-zero DMR Data'!$K:$W, 13, FALSE),"No Reach Code Reported")</f>
        <v>80702010402</v>
      </c>
      <c r="M321" s="107" t="str">
        <f>IFERROR(IFERROR(VLOOKUP(H321, 'Off-site Locations'!$K$3:$O$5, 5, FALSE), VLOOKUP(H321, 'Off-site Locations'!$B$3:$E$4, 4, FALSE)), "No Offsite Transfers")</f>
        <v>No Offsite Transfers</v>
      </c>
      <c r="N321" s="33">
        <f>VLOOKUP($D321, 'COU.OES Summary'!C:E, 3, FALSE)</f>
        <v>365</v>
      </c>
      <c r="O321" s="108">
        <f t="shared" si="56"/>
        <v>0</v>
      </c>
      <c r="P321" s="108">
        <f t="shared" si="57"/>
        <v>4.3460978624999997E-4</v>
      </c>
      <c r="Q321" s="109" cm="1">
        <f t="array" ref="Q321">IFERROR(_xlfn.XLOOKUP(1,  (MAX(IF(I321 = 'Processed Non-zero DMR Data'!$K:$K,'Processed Non-zero DMR Data'!$A:$A)) = 'Processed Non-zero DMR Data'!$A:$A)*('Processed Non-zero DMR Data'!$K:$K = I321),'Processed Non-zero DMR Data'!$T:$T), "N/A- Facility Does Not Report DMRs")</f>
        <v>4.3460978624999997E-4</v>
      </c>
      <c r="R321" s="33">
        <f t="shared" si="67"/>
        <v>1.1907117431506849E-6</v>
      </c>
      <c r="S321" s="33" cm="1">
        <f t="array" ref="S321">IF(COUNTIF('Processed Non-zero DMR Data'!$K:$K,$I321)&gt;0,MEDIAN(IF('Processed Non-zero DMR Data'!$K:$K=I321,'Processed Non-zero DMR Data'!$T:$T)),"N/A - Facility Does Not Report DMRs")</f>
        <v>5.8632488750000002E-5</v>
      </c>
      <c r="T321" s="33">
        <f t="shared" si="68"/>
        <v>1.6063695547945207E-7</v>
      </c>
      <c r="U321" s="33">
        <f>IF(COUNTIF('Processed Non-zero DMR Data'!$K:$K,$I321)&gt;0,_xlfn.MAXIFS('Processed Non-zero DMR Data'!$T:$T,'Processed Non-zero DMR Data'!$K:$K,$I321), "N/A - Facility Does Not Report DMRs")</f>
        <v>4.3460978624999997E-4</v>
      </c>
      <c r="V321" s="33">
        <f t="shared" si="69"/>
        <v>1.1907117431506849E-6</v>
      </c>
      <c r="W321" s="110" cm="1">
        <f t="array" ref="W321">IF(COUNTIF('Processed Non-zero DMR Data'!$K:$K,$I321)&gt;0,INDEX('Processed Non-zero DMR Data'!$A:$A,MATCH(1,($I321='Processed Non-zero DMR Data'!$K:$K)*($U321='Processed Non-zero DMR Data'!$T:$T),0)), "N/A - Facility Does Not Report DMRs")</f>
        <v>2023</v>
      </c>
      <c r="X321" s="109" cm="1">
        <f t="array" ref="X321">IFERROR(_xlfn.XLOOKUP(1,  (MAX(IF(H321 = 'Processed Non-zero TRI Data'!$I:$I,'Processed Non-zero TRI Data'!$A:$A)) = 'Processed Non-zero TRI Data'!$A:$A)*('Processed Non-zero TRI Data'!$I:$I = H321), 'Processed Non-zero TRI Data'!$S:$S), "N/A- Facility Does Not Report to TRI")</f>
        <v>0</v>
      </c>
      <c r="Y321" s="33">
        <f t="shared" si="58"/>
        <v>0</v>
      </c>
      <c r="Z321" s="33" t="str" cm="1">
        <f t="array" ref="Z321">IF(COUNTIF('Processed Non-zero TRI Data'!$I:$I,$H321)&gt;0,MEDIAN(IF('Processed Non-zero TRI Data'!$I:$I=H321,'Processed Non-zero TRI Data'!$S:$S)), "N/A - Facility Does Not Report to TRI")</f>
        <v>N/A - Facility Does Not Report to TRI</v>
      </c>
      <c r="AA321" s="33" t="str">
        <f t="shared" si="59"/>
        <v>N/A - Facility Does Not Report to TRI</v>
      </c>
      <c r="AB321" s="33" t="str">
        <f>IF(COUNTIF('Processed Non-zero TRI Data'!$I:$I,$H321)&gt;0,_xlfn.MAXIFS('Processed Non-zero TRI Data'!$S:$S,'Processed Non-zero TRI Data'!$I:$I,$H321), "N/A - Facility Does Not Report to TRI")</f>
        <v>N/A - Facility Does Not Report to TRI</v>
      </c>
      <c r="AC321" s="33" t="str">
        <f t="shared" si="60"/>
        <v>N/A - Facility Does Not Report to TRI</v>
      </c>
      <c r="AD321" s="110" t="str" cm="1">
        <f t="array" ref="AD321">IFERROR(IF(B321 = "TRI Form R", IF(AB321 = 0, "Facility has no on-site water discharges between 2019-2023.",  IF(COUNTIF('Processed Non-zero TRI Data'!$I:$I,$H321)&gt;0,INDEX('Processed Non-zero TRI Data'!$A:$A,MATCH(1,($H321='Processed Non-zero TRI Data'!$I:$I)*(AB321='Processed Non-zero TRI Data'!$S:$S),0)))), VLOOKUP(H321, 'Form A Recent Reporting'!$L:$M, 2, FALSE)), ("N/A - Facility Does Not Report to TRI"))</f>
        <v>N/A - Facility Does Not Report to TRI</v>
      </c>
      <c r="AE321" s="109" cm="1">
        <f t="array" ref="AE321">IFERROR(_xlfn.XLOOKUP(1,  (MAX(IF(H321 = 'Processed Non-zero TRI Data'!$I:$I,'Processed Non-zero TRI Data'!$A:$A)) = 'Processed Non-zero TRI Data'!$A:$A)*('Processed Non-zero TRI Data'!$I:$I = H321), 'Processed Non-zero TRI Data'!$U:$U), "N/A- Facility Does Not Report to TRI")</f>
        <v>0</v>
      </c>
      <c r="AF321" s="33">
        <f t="shared" si="61"/>
        <v>0</v>
      </c>
      <c r="AG321" s="33" t="str" cm="1">
        <f t="array" ref="AG321">IF(COUNTIF('Processed Non-zero TRI Data'!$I:$I,$H321)&gt;0,MEDIAN(IF('Processed Non-zero TRI Data'!$I:$I=H321,'Processed Non-zero TRI Data'!$U:$U)), "N/A - Facility Does Not Report to TRI")</f>
        <v>N/A - Facility Does Not Report to TRI</v>
      </c>
      <c r="AH321" s="33" t="str">
        <f t="shared" si="62"/>
        <v>N/A - Facility Does Not Report to TRI</v>
      </c>
      <c r="AI321" s="33" t="str">
        <f>IF(COUNTIF('Processed Non-zero TRI Data'!$I:$I,$H321)&gt;0,_xlfn.MAXIFS('Processed Non-zero TRI Data'!$U:$U,'Processed Non-zero TRI Data'!$I:$I,$H321), "N/A - Facility Does Not Report to TRI")</f>
        <v>N/A - Facility Does Not Report to TRI</v>
      </c>
      <c r="AJ321" s="33" t="str">
        <f t="shared" si="63"/>
        <v>N/A - Facility Does Not Report to TRI</v>
      </c>
      <c r="AK321" s="110" t="str" cm="1">
        <f t="array" ref="AK321">IF(B321="TRI Form A",AD321,IF(AI321=0,"Facility has no transfers to POTWs between 2019-2023.",IF(COUNTIF('Processed Non-zero TRI Data'!$I:$I,$H321)&gt;0,INDEX('Processed Non-zero TRI Data'!$A:$A,MATCH(1,($H321='Processed Non-zero TRI Data'!$I:$I)*(AI321='Processed Non-zero TRI Data'!$U:$U),0)),"N/A - Facility Does Not Report to TRI")))</f>
        <v>N/A - Facility Does Not Report to TRI</v>
      </c>
      <c r="AL321" s="109" cm="1">
        <f t="array" ref="AL321">IFERROR(_xlfn.XLOOKUP(1,  (MAX(IF(H321 = 'Processed Non-zero TRI Data'!$I$2:$I$23,'Processed Non-zero TRI Data'!$A$2:$A$23)) = 'Processed Non-zero TRI Data'!$A$2:$A$23)*('Processed Non-zero TRI Data'!$I$2:$I$23 = H321), 'Processed Non-zero TRI Data'!$W$2:$W$23), "N/A- Facility Does Not Report to TRI")</f>
        <v>0</v>
      </c>
      <c r="AM321" s="33">
        <f t="shared" si="64"/>
        <v>0</v>
      </c>
      <c r="AN321" s="33" t="str" cm="1">
        <f t="array" ref="AN321">IF(COUNTIF('Processed Non-zero TRI Data'!$I:$I,$H321)&gt;0,MEDIAN(IF('Processed Non-zero TRI Data'!$I:$I=H321,'Processed Non-zero TRI Data'!$W:$W)), "N/A - Facility Does Not Report to TRI")</f>
        <v>N/A - Facility Does Not Report to TRI</v>
      </c>
      <c r="AO321" s="33" t="str">
        <f t="shared" si="65"/>
        <v>N/A - Facility Does Not Report to TRI</v>
      </c>
      <c r="AP321" s="33" t="str">
        <f>IF(COUNTIF('Processed Non-zero TRI Data'!$I:$I,$H321)&gt;0,_xlfn.MAXIFS('Processed Non-zero TRI Data'!$W:$W,'Processed Non-zero TRI Data'!$I:$I,$H321), "N/A - Facility Does Not Report to TRI")</f>
        <v>N/A - Facility Does Not Report to TRI</v>
      </c>
      <c r="AQ321" s="33" t="str">
        <f t="shared" si="66"/>
        <v>N/A - Facility Does Not Report to TRI</v>
      </c>
      <c r="AR321" s="110" t="str" cm="1">
        <f t="array" ref="AR321">IF(B321="TRI Form A",AD321,IF(AP321=0,"Facility has no transfers to non-POTWs between 2019-2023.",IF(COUNTIF('Processed Non-zero TRI Data'!$I:$I,$H321)&gt;0,INDEX('Processed Non-zero TRI Data'!$A:$A,MATCH(1,($H321='Processed Non-zero TRI Data'!$I:$I)*(AP321='Processed Non-zero TRI Data'!$W:$W),0)),"N/A - Facility Does Not Report to TRI")))</f>
        <v>N/A - Facility Does Not Report to TRI</v>
      </c>
    </row>
    <row r="322" spans="1:44" ht="29" x14ac:dyDescent="0.35">
      <c r="A322" s="34">
        <v>319</v>
      </c>
      <c r="B322" s="33" t="str">
        <f>IFERROR("TRI Form "&amp;VLOOKUP(H322,'Processed Non-zero TRI Data'!$I$2:$K$23,3,FALSE),"DMR")</f>
        <v>DMR</v>
      </c>
      <c r="C322" s="33" t="str">
        <f>VLOOKUP($D322, 'COU.OES Summary'!C:D, 2, FALSE)</f>
        <v> </v>
      </c>
      <c r="D322" s="33" t="str">
        <f>IFERROR(VLOOKUP($H322, 'Processed Non-zero TRI Data'!$I:$O, 7, FALSE), VLOOKUP($I322, 'Processed Non-zero DMR Data'!$K:$R, 8, FALSE))</f>
        <v>Waste handling, treatment, and disposal - Remediation or Monitoring</v>
      </c>
      <c r="E322" s="34" t="s">
        <v>687</v>
      </c>
      <c r="F322" s="34" t="s">
        <v>688</v>
      </c>
      <c r="G322" s="34" t="s">
        <v>254</v>
      </c>
      <c r="H322" s="34"/>
      <c r="I322" s="105">
        <v>110070213656</v>
      </c>
      <c r="J322" s="33" t="str">
        <f>IFERROR(VLOOKUP($I322, 'Processed Non-zero DMR Data'!$K:$U, 11, FALSE),"")</f>
        <v>NJG218316</v>
      </c>
      <c r="K322" s="33" t="str">
        <f>IFERROR(VLOOKUP($I322, 'Processed Non-zero DMR Data'!$K:$V, 12, FALSE),"Not Reported")</f>
        <v>Preakness Brook-Passaic River</v>
      </c>
      <c r="L322" s="106">
        <f>IFERROR(VLOOKUP($I322, 'Processed Non-zero DMR Data'!$K:$W, 13, FALSE),"No Reach Code Reported")</f>
        <v>20301030801</v>
      </c>
      <c r="M322" s="107" t="str">
        <f>IFERROR(IFERROR(VLOOKUP(H322, 'Off-site Locations'!$K$3:$O$5, 5, FALSE), VLOOKUP(H322, 'Off-site Locations'!$B$3:$E$4, 4, FALSE)), "No Offsite Transfers")</f>
        <v>No Offsite Transfers</v>
      </c>
      <c r="N322" s="33">
        <f>VLOOKUP($D322, 'COU.OES Summary'!C:E, 3, FALSE)</f>
        <v>365</v>
      </c>
      <c r="O322" s="108">
        <f t="shared" si="56"/>
        <v>0</v>
      </c>
      <c r="P322" s="108">
        <f t="shared" si="57"/>
        <v>4.2768062459999997E-4</v>
      </c>
      <c r="Q322" s="109" cm="1">
        <f t="array" ref="Q322">IFERROR(_xlfn.XLOOKUP(1,  (MAX(IF(I322 = 'Processed Non-zero DMR Data'!$K:$K,'Processed Non-zero DMR Data'!$A:$A)) = 'Processed Non-zero DMR Data'!$A:$A)*('Processed Non-zero DMR Data'!$K:$K = I322),'Processed Non-zero DMR Data'!$T:$T), "N/A- Facility Does Not Report DMRs")</f>
        <v>8.7960371999999996E-6</v>
      </c>
      <c r="R322" s="33">
        <f t="shared" si="67"/>
        <v>2.4098732054794519E-8</v>
      </c>
      <c r="S322" s="33" cm="1">
        <f t="array" ref="S322">IF(COUNTIF('Processed Non-zero DMR Data'!$K:$K,$I322)&gt;0,MEDIAN(IF('Processed Non-zero DMR Data'!$K:$K=I322,'Processed Non-zero DMR Data'!$T:$T)),"N/A - Facility Does Not Report DMRs")</f>
        <v>2.6256052950000001E-4</v>
      </c>
      <c r="T322" s="33">
        <f t="shared" si="68"/>
        <v>7.1934391643835617E-7</v>
      </c>
      <c r="U322" s="33">
        <f>IF(COUNTIF('Processed Non-zero DMR Data'!$K:$K,$I322)&gt;0,_xlfn.MAXIFS('Processed Non-zero DMR Data'!$T:$T,'Processed Non-zero DMR Data'!$K:$K,$I322), "N/A - Facility Does Not Report DMRs")</f>
        <v>4.2768062459999997E-4</v>
      </c>
      <c r="V322" s="33">
        <f t="shared" si="69"/>
        <v>1.171727738630137E-6</v>
      </c>
      <c r="W322" s="110" cm="1">
        <f t="array" ref="W322">IF(COUNTIF('Processed Non-zero DMR Data'!$K:$K,$I322)&gt;0,INDEX('Processed Non-zero DMR Data'!$A:$A,MATCH(1,($I322='Processed Non-zero DMR Data'!$K:$K)*($U322='Processed Non-zero DMR Data'!$T:$T),0)), "N/A - Facility Does Not Report DMRs")</f>
        <v>2019</v>
      </c>
      <c r="X322" s="109" cm="1">
        <f t="array" ref="X322">IFERROR(_xlfn.XLOOKUP(1,  (MAX(IF(H322 = 'Processed Non-zero TRI Data'!$I:$I,'Processed Non-zero TRI Data'!$A:$A)) = 'Processed Non-zero TRI Data'!$A:$A)*('Processed Non-zero TRI Data'!$I:$I = H322), 'Processed Non-zero TRI Data'!$S:$S), "N/A- Facility Does Not Report to TRI")</f>
        <v>0</v>
      </c>
      <c r="Y322" s="33">
        <f t="shared" si="58"/>
        <v>0</v>
      </c>
      <c r="Z322" s="33" t="str" cm="1">
        <f t="array" ref="Z322">IF(COUNTIF('Processed Non-zero TRI Data'!$I:$I,$H322)&gt;0,MEDIAN(IF('Processed Non-zero TRI Data'!$I:$I=H322,'Processed Non-zero TRI Data'!$S:$S)), "N/A - Facility Does Not Report to TRI")</f>
        <v>N/A - Facility Does Not Report to TRI</v>
      </c>
      <c r="AA322" s="33" t="str">
        <f t="shared" si="59"/>
        <v>N/A - Facility Does Not Report to TRI</v>
      </c>
      <c r="AB322" s="33" t="str">
        <f>IF(COUNTIF('Processed Non-zero TRI Data'!$I:$I,$H322)&gt;0,_xlfn.MAXIFS('Processed Non-zero TRI Data'!$S:$S,'Processed Non-zero TRI Data'!$I:$I,$H322), "N/A - Facility Does Not Report to TRI")</f>
        <v>N/A - Facility Does Not Report to TRI</v>
      </c>
      <c r="AC322" s="33" t="str">
        <f t="shared" si="60"/>
        <v>N/A - Facility Does Not Report to TRI</v>
      </c>
      <c r="AD322" s="110" t="str" cm="1">
        <f t="array" ref="AD322">IFERROR(IF(B322 = "TRI Form R", IF(AB322 = 0, "Facility has no on-site water discharges between 2019-2023.",  IF(COUNTIF('Processed Non-zero TRI Data'!$I:$I,$H322)&gt;0,INDEX('Processed Non-zero TRI Data'!$A:$A,MATCH(1,($H322='Processed Non-zero TRI Data'!$I:$I)*(AB322='Processed Non-zero TRI Data'!$S:$S),0)))), VLOOKUP(H322, 'Form A Recent Reporting'!$L:$M, 2, FALSE)), ("N/A - Facility Does Not Report to TRI"))</f>
        <v>N/A - Facility Does Not Report to TRI</v>
      </c>
      <c r="AE322" s="109" cm="1">
        <f t="array" ref="AE322">IFERROR(_xlfn.XLOOKUP(1,  (MAX(IF(H322 = 'Processed Non-zero TRI Data'!$I:$I,'Processed Non-zero TRI Data'!$A:$A)) = 'Processed Non-zero TRI Data'!$A:$A)*('Processed Non-zero TRI Data'!$I:$I = H322), 'Processed Non-zero TRI Data'!$U:$U), "N/A- Facility Does Not Report to TRI")</f>
        <v>0</v>
      </c>
      <c r="AF322" s="33">
        <f t="shared" si="61"/>
        <v>0</v>
      </c>
      <c r="AG322" s="33" t="str" cm="1">
        <f t="array" ref="AG322">IF(COUNTIF('Processed Non-zero TRI Data'!$I:$I,$H322)&gt;0,MEDIAN(IF('Processed Non-zero TRI Data'!$I:$I=H322,'Processed Non-zero TRI Data'!$U:$U)), "N/A - Facility Does Not Report to TRI")</f>
        <v>N/A - Facility Does Not Report to TRI</v>
      </c>
      <c r="AH322" s="33" t="str">
        <f t="shared" si="62"/>
        <v>N/A - Facility Does Not Report to TRI</v>
      </c>
      <c r="AI322" s="33" t="str">
        <f>IF(COUNTIF('Processed Non-zero TRI Data'!$I:$I,$H322)&gt;0,_xlfn.MAXIFS('Processed Non-zero TRI Data'!$U:$U,'Processed Non-zero TRI Data'!$I:$I,$H322), "N/A - Facility Does Not Report to TRI")</f>
        <v>N/A - Facility Does Not Report to TRI</v>
      </c>
      <c r="AJ322" s="33" t="str">
        <f t="shared" si="63"/>
        <v>N/A - Facility Does Not Report to TRI</v>
      </c>
      <c r="AK322" s="110" t="str" cm="1">
        <f t="array" ref="AK322">IF(B322="TRI Form A",AD322,IF(AI322=0,"Facility has no transfers to POTWs between 2019-2023.",IF(COUNTIF('Processed Non-zero TRI Data'!$I:$I,$H322)&gt;0,INDEX('Processed Non-zero TRI Data'!$A:$A,MATCH(1,($H322='Processed Non-zero TRI Data'!$I:$I)*(AI322='Processed Non-zero TRI Data'!$U:$U),0)),"N/A - Facility Does Not Report to TRI")))</f>
        <v>N/A - Facility Does Not Report to TRI</v>
      </c>
      <c r="AL322" s="109" cm="1">
        <f t="array" ref="AL322">IFERROR(_xlfn.XLOOKUP(1,  (MAX(IF(H322 = 'Processed Non-zero TRI Data'!$I$2:$I$23,'Processed Non-zero TRI Data'!$A$2:$A$23)) = 'Processed Non-zero TRI Data'!$A$2:$A$23)*('Processed Non-zero TRI Data'!$I$2:$I$23 = H322), 'Processed Non-zero TRI Data'!$W$2:$W$23), "N/A- Facility Does Not Report to TRI")</f>
        <v>0</v>
      </c>
      <c r="AM322" s="33">
        <f t="shared" si="64"/>
        <v>0</v>
      </c>
      <c r="AN322" s="33" t="str" cm="1">
        <f t="array" ref="AN322">IF(COUNTIF('Processed Non-zero TRI Data'!$I:$I,$H322)&gt;0,MEDIAN(IF('Processed Non-zero TRI Data'!$I:$I=H322,'Processed Non-zero TRI Data'!$W:$W)), "N/A - Facility Does Not Report to TRI")</f>
        <v>N/A - Facility Does Not Report to TRI</v>
      </c>
      <c r="AO322" s="33" t="str">
        <f t="shared" si="65"/>
        <v>N/A - Facility Does Not Report to TRI</v>
      </c>
      <c r="AP322" s="33" t="str">
        <f>IF(COUNTIF('Processed Non-zero TRI Data'!$I:$I,$H322)&gt;0,_xlfn.MAXIFS('Processed Non-zero TRI Data'!$W:$W,'Processed Non-zero TRI Data'!$I:$I,$H322), "N/A - Facility Does Not Report to TRI")</f>
        <v>N/A - Facility Does Not Report to TRI</v>
      </c>
      <c r="AQ322" s="33" t="str">
        <f t="shared" si="66"/>
        <v>N/A - Facility Does Not Report to TRI</v>
      </c>
      <c r="AR322" s="110" t="str" cm="1">
        <f t="array" ref="AR322">IF(B322="TRI Form A",AD322,IF(AP322=0,"Facility has no transfers to non-POTWs between 2019-2023.",IF(COUNTIF('Processed Non-zero TRI Data'!$I:$I,$H322)&gt;0,INDEX('Processed Non-zero TRI Data'!$A:$A,MATCH(1,($H322='Processed Non-zero TRI Data'!$I:$I)*(AP322='Processed Non-zero TRI Data'!$W:$W),0)),"N/A - Facility Does Not Report to TRI")))</f>
        <v>N/A - Facility Does Not Report to TRI</v>
      </c>
    </row>
    <row r="323" spans="1:44" ht="29" x14ac:dyDescent="0.35">
      <c r="A323" s="34">
        <v>320</v>
      </c>
      <c r="B323" s="33" t="str">
        <f>IFERROR("TRI Form "&amp;VLOOKUP(H323,'Processed Non-zero TRI Data'!$I$2:$K$23,3,FALSE),"DMR")</f>
        <v>DMR</v>
      </c>
      <c r="C323" s="33" t="str">
        <f>VLOOKUP($D323, 'COU.OES Summary'!C:D, 2, FALSE)</f>
        <v> </v>
      </c>
      <c r="D323" s="33" t="str">
        <f>IFERROR(VLOOKUP($H323, 'Processed Non-zero TRI Data'!$I:$O, 7, FALSE), VLOOKUP($I323, 'Processed Non-zero DMR Data'!$K:$R, 8, FALSE))</f>
        <v>Waste handling, treatment, and disposal - Remediation or Monitoring</v>
      </c>
      <c r="E323" s="34" t="s">
        <v>689</v>
      </c>
      <c r="F323" s="34" t="s">
        <v>690</v>
      </c>
      <c r="G323" s="34" t="s">
        <v>254</v>
      </c>
      <c r="H323" s="34"/>
      <c r="I323" s="105">
        <v>110070940491</v>
      </c>
      <c r="J323" s="33" t="str">
        <f>IFERROR(VLOOKUP($I323, 'Processed Non-zero DMR Data'!$K:$U, 11, FALSE),"")</f>
        <v>NJG317705</v>
      </c>
      <c r="K323" s="33" t="str">
        <f>IFERROR(VLOOKUP($I323, 'Processed Non-zero DMR Data'!$K:$V, 12, FALSE),"Not Reported")</f>
        <v>Lower Hackensack River</v>
      </c>
      <c r="L323" s="106">
        <f>IFERROR(VLOOKUP($I323, 'Processed Non-zero DMR Data'!$K:$W, 13, FALSE),"No Reach Code Reported")</f>
        <v>20301030906</v>
      </c>
      <c r="M323" s="107" t="str">
        <f>IFERROR(IFERROR(VLOOKUP(H323, 'Off-site Locations'!$K$3:$O$5, 5, FALSE), VLOOKUP(H323, 'Off-site Locations'!$B$3:$E$4, 4, FALSE)), "No Offsite Transfers")</f>
        <v>No Offsite Transfers</v>
      </c>
      <c r="N323" s="33">
        <f>VLOOKUP($D323, 'COU.OES Summary'!C:E, 3, FALSE)</f>
        <v>365</v>
      </c>
      <c r="O323" s="108">
        <f t="shared" si="56"/>
        <v>0</v>
      </c>
      <c r="P323" s="108">
        <f t="shared" si="57"/>
        <v>4.0270564274999998E-4</v>
      </c>
      <c r="Q323" s="109" cm="1">
        <f t="array" ref="Q323">IFERROR(_xlfn.XLOOKUP(1,  (MAX(IF(I323 = 'Processed Non-zero DMR Data'!$K:$K,'Processed Non-zero DMR Data'!$A:$A)) = 'Processed Non-zero DMR Data'!$A:$A)*('Processed Non-zero DMR Data'!$K:$K = I323),'Processed Non-zero DMR Data'!$T:$T), "N/A- Facility Does Not Report DMRs")</f>
        <v>1.4771889825000001E-4</v>
      </c>
      <c r="R323" s="33">
        <f t="shared" si="67"/>
        <v>4.0470931027397266E-7</v>
      </c>
      <c r="S323" s="33" cm="1">
        <f t="array" ref="S323">IF(COUNTIF('Processed Non-zero DMR Data'!$K:$K,$I323)&gt;0,MEDIAN(IF('Processed Non-zero DMR Data'!$K:$K=I323,'Processed Non-zero DMR Data'!$T:$T)),"N/A - Facility Does Not Report DMRs")</f>
        <v>2.752122705E-4</v>
      </c>
      <c r="T323" s="33">
        <f t="shared" si="68"/>
        <v>7.540062205479452E-7</v>
      </c>
      <c r="U323" s="33">
        <f>IF(COUNTIF('Processed Non-zero DMR Data'!$K:$K,$I323)&gt;0,_xlfn.MAXIFS('Processed Non-zero DMR Data'!$T:$T,'Processed Non-zero DMR Data'!$K:$K,$I323), "N/A - Facility Does Not Report DMRs")</f>
        <v>4.0270564274999998E-4</v>
      </c>
      <c r="V323" s="33">
        <f t="shared" si="69"/>
        <v>1.1033031308219178E-6</v>
      </c>
      <c r="W323" s="110" cm="1">
        <f t="array" ref="W323">IF(COUNTIF('Processed Non-zero DMR Data'!$K:$K,$I323)&gt;0,INDEX('Processed Non-zero DMR Data'!$A:$A,MATCH(1,($I323='Processed Non-zero DMR Data'!$K:$K)*($U323='Processed Non-zero DMR Data'!$T:$T),0)), "N/A - Facility Does Not Report DMRs")</f>
        <v>2021</v>
      </c>
      <c r="X323" s="109" cm="1">
        <f t="array" ref="X323">IFERROR(_xlfn.XLOOKUP(1,  (MAX(IF(H323 = 'Processed Non-zero TRI Data'!$I:$I,'Processed Non-zero TRI Data'!$A:$A)) = 'Processed Non-zero TRI Data'!$A:$A)*('Processed Non-zero TRI Data'!$I:$I = H323), 'Processed Non-zero TRI Data'!$S:$S), "N/A- Facility Does Not Report to TRI")</f>
        <v>0</v>
      </c>
      <c r="Y323" s="33">
        <f t="shared" si="58"/>
        <v>0</v>
      </c>
      <c r="Z323" s="33" t="str" cm="1">
        <f t="array" ref="Z323">IF(COUNTIF('Processed Non-zero TRI Data'!$I:$I,$H323)&gt;0,MEDIAN(IF('Processed Non-zero TRI Data'!$I:$I=H323,'Processed Non-zero TRI Data'!$S:$S)), "N/A - Facility Does Not Report to TRI")</f>
        <v>N/A - Facility Does Not Report to TRI</v>
      </c>
      <c r="AA323" s="33" t="str">
        <f t="shared" si="59"/>
        <v>N/A - Facility Does Not Report to TRI</v>
      </c>
      <c r="AB323" s="33" t="str">
        <f>IF(COUNTIF('Processed Non-zero TRI Data'!$I:$I,$H323)&gt;0,_xlfn.MAXIFS('Processed Non-zero TRI Data'!$S:$S,'Processed Non-zero TRI Data'!$I:$I,$H323), "N/A - Facility Does Not Report to TRI")</f>
        <v>N/A - Facility Does Not Report to TRI</v>
      </c>
      <c r="AC323" s="33" t="str">
        <f t="shared" si="60"/>
        <v>N/A - Facility Does Not Report to TRI</v>
      </c>
      <c r="AD323" s="110" t="str" cm="1">
        <f t="array" ref="AD323">IFERROR(IF(B323 = "TRI Form R", IF(AB323 = 0, "Facility has no on-site water discharges between 2019-2023.",  IF(COUNTIF('Processed Non-zero TRI Data'!$I:$I,$H323)&gt;0,INDEX('Processed Non-zero TRI Data'!$A:$A,MATCH(1,($H323='Processed Non-zero TRI Data'!$I:$I)*(AB323='Processed Non-zero TRI Data'!$S:$S),0)))), VLOOKUP(H323, 'Form A Recent Reporting'!$L:$M, 2, FALSE)), ("N/A - Facility Does Not Report to TRI"))</f>
        <v>N/A - Facility Does Not Report to TRI</v>
      </c>
      <c r="AE323" s="109" cm="1">
        <f t="array" ref="AE323">IFERROR(_xlfn.XLOOKUP(1,  (MAX(IF(H323 = 'Processed Non-zero TRI Data'!$I:$I,'Processed Non-zero TRI Data'!$A:$A)) = 'Processed Non-zero TRI Data'!$A:$A)*('Processed Non-zero TRI Data'!$I:$I = H323), 'Processed Non-zero TRI Data'!$U:$U), "N/A- Facility Does Not Report to TRI")</f>
        <v>0</v>
      </c>
      <c r="AF323" s="33">
        <f t="shared" si="61"/>
        <v>0</v>
      </c>
      <c r="AG323" s="33" t="str" cm="1">
        <f t="array" ref="AG323">IF(COUNTIF('Processed Non-zero TRI Data'!$I:$I,$H323)&gt;0,MEDIAN(IF('Processed Non-zero TRI Data'!$I:$I=H323,'Processed Non-zero TRI Data'!$U:$U)), "N/A - Facility Does Not Report to TRI")</f>
        <v>N/A - Facility Does Not Report to TRI</v>
      </c>
      <c r="AH323" s="33" t="str">
        <f t="shared" si="62"/>
        <v>N/A - Facility Does Not Report to TRI</v>
      </c>
      <c r="AI323" s="33" t="str">
        <f>IF(COUNTIF('Processed Non-zero TRI Data'!$I:$I,$H323)&gt;0,_xlfn.MAXIFS('Processed Non-zero TRI Data'!$U:$U,'Processed Non-zero TRI Data'!$I:$I,$H323), "N/A - Facility Does Not Report to TRI")</f>
        <v>N/A - Facility Does Not Report to TRI</v>
      </c>
      <c r="AJ323" s="33" t="str">
        <f t="shared" si="63"/>
        <v>N/A - Facility Does Not Report to TRI</v>
      </c>
      <c r="AK323" s="110" t="str" cm="1">
        <f t="array" ref="AK323">IF(B323="TRI Form A",AD323,IF(AI323=0,"Facility has no transfers to POTWs between 2019-2023.",IF(COUNTIF('Processed Non-zero TRI Data'!$I:$I,$H323)&gt;0,INDEX('Processed Non-zero TRI Data'!$A:$A,MATCH(1,($H323='Processed Non-zero TRI Data'!$I:$I)*(AI323='Processed Non-zero TRI Data'!$U:$U),0)),"N/A - Facility Does Not Report to TRI")))</f>
        <v>N/A - Facility Does Not Report to TRI</v>
      </c>
      <c r="AL323" s="109" cm="1">
        <f t="array" ref="AL323">IFERROR(_xlfn.XLOOKUP(1,  (MAX(IF(H323 = 'Processed Non-zero TRI Data'!$I$2:$I$23,'Processed Non-zero TRI Data'!$A$2:$A$23)) = 'Processed Non-zero TRI Data'!$A$2:$A$23)*('Processed Non-zero TRI Data'!$I$2:$I$23 = H323), 'Processed Non-zero TRI Data'!$W$2:$W$23), "N/A- Facility Does Not Report to TRI")</f>
        <v>0</v>
      </c>
      <c r="AM323" s="33">
        <f t="shared" si="64"/>
        <v>0</v>
      </c>
      <c r="AN323" s="33" t="str" cm="1">
        <f t="array" ref="AN323">IF(COUNTIF('Processed Non-zero TRI Data'!$I:$I,$H323)&gt;0,MEDIAN(IF('Processed Non-zero TRI Data'!$I:$I=H323,'Processed Non-zero TRI Data'!$W:$W)), "N/A - Facility Does Not Report to TRI")</f>
        <v>N/A - Facility Does Not Report to TRI</v>
      </c>
      <c r="AO323" s="33" t="str">
        <f t="shared" si="65"/>
        <v>N/A - Facility Does Not Report to TRI</v>
      </c>
      <c r="AP323" s="33" t="str">
        <f>IF(COUNTIF('Processed Non-zero TRI Data'!$I:$I,$H323)&gt;0,_xlfn.MAXIFS('Processed Non-zero TRI Data'!$W:$W,'Processed Non-zero TRI Data'!$I:$I,$H323), "N/A - Facility Does Not Report to TRI")</f>
        <v>N/A - Facility Does Not Report to TRI</v>
      </c>
      <c r="AQ323" s="33" t="str">
        <f t="shared" si="66"/>
        <v>N/A - Facility Does Not Report to TRI</v>
      </c>
      <c r="AR323" s="110" t="str" cm="1">
        <f t="array" ref="AR323">IF(B323="TRI Form A",AD323,IF(AP323=0,"Facility has no transfers to non-POTWs between 2019-2023.",IF(COUNTIF('Processed Non-zero TRI Data'!$I:$I,$H323)&gt;0,INDEX('Processed Non-zero TRI Data'!$A:$A,MATCH(1,($H323='Processed Non-zero TRI Data'!$I:$I)*(AP323='Processed Non-zero TRI Data'!$W:$W),0)),"N/A - Facility Does Not Report to TRI")))</f>
        <v>N/A - Facility Does Not Report to TRI</v>
      </c>
    </row>
    <row r="324" spans="1:44" ht="29" x14ac:dyDescent="0.35">
      <c r="A324" s="34">
        <v>321</v>
      </c>
      <c r="B324" s="33" t="str">
        <f>IFERROR("TRI Form "&amp;VLOOKUP(H324,'Processed Non-zero TRI Data'!$I$2:$K$23,3,FALSE),"DMR")</f>
        <v>DMR</v>
      </c>
      <c r="C324" s="33" t="str">
        <f>VLOOKUP($D324, 'COU.OES Summary'!C:D, 2, FALSE)</f>
        <v> </v>
      </c>
      <c r="D324" s="33" t="str">
        <f>IFERROR(VLOOKUP($H324, 'Processed Non-zero TRI Data'!$I:$O, 7, FALSE), VLOOKUP($I324, 'Processed Non-zero DMR Data'!$K:$R, 8, FALSE))</f>
        <v>Waste handling, treatment, and disposal - Remediation or Monitoring</v>
      </c>
      <c r="E324" s="34" t="s">
        <v>691</v>
      </c>
      <c r="F324" s="34" t="s">
        <v>623</v>
      </c>
      <c r="G324" s="34" t="s">
        <v>492</v>
      </c>
      <c r="H324" s="34"/>
      <c r="I324" s="105">
        <v>110070097711</v>
      </c>
      <c r="J324" s="33" t="str">
        <f>IFERROR(VLOOKUP($I324, 'Processed Non-zero DMR Data'!$K:$U, 11, FALSE),"")</f>
        <v>CO0049006</v>
      </c>
      <c r="K324" s="33" t="str">
        <f>IFERROR(VLOOKUP($I324, 'Processed Non-zero DMR Data'!$K:$V, 12, FALSE),"Not Reported")</f>
        <v>Cherry Creek-South Platte River</v>
      </c>
      <c r="L324" s="106">
        <f>IFERROR(VLOOKUP($I324, 'Processed Non-zero DMR Data'!$K:$W, 13, FALSE),"No Reach Code Reported")</f>
        <v>101900030304</v>
      </c>
      <c r="M324" s="107" t="str">
        <f>IFERROR(IFERROR(VLOOKUP(H324, 'Off-site Locations'!$K$3:$O$5, 5, FALSE), VLOOKUP(H324, 'Off-site Locations'!$B$3:$E$4, 4, FALSE)), "No Offsite Transfers")</f>
        <v>No Offsite Transfers</v>
      </c>
      <c r="N324" s="33">
        <f>VLOOKUP($D324, 'COU.OES Summary'!C:E, 3, FALSE)</f>
        <v>365</v>
      </c>
      <c r="O324" s="108">
        <f t="shared" ref="O324:O332" si="70">MAX(AB324,AI324,AP324)</f>
        <v>0</v>
      </c>
      <c r="P324" s="108">
        <f t="shared" ref="P324:P332" si="71">MAX(U324)</f>
        <v>3.2778100000000003E-4</v>
      </c>
      <c r="Q324" s="109" cm="1">
        <f t="array" ref="Q324">IFERROR(_xlfn.XLOOKUP(1,  (MAX(IF(I324 = 'Processed Non-zero DMR Data'!$K:$K,'Processed Non-zero DMR Data'!$A:$A)) = 'Processed Non-zero DMR Data'!$A:$A)*('Processed Non-zero DMR Data'!$K:$K = I324),'Processed Non-zero DMR Data'!$T:$T), "N/A- Facility Does Not Report DMRs")</f>
        <v>3.2778100000000003E-4</v>
      </c>
      <c r="R324" s="33">
        <f t="shared" si="67"/>
        <v>8.9803013698630143E-7</v>
      </c>
      <c r="S324" s="33" cm="1">
        <f t="array" ref="S324">IF(COUNTIF('Processed Non-zero DMR Data'!$K:$K,$I324)&gt;0,MEDIAN(IF('Processed Non-zero DMR Data'!$K:$K=I324,'Processed Non-zero DMR Data'!$T:$T)),"N/A - Facility Does Not Report DMRs")</f>
        <v>3.2778100000000003E-4</v>
      </c>
      <c r="T324" s="33">
        <f t="shared" si="68"/>
        <v>8.9803013698630143E-7</v>
      </c>
      <c r="U324" s="33">
        <f>IF(COUNTIF('Processed Non-zero DMR Data'!$K:$K,$I324)&gt;0,_xlfn.MAXIFS('Processed Non-zero DMR Data'!$T:$T,'Processed Non-zero DMR Data'!$K:$K,$I324), "N/A - Facility Does Not Report DMRs")</f>
        <v>3.2778100000000003E-4</v>
      </c>
      <c r="V324" s="33">
        <f t="shared" si="69"/>
        <v>8.9803013698630143E-7</v>
      </c>
      <c r="W324" s="110" cm="1">
        <f t="array" ref="W324">IF(COUNTIF('Processed Non-zero DMR Data'!$K:$K,$I324)&gt;0,INDEX('Processed Non-zero DMR Data'!$A:$A,MATCH(1,($I324='Processed Non-zero DMR Data'!$K:$K)*($U324='Processed Non-zero DMR Data'!$T:$T),0)), "N/A - Facility Does Not Report DMRs")</f>
        <v>2021</v>
      </c>
      <c r="X324" s="109" cm="1">
        <f t="array" ref="X324">IFERROR(_xlfn.XLOOKUP(1,  (MAX(IF(H324 = 'Processed Non-zero TRI Data'!$I:$I,'Processed Non-zero TRI Data'!$A:$A)) = 'Processed Non-zero TRI Data'!$A:$A)*('Processed Non-zero TRI Data'!$I:$I = H324), 'Processed Non-zero TRI Data'!$S:$S), "N/A- Facility Does Not Report to TRI")</f>
        <v>0</v>
      </c>
      <c r="Y324" s="33">
        <f t="shared" ref="Y324:Y332" si="72">IFERROR(X324/$N324, "N/A - Facility Does Not Report to TRI")</f>
        <v>0</v>
      </c>
      <c r="Z324" s="33" t="str" cm="1">
        <f t="array" ref="Z324">IF(COUNTIF('Processed Non-zero TRI Data'!$I:$I,$H324)&gt;0,MEDIAN(IF('Processed Non-zero TRI Data'!$I:$I=H324,'Processed Non-zero TRI Data'!$S:$S)), "N/A - Facility Does Not Report to TRI")</f>
        <v>N/A - Facility Does Not Report to TRI</v>
      </c>
      <c r="AA324" s="33" t="str">
        <f t="shared" ref="AA324:AA332" si="73">IFERROR(Z324/$N324, "N/A - Facility Does Not Report to TRI")</f>
        <v>N/A - Facility Does Not Report to TRI</v>
      </c>
      <c r="AB324" s="33" t="str">
        <f>IF(COUNTIF('Processed Non-zero TRI Data'!$I:$I,$H324)&gt;0,_xlfn.MAXIFS('Processed Non-zero TRI Data'!$S:$S,'Processed Non-zero TRI Data'!$I:$I,$H324), "N/A - Facility Does Not Report to TRI")</f>
        <v>N/A - Facility Does Not Report to TRI</v>
      </c>
      <c r="AC324" s="33" t="str">
        <f t="shared" ref="AC324:AC332" si="74">IFERROR(AB324/$N324, "N/A - Facility Does Not Report to TRI")</f>
        <v>N/A - Facility Does Not Report to TRI</v>
      </c>
      <c r="AD324" s="110" t="str" cm="1">
        <f t="array" ref="AD324">IFERROR(IF(B324 = "TRI Form R", IF(AB324 = 0, "Facility has no on-site water discharges between 2019-2023.",  IF(COUNTIF('Processed Non-zero TRI Data'!$I:$I,$H324)&gt;0,INDEX('Processed Non-zero TRI Data'!$A:$A,MATCH(1,($H324='Processed Non-zero TRI Data'!$I:$I)*(AB324='Processed Non-zero TRI Data'!$S:$S),0)))), VLOOKUP(H324, 'Form A Recent Reporting'!$L:$M, 2, FALSE)), ("N/A - Facility Does Not Report to TRI"))</f>
        <v>N/A - Facility Does Not Report to TRI</v>
      </c>
      <c r="AE324" s="109" cm="1">
        <f t="array" ref="AE324">IFERROR(_xlfn.XLOOKUP(1,  (MAX(IF(H324 = 'Processed Non-zero TRI Data'!$I:$I,'Processed Non-zero TRI Data'!$A:$A)) = 'Processed Non-zero TRI Data'!$A:$A)*('Processed Non-zero TRI Data'!$I:$I = H324), 'Processed Non-zero TRI Data'!$U:$U), "N/A- Facility Does Not Report to TRI")</f>
        <v>0</v>
      </c>
      <c r="AF324" s="33">
        <f t="shared" ref="AF324:AF332" si="75">IFERROR(AE324/$N324, "N/A - Facility Does Not Report to TRI")</f>
        <v>0</v>
      </c>
      <c r="AG324" s="33" t="str" cm="1">
        <f t="array" ref="AG324">IF(COUNTIF('Processed Non-zero TRI Data'!$I:$I,$H324)&gt;0,MEDIAN(IF('Processed Non-zero TRI Data'!$I:$I=H324,'Processed Non-zero TRI Data'!$U:$U)), "N/A - Facility Does Not Report to TRI")</f>
        <v>N/A - Facility Does Not Report to TRI</v>
      </c>
      <c r="AH324" s="33" t="str">
        <f t="shared" ref="AH324:AH332" si="76">IFERROR(AG324/$N324, "N/A - Facility Does Not Report to TRI")</f>
        <v>N/A - Facility Does Not Report to TRI</v>
      </c>
      <c r="AI324" s="33" t="str">
        <f>IF(COUNTIF('Processed Non-zero TRI Data'!$I:$I,$H324)&gt;0,_xlfn.MAXIFS('Processed Non-zero TRI Data'!$U:$U,'Processed Non-zero TRI Data'!$I:$I,$H324), "N/A - Facility Does Not Report to TRI")</f>
        <v>N/A - Facility Does Not Report to TRI</v>
      </c>
      <c r="AJ324" s="33" t="str">
        <f t="shared" ref="AJ324:AJ332" si="77">IFERROR(AI324/$N324, "N/A - Facility Does Not Report to TRI")</f>
        <v>N/A - Facility Does Not Report to TRI</v>
      </c>
      <c r="AK324" s="110" t="str" cm="1">
        <f t="array" ref="AK324">IF(B324="TRI Form A",AD324,IF(AI324=0,"Facility has no transfers to POTWs between 2019-2023.",IF(COUNTIF('Processed Non-zero TRI Data'!$I:$I,$H324)&gt;0,INDEX('Processed Non-zero TRI Data'!$A:$A,MATCH(1,($H324='Processed Non-zero TRI Data'!$I:$I)*(AI324='Processed Non-zero TRI Data'!$U:$U),0)),"N/A - Facility Does Not Report to TRI")))</f>
        <v>N/A - Facility Does Not Report to TRI</v>
      </c>
      <c r="AL324" s="109" cm="1">
        <f t="array" ref="AL324">IFERROR(_xlfn.XLOOKUP(1,  (MAX(IF(H324 = 'Processed Non-zero TRI Data'!$I$2:$I$23,'Processed Non-zero TRI Data'!$A$2:$A$23)) = 'Processed Non-zero TRI Data'!$A$2:$A$23)*('Processed Non-zero TRI Data'!$I$2:$I$23 = H324), 'Processed Non-zero TRI Data'!$W$2:$W$23), "N/A- Facility Does Not Report to TRI")</f>
        <v>0</v>
      </c>
      <c r="AM324" s="33">
        <f t="shared" ref="AM324:AM332" si="78">IFERROR(AL324/$N324, "N/A - Facility Does Not Report to TRI")</f>
        <v>0</v>
      </c>
      <c r="AN324" s="33" t="str" cm="1">
        <f t="array" ref="AN324">IF(COUNTIF('Processed Non-zero TRI Data'!$I:$I,$H324)&gt;0,MEDIAN(IF('Processed Non-zero TRI Data'!$I:$I=H324,'Processed Non-zero TRI Data'!$W:$W)), "N/A - Facility Does Not Report to TRI")</f>
        <v>N/A - Facility Does Not Report to TRI</v>
      </c>
      <c r="AO324" s="33" t="str">
        <f t="shared" ref="AO324:AO332" si="79">IFERROR(AN324/$N324, "N/A - Facility Does Not Report to TRI")</f>
        <v>N/A - Facility Does Not Report to TRI</v>
      </c>
      <c r="AP324" s="33" t="str">
        <f>IF(COUNTIF('Processed Non-zero TRI Data'!$I:$I,$H324)&gt;0,_xlfn.MAXIFS('Processed Non-zero TRI Data'!$W:$W,'Processed Non-zero TRI Data'!$I:$I,$H324), "N/A - Facility Does Not Report to TRI")</f>
        <v>N/A - Facility Does Not Report to TRI</v>
      </c>
      <c r="AQ324" s="33" t="str">
        <f t="shared" ref="AQ324:AQ332" si="80">IFERROR(AP324/$N324, "N/A - Facility Does Not Report to TRI")</f>
        <v>N/A - Facility Does Not Report to TRI</v>
      </c>
      <c r="AR324" s="110" t="str" cm="1">
        <f t="array" ref="AR324">IF(B324="TRI Form A",AD324,IF(AP324=0,"Facility has no transfers to non-POTWs between 2019-2023.",IF(COUNTIF('Processed Non-zero TRI Data'!$I:$I,$H324)&gt;0,INDEX('Processed Non-zero TRI Data'!$A:$A,MATCH(1,($H324='Processed Non-zero TRI Data'!$I:$I)*(AP324='Processed Non-zero TRI Data'!$W:$W),0)),"N/A - Facility Does Not Report to TRI")))</f>
        <v>N/A - Facility Does Not Report to TRI</v>
      </c>
    </row>
    <row r="325" spans="1:44" ht="29" x14ac:dyDescent="0.35">
      <c r="A325" s="34">
        <v>322</v>
      </c>
      <c r="B325" s="33" t="str">
        <f>IFERROR("TRI Form "&amp;VLOOKUP(H325,'Processed Non-zero TRI Data'!$I$2:$K$23,3,FALSE),"DMR")</f>
        <v>DMR</v>
      </c>
      <c r="C325" s="33" t="str">
        <f>VLOOKUP($D325, 'COU.OES Summary'!C:D, 2, FALSE)</f>
        <v> </v>
      </c>
      <c r="D325" s="33" t="str">
        <f>IFERROR(VLOOKUP($H325, 'Processed Non-zero TRI Data'!$I:$O, 7, FALSE), VLOOKUP($I325, 'Processed Non-zero DMR Data'!$K:$R, 8, FALSE))</f>
        <v>Waste handling, treatment, and disposal - Remediation or Monitoring</v>
      </c>
      <c r="E325" s="34" t="s">
        <v>692</v>
      </c>
      <c r="F325" s="34" t="s">
        <v>693</v>
      </c>
      <c r="G325" s="34" t="s">
        <v>91</v>
      </c>
      <c r="H325" s="34"/>
      <c r="I325" s="105">
        <v>110000449435</v>
      </c>
      <c r="J325" s="33" t="str">
        <f>IFERROR(VLOOKUP($I325, 'Processed Non-zero DMR Data'!$K:$U, 11, FALSE),"")</f>
        <v>LA0064661</v>
      </c>
      <c r="K325" s="33" t="str">
        <f>IFERROR(VLOOKUP($I325, 'Processed Non-zero DMR Data'!$K:$V, 12, FALSE),"Not Reported")</f>
        <v>Bayou Blanc-Bayou Plaquemine Brule</v>
      </c>
      <c r="L325" s="106" t="str">
        <f>IFERROR(VLOOKUP($I325, 'Processed Non-zero DMR Data'!$K:$W, 13, FALSE),"No Reach Code Reported")</f>
        <v>080802010206</v>
      </c>
      <c r="M325" s="107" t="str">
        <f>IFERROR(IFERROR(VLOOKUP(H325, 'Off-site Locations'!$K$3:$O$5, 5, FALSE), VLOOKUP(H325, 'Off-site Locations'!$B$3:$E$4, 4, FALSE)), "No Offsite Transfers")</f>
        <v>No Offsite Transfers</v>
      </c>
      <c r="N325" s="33">
        <f>VLOOKUP($D325, 'COU.OES Summary'!C:E, 3, FALSE)</f>
        <v>365</v>
      </c>
      <c r="O325" s="108">
        <f t="shared" si="70"/>
        <v>0</v>
      </c>
      <c r="P325" s="108">
        <f t="shared" si="71"/>
        <v>3.454191E-4</v>
      </c>
      <c r="Q325" s="109" cm="1">
        <f t="array" ref="Q325">IFERROR(_xlfn.XLOOKUP(1,  (MAX(IF(I325 = 'Processed Non-zero DMR Data'!$K:$K,'Processed Non-zero DMR Data'!$A:$A)) = 'Processed Non-zero DMR Data'!$A:$A)*('Processed Non-zero DMR Data'!$K:$K = I325),'Processed Non-zero DMR Data'!$T:$T), "N/A- Facility Does Not Report DMRs")</f>
        <v>3.454191E-4</v>
      </c>
      <c r="R325" s="33">
        <f t="shared" ref="R325:R332" si="81">IFERROR(Q325/$N325, "N/A - Facility Does Not Report DMRs")</f>
        <v>9.4635369863013695E-7</v>
      </c>
      <c r="S325" s="33" cm="1">
        <f t="array" ref="S325">IF(COUNTIF('Processed Non-zero DMR Data'!$K:$K,$I325)&gt;0,MEDIAN(IF('Processed Non-zero DMR Data'!$K:$K=I325,'Processed Non-zero DMR Data'!$T:$T)),"N/A - Facility Does Not Report DMRs")</f>
        <v>3.454191E-4</v>
      </c>
      <c r="T325" s="33">
        <f t="shared" ref="T325:T332" si="82">IFERROR(S325/$N325, "N/A - Facility Does Not Report DMRs")</f>
        <v>9.4635369863013695E-7</v>
      </c>
      <c r="U325" s="33">
        <f>IF(COUNTIF('Processed Non-zero DMR Data'!$K:$K,$I325)&gt;0,_xlfn.MAXIFS('Processed Non-zero DMR Data'!$T:$T,'Processed Non-zero DMR Data'!$K:$K,$I325), "N/A - Facility Does Not Report DMRs")</f>
        <v>3.454191E-4</v>
      </c>
      <c r="V325" s="33">
        <f t="shared" ref="V325:V332" si="83">IFERROR(U325/$N325, "N/A - Facility Does Not Report DMRs")</f>
        <v>9.4635369863013695E-7</v>
      </c>
      <c r="W325" s="110" cm="1">
        <f t="array" ref="W325">IF(COUNTIF('Processed Non-zero DMR Data'!$K:$K,$I325)&gt;0,INDEX('Processed Non-zero DMR Data'!$A:$A,MATCH(1,($I325='Processed Non-zero DMR Data'!$K:$K)*($U325='Processed Non-zero DMR Data'!$T:$T),0)), "N/A - Facility Does Not Report DMRs")</f>
        <v>2023</v>
      </c>
      <c r="X325" s="109" cm="1">
        <f t="array" ref="X325">IFERROR(_xlfn.XLOOKUP(1,  (MAX(IF(H325 = 'Processed Non-zero TRI Data'!$I:$I,'Processed Non-zero TRI Data'!$A:$A)) = 'Processed Non-zero TRI Data'!$A:$A)*('Processed Non-zero TRI Data'!$I:$I = H325), 'Processed Non-zero TRI Data'!$S:$S), "N/A- Facility Does Not Report to TRI")</f>
        <v>0</v>
      </c>
      <c r="Y325" s="33">
        <f t="shared" si="72"/>
        <v>0</v>
      </c>
      <c r="Z325" s="33" t="str" cm="1">
        <f t="array" ref="Z325">IF(COUNTIF('Processed Non-zero TRI Data'!$I:$I,$H325)&gt;0,MEDIAN(IF('Processed Non-zero TRI Data'!$I:$I=H325,'Processed Non-zero TRI Data'!$S:$S)), "N/A - Facility Does Not Report to TRI")</f>
        <v>N/A - Facility Does Not Report to TRI</v>
      </c>
      <c r="AA325" s="33" t="str">
        <f t="shared" si="73"/>
        <v>N/A - Facility Does Not Report to TRI</v>
      </c>
      <c r="AB325" s="33" t="str">
        <f>IF(COUNTIF('Processed Non-zero TRI Data'!$I:$I,$H325)&gt;0,_xlfn.MAXIFS('Processed Non-zero TRI Data'!$S:$S,'Processed Non-zero TRI Data'!$I:$I,$H325), "N/A - Facility Does Not Report to TRI")</f>
        <v>N/A - Facility Does Not Report to TRI</v>
      </c>
      <c r="AC325" s="33" t="str">
        <f t="shared" si="74"/>
        <v>N/A - Facility Does Not Report to TRI</v>
      </c>
      <c r="AD325" s="110" t="str" cm="1">
        <f t="array" ref="AD325">IFERROR(IF(B325 = "TRI Form R", IF(AB325 = 0, "Facility has no on-site water discharges between 2019-2023.",  IF(COUNTIF('Processed Non-zero TRI Data'!$I:$I,$H325)&gt;0,INDEX('Processed Non-zero TRI Data'!$A:$A,MATCH(1,($H325='Processed Non-zero TRI Data'!$I:$I)*(AB325='Processed Non-zero TRI Data'!$S:$S),0)))), VLOOKUP(H325, 'Form A Recent Reporting'!$L:$M, 2, FALSE)), ("N/A - Facility Does Not Report to TRI"))</f>
        <v>N/A - Facility Does Not Report to TRI</v>
      </c>
      <c r="AE325" s="109" cm="1">
        <f t="array" ref="AE325">IFERROR(_xlfn.XLOOKUP(1,  (MAX(IF(H325 = 'Processed Non-zero TRI Data'!$I:$I,'Processed Non-zero TRI Data'!$A:$A)) = 'Processed Non-zero TRI Data'!$A:$A)*('Processed Non-zero TRI Data'!$I:$I = H325), 'Processed Non-zero TRI Data'!$U:$U), "N/A- Facility Does Not Report to TRI")</f>
        <v>0</v>
      </c>
      <c r="AF325" s="33">
        <f t="shared" si="75"/>
        <v>0</v>
      </c>
      <c r="AG325" s="33" t="str" cm="1">
        <f t="array" ref="AG325">IF(COUNTIF('Processed Non-zero TRI Data'!$I:$I,$H325)&gt;0,MEDIAN(IF('Processed Non-zero TRI Data'!$I:$I=H325,'Processed Non-zero TRI Data'!$U:$U)), "N/A - Facility Does Not Report to TRI")</f>
        <v>N/A - Facility Does Not Report to TRI</v>
      </c>
      <c r="AH325" s="33" t="str">
        <f t="shared" si="76"/>
        <v>N/A - Facility Does Not Report to TRI</v>
      </c>
      <c r="AI325" s="33" t="str">
        <f>IF(COUNTIF('Processed Non-zero TRI Data'!$I:$I,$H325)&gt;0,_xlfn.MAXIFS('Processed Non-zero TRI Data'!$U:$U,'Processed Non-zero TRI Data'!$I:$I,$H325), "N/A - Facility Does Not Report to TRI")</f>
        <v>N/A - Facility Does Not Report to TRI</v>
      </c>
      <c r="AJ325" s="33" t="str">
        <f t="shared" si="77"/>
        <v>N/A - Facility Does Not Report to TRI</v>
      </c>
      <c r="AK325" s="110" t="str" cm="1">
        <f t="array" ref="AK325">IF(B325="TRI Form A",AD325,IF(AI325=0,"Facility has no transfers to POTWs between 2019-2023.",IF(COUNTIF('Processed Non-zero TRI Data'!$I:$I,$H325)&gt;0,INDEX('Processed Non-zero TRI Data'!$A:$A,MATCH(1,($H325='Processed Non-zero TRI Data'!$I:$I)*(AI325='Processed Non-zero TRI Data'!$U:$U),0)),"N/A - Facility Does Not Report to TRI")))</f>
        <v>N/A - Facility Does Not Report to TRI</v>
      </c>
      <c r="AL325" s="109" cm="1">
        <f t="array" ref="AL325">IFERROR(_xlfn.XLOOKUP(1,  (MAX(IF(H325 = 'Processed Non-zero TRI Data'!$I$2:$I$23,'Processed Non-zero TRI Data'!$A$2:$A$23)) = 'Processed Non-zero TRI Data'!$A$2:$A$23)*('Processed Non-zero TRI Data'!$I$2:$I$23 = H325), 'Processed Non-zero TRI Data'!$W$2:$W$23), "N/A- Facility Does Not Report to TRI")</f>
        <v>0</v>
      </c>
      <c r="AM325" s="33">
        <f t="shared" si="78"/>
        <v>0</v>
      </c>
      <c r="AN325" s="33" t="str" cm="1">
        <f t="array" ref="AN325">IF(COUNTIF('Processed Non-zero TRI Data'!$I:$I,$H325)&gt;0,MEDIAN(IF('Processed Non-zero TRI Data'!$I:$I=H325,'Processed Non-zero TRI Data'!$W:$W)), "N/A - Facility Does Not Report to TRI")</f>
        <v>N/A - Facility Does Not Report to TRI</v>
      </c>
      <c r="AO325" s="33" t="str">
        <f t="shared" si="79"/>
        <v>N/A - Facility Does Not Report to TRI</v>
      </c>
      <c r="AP325" s="33" t="str">
        <f>IF(COUNTIF('Processed Non-zero TRI Data'!$I:$I,$H325)&gt;0,_xlfn.MAXIFS('Processed Non-zero TRI Data'!$W:$W,'Processed Non-zero TRI Data'!$I:$I,$H325), "N/A - Facility Does Not Report to TRI")</f>
        <v>N/A - Facility Does Not Report to TRI</v>
      </c>
      <c r="AQ325" s="33" t="str">
        <f t="shared" si="80"/>
        <v>N/A - Facility Does Not Report to TRI</v>
      </c>
      <c r="AR325" s="110" t="str" cm="1">
        <f t="array" ref="AR325">IF(B325="TRI Form A",AD325,IF(AP325=0,"Facility has no transfers to non-POTWs between 2019-2023.",IF(COUNTIF('Processed Non-zero TRI Data'!$I:$I,$H325)&gt;0,INDEX('Processed Non-zero TRI Data'!$A:$A,MATCH(1,($H325='Processed Non-zero TRI Data'!$I:$I)*(AP325='Processed Non-zero TRI Data'!$W:$W),0)),"N/A - Facility Does Not Report to TRI")))</f>
        <v>N/A - Facility Does Not Report to TRI</v>
      </c>
    </row>
    <row r="326" spans="1:44" ht="29" x14ac:dyDescent="0.35">
      <c r="A326" s="34">
        <v>323</v>
      </c>
      <c r="B326" s="33" t="str">
        <f>IFERROR("TRI Form "&amp;VLOOKUP(H326,'Processed Non-zero TRI Data'!$I$2:$K$23,3,FALSE),"DMR")</f>
        <v>DMR</v>
      </c>
      <c r="C326" s="33" t="str">
        <f>VLOOKUP($D326, 'COU.OES Summary'!C:D, 2, FALSE)</f>
        <v> </v>
      </c>
      <c r="D326" s="33" t="str">
        <f>IFERROR(VLOOKUP($H326, 'Processed Non-zero TRI Data'!$I:$O, 7, FALSE), VLOOKUP($I326, 'Processed Non-zero DMR Data'!$K:$R, 8, FALSE))</f>
        <v>Waste handling, treatment, and disposal - non-POTW WWT</v>
      </c>
      <c r="E326" s="34" t="s">
        <v>694</v>
      </c>
      <c r="F326" s="34" t="s">
        <v>695</v>
      </c>
      <c r="G326" s="34" t="s">
        <v>102</v>
      </c>
      <c r="H326" s="34"/>
      <c r="I326" s="105">
        <v>110005972965</v>
      </c>
      <c r="J326" s="33" t="str">
        <f>IFERROR(VLOOKUP($I326, 'Processed Non-zero DMR Data'!$K:$U, 11, FALSE),"")</f>
        <v>CA0029947</v>
      </c>
      <c r="K326" s="33" t="str">
        <f>IFERROR(VLOOKUP($I326, 'Processed Non-zero DMR Data'!$K:$V, 12, FALSE),"Not Reported")</f>
        <v>Arroyo Leon</v>
      </c>
      <c r="L326" s="106">
        <f>IFERROR(VLOOKUP($I326, 'Processed Non-zero DMR Data'!$K:$W, 13, FALSE),"No Reach Code Reported")</f>
        <v>180500060201</v>
      </c>
      <c r="M326" s="107" t="str">
        <f>IFERROR(IFERROR(VLOOKUP(H326, 'Off-site Locations'!$K$3:$O$5, 5, FALSE), VLOOKUP(H326, 'Off-site Locations'!$B$3:$E$4, 4, FALSE)), "No Offsite Transfers")</f>
        <v>No Offsite Transfers</v>
      </c>
      <c r="N326" s="33">
        <f>VLOOKUP($D326, 'COU.OES Summary'!C:E, 3, FALSE)</f>
        <v>365</v>
      </c>
      <c r="O326" s="108">
        <f t="shared" si="70"/>
        <v>0</v>
      </c>
      <c r="P326" s="108">
        <f t="shared" si="71"/>
        <v>2.1738226798749999E-4</v>
      </c>
      <c r="Q326" s="109" cm="1">
        <f t="array" ref="Q326">IFERROR(_xlfn.XLOOKUP(1,  (MAX(IF(I326 = 'Processed Non-zero DMR Data'!$K:$K,'Processed Non-zero DMR Data'!$A:$A)) = 'Processed Non-zero DMR Data'!$A:$A)*('Processed Non-zero DMR Data'!$K:$K = I326),'Processed Non-zero DMR Data'!$T:$T), "N/A- Facility Does Not Report DMRs")</f>
        <v>2.1738226798749999E-4</v>
      </c>
      <c r="R326" s="33">
        <f t="shared" si="81"/>
        <v>5.9556785749999999E-7</v>
      </c>
      <c r="S326" s="33" cm="1">
        <f t="array" ref="S326">IF(COUNTIF('Processed Non-zero DMR Data'!$K:$K,$I326)&gt;0,MEDIAN(IF('Processed Non-zero DMR Data'!$K:$K=I326,'Processed Non-zero DMR Data'!$T:$T)),"N/A - Facility Does Not Report DMRs")</f>
        <v>2.1738226798749999E-4</v>
      </c>
      <c r="T326" s="33">
        <f t="shared" si="82"/>
        <v>5.9556785749999999E-7</v>
      </c>
      <c r="U326" s="33">
        <f>IF(COUNTIF('Processed Non-zero DMR Data'!$K:$K,$I326)&gt;0,_xlfn.MAXIFS('Processed Non-zero DMR Data'!$T:$T,'Processed Non-zero DMR Data'!$K:$K,$I326), "N/A - Facility Does Not Report DMRs")</f>
        <v>2.1738226798749999E-4</v>
      </c>
      <c r="V326" s="33">
        <f t="shared" si="83"/>
        <v>5.9556785749999999E-7</v>
      </c>
      <c r="W326" s="110" cm="1">
        <f t="array" ref="W326">IF(COUNTIF('Processed Non-zero DMR Data'!$K:$K,$I326)&gt;0,INDEX('Processed Non-zero DMR Data'!$A:$A,MATCH(1,($I326='Processed Non-zero DMR Data'!$K:$K)*($U326='Processed Non-zero DMR Data'!$T:$T),0)), "N/A - Facility Does Not Report DMRs")</f>
        <v>2019</v>
      </c>
      <c r="X326" s="109" cm="1">
        <f t="array" ref="X326">IFERROR(_xlfn.XLOOKUP(1,  (MAX(IF(H326 = 'Processed Non-zero TRI Data'!$I:$I,'Processed Non-zero TRI Data'!$A:$A)) = 'Processed Non-zero TRI Data'!$A:$A)*('Processed Non-zero TRI Data'!$I:$I = H326), 'Processed Non-zero TRI Data'!$S:$S), "N/A- Facility Does Not Report to TRI")</f>
        <v>0</v>
      </c>
      <c r="Y326" s="33">
        <f t="shared" si="72"/>
        <v>0</v>
      </c>
      <c r="Z326" s="33" t="str" cm="1">
        <f t="array" ref="Z326">IF(COUNTIF('Processed Non-zero TRI Data'!$I:$I,$H326)&gt;0,MEDIAN(IF('Processed Non-zero TRI Data'!$I:$I=H326,'Processed Non-zero TRI Data'!$S:$S)), "N/A - Facility Does Not Report to TRI")</f>
        <v>N/A - Facility Does Not Report to TRI</v>
      </c>
      <c r="AA326" s="33" t="str">
        <f t="shared" si="73"/>
        <v>N/A - Facility Does Not Report to TRI</v>
      </c>
      <c r="AB326" s="33" t="str">
        <f>IF(COUNTIF('Processed Non-zero TRI Data'!$I:$I,$H326)&gt;0,_xlfn.MAXIFS('Processed Non-zero TRI Data'!$S:$S,'Processed Non-zero TRI Data'!$I:$I,$H326), "N/A - Facility Does Not Report to TRI")</f>
        <v>N/A - Facility Does Not Report to TRI</v>
      </c>
      <c r="AC326" s="33" t="str">
        <f t="shared" si="74"/>
        <v>N/A - Facility Does Not Report to TRI</v>
      </c>
      <c r="AD326" s="110" t="str" cm="1">
        <f t="array" ref="AD326">IFERROR(IF(B326 = "TRI Form R", IF(AB326 = 0, "Facility has no on-site water discharges between 2019-2023.",  IF(COUNTIF('Processed Non-zero TRI Data'!$I:$I,$H326)&gt;0,INDEX('Processed Non-zero TRI Data'!$A:$A,MATCH(1,($H326='Processed Non-zero TRI Data'!$I:$I)*(AB326='Processed Non-zero TRI Data'!$S:$S),0)))), VLOOKUP(H326, 'Form A Recent Reporting'!$L:$M, 2, FALSE)), ("N/A - Facility Does Not Report to TRI"))</f>
        <v>N/A - Facility Does Not Report to TRI</v>
      </c>
      <c r="AE326" s="109" cm="1">
        <f t="array" ref="AE326">IFERROR(_xlfn.XLOOKUP(1,  (MAX(IF(H326 = 'Processed Non-zero TRI Data'!$I:$I,'Processed Non-zero TRI Data'!$A:$A)) = 'Processed Non-zero TRI Data'!$A:$A)*('Processed Non-zero TRI Data'!$I:$I = H326), 'Processed Non-zero TRI Data'!$U:$U), "N/A- Facility Does Not Report to TRI")</f>
        <v>0</v>
      </c>
      <c r="AF326" s="33">
        <f t="shared" si="75"/>
        <v>0</v>
      </c>
      <c r="AG326" s="33" t="str" cm="1">
        <f t="array" ref="AG326">IF(COUNTIF('Processed Non-zero TRI Data'!$I:$I,$H326)&gt;0,MEDIAN(IF('Processed Non-zero TRI Data'!$I:$I=H326,'Processed Non-zero TRI Data'!$U:$U)), "N/A - Facility Does Not Report to TRI")</f>
        <v>N/A - Facility Does Not Report to TRI</v>
      </c>
      <c r="AH326" s="33" t="str">
        <f t="shared" si="76"/>
        <v>N/A - Facility Does Not Report to TRI</v>
      </c>
      <c r="AI326" s="33" t="str">
        <f>IF(COUNTIF('Processed Non-zero TRI Data'!$I:$I,$H326)&gt;0,_xlfn.MAXIFS('Processed Non-zero TRI Data'!$U:$U,'Processed Non-zero TRI Data'!$I:$I,$H326), "N/A - Facility Does Not Report to TRI")</f>
        <v>N/A - Facility Does Not Report to TRI</v>
      </c>
      <c r="AJ326" s="33" t="str">
        <f t="shared" si="77"/>
        <v>N/A - Facility Does Not Report to TRI</v>
      </c>
      <c r="AK326" s="110" t="str" cm="1">
        <f t="array" ref="AK326">IF(B326="TRI Form A",AD326,IF(AI326=0,"Facility has no transfers to POTWs between 2019-2023.",IF(COUNTIF('Processed Non-zero TRI Data'!$I:$I,$H326)&gt;0,INDEX('Processed Non-zero TRI Data'!$A:$A,MATCH(1,($H326='Processed Non-zero TRI Data'!$I:$I)*(AI326='Processed Non-zero TRI Data'!$U:$U),0)),"N/A - Facility Does Not Report to TRI")))</f>
        <v>N/A - Facility Does Not Report to TRI</v>
      </c>
      <c r="AL326" s="109" cm="1">
        <f t="array" ref="AL326">IFERROR(_xlfn.XLOOKUP(1,  (MAX(IF(H326 = 'Processed Non-zero TRI Data'!$I$2:$I$23,'Processed Non-zero TRI Data'!$A$2:$A$23)) = 'Processed Non-zero TRI Data'!$A$2:$A$23)*('Processed Non-zero TRI Data'!$I$2:$I$23 = H326), 'Processed Non-zero TRI Data'!$W$2:$W$23), "N/A- Facility Does Not Report to TRI")</f>
        <v>0</v>
      </c>
      <c r="AM326" s="33">
        <f t="shared" si="78"/>
        <v>0</v>
      </c>
      <c r="AN326" s="33" t="str" cm="1">
        <f t="array" ref="AN326">IF(COUNTIF('Processed Non-zero TRI Data'!$I:$I,$H326)&gt;0,MEDIAN(IF('Processed Non-zero TRI Data'!$I:$I=H326,'Processed Non-zero TRI Data'!$W:$W)), "N/A - Facility Does Not Report to TRI")</f>
        <v>N/A - Facility Does Not Report to TRI</v>
      </c>
      <c r="AO326" s="33" t="str">
        <f t="shared" si="79"/>
        <v>N/A - Facility Does Not Report to TRI</v>
      </c>
      <c r="AP326" s="33" t="str">
        <f>IF(COUNTIF('Processed Non-zero TRI Data'!$I:$I,$H326)&gt;0,_xlfn.MAXIFS('Processed Non-zero TRI Data'!$W:$W,'Processed Non-zero TRI Data'!$I:$I,$H326), "N/A - Facility Does Not Report to TRI")</f>
        <v>N/A - Facility Does Not Report to TRI</v>
      </c>
      <c r="AQ326" s="33" t="str">
        <f t="shared" si="80"/>
        <v>N/A - Facility Does Not Report to TRI</v>
      </c>
      <c r="AR326" s="110" t="str" cm="1">
        <f t="array" ref="AR326">IF(B326="TRI Form A",AD326,IF(AP326=0,"Facility has no transfers to non-POTWs between 2019-2023.",IF(COUNTIF('Processed Non-zero TRI Data'!$I:$I,$H326)&gt;0,INDEX('Processed Non-zero TRI Data'!$A:$A,MATCH(1,($H326='Processed Non-zero TRI Data'!$I:$I)*(AP326='Processed Non-zero TRI Data'!$W:$W),0)),"N/A - Facility Does Not Report to TRI")))</f>
        <v>N/A - Facility Does Not Report to TRI</v>
      </c>
    </row>
    <row r="327" spans="1:44" ht="29" x14ac:dyDescent="0.35">
      <c r="A327" s="34">
        <v>324</v>
      </c>
      <c r="B327" s="33" t="str">
        <f>IFERROR("TRI Form "&amp;VLOOKUP(H327,'Processed Non-zero TRI Data'!$I$2:$K$23,3,FALSE),"DMR")</f>
        <v>DMR</v>
      </c>
      <c r="C327" s="33" t="str">
        <f>VLOOKUP($D327, 'COU.OES Summary'!C:D, 2, FALSE)</f>
        <v> </v>
      </c>
      <c r="D327" s="33" t="str">
        <f>IFERROR(VLOOKUP($H327, 'Processed Non-zero TRI Data'!$I:$O, 7, FALSE), VLOOKUP($I327, 'Processed Non-zero DMR Data'!$K:$R, 8, FALSE))</f>
        <v>Waste handling, treatment, and disposal - non-POTW WWT</v>
      </c>
      <c r="E327" s="34" t="s">
        <v>696</v>
      </c>
      <c r="F327" s="34" t="s">
        <v>275</v>
      </c>
      <c r="G327" s="34" t="s">
        <v>276</v>
      </c>
      <c r="H327" s="34"/>
      <c r="I327" s="105">
        <v>110010844426</v>
      </c>
      <c r="J327" s="33" t="str">
        <f>IFERROR(VLOOKUP($I327, 'Processed Non-zero DMR Data'!$K:$U, 11, FALSE),"")</f>
        <v>VA0089796</v>
      </c>
      <c r="K327" s="33" t="str">
        <f>IFERROR(VLOOKUP($I327, 'Processed Non-zero DMR Data'!$K:$V, 12, FALSE),"Not Reported")</f>
        <v>Fourmile Run-Potomac River</v>
      </c>
      <c r="L327" s="106">
        <f>IFERROR(VLOOKUP($I327, 'Processed Non-zero DMR Data'!$K:$W, 13, FALSE),"No Reach Code Reported")</f>
        <v>20700100301</v>
      </c>
      <c r="M327" s="107" t="str">
        <f>IFERROR(IFERROR(VLOOKUP(H327, 'Off-site Locations'!$K$3:$O$5, 5, FALSE), VLOOKUP(H327, 'Off-site Locations'!$B$3:$E$4, 4, FALSE)), "No Offsite Transfers")</f>
        <v>No Offsite Transfers</v>
      </c>
      <c r="N327" s="33">
        <f>VLOOKUP($D327, 'COU.OES Summary'!C:E, 3, FALSE)</f>
        <v>365</v>
      </c>
      <c r="O327" s="108">
        <f t="shared" si="70"/>
        <v>0</v>
      </c>
      <c r="P327" s="108">
        <f t="shared" si="71"/>
        <v>1.114304E-4</v>
      </c>
      <c r="Q327" s="109" cm="1">
        <f t="array" ref="Q327">IFERROR(_xlfn.XLOOKUP(1,  (MAX(IF(I327 = 'Processed Non-zero DMR Data'!$K:$K,'Processed Non-zero DMR Data'!$A:$A)) = 'Processed Non-zero DMR Data'!$A:$A)*('Processed Non-zero DMR Data'!$K:$K = I327),'Processed Non-zero DMR Data'!$T:$T), "N/A- Facility Does Not Report DMRs")</f>
        <v>4.1105100000000001E-5</v>
      </c>
      <c r="R327" s="33">
        <f t="shared" si="81"/>
        <v>1.1261671232876713E-7</v>
      </c>
      <c r="S327" s="33" cm="1">
        <f t="array" ref="S327">IF(COUNTIF('Processed Non-zero DMR Data'!$K:$K,$I327)&gt;0,MEDIAN(IF('Processed Non-zero DMR Data'!$K:$K=I327,'Processed Non-zero DMR Data'!$T:$T)),"N/A - Facility Does Not Report DMRs")</f>
        <v>8.2548957500000006E-5</v>
      </c>
      <c r="T327" s="33">
        <f t="shared" si="82"/>
        <v>2.2616152739726029E-7</v>
      </c>
      <c r="U327" s="33">
        <f>IF(COUNTIF('Processed Non-zero DMR Data'!$K:$K,$I327)&gt;0,_xlfn.MAXIFS('Processed Non-zero DMR Data'!$T:$T,'Processed Non-zero DMR Data'!$K:$K,$I327), "N/A - Facility Does Not Report DMRs")</f>
        <v>1.114304E-4</v>
      </c>
      <c r="V327" s="33">
        <f t="shared" si="83"/>
        <v>3.0528876712328769E-7</v>
      </c>
      <c r="W327" s="110" cm="1">
        <f t="array" ref="W327">IF(COUNTIF('Processed Non-zero DMR Data'!$K:$K,$I327)&gt;0,INDEX('Processed Non-zero DMR Data'!$A:$A,MATCH(1,($I327='Processed Non-zero DMR Data'!$K:$K)*($U327='Processed Non-zero DMR Data'!$T:$T),0)), "N/A - Facility Does Not Report DMRs")</f>
        <v>2019</v>
      </c>
      <c r="X327" s="109" cm="1">
        <f t="array" ref="X327">IFERROR(_xlfn.XLOOKUP(1,  (MAX(IF(H327 = 'Processed Non-zero TRI Data'!$I:$I,'Processed Non-zero TRI Data'!$A:$A)) = 'Processed Non-zero TRI Data'!$A:$A)*('Processed Non-zero TRI Data'!$I:$I = H327), 'Processed Non-zero TRI Data'!$S:$S), "N/A- Facility Does Not Report to TRI")</f>
        <v>0</v>
      </c>
      <c r="Y327" s="33">
        <f t="shared" si="72"/>
        <v>0</v>
      </c>
      <c r="Z327" s="33" t="str" cm="1">
        <f t="array" ref="Z327">IF(COUNTIF('Processed Non-zero TRI Data'!$I:$I,$H327)&gt;0,MEDIAN(IF('Processed Non-zero TRI Data'!$I:$I=H327,'Processed Non-zero TRI Data'!$S:$S)), "N/A - Facility Does Not Report to TRI")</f>
        <v>N/A - Facility Does Not Report to TRI</v>
      </c>
      <c r="AA327" s="33" t="str">
        <f t="shared" si="73"/>
        <v>N/A - Facility Does Not Report to TRI</v>
      </c>
      <c r="AB327" s="33" t="str">
        <f>IF(COUNTIF('Processed Non-zero TRI Data'!$I:$I,$H327)&gt;0,_xlfn.MAXIFS('Processed Non-zero TRI Data'!$S:$S,'Processed Non-zero TRI Data'!$I:$I,$H327), "N/A - Facility Does Not Report to TRI")</f>
        <v>N/A - Facility Does Not Report to TRI</v>
      </c>
      <c r="AC327" s="33" t="str">
        <f t="shared" si="74"/>
        <v>N/A - Facility Does Not Report to TRI</v>
      </c>
      <c r="AD327" s="110" t="str" cm="1">
        <f t="array" ref="AD327">IFERROR(IF(B327 = "TRI Form R", IF(AB327 = 0, "Facility has no on-site water discharges between 2019-2023.",  IF(COUNTIF('Processed Non-zero TRI Data'!$I:$I,$H327)&gt;0,INDEX('Processed Non-zero TRI Data'!$A:$A,MATCH(1,($H327='Processed Non-zero TRI Data'!$I:$I)*(AB327='Processed Non-zero TRI Data'!$S:$S),0)))), VLOOKUP(H327, 'Form A Recent Reporting'!$L:$M, 2, FALSE)), ("N/A - Facility Does Not Report to TRI"))</f>
        <v>N/A - Facility Does Not Report to TRI</v>
      </c>
      <c r="AE327" s="109" cm="1">
        <f t="array" ref="AE327">IFERROR(_xlfn.XLOOKUP(1,  (MAX(IF(H327 = 'Processed Non-zero TRI Data'!$I:$I,'Processed Non-zero TRI Data'!$A:$A)) = 'Processed Non-zero TRI Data'!$A:$A)*('Processed Non-zero TRI Data'!$I:$I = H327), 'Processed Non-zero TRI Data'!$U:$U), "N/A- Facility Does Not Report to TRI")</f>
        <v>0</v>
      </c>
      <c r="AF327" s="33">
        <f t="shared" si="75"/>
        <v>0</v>
      </c>
      <c r="AG327" s="33" t="str" cm="1">
        <f t="array" ref="AG327">IF(COUNTIF('Processed Non-zero TRI Data'!$I:$I,$H327)&gt;0,MEDIAN(IF('Processed Non-zero TRI Data'!$I:$I=H327,'Processed Non-zero TRI Data'!$U:$U)), "N/A - Facility Does Not Report to TRI")</f>
        <v>N/A - Facility Does Not Report to TRI</v>
      </c>
      <c r="AH327" s="33" t="str">
        <f t="shared" si="76"/>
        <v>N/A - Facility Does Not Report to TRI</v>
      </c>
      <c r="AI327" s="33" t="str">
        <f>IF(COUNTIF('Processed Non-zero TRI Data'!$I:$I,$H327)&gt;0,_xlfn.MAXIFS('Processed Non-zero TRI Data'!$U:$U,'Processed Non-zero TRI Data'!$I:$I,$H327), "N/A - Facility Does Not Report to TRI")</f>
        <v>N/A - Facility Does Not Report to TRI</v>
      </c>
      <c r="AJ327" s="33" t="str">
        <f t="shared" si="77"/>
        <v>N/A - Facility Does Not Report to TRI</v>
      </c>
      <c r="AK327" s="110" t="str" cm="1">
        <f t="array" ref="AK327">IF(B327="TRI Form A",AD327,IF(AI327=0,"Facility has no transfers to POTWs between 2019-2023.",IF(COUNTIF('Processed Non-zero TRI Data'!$I:$I,$H327)&gt;0,INDEX('Processed Non-zero TRI Data'!$A:$A,MATCH(1,($H327='Processed Non-zero TRI Data'!$I:$I)*(AI327='Processed Non-zero TRI Data'!$U:$U),0)),"N/A - Facility Does Not Report to TRI")))</f>
        <v>N/A - Facility Does Not Report to TRI</v>
      </c>
      <c r="AL327" s="109" cm="1">
        <f t="array" ref="AL327">IFERROR(_xlfn.XLOOKUP(1,  (MAX(IF(H327 = 'Processed Non-zero TRI Data'!$I$2:$I$23,'Processed Non-zero TRI Data'!$A$2:$A$23)) = 'Processed Non-zero TRI Data'!$A$2:$A$23)*('Processed Non-zero TRI Data'!$I$2:$I$23 = H327), 'Processed Non-zero TRI Data'!$W$2:$W$23), "N/A- Facility Does Not Report to TRI")</f>
        <v>0</v>
      </c>
      <c r="AM327" s="33">
        <f t="shared" si="78"/>
        <v>0</v>
      </c>
      <c r="AN327" s="33" t="str" cm="1">
        <f t="array" ref="AN327">IF(COUNTIF('Processed Non-zero TRI Data'!$I:$I,$H327)&gt;0,MEDIAN(IF('Processed Non-zero TRI Data'!$I:$I=H327,'Processed Non-zero TRI Data'!$W:$W)), "N/A - Facility Does Not Report to TRI")</f>
        <v>N/A - Facility Does Not Report to TRI</v>
      </c>
      <c r="AO327" s="33" t="str">
        <f t="shared" si="79"/>
        <v>N/A - Facility Does Not Report to TRI</v>
      </c>
      <c r="AP327" s="33" t="str">
        <f>IF(COUNTIF('Processed Non-zero TRI Data'!$I:$I,$H327)&gt;0,_xlfn.MAXIFS('Processed Non-zero TRI Data'!$W:$W,'Processed Non-zero TRI Data'!$I:$I,$H327), "N/A - Facility Does Not Report to TRI")</f>
        <v>N/A - Facility Does Not Report to TRI</v>
      </c>
      <c r="AQ327" s="33" t="str">
        <f t="shared" si="80"/>
        <v>N/A - Facility Does Not Report to TRI</v>
      </c>
      <c r="AR327" s="110" t="str" cm="1">
        <f t="array" ref="AR327">IF(B327="TRI Form A",AD327,IF(AP327=0,"Facility has no transfers to non-POTWs between 2019-2023.",IF(COUNTIF('Processed Non-zero TRI Data'!$I:$I,$H327)&gt;0,INDEX('Processed Non-zero TRI Data'!$A:$A,MATCH(1,($H327='Processed Non-zero TRI Data'!$I:$I)*(AP327='Processed Non-zero TRI Data'!$W:$W),0)),"N/A - Facility Does Not Report to TRI")))</f>
        <v>N/A - Facility Does Not Report to TRI</v>
      </c>
    </row>
    <row r="328" spans="1:44" ht="29" x14ac:dyDescent="0.35">
      <c r="A328" s="34">
        <v>325</v>
      </c>
      <c r="B328" s="33" t="str">
        <f>IFERROR("TRI Form "&amp;VLOOKUP(H328,'Processed Non-zero TRI Data'!$I$2:$K$23,3,FALSE),"DMR")</f>
        <v>DMR</v>
      </c>
      <c r="C328" s="33" t="str">
        <f>VLOOKUP($D328, 'COU.OES Summary'!C:D, 2, FALSE)</f>
        <v> </v>
      </c>
      <c r="D328" s="33" t="str">
        <f>IFERROR(VLOOKUP($H328, 'Processed Non-zero TRI Data'!$I:$O, 7, FALSE), VLOOKUP($I328, 'Processed Non-zero DMR Data'!$K:$R, 8, FALSE))</f>
        <v>Waste handling, treatment, and disposal - Remediation or Monitoring</v>
      </c>
      <c r="E328" s="34" t="s">
        <v>697</v>
      </c>
      <c r="F328" s="34" t="s">
        <v>275</v>
      </c>
      <c r="G328" s="34" t="s">
        <v>276</v>
      </c>
      <c r="H328" s="34"/>
      <c r="I328" s="105">
        <v>110071347994</v>
      </c>
      <c r="J328" s="33" t="str">
        <f>IFERROR(VLOOKUP($I328, 'Processed Non-zero DMR Data'!$K:$U, 11, FALSE),"")</f>
        <v>VAG830588</v>
      </c>
      <c r="K328" s="33" t="str">
        <f>IFERROR(VLOOKUP($I328, 'Processed Non-zero DMR Data'!$K:$V, 12, FALSE),"Not Reported")</f>
        <v>Pimmit Run-Potomac River</v>
      </c>
      <c r="L328" s="106" t="str">
        <f>IFERROR(VLOOKUP($I328, 'Processed Non-zero DMR Data'!$K:$W, 13, FALSE),"No Reach Code Reported")</f>
        <v>020700100103</v>
      </c>
      <c r="M328" s="107" t="str">
        <f>IFERROR(IFERROR(VLOOKUP(H328, 'Off-site Locations'!$K$3:$O$5, 5, FALSE), VLOOKUP(H328, 'Off-site Locations'!$B$3:$E$4, 4, FALSE)), "No Offsite Transfers")</f>
        <v>No Offsite Transfers</v>
      </c>
      <c r="N328" s="33">
        <f>VLOOKUP($D328, 'COU.OES Summary'!C:E, 3, FALSE)</f>
        <v>365</v>
      </c>
      <c r="O328" s="108">
        <f t="shared" si="70"/>
        <v>0</v>
      </c>
      <c r="P328" s="108">
        <f t="shared" si="71"/>
        <v>9.3678750000000005E-5</v>
      </c>
      <c r="Q328" s="109" cm="1">
        <f t="array" ref="Q328">IFERROR(_xlfn.XLOOKUP(1,  (MAX(IF(I328 = 'Processed Non-zero DMR Data'!$K:$K,'Processed Non-zero DMR Data'!$A:$A)) = 'Processed Non-zero DMR Data'!$A:$A)*('Processed Non-zero DMR Data'!$K:$K = I328),'Processed Non-zero DMR Data'!$T:$T), "N/A- Facility Does Not Report DMRs")</f>
        <v>9.3678750000000005E-5</v>
      </c>
      <c r="R328" s="33">
        <f t="shared" si="81"/>
        <v>2.566541095890411E-7</v>
      </c>
      <c r="S328" s="33" cm="1">
        <f t="array" ref="S328">IF(COUNTIF('Processed Non-zero DMR Data'!$K:$K,$I328)&gt;0,MEDIAN(IF('Processed Non-zero DMR Data'!$K:$K=I328,'Processed Non-zero DMR Data'!$T:$T)),"N/A - Facility Does Not Report DMRs")</f>
        <v>9.3678750000000005E-5</v>
      </c>
      <c r="T328" s="33">
        <f t="shared" si="82"/>
        <v>2.566541095890411E-7</v>
      </c>
      <c r="U328" s="33">
        <f>IF(COUNTIF('Processed Non-zero DMR Data'!$K:$K,$I328)&gt;0,_xlfn.MAXIFS('Processed Non-zero DMR Data'!$T:$T,'Processed Non-zero DMR Data'!$K:$K,$I328), "N/A - Facility Does Not Report DMRs")</f>
        <v>9.3678750000000005E-5</v>
      </c>
      <c r="V328" s="33">
        <f t="shared" si="83"/>
        <v>2.566541095890411E-7</v>
      </c>
      <c r="W328" s="110" cm="1">
        <f t="array" ref="W328">IF(COUNTIF('Processed Non-zero DMR Data'!$K:$K,$I328)&gt;0,INDEX('Processed Non-zero DMR Data'!$A:$A,MATCH(1,($I328='Processed Non-zero DMR Data'!$K:$K)*($U328='Processed Non-zero DMR Data'!$T:$T),0)), "N/A - Facility Does Not Report DMRs")</f>
        <v>2023</v>
      </c>
      <c r="X328" s="109" cm="1">
        <f t="array" ref="X328">IFERROR(_xlfn.XLOOKUP(1,  (MAX(IF(H328 = 'Processed Non-zero TRI Data'!$I:$I,'Processed Non-zero TRI Data'!$A:$A)) = 'Processed Non-zero TRI Data'!$A:$A)*('Processed Non-zero TRI Data'!$I:$I = H328), 'Processed Non-zero TRI Data'!$S:$S), "N/A- Facility Does Not Report to TRI")</f>
        <v>0</v>
      </c>
      <c r="Y328" s="33">
        <f t="shared" si="72"/>
        <v>0</v>
      </c>
      <c r="Z328" s="33" t="str" cm="1">
        <f t="array" ref="Z328">IF(COUNTIF('Processed Non-zero TRI Data'!$I:$I,$H328)&gt;0,MEDIAN(IF('Processed Non-zero TRI Data'!$I:$I=H328,'Processed Non-zero TRI Data'!$S:$S)), "N/A - Facility Does Not Report to TRI")</f>
        <v>N/A - Facility Does Not Report to TRI</v>
      </c>
      <c r="AA328" s="33" t="str">
        <f t="shared" si="73"/>
        <v>N/A - Facility Does Not Report to TRI</v>
      </c>
      <c r="AB328" s="33" t="str">
        <f>IF(COUNTIF('Processed Non-zero TRI Data'!$I:$I,$H328)&gt;0,_xlfn.MAXIFS('Processed Non-zero TRI Data'!$S:$S,'Processed Non-zero TRI Data'!$I:$I,$H328), "N/A - Facility Does Not Report to TRI")</f>
        <v>N/A - Facility Does Not Report to TRI</v>
      </c>
      <c r="AC328" s="33" t="str">
        <f t="shared" si="74"/>
        <v>N/A - Facility Does Not Report to TRI</v>
      </c>
      <c r="AD328" s="110" t="str" cm="1">
        <f t="array" ref="AD328">IFERROR(IF(B328 = "TRI Form R", IF(AB328 = 0, "Facility has no on-site water discharges between 2019-2023.",  IF(COUNTIF('Processed Non-zero TRI Data'!$I:$I,$H328)&gt;0,INDEX('Processed Non-zero TRI Data'!$A:$A,MATCH(1,($H328='Processed Non-zero TRI Data'!$I:$I)*(AB328='Processed Non-zero TRI Data'!$S:$S),0)))), VLOOKUP(H328, 'Form A Recent Reporting'!$L:$M, 2, FALSE)), ("N/A - Facility Does Not Report to TRI"))</f>
        <v>N/A - Facility Does Not Report to TRI</v>
      </c>
      <c r="AE328" s="109" cm="1">
        <f t="array" ref="AE328">IFERROR(_xlfn.XLOOKUP(1,  (MAX(IF(H328 = 'Processed Non-zero TRI Data'!$I:$I,'Processed Non-zero TRI Data'!$A:$A)) = 'Processed Non-zero TRI Data'!$A:$A)*('Processed Non-zero TRI Data'!$I:$I = H328), 'Processed Non-zero TRI Data'!$U:$U), "N/A- Facility Does Not Report to TRI")</f>
        <v>0</v>
      </c>
      <c r="AF328" s="33">
        <f t="shared" si="75"/>
        <v>0</v>
      </c>
      <c r="AG328" s="33" t="str" cm="1">
        <f t="array" ref="AG328">IF(COUNTIF('Processed Non-zero TRI Data'!$I:$I,$H328)&gt;0,MEDIAN(IF('Processed Non-zero TRI Data'!$I:$I=H328,'Processed Non-zero TRI Data'!$U:$U)), "N/A - Facility Does Not Report to TRI")</f>
        <v>N/A - Facility Does Not Report to TRI</v>
      </c>
      <c r="AH328" s="33" t="str">
        <f t="shared" si="76"/>
        <v>N/A - Facility Does Not Report to TRI</v>
      </c>
      <c r="AI328" s="33" t="str">
        <f>IF(COUNTIF('Processed Non-zero TRI Data'!$I:$I,$H328)&gt;0,_xlfn.MAXIFS('Processed Non-zero TRI Data'!$U:$U,'Processed Non-zero TRI Data'!$I:$I,$H328), "N/A - Facility Does Not Report to TRI")</f>
        <v>N/A - Facility Does Not Report to TRI</v>
      </c>
      <c r="AJ328" s="33" t="str">
        <f t="shared" si="77"/>
        <v>N/A - Facility Does Not Report to TRI</v>
      </c>
      <c r="AK328" s="110" t="str" cm="1">
        <f t="array" ref="AK328">IF(B328="TRI Form A",AD328,IF(AI328=0,"Facility has no transfers to POTWs between 2019-2023.",IF(COUNTIF('Processed Non-zero TRI Data'!$I:$I,$H328)&gt;0,INDEX('Processed Non-zero TRI Data'!$A:$A,MATCH(1,($H328='Processed Non-zero TRI Data'!$I:$I)*(AI328='Processed Non-zero TRI Data'!$U:$U),0)),"N/A - Facility Does Not Report to TRI")))</f>
        <v>N/A - Facility Does Not Report to TRI</v>
      </c>
      <c r="AL328" s="109" cm="1">
        <f t="array" ref="AL328">IFERROR(_xlfn.XLOOKUP(1,  (MAX(IF(H328 = 'Processed Non-zero TRI Data'!$I$2:$I$23,'Processed Non-zero TRI Data'!$A$2:$A$23)) = 'Processed Non-zero TRI Data'!$A$2:$A$23)*('Processed Non-zero TRI Data'!$I$2:$I$23 = H328), 'Processed Non-zero TRI Data'!$W$2:$W$23), "N/A- Facility Does Not Report to TRI")</f>
        <v>0</v>
      </c>
      <c r="AM328" s="33">
        <f t="shared" si="78"/>
        <v>0</v>
      </c>
      <c r="AN328" s="33" t="str" cm="1">
        <f t="array" ref="AN328">IF(COUNTIF('Processed Non-zero TRI Data'!$I:$I,$H328)&gt;0,MEDIAN(IF('Processed Non-zero TRI Data'!$I:$I=H328,'Processed Non-zero TRI Data'!$W:$W)), "N/A - Facility Does Not Report to TRI")</f>
        <v>N/A - Facility Does Not Report to TRI</v>
      </c>
      <c r="AO328" s="33" t="str">
        <f t="shared" si="79"/>
        <v>N/A - Facility Does Not Report to TRI</v>
      </c>
      <c r="AP328" s="33" t="str">
        <f>IF(COUNTIF('Processed Non-zero TRI Data'!$I:$I,$H328)&gt;0,_xlfn.MAXIFS('Processed Non-zero TRI Data'!$W:$W,'Processed Non-zero TRI Data'!$I:$I,$H328), "N/A - Facility Does Not Report to TRI")</f>
        <v>N/A - Facility Does Not Report to TRI</v>
      </c>
      <c r="AQ328" s="33" t="str">
        <f t="shared" si="80"/>
        <v>N/A - Facility Does Not Report to TRI</v>
      </c>
      <c r="AR328" s="110" t="str" cm="1">
        <f t="array" ref="AR328">IF(B328="TRI Form A",AD328,IF(AP328=0,"Facility has no transfers to non-POTWs between 2019-2023.",IF(COUNTIF('Processed Non-zero TRI Data'!$I:$I,$H328)&gt;0,INDEX('Processed Non-zero TRI Data'!$A:$A,MATCH(1,($H328='Processed Non-zero TRI Data'!$I:$I)*(AP328='Processed Non-zero TRI Data'!$W:$W),0)),"N/A - Facility Does Not Report to TRI")))</f>
        <v>N/A - Facility Does Not Report to TRI</v>
      </c>
    </row>
    <row r="329" spans="1:44" ht="29" x14ac:dyDescent="0.35">
      <c r="A329" s="34">
        <v>326</v>
      </c>
      <c r="B329" s="33" t="str">
        <f>IFERROR("TRI Form "&amp;VLOOKUP(H329,'Processed Non-zero TRI Data'!$I$2:$K$23,3,FALSE),"DMR")</f>
        <v>DMR</v>
      </c>
      <c r="C329" s="33" t="str">
        <f>VLOOKUP($D329, 'COU.OES Summary'!C:D, 2, FALSE)</f>
        <v> </v>
      </c>
      <c r="D329" s="33" t="str">
        <f>IFERROR(VLOOKUP($H329, 'Processed Non-zero TRI Data'!$I:$O, 7, FALSE), VLOOKUP($I329, 'Processed Non-zero DMR Data'!$K:$R, 8, FALSE))</f>
        <v>Waste handling, treatment, and disposal - Remediation or Monitoring</v>
      </c>
      <c r="E329" s="34" t="s">
        <v>698</v>
      </c>
      <c r="F329" s="34" t="s">
        <v>275</v>
      </c>
      <c r="G329" s="34" t="s">
        <v>276</v>
      </c>
      <c r="H329" s="34"/>
      <c r="I329" s="105">
        <v>110071065066</v>
      </c>
      <c r="J329" s="33" t="str">
        <f>IFERROR(VLOOKUP($I329, 'Processed Non-zero DMR Data'!$K:$U, 11, FALSE),"")</f>
        <v>VAG830569</v>
      </c>
      <c r="K329" s="33" t="str">
        <f>IFERROR(VLOOKUP($I329, 'Processed Non-zero DMR Data'!$K:$V, 12, FALSE),"Not Reported")</f>
        <v>Fourmile Run-Potomac River</v>
      </c>
      <c r="L329" s="106">
        <f>IFERROR(VLOOKUP($I329, 'Processed Non-zero DMR Data'!$K:$W, 13, FALSE),"No Reach Code Reported")</f>
        <v>20700100301</v>
      </c>
      <c r="M329" s="107" t="str">
        <f>IFERROR(IFERROR(VLOOKUP(H329, 'Off-site Locations'!$K$3:$O$5, 5, FALSE), VLOOKUP(H329, 'Off-site Locations'!$B$3:$E$4, 4, FALSE)), "No Offsite Transfers")</f>
        <v>No Offsite Transfers</v>
      </c>
      <c r="N329" s="33">
        <f>VLOOKUP($D329, 'COU.OES Summary'!C:E, 3, FALSE)</f>
        <v>365</v>
      </c>
      <c r="O329" s="108">
        <f t="shared" si="70"/>
        <v>0</v>
      </c>
      <c r="P329" s="108">
        <f t="shared" si="71"/>
        <v>4.8750800000000001E-5</v>
      </c>
      <c r="Q329" s="109" cm="1">
        <f t="array" ref="Q329">IFERROR(_xlfn.XLOOKUP(1,  (MAX(IF(I329 = 'Processed Non-zero DMR Data'!$K:$K,'Processed Non-zero DMR Data'!$A:$A)) = 'Processed Non-zero DMR Data'!$A:$A)*('Processed Non-zero DMR Data'!$K:$K = I329),'Processed Non-zero DMR Data'!$T:$T), "N/A- Facility Does Not Report DMRs")</f>
        <v>4.0272399999999997E-5</v>
      </c>
      <c r="R329" s="33">
        <f t="shared" si="81"/>
        <v>1.1033534246575341E-7</v>
      </c>
      <c r="S329" s="33" cm="1">
        <f t="array" ref="S329">IF(COUNTIF('Processed Non-zero DMR Data'!$K:$K,$I329)&gt;0,MEDIAN(IF('Processed Non-zero DMR Data'!$K:$K=I329,'Processed Non-zero DMR Data'!$T:$T)),"N/A - Facility Does Not Report DMRs")</f>
        <v>4.4511599999999996E-5</v>
      </c>
      <c r="T329" s="33">
        <f t="shared" si="82"/>
        <v>1.2194958904109589E-7</v>
      </c>
      <c r="U329" s="33">
        <f>IF(COUNTIF('Processed Non-zero DMR Data'!$K:$K,$I329)&gt;0,_xlfn.MAXIFS('Processed Non-zero DMR Data'!$T:$T,'Processed Non-zero DMR Data'!$K:$K,$I329), "N/A - Facility Does Not Report DMRs")</f>
        <v>4.8750800000000001E-5</v>
      </c>
      <c r="V329" s="33">
        <f t="shared" si="83"/>
        <v>1.3356383561643837E-7</v>
      </c>
      <c r="W329" s="110" cm="1">
        <f t="array" ref="W329">IF(COUNTIF('Processed Non-zero DMR Data'!$K:$K,$I329)&gt;0,INDEX('Processed Non-zero DMR Data'!$A:$A,MATCH(1,($I329='Processed Non-zero DMR Data'!$K:$K)*($U329='Processed Non-zero DMR Data'!$T:$T),0)), "N/A - Facility Does Not Report DMRs")</f>
        <v>2021</v>
      </c>
      <c r="X329" s="109" cm="1">
        <f t="array" ref="X329">IFERROR(_xlfn.XLOOKUP(1,  (MAX(IF(H329 = 'Processed Non-zero TRI Data'!$I:$I,'Processed Non-zero TRI Data'!$A:$A)) = 'Processed Non-zero TRI Data'!$A:$A)*('Processed Non-zero TRI Data'!$I:$I = H329), 'Processed Non-zero TRI Data'!$S:$S), "N/A- Facility Does Not Report to TRI")</f>
        <v>0</v>
      </c>
      <c r="Y329" s="33">
        <f t="shared" si="72"/>
        <v>0</v>
      </c>
      <c r="Z329" s="33" t="str" cm="1">
        <f t="array" ref="Z329">IF(COUNTIF('Processed Non-zero TRI Data'!$I:$I,$H329)&gt;0,MEDIAN(IF('Processed Non-zero TRI Data'!$I:$I=H329,'Processed Non-zero TRI Data'!$S:$S)), "N/A - Facility Does Not Report to TRI")</f>
        <v>N/A - Facility Does Not Report to TRI</v>
      </c>
      <c r="AA329" s="33" t="str">
        <f t="shared" si="73"/>
        <v>N/A - Facility Does Not Report to TRI</v>
      </c>
      <c r="AB329" s="33" t="str">
        <f>IF(COUNTIF('Processed Non-zero TRI Data'!$I:$I,$H329)&gt;0,_xlfn.MAXIFS('Processed Non-zero TRI Data'!$S:$S,'Processed Non-zero TRI Data'!$I:$I,$H329), "N/A - Facility Does Not Report to TRI")</f>
        <v>N/A - Facility Does Not Report to TRI</v>
      </c>
      <c r="AC329" s="33" t="str">
        <f t="shared" si="74"/>
        <v>N/A - Facility Does Not Report to TRI</v>
      </c>
      <c r="AD329" s="110" t="str" cm="1">
        <f t="array" ref="AD329">IFERROR(IF(B329 = "TRI Form R", IF(AB329 = 0, "Facility has no on-site water discharges between 2019-2023.",  IF(COUNTIF('Processed Non-zero TRI Data'!$I:$I,$H329)&gt;0,INDEX('Processed Non-zero TRI Data'!$A:$A,MATCH(1,($H329='Processed Non-zero TRI Data'!$I:$I)*(AB329='Processed Non-zero TRI Data'!$S:$S),0)))), VLOOKUP(H329, 'Form A Recent Reporting'!$L:$M, 2, FALSE)), ("N/A - Facility Does Not Report to TRI"))</f>
        <v>N/A - Facility Does Not Report to TRI</v>
      </c>
      <c r="AE329" s="109" cm="1">
        <f t="array" ref="AE329">IFERROR(_xlfn.XLOOKUP(1,  (MAX(IF(H329 = 'Processed Non-zero TRI Data'!$I:$I,'Processed Non-zero TRI Data'!$A:$A)) = 'Processed Non-zero TRI Data'!$A:$A)*('Processed Non-zero TRI Data'!$I:$I = H329), 'Processed Non-zero TRI Data'!$U:$U), "N/A- Facility Does Not Report to TRI")</f>
        <v>0</v>
      </c>
      <c r="AF329" s="33">
        <f t="shared" si="75"/>
        <v>0</v>
      </c>
      <c r="AG329" s="33" t="str" cm="1">
        <f t="array" ref="AG329">IF(COUNTIF('Processed Non-zero TRI Data'!$I:$I,$H329)&gt;0,MEDIAN(IF('Processed Non-zero TRI Data'!$I:$I=H329,'Processed Non-zero TRI Data'!$U:$U)), "N/A - Facility Does Not Report to TRI")</f>
        <v>N/A - Facility Does Not Report to TRI</v>
      </c>
      <c r="AH329" s="33" t="str">
        <f t="shared" si="76"/>
        <v>N/A - Facility Does Not Report to TRI</v>
      </c>
      <c r="AI329" s="33" t="str">
        <f>IF(COUNTIF('Processed Non-zero TRI Data'!$I:$I,$H329)&gt;0,_xlfn.MAXIFS('Processed Non-zero TRI Data'!$U:$U,'Processed Non-zero TRI Data'!$I:$I,$H329), "N/A - Facility Does Not Report to TRI")</f>
        <v>N/A - Facility Does Not Report to TRI</v>
      </c>
      <c r="AJ329" s="33" t="str">
        <f t="shared" si="77"/>
        <v>N/A - Facility Does Not Report to TRI</v>
      </c>
      <c r="AK329" s="110" t="str" cm="1">
        <f t="array" ref="AK329">IF(B329="TRI Form A",AD329,IF(AI329=0,"Facility has no transfers to POTWs between 2019-2023.",IF(COUNTIF('Processed Non-zero TRI Data'!$I:$I,$H329)&gt;0,INDEX('Processed Non-zero TRI Data'!$A:$A,MATCH(1,($H329='Processed Non-zero TRI Data'!$I:$I)*(AI329='Processed Non-zero TRI Data'!$U:$U),0)),"N/A - Facility Does Not Report to TRI")))</f>
        <v>N/A - Facility Does Not Report to TRI</v>
      </c>
      <c r="AL329" s="109" cm="1">
        <f t="array" ref="AL329">IFERROR(_xlfn.XLOOKUP(1,  (MAX(IF(H329 = 'Processed Non-zero TRI Data'!$I$2:$I$23,'Processed Non-zero TRI Data'!$A$2:$A$23)) = 'Processed Non-zero TRI Data'!$A$2:$A$23)*('Processed Non-zero TRI Data'!$I$2:$I$23 = H329), 'Processed Non-zero TRI Data'!$W$2:$W$23), "N/A- Facility Does Not Report to TRI")</f>
        <v>0</v>
      </c>
      <c r="AM329" s="33">
        <f t="shared" si="78"/>
        <v>0</v>
      </c>
      <c r="AN329" s="33" t="str" cm="1">
        <f t="array" ref="AN329">IF(COUNTIF('Processed Non-zero TRI Data'!$I:$I,$H329)&gt;0,MEDIAN(IF('Processed Non-zero TRI Data'!$I:$I=H329,'Processed Non-zero TRI Data'!$W:$W)), "N/A - Facility Does Not Report to TRI")</f>
        <v>N/A - Facility Does Not Report to TRI</v>
      </c>
      <c r="AO329" s="33" t="str">
        <f t="shared" si="79"/>
        <v>N/A - Facility Does Not Report to TRI</v>
      </c>
      <c r="AP329" s="33" t="str">
        <f>IF(COUNTIF('Processed Non-zero TRI Data'!$I:$I,$H329)&gt;0,_xlfn.MAXIFS('Processed Non-zero TRI Data'!$W:$W,'Processed Non-zero TRI Data'!$I:$I,$H329), "N/A - Facility Does Not Report to TRI")</f>
        <v>N/A - Facility Does Not Report to TRI</v>
      </c>
      <c r="AQ329" s="33" t="str">
        <f t="shared" si="80"/>
        <v>N/A - Facility Does Not Report to TRI</v>
      </c>
      <c r="AR329" s="110" t="str" cm="1">
        <f t="array" ref="AR329">IF(B329="TRI Form A",AD329,IF(AP329=0,"Facility has no transfers to non-POTWs between 2019-2023.",IF(COUNTIF('Processed Non-zero TRI Data'!$I:$I,$H329)&gt;0,INDEX('Processed Non-zero TRI Data'!$A:$A,MATCH(1,($H329='Processed Non-zero TRI Data'!$I:$I)*(AP329='Processed Non-zero TRI Data'!$W:$W),0)),"N/A - Facility Does Not Report to TRI")))</f>
        <v>N/A - Facility Does Not Report to TRI</v>
      </c>
    </row>
    <row r="330" spans="1:44" ht="29" x14ac:dyDescent="0.35">
      <c r="A330" s="34">
        <v>327</v>
      </c>
      <c r="B330" s="33" t="str">
        <f>IFERROR("TRI Form "&amp;VLOOKUP(H330,'Processed Non-zero TRI Data'!$I$2:$K$23,3,FALSE),"DMR")</f>
        <v>DMR</v>
      </c>
      <c r="C330" s="33" t="str">
        <f>VLOOKUP($D330, 'COU.OES Summary'!C:D, 2, FALSE)</f>
        <v> </v>
      </c>
      <c r="D330" s="33" t="str">
        <f>IFERROR(VLOOKUP($H330, 'Processed Non-zero TRI Data'!$I:$O, 7, FALSE), VLOOKUP($I330, 'Processed Non-zero DMR Data'!$K:$R, 8, FALSE))</f>
        <v>Waste handling, treatment, and disposal - Remediation or Monitoring</v>
      </c>
      <c r="E330" s="34" t="s">
        <v>699</v>
      </c>
      <c r="F330" s="34" t="s">
        <v>700</v>
      </c>
      <c r="G330" s="34" t="s">
        <v>254</v>
      </c>
      <c r="H330" s="34"/>
      <c r="I330" s="105">
        <v>110041022274</v>
      </c>
      <c r="J330" s="33" t="str">
        <f>IFERROR(VLOOKUP($I330, 'Processed Non-zero DMR Data'!$K:$U, 11, FALSE),"")</f>
        <v>NJ0004286</v>
      </c>
      <c r="K330" s="33" t="str">
        <f>IFERROR(VLOOKUP($I330, 'Processed Non-zero DMR Data'!$K:$V, 12, FALSE),"Not Reported")</f>
        <v>Salem Canal-Whooping John Creek</v>
      </c>
      <c r="L330" s="106">
        <f>IFERROR(VLOOKUP($I330, 'Processed Non-zero DMR Data'!$K:$W, 13, FALSE),"No Reach Code Reported")</f>
        <v>20402060103</v>
      </c>
      <c r="M330" s="107" t="str">
        <f>IFERROR(IFERROR(VLOOKUP(H330, 'Off-site Locations'!$K$3:$O$5, 5, FALSE), VLOOKUP(H330, 'Off-site Locations'!$B$3:$E$4, 4, FALSE)), "No Offsite Transfers")</f>
        <v>No Offsite Transfers</v>
      </c>
      <c r="N330" s="33">
        <f>VLOOKUP($D330, 'COU.OES Summary'!C:E, 3, FALSE)</f>
        <v>365</v>
      </c>
      <c r="O330" s="108">
        <f t="shared" si="70"/>
        <v>0</v>
      </c>
      <c r="P330" s="108">
        <f t="shared" si="71"/>
        <v>3.3200000000000001E-5</v>
      </c>
      <c r="Q330" s="109" cm="1">
        <f t="array" ref="Q330">IFERROR(_xlfn.XLOOKUP(1,  (MAX(IF(I330 = 'Processed Non-zero DMR Data'!$K:$K,'Processed Non-zero DMR Data'!$A:$A)) = 'Processed Non-zero DMR Data'!$A:$A)*('Processed Non-zero DMR Data'!$K:$K = I330),'Processed Non-zero DMR Data'!$T:$T), "N/A- Facility Does Not Report DMRs")</f>
        <v>2.8900000000000001E-5</v>
      </c>
      <c r="R330" s="33">
        <f t="shared" si="81"/>
        <v>7.9178082191780821E-8</v>
      </c>
      <c r="S330" s="33" cm="1">
        <f t="array" ref="S330">IF(COUNTIF('Processed Non-zero DMR Data'!$K:$K,$I330)&gt;0,MEDIAN(IF('Processed Non-zero DMR Data'!$K:$K=I330,'Processed Non-zero DMR Data'!$T:$T)),"N/A - Facility Does Not Report DMRs")</f>
        <v>2.0149999999999999E-5</v>
      </c>
      <c r="T330" s="33">
        <f t="shared" si="82"/>
        <v>5.5205479452054788E-8</v>
      </c>
      <c r="U330" s="33">
        <f>IF(COUNTIF('Processed Non-zero DMR Data'!$K:$K,$I330)&gt;0,_xlfn.MAXIFS('Processed Non-zero DMR Data'!$T:$T,'Processed Non-zero DMR Data'!$K:$K,$I330), "N/A - Facility Does Not Report DMRs")</f>
        <v>3.3200000000000001E-5</v>
      </c>
      <c r="V330" s="33">
        <f t="shared" si="83"/>
        <v>9.095890410958904E-8</v>
      </c>
      <c r="W330" s="110" cm="1">
        <f t="array" ref="W330">IF(COUNTIF('Processed Non-zero DMR Data'!$K:$K,$I330)&gt;0,INDEX('Processed Non-zero DMR Data'!$A:$A,MATCH(1,($I330='Processed Non-zero DMR Data'!$K:$K)*($U330='Processed Non-zero DMR Data'!$T:$T),0)), "N/A - Facility Does Not Report DMRs")</f>
        <v>2022</v>
      </c>
      <c r="X330" s="109" cm="1">
        <f t="array" ref="X330">IFERROR(_xlfn.XLOOKUP(1,  (MAX(IF(H330 = 'Processed Non-zero TRI Data'!$I:$I,'Processed Non-zero TRI Data'!$A:$A)) = 'Processed Non-zero TRI Data'!$A:$A)*('Processed Non-zero TRI Data'!$I:$I = H330), 'Processed Non-zero TRI Data'!$S:$S), "N/A- Facility Does Not Report to TRI")</f>
        <v>0</v>
      </c>
      <c r="Y330" s="33">
        <f t="shared" si="72"/>
        <v>0</v>
      </c>
      <c r="Z330" s="33" t="str" cm="1">
        <f t="array" ref="Z330">IF(COUNTIF('Processed Non-zero TRI Data'!$I:$I,$H330)&gt;0,MEDIAN(IF('Processed Non-zero TRI Data'!$I:$I=H330,'Processed Non-zero TRI Data'!$S:$S)), "N/A - Facility Does Not Report to TRI")</f>
        <v>N/A - Facility Does Not Report to TRI</v>
      </c>
      <c r="AA330" s="33" t="str">
        <f t="shared" si="73"/>
        <v>N/A - Facility Does Not Report to TRI</v>
      </c>
      <c r="AB330" s="33" t="str">
        <f>IF(COUNTIF('Processed Non-zero TRI Data'!$I:$I,$H330)&gt;0,_xlfn.MAXIFS('Processed Non-zero TRI Data'!$S:$S,'Processed Non-zero TRI Data'!$I:$I,$H330), "N/A - Facility Does Not Report to TRI")</f>
        <v>N/A - Facility Does Not Report to TRI</v>
      </c>
      <c r="AC330" s="33" t="str">
        <f t="shared" si="74"/>
        <v>N/A - Facility Does Not Report to TRI</v>
      </c>
      <c r="AD330" s="110" t="str" cm="1">
        <f t="array" ref="AD330">IFERROR(IF(B330 = "TRI Form R", IF(AB330 = 0, "Facility has no on-site water discharges between 2019-2023.",  IF(COUNTIF('Processed Non-zero TRI Data'!$I:$I,$H330)&gt;0,INDEX('Processed Non-zero TRI Data'!$A:$A,MATCH(1,($H330='Processed Non-zero TRI Data'!$I:$I)*(AB330='Processed Non-zero TRI Data'!$S:$S),0)))), VLOOKUP(H330, 'Form A Recent Reporting'!$L:$M, 2, FALSE)), ("N/A - Facility Does Not Report to TRI"))</f>
        <v>N/A - Facility Does Not Report to TRI</v>
      </c>
      <c r="AE330" s="109" cm="1">
        <f t="array" ref="AE330">IFERROR(_xlfn.XLOOKUP(1,  (MAX(IF(H330 = 'Processed Non-zero TRI Data'!$I:$I,'Processed Non-zero TRI Data'!$A:$A)) = 'Processed Non-zero TRI Data'!$A:$A)*('Processed Non-zero TRI Data'!$I:$I = H330), 'Processed Non-zero TRI Data'!$U:$U), "N/A- Facility Does Not Report to TRI")</f>
        <v>0</v>
      </c>
      <c r="AF330" s="33">
        <f t="shared" si="75"/>
        <v>0</v>
      </c>
      <c r="AG330" s="33" t="str" cm="1">
        <f t="array" ref="AG330">IF(COUNTIF('Processed Non-zero TRI Data'!$I:$I,$H330)&gt;0,MEDIAN(IF('Processed Non-zero TRI Data'!$I:$I=H330,'Processed Non-zero TRI Data'!$U:$U)), "N/A - Facility Does Not Report to TRI")</f>
        <v>N/A - Facility Does Not Report to TRI</v>
      </c>
      <c r="AH330" s="33" t="str">
        <f t="shared" si="76"/>
        <v>N/A - Facility Does Not Report to TRI</v>
      </c>
      <c r="AI330" s="33" t="str">
        <f>IF(COUNTIF('Processed Non-zero TRI Data'!$I:$I,$H330)&gt;0,_xlfn.MAXIFS('Processed Non-zero TRI Data'!$U:$U,'Processed Non-zero TRI Data'!$I:$I,$H330), "N/A - Facility Does Not Report to TRI")</f>
        <v>N/A - Facility Does Not Report to TRI</v>
      </c>
      <c r="AJ330" s="33" t="str">
        <f t="shared" si="77"/>
        <v>N/A - Facility Does Not Report to TRI</v>
      </c>
      <c r="AK330" s="110" t="str" cm="1">
        <f t="array" ref="AK330">IF(B330="TRI Form A",AD330,IF(AI330=0,"Facility has no transfers to POTWs between 2019-2023.",IF(COUNTIF('Processed Non-zero TRI Data'!$I:$I,$H330)&gt;0,INDEX('Processed Non-zero TRI Data'!$A:$A,MATCH(1,($H330='Processed Non-zero TRI Data'!$I:$I)*(AI330='Processed Non-zero TRI Data'!$U:$U),0)),"N/A - Facility Does Not Report to TRI")))</f>
        <v>N/A - Facility Does Not Report to TRI</v>
      </c>
      <c r="AL330" s="109" cm="1">
        <f t="array" ref="AL330">IFERROR(_xlfn.XLOOKUP(1,  (MAX(IF(H330 = 'Processed Non-zero TRI Data'!$I$2:$I$23,'Processed Non-zero TRI Data'!$A$2:$A$23)) = 'Processed Non-zero TRI Data'!$A$2:$A$23)*('Processed Non-zero TRI Data'!$I$2:$I$23 = H330), 'Processed Non-zero TRI Data'!$W$2:$W$23), "N/A- Facility Does Not Report to TRI")</f>
        <v>0</v>
      </c>
      <c r="AM330" s="33">
        <f t="shared" si="78"/>
        <v>0</v>
      </c>
      <c r="AN330" s="33" t="str" cm="1">
        <f t="array" ref="AN330">IF(COUNTIF('Processed Non-zero TRI Data'!$I:$I,$H330)&gt;0,MEDIAN(IF('Processed Non-zero TRI Data'!$I:$I=H330,'Processed Non-zero TRI Data'!$W:$W)), "N/A - Facility Does Not Report to TRI")</f>
        <v>N/A - Facility Does Not Report to TRI</v>
      </c>
      <c r="AO330" s="33" t="str">
        <f t="shared" si="79"/>
        <v>N/A - Facility Does Not Report to TRI</v>
      </c>
      <c r="AP330" s="33" t="str">
        <f>IF(COUNTIF('Processed Non-zero TRI Data'!$I:$I,$H330)&gt;0,_xlfn.MAXIFS('Processed Non-zero TRI Data'!$W:$W,'Processed Non-zero TRI Data'!$I:$I,$H330), "N/A - Facility Does Not Report to TRI")</f>
        <v>N/A - Facility Does Not Report to TRI</v>
      </c>
      <c r="AQ330" s="33" t="str">
        <f t="shared" si="80"/>
        <v>N/A - Facility Does Not Report to TRI</v>
      </c>
      <c r="AR330" s="110" t="str" cm="1">
        <f t="array" ref="AR330">IF(B330="TRI Form A",AD330,IF(AP330=0,"Facility has no transfers to non-POTWs between 2019-2023.",IF(COUNTIF('Processed Non-zero TRI Data'!$I:$I,$H330)&gt;0,INDEX('Processed Non-zero TRI Data'!$A:$A,MATCH(1,($H330='Processed Non-zero TRI Data'!$I:$I)*(AP330='Processed Non-zero TRI Data'!$W:$W),0)),"N/A - Facility Does Not Report to TRI")))</f>
        <v>N/A - Facility Does Not Report to TRI</v>
      </c>
    </row>
    <row r="331" spans="1:44" ht="29" x14ac:dyDescent="0.35">
      <c r="A331" s="34">
        <v>328</v>
      </c>
      <c r="B331" s="33" t="str">
        <f>IFERROR("TRI Form "&amp;VLOOKUP(H331,'Processed Non-zero TRI Data'!$I$2:$K$23,3,FALSE),"DMR")</f>
        <v>DMR</v>
      </c>
      <c r="C331" s="33" t="str">
        <f>VLOOKUP($D331, 'COU.OES Summary'!C:D, 2, FALSE)</f>
        <v> </v>
      </c>
      <c r="D331" s="33" t="str">
        <f>IFERROR(VLOOKUP($H331, 'Processed Non-zero TRI Data'!$I:$O, 7, FALSE), VLOOKUP($I331, 'Processed Non-zero DMR Data'!$K:$R, 8, FALSE))</f>
        <v>Waste handling, treatment, and disposal - Remediation or Monitoring</v>
      </c>
      <c r="E331" s="34" t="s">
        <v>701</v>
      </c>
      <c r="F331" s="34" t="s">
        <v>702</v>
      </c>
      <c r="G331" s="34" t="s">
        <v>276</v>
      </c>
      <c r="H331" s="34"/>
      <c r="I331" s="105">
        <v>110010912281</v>
      </c>
      <c r="J331" s="33" t="str">
        <f>IFERROR(VLOOKUP($I331, 'Processed Non-zero DMR Data'!$K:$U, 11, FALSE),"")</f>
        <v>VA0090093</v>
      </c>
      <c r="K331" s="33" t="str">
        <f>IFERROR(VLOOKUP($I331, 'Processed Non-zero DMR Data'!$K:$V, 12, FALSE),"Not Reported")</f>
        <v>Difficult Run</v>
      </c>
      <c r="L331" s="106">
        <f>IFERROR(VLOOKUP($I331, 'Processed Non-zero DMR Data'!$K:$W, 13, FALSE),"No Reach Code Reported")</f>
        <v>20700081004</v>
      </c>
      <c r="M331" s="107" t="str">
        <f>IFERROR(IFERROR(VLOOKUP(H331, 'Off-site Locations'!$K$3:$O$5, 5, FALSE), VLOOKUP(H331, 'Off-site Locations'!$B$3:$E$4, 4, FALSE)), "No Offsite Transfers")</f>
        <v>No Offsite Transfers</v>
      </c>
      <c r="N331" s="33">
        <f>VLOOKUP($D331, 'COU.OES Summary'!C:E, 3, FALSE)</f>
        <v>365</v>
      </c>
      <c r="O331" s="108">
        <f t="shared" si="70"/>
        <v>0</v>
      </c>
      <c r="P331" s="108">
        <f t="shared" si="71"/>
        <v>1.0446599999999999E-5</v>
      </c>
      <c r="Q331" s="109" cm="1">
        <f t="array" ref="Q331">IFERROR(_xlfn.XLOOKUP(1,  (MAX(IF(I331 = 'Processed Non-zero DMR Data'!$K:$K,'Processed Non-zero DMR Data'!$A:$A)) = 'Processed Non-zero DMR Data'!$A:$A)*('Processed Non-zero DMR Data'!$K:$K = I331),'Processed Non-zero DMR Data'!$T:$T), "N/A- Facility Does Not Report DMRs")</f>
        <v>5.1381375000000001E-6</v>
      </c>
      <c r="R331" s="33">
        <f t="shared" si="81"/>
        <v>1.4077089041095891E-8</v>
      </c>
      <c r="S331" s="33" cm="1">
        <f t="array" ref="S331">IF(COUNTIF('Processed Non-zero DMR Data'!$K:$K,$I331)&gt;0,MEDIAN(IF('Processed Non-zero DMR Data'!$K:$K=I331,'Processed Non-zero DMR Data'!$T:$T)),"N/A - Facility Does Not Report DMRs")</f>
        <v>7.7923687499999996E-6</v>
      </c>
      <c r="T331" s="33">
        <f t="shared" si="82"/>
        <v>2.1348955479452055E-8</v>
      </c>
      <c r="U331" s="33">
        <f>IF(COUNTIF('Processed Non-zero DMR Data'!$K:$K,$I331)&gt;0,_xlfn.MAXIFS('Processed Non-zero DMR Data'!$T:$T,'Processed Non-zero DMR Data'!$K:$K,$I331), "N/A - Facility Does Not Report DMRs")</f>
        <v>1.0446599999999999E-5</v>
      </c>
      <c r="V331" s="33">
        <f t="shared" si="83"/>
        <v>2.8620821917808216E-8</v>
      </c>
      <c r="W331" s="110" cm="1">
        <f t="array" ref="W331">IF(COUNTIF('Processed Non-zero DMR Data'!$K:$K,$I331)&gt;0,INDEX('Processed Non-zero DMR Data'!$A:$A,MATCH(1,($I331='Processed Non-zero DMR Data'!$K:$K)*($U331='Processed Non-zero DMR Data'!$T:$T),0)), "N/A - Facility Does Not Report DMRs")</f>
        <v>2019</v>
      </c>
      <c r="X331" s="109" cm="1">
        <f t="array" ref="X331">IFERROR(_xlfn.XLOOKUP(1,  (MAX(IF(H331 = 'Processed Non-zero TRI Data'!$I:$I,'Processed Non-zero TRI Data'!$A:$A)) = 'Processed Non-zero TRI Data'!$A:$A)*('Processed Non-zero TRI Data'!$I:$I = H331), 'Processed Non-zero TRI Data'!$S:$S), "N/A- Facility Does Not Report to TRI")</f>
        <v>0</v>
      </c>
      <c r="Y331" s="33">
        <f t="shared" si="72"/>
        <v>0</v>
      </c>
      <c r="Z331" s="33" t="str" cm="1">
        <f t="array" ref="Z331">IF(COUNTIF('Processed Non-zero TRI Data'!$I:$I,$H331)&gt;0,MEDIAN(IF('Processed Non-zero TRI Data'!$I:$I=H331,'Processed Non-zero TRI Data'!$S:$S)), "N/A - Facility Does Not Report to TRI")</f>
        <v>N/A - Facility Does Not Report to TRI</v>
      </c>
      <c r="AA331" s="33" t="str">
        <f t="shared" si="73"/>
        <v>N/A - Facility Does Not Report to TRI</v>
      </c>
      <c r="AB331" s="33" t="str">
        <f>IF(COUNTIF('Processed Non-zero TRI Data'!$I:$I,$H331)&gt;0,_xlfn.MAXIFS('Processed Non-zero TRI Data'!$S:$S,'Processed Non-zero TRI Data'!$I:$I,$H331), "N/A - Facility Does Not Report to TRI")</f>
        <v>N/A - Facility Does Not Report to TRI</v>
      </c>
      <c r="AC331" s="33" t="str">
        <f t="shared" si="74"/>
        <v>N/A - Facility Does Not Report to TRI</v>
      </c>
      <c r="AD331" s="110" t="str" cm="1">
        <f t="array" ref="AD331">IFERROR(IF(B331 = "TRI Form R", IF(AB331 = 0, "Facility has no on-site water discharges between 2019-2023.",  IF(COUNTIF('Processed Non-zero TRI Data'!$I:$I,$H331)&gt;0,INDEX('Processed Non-zero TRI Data'!$A:$A,MATCH(1,($H331='Processed Non-zero TRI Data'!$I:$I)*(AB331='Processed Non-zero TRI Data'!$S:$S),0)))), VLOOKUP(H331, 'Form A Recent Reporting'!$L:$M, 2, FALSE)), ("N/A - Facility Does Not Report to TRI"))</f>
        <v>N/A - Facility Does Not Report to TRI</v>
      </c>
      <c r="AE331" s="109" cm="1">
        <f t="array" ref="AE331">IFERROR(_xlfn.XLOOKUP(1,  (MAX(IF(H331 = 'Processed Non-zero TRI Data'!$I:$I,'Processed Non-zero TRI Data'!$A:$A)) = 'Processed Non-zero TRI Data'!$A:$A)*('Processed Non-zero TRI Data'!$I:$I = H331), 'Processed Non-zero TRI Data'!$U:$U), "N/A- Facility Does Not Report to TRI")</f>
        <v>0</v>
      </c>
      <c r="AF331" s="33">
        <f t="shared" si="75"/>
        <v>0</v>
      </c>
      <c r="AG331" s="33" t="str" cm="1">
        <f t="array" ref="AG331">IF(COUNTIF('Processed Non-zero TRI Data'!$I:$I,$H331)&gt;0,MEDIAN(IF('Processed Non-zero TRI Data'!$I:$I=H331,'Processed Non-zero TRI Data'!$U:$U)), "N/A - Facility Does Not Report to TRI")</f>
        <v>N/A - Facility Does Not Report to TRI</v>
      </c>
      <c r="AH331" s="33" t="str">
        <f t="shared" si="76"/>
        <v>N/A - Facility Does Not Report to TRI</v>
      </c>
      <c r="AI331" s="33" t="str">
        <f>IF(COUNTIF('Processed Non-zero TRI Data'!$I:$I,$H331)&gt;0,_xlfn.MAXIFS('Processed Non-zero TRI Data'!$U:$U,'Processed Non-zero TRI Data'!$I:$I,$H331), "N/A - Facility Does Not Report to TRI")</f>
        <v>N/A - Facility Does Not Report to TRI</v>
      </c>
      <c r="AJ331" s="33" t="str">
        <f t="shared" si="77"/>
        <v>N/A - Facility Does Not Report to TRI</v>
      </c>
      <c r="AK331" s="110" t="str" cm="1">
        <f t="array" ref="AK331">IF(B331="TRI Form A",AD331,IF(AI331=0,"Facility has no transfers to POTWs between 2019-2023.",IF(COUNTIF('Processed Non-zero TRI Data'!$I:$I,$H331)&gt;0,INDEX('Processed Non-zero TRI Data'!$A:$A,MATCH(1,($H331='Processed Non-zero TRI Data'!$I:$I)*(AI331='Processed Non-zero TRI Data'!$U:$U),0)),"N/A - Facility Does Not Report to TRI")))</f>
        <v>N/A - Facility Does Not Report to TRI</v>
      </c>
      <c r="AL331" s="109" cm="1">
        <f t="array" ref="AL331">IFERROR(_xlfn.XLOOKUP(1,  (MAX(IF(H331 = 'Processed Non-zero TRI Data'!$I$2:$I$23,'Processed Non-zero TRI Data'!$A$2:$A$23)) = 'Processed Non-zero TRI Data'!$A$2:$A$23)*('Processed Non-zero TRI Data'!$I$2:$I$23 = H331), 'Processed Non-zero TRI Data'!$W$2:$W$23), "N/A- Facility Does Not Report to TRI")</f>
        <v>0</v>
      </c>
      <c r="AM331" s="33">
        <f t="shared" si="78"/>
        <v>0</v>
      </c>
      <c r="AN331" s="33" t="str" cm="1">
        <f t="array" ref="AN331">IF(COUNTIF('Processed Non-zero TRI Data'!$I:$I,$H331)&gt;0,MEDIAN(IF('Processed Non-zero TRI Data'!$I:$I=H331,'Processed Non-zero TRI Data'!$W:$W)), "N/A - Facility Does Not Report to TRI")</f>
        <v>N/A - Facility Does Not Report to TRI</v>
      </c>
      <c r="AO331" s="33" t="str">
        <f t="shared" si="79"/>
        <v>N/A - Facility Does Not Report to TRI</v>
      </c>
      <c r="AP331" s="33" t="str">
        <f>IF(COUNTIF('Processed Non-zero TRI Data'!$I:$I,$H331)&gt;0,_xlfn.MAXIFS('Processed Non-zero TRI Data'!$W:$W,'Processed Non-zero TRI Data'!$I:$I,$H331), "N/A - Facility Does Not Report to TRI")</f>
        <v>N/A - Facility Does Not Report to TRI</v>
      </c>
      <c r="AQ331" s="33" t="str">
        <f t="shared" si="80"/>
        <v>N/A - Facility Does Not Report to TRI</v>
      </c>
      <c r="AR331" s="110" t="str" cm="1">
        <f t="array" ref="AR331">IF(B331="TRI Form A",AD331,IF(AP331=0,"Facility has no transfers to non-POTWs between 2019-2023.",IF(COUNTIF('Processed Non-zero TRI Data'!$I:$I,$H331)&gt;0,INDEX('Processed Non-zero TRI Data'!$A:$A,MATCH(1,($H331='Processed Non-zero TRI Data'!$I:$I)*(AP331='Processed Non-zero TRI Data'!$W:$W),0)),"N/A - Facility Does Not Report to TRI")))</f>
        <v>N/A - Facility Does Not Report to TRI</v>
      </c>
    </row>
    <row r="332" spans="1:44" ht="29" x14ac:dyDescent="0.35">
      <c r="A332" s="34">
        <v>329</v>
      </c>
      <c r="B332" s="33" t="str">
        <f>IFERROR("TRI Form "&amp;VLOOKUP(H332,'Processed Non-zero TRI Data'!$I$2:$K$23,3,FALSE),"DMR")</f>
        <v>DMR</v>
      </c>
      <c r="C332" s="33" t="str">
        <f>VLOOKUP($D332, 'COU.OES Summary'!C:D, 2, FALSE)</f>
        <v> </v>
      </c>
      <c r="D332" s="33" t="str">
        <f>IFERROR(VLOOKUP($H332, 'Processed Non-zero TRI Data'!$I:$O, 7, FALSE), VLOOKUP($I332, 'Processed Non-zero DMR Data'!$K:$R, 8, FALSE))</f>
        <v>Waste handling, treatment, and disposal - Remediation or Monitoring</v>
      </c>
      <c r="E332" s="34" t="s">
        <v>703</v>
      </c>
      <c r="F332" s="34" t="s">
        <v>704</v>
      </c>
      <c r="G332" s="34" t="s">
        <v>181</v>
      </c>
      <c r="H332" s="34"/>
      <c r="I332" s="105">
        <v>110056966699</v>
      </c>
      <c r="J332" s="33" t="str">
        <f>IFERROR(VLOOKUP($I332, 'Processed Non-zero DMR Data'!$K:$U, 11, FALSE),"")</f>
        <v>MI0026034</v>
      </c>
      <c r="K332" s="33" t="str">
        <f>IFERROR(VLOOKUP($I332, 'Processed Non-zero DMR Data'!$K:$V, 12, FALSE),"Not Reported")</f>
        <v>Red Mill Pond-River Raisin</v>
      </c>
      <c r="L332" s="106">
        <f>IFERROR(VLOOKUP($I332, 'Processed Non-zero DMR Data'!$K:$W, 13, FALSE),"No Reach Code Reported")</f>
        <v>41000020108</v>
      </c>
      <c r="M332" s="107" t="str">
        <f>IFERROR(IFERROR(VLOOKUP(H332, 'Off-site Locations'!$K$3:$O$5, 5, FALSE), VLOOKUP(H332, 'Off-site Locations'!$B$3:$E$4, 4, FALSE)), "No Offsite Transfers")</f>
        <v>No Offsite Transfers</v>
      </c>
      <c r="N332" s="33">
        <f>VLOOKUP($D332, 'COU.OES Summary'!C:E, 3, FALSE)</f>
        <v>365</v>
      </c>
      <c r="O332" s="108">
        <f t="shared" si="70"/>
        <v>0</v>
      </c>
      <c r="P332" s="108">
        <f t="shared" si="71"/>
        <v>4.6221000000000002E-6</v>
      </c>
      <c r="Q332" s="109" cm="1">
        <f t="array" ref="Q332">IFERROR(_xlfn.XLOOKUP(1,  (MAX(IF(I332 = 'Processed Non-zero DMR Data'!$K:$K,'Processed Non-zero DMR Data'!$A:$A)) = 'Processed Non-zero DMR Data'!$A:$A)*('Processed Non-zero DMR Data'!$K:$K = I332),'Processed Non-zero DMR Data'!$T:$T), "N/A- Facility Does Not Report DMRs")</f>
        <v>4.4919108500000003E-6</v>
      </c>
      <c r="R332" s="33">
        <f t="shared" si="81"/>
        <v>1.2306605068493151E-8</v>
      </c>
      <c r="S332" s="33" cm="1">
        <f t="array" ref="S332">IF(COUNTIF('Processed Non-zero DMR Data'!$K:$K,$I332)&gt;0,MEDIAN(IF('Processed Non-zero DMR Data'!$K:$K=I332,'Processed Non-zero DMR Data'!$T:$T)),"N/A - Facility Does Not Report DMRs")</f>
        <v>4.4919108500000003E-6</v>
      </c>
      <c r="T332" s="33">
        <f t="shared" si="82"/>
        <v>1.2306605068493151E-8</v>
      </c>
      <c r="U332" s="33">
        <f>IF(COUNTIF('Processed Non-zero DMR Data'!$K:$K,$I332)&gt;0,_xlfn.MAXIFS('Processed Non-zero DMR Data'!$T:$T,'Processed Non-zero DMR Data'!$K:$K,$I332), "N/A - Facility Does Not Report DMRs")</f>
        <v>4.6221000000000002E-6</v>
      </c>
      <c r="V332" s="33">
        <f t="shared" si="83"/>
        <v>1.2663287671232876E-8</v>
      </c>
      <c r="W332" s="110" cm="1">
        <f t="array" ref="W332">IF(COUNTIF('Processed Non-zero DMR Data'!$K:$K,$I332)&gt;0,INDEX('Processed Non-zero DMR Data'!$A:$A,MATCH(1,($I332='Processed Non-zero DMR Data'!$K:$K)*($U332='Processed Non-zero DMR Data'!$T:$T),0)), "N/A - Facility Does Not Report DMRs")</f>
        <v>2020</v>
      </c>
      <c r="X332" s="109" cm="1">
        <f t="array" ref="X332">IFERROR(_xlfn.XLOOKUP(1,  (MAX(IF(H332 = 'Processed Non-zero TRI Data'!$I:$I,'Processed Non-zero TRI Data'!$A:$A)) = 'Processed Non-zero TRI Data'!$A:$A)*('Processed Non-zero TRI Data'!$I:$I = H332), 'Processed Non-zero TRI Data'!$S:$S), "N/A- Facility Does Not Report to TRI")</f>
        <v>0</v>
      </c>
      <c r="Y332" s="33">
        <f t="shared" si="72"/>
        <v>0</v>
      </c>
      <c r="Z332" s="33" t="str" cm="1">
        <f t="array" ref="Z332">IF(COUNTIF('Processed Non-zero TRI Data'!$I:$I,$H332)&gt;0,MEDIAN(IF('Processed Non-zero TRI Data'!$I:$I=H332,'Processed Non-zero TRI Data'!$S:$S)), "N/A - Facility Does Not Report to TRI")</f>
        <v>N/A - Facility Does Not Report to TRI</v>
      </c>
      <c r="AA332" s="33" t="str">
        <f t="shared" si="73"/>
        <v>N/A - Facility Does Not Report to TRI</v>
      </c>
      <c r="AB332" s="33" t="str">
        <f>IF(COUNTIF('Processed Non-zero TRI Data'!$I:$I,$H332)&gt;0,_xlfn.MAXIFS('Processed Non-zero TRI Data'!$S:$S,'Processed Non-zero TRI Data'!$I:$I,$H332), "N/A - Facility Does Not Report to TRI")</f>
        <v>N/A - Facility Does Not Report to TRI</v>
      </c>
      <c r="AC332" s="33" t="str">
        <f t="shared" si="74"/>
        <v>N/A - Facility Does Not Report to TRI</v>
      </c>
      <c r="AD332" s="110" t="str" cm="1">
        <f t="array" ref="AD332">IFERROR(IF(B332 = "TRI Form R", IF(AB332 = 0, "Facility has no on-site water discharges between 2019-2023.",  IF(COUNTIF('Processed Non-zero TRI Data'!$I:$I,$H332)&gt;0,INDEX('Processed Non-zero TRI Data'!$A:$A,MATCH(1,($H332='Processed Non-zero TRI Data'!$I:$I)*(AB332='Processed Non-zero TRI Data'!$S:$S),0)))), VLOOKUP(H332, 'Form A Recent Reporting'!$L:$M, 2, FALSE)), ("N/A - Facility Does Not Report to TRI"))</f>
        <v>N/A - Facility Does Not Report to TRI</v>
      </c>
      <c r="AE332" s="109" cm="1">
        <f t="array" ref="AE332">IFERROR(_xlfn.XLOOKUP(1,  (MAX(IF(H332 = 'Processed Non-zero TRI Data'!$I:$I,'Processed Non-zero TRI Data'!$A:$A)) = 'Processed Non-zero TRI Data'!$A:$A)*('Processed Non-zero TRI Data'!$I:$I = H332), 'Processed Non-zero TRI Data'!$U:$U), "N/A- Facility Does Not Report to TRI")</f>
        <v>0</v>
      </c>
      <c r="AF332" s="33">
        <f t="shared" si="75"/>
        <v>0</v>
      </c>
      <c r="AG332" s="33" t="str" cm="1">
        <f t="array" ref="AG332">IF(COUNTIF('Processed Non-zero TRI Data'!$I:$I,$H332)&gt;0,MEDIAN(IF('Processed Non-zero TRI Data'!$I:$I=H332,'Processed Non-zero TRI Data'!$U:$U)), "N/A - Facility Does Not Report to TRI")</f>
        <v>N/A - Facility Does Not Report to TRI</v>
      </c>
      <c r="AH332" s="33" t="str">
        <f t="shared" si="76"/>
        <v>N/A - Facility Does Not Report to TRI</v>
      </c>
      <c r="AI332" s="33" t="str">
        <f>IF(COUNTIF('Processed Non-zero TRI Data'!$I:$I,$H332)&gt;0,_xlfn.MAXIFS('Processed Non-zero TRI Data'!$U:$U,'Processed Non-zero TRI Data'!$I:$I,$H332), "N/A - Facility Does Not Report to TRI")</f>
        <v>N/A - Facility Does Not Report to TRI</v>
      </c>
      <c r="AJ332" s="33" t="str">
        <f t="shared" si="77"/>
        <v>N/A - Facility Does Not Report to TRI</v>
      </c>
      <c r="AK332" s="110" t="str" cm="1">
        <f t="array" ref="AK332">IF(B332="TRI Form A",AD332,IF(AI332=0,"Facility has no transfers to POTWs between 2019-2023.",IF(COUNTIF('Processed Non-zero TRI Data'!$I:$I,$H332)&gt;0,INDEX('Processed Non-zero TRI Data'!$A:$A,MATCH(1,($H332='Processed Non-zero TRI Data'!$I:$I)*(AI332='Processed Non-zero TRI Data'!$U:$U),0)),"N/A - Facility Does Not Report to TRI")))</f>
        <v>N/A - Facility Does Not Report to TRI</v>
      </c>
      <c r="AL332" s="109" cm="1">
        <f t="array" ref="AL332">IFERROR(_xlfn.XLOOKUP(1,  (MAX(IF(H332 = 'Processed Non-zero TRI Data'!$I$2:$I$23,'Processed Non-zero TRI Data'!$A$2:$A$23)) = 'Processed Non-zero TRI Data'!$A$2:$A$23)*('Processed Non-zero TRI Data'!$I$2:$I$23 = H332), 'Processed Non-zero TRI Data'!$W$2:$W$23), "N/A- Facility Does Not Report to TRI")</f>
        <v>0</v>
      </c>
      <c r="AM332" s="33">
        <f t="shared" si="78"/>
        <v>0</v>
      </c>
      <c r="AN332" s="33" t="str" cm="1">
        <f t="array" ref="AN332">IF(COUNTIF('Processed Non-zero TRI Data'!$I:$I,$H332)&gt;0,MEDIAN(IF('Processed Non-zero TRI Data'!$I:$I=H332,'Processed Non-zero TRI Data'!$W:$W)), "N/A - Facility Does Not Report to TRI")</f>
        <v>N/A - Facility Does Not Report to TRI</v>
      </c>
      <c r="AO332" s="33" t="str">
        <f t="shared" si="79"/>
        <v>N/A - Facility Does Not Report to TRI</v>
      </c>
      <c r="AP332" s="33" t="str">
        <f>IF(COUNTIF('Processed Non-zero TRI Data'!$I:$I,$H332)&gt;0,_xlfn.MAXIFS('Processed Non-zero TRI Data'!$W:$W,'Processed Non-zero TRI Data'!$I:$I,$H332), "N/A - Facility Does Not Report to TRI")</f>
        <v>N/A - Facility Does Not Report to TRI</v>
      </c>
      <c r="AQ332" s="33" t="str">
        <f t="shared" si="80"/>
        <v>N/A - Facility Does Not Report to TRI</v>
      </c>
      <c r="AR332" s="110" t="str" cm="1">
        <f t="array" ref="AR332">IF(B332="TRI Form A",AD332,IF(AP332=0,"Facility has no transfers to non-POTWs between 2019-2023.",IF(COUNTIF('Processed Non-zero TRI Data'!$I:$I,$H332)&gt;0,INDEX('Processed Non-zero TRI Data'!$A:$A,MATCH(1,($H332='Processed Non-zero TRI Data'!$I:$I)*(AP332='Processed Non-zero TRI Data'!$W:$W),0)),"N/A - Facility Does Not Report to TRI")))</f>
        <v>N/A - Facility Does Not Report to TRI</v>
      </c>
    </row>
  </sheetData>
  <sheetProtection sheet="1" objects="1" scenarios="1" formatCells="0" formatColumns="0" formatRows="0" sort="0" autoFilter="0"/>
  <autoFilter ref="A3:AR332" xr:uid="{D6F9A528-7C24-48F7-B392-A934010049B2}"/>
  <mergeCells count="6">
    <mergeCell ref="AE2:AK2"/>
    <mergeCell ref="AL2:AR2"/>
    <mergeCell ref="Q1:AD1"/>
    <mergeCell ref="AE1:AR1"/>
    <mergeCell ref="Q2:W2"/>
    <mergeCell ref="X2:AD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7F0F4-7A33-4C69-AC88-968795EF2CCD}">
  <sheetPr codeName="Sheet6">
    <tabColor rgb="FF5B9BD5"/>
  </sheetPr>
  <dimension ref="A1:P330"/>
  <sheetViews>
    <sheetView zoomScaleNormal="100" workbookViewId="0">
      <pane xSplit="3" ySplit="1" topLeftCell="D2" activePane="bottomRight" state="frozen"/>
      <selection pane="topRight" activeCell="D1" sqref="D1"/>
      <selection pane="bottomLeft" activeCell="A2" sqref="A2"/>
      <selection pane="bottomRight"/>
    </sheetView>
  </sheetViews>
  <sheetFormatPr defaultRowHeight="14.5" x14ac:dyDescent="0.35"/>
  <cols>
    <col min="1" max="1" width="8.7265625" style="11"/>
    <col min="2" max="2" width="22.7265625" style="11" customWidth="1"/>
    <col min="3" max="3" width="74.81640625" style="11" bestFit="1" customWidth="1"/>
    <col min="4" max="4" width="23.26953125" style="11" bestFit="1" customWidth="1"/>
    <col min="5" max="5" width="7.26953125" style="11" bestFit="1" customWidth="1"/>
    <col min="6" max="6" width="14.1796875" style="11" customWidth="1"/>
    <col min="7" max="7" width="14.7265625" style="11" customWidth="1"/>
    <col min="8" max="8" width="18.7265625" style="11" customWidth="1"/>
    <col min="9" max="9" width="16.81640625" style="11" customWidth="1"/>
    <col min="10" max="10" width="13.26953125" style="11" customWidth="1"/>
    <col min="11" max="11" width="39.453125" style="11" customWidth="1"/>
    <col min="12" max="12" width="16.26953125" style="11" customWidth="1"/>
    <col min="13" max="13" width="19.81640625" style="11" customWidth="1"/>
    <col min="14" max="14" width="38.81640625" style="11" customWidth="1"/>
    <col min="15" max="15" width="13.26953125" style="11" customWidth="1"/>
    <col min="16" max="16384" width="8.7265625" style="11"/>
  </cols>
  <sheetData>
    <row r="1" spans="1:16" ht="29" x14ac:dyDescent="0.35">
      <c r="A1" s="119" t="s">
        <v>67</v>
      </c>
      <c r="B1" s="120" t="s">
        <v>68</v>
      </c>
      <c r="C1" s="86" t="s">
        <v>70</v>
      </c>
      <c r="D1" s="86" t="s">
        <v>71</v>
      </c>
      <c r="E1" s="86" t="s">
        <v>72</v>
      </c>
      <c r="F1" s="86" t="s">
        <v>705</v>
      </c>
      <c r="G1" s="86" t="s">
        <v>706</v>
      </c>
      <c r="H1" s="86" t="s">
        <v>73</v>
      </c>
      <c r="I1" s="87" t="s">
        <v>74</v>
      </c>
      <c r="J1" s="87" t="s">
        <v>75</v>
      </c>
      <c r="K1" s="121" t="s">
        <v>707</v>
      </c>
      <c r="L1" s="122" t="s">
        <v>708</v>
      </c>
      <c r="M1" s="85" t="s">
        <v>69</v>
      </c>
      <c r="N1" s="85" t="s">
        <v>26</v>
      </c>
      <c r="O1" s="85" t="s">
        <v>709</v>
      </c>
      <c r="P1" s="123" t="s">
        <v>28</v>
      </c>
    </row>
    <row r="2" spans="1:16" ht="29" x14ac:dyDescent="0.35">
      <c r="A2" s="34">
        <v>1</v>
      </c>
      <c r="B2" s="33" t="str">
        <f>IF(AND(ISNUMBER(MATCH(H2, 'Processed Non-zero TRI Data'!$I$2:$I$23, FALSE)),ISNUMBER(MATCH(I2, 'Processed Non-zero DMR Data'!$K:$K, FALSE))),"Both TRI Form "&amp; VLOOKUP(H2, 'Processed Non-zero TRI Data'!$I$2:$K$23, 3, FALSE)&amp; " &amp; DMR", IFERROR("Only TRI Form "&amp; VLOOKUP(H2, 'Processed Non-zero TRI Data'!$I$2:$K$23, 3, FALSE), "Only DMR"))</f>
        <v>Only DMR</v>
      </c>
      <c r="C2" s="34" t="s">
        <v>590</v>
      </c>
      <c r="D2" s="34" t="s">
        <v>591</v>
      </c>
      <c r="E2" s="34" t="s">
        <v>592</v>
      </c>
      <c r="F2" s="34">
        <v>44.740049999999997</v>
      </c>
      <c r="G2" s="34">
        <v>-68.824690000000004</v>
      </c>
      <c r="H2" s="34"/>
      <c r="I2" s="105">
        <v>110000314598</v>
      </c>
      <c r="J2" s="33">
        <f>IF(OR($H2="",$H2="Yes"), VLOOKUP($I2, 'Processed Non-zero DMR Data'!$K:$V, 10, FALSE),"")</f>
        <v>1.546551E-2</v>
      </c>
      <c r="K2" s="33" t="str">
        <f>IFERROR(VLOOKUP($H2, 'Processed Non-zero TRI Data'!$I:$M, 5, 0), VLOOKUP($I2, 'Processed Non-zero DMR Data'!$K:$M, 3, FALSE))</f>
        <v>Alkalies and Chlorine</v>
      </c>
      <c r="L2" s="33" t="str">
        <f>IFERROR(VLOOKUP($H2, 'Processed Non-zero TRI Data'!I:P, 8, 0), "Direct")</f>
        <v>Direct</v>
      </c>
      <c r="M2" s="33" t="str">
        <f>VLOOKUP($N2, 'COU.OES Summary'!C:D, 2, FALSE)</f>
        <v> </v>
      </c>
      <c r="N2" s="33" t="str">
        <f>IFERROR(VLOOKUP($H2, 'Processed Non-zero TRI Data'!$I:$O, 7, FALSE), VLOOKUP($I2, 'Processed Non-zero DMR Data'!$K:$R, 8, FALSE))</f>
        <v>Waste handling, treatment, and disposal - Remediation or Monitoring</v>
      </c>
      <c r="O2" s="33" t="s">
        <v>710</v>
      </c>
      <c r="P2" s="33">
        <f>VLOOKUP($N2, 'COU.OES Summary'!C:E, 3, FALSE)</f>
        <v>365</v>
      </c>
    </row>
    <row r="3" spans="1:16" ht="29" x14ac:dyDescent="0.35">
      <c r="A3" s="34">
        <v>2</v>
      </c>
      <c r="B3" s="33" t="str">
        <f>IF(AND(ISNUMBER(MATCH(H3, 'Processed Non-zero TRI Data'!$I$2:$I$23, FALSE)),ISNUMBER(MATCH(I3, 'Processed Non-zero DMR Data'!$K:$K, FALSE))),"Both TRI Form "&amp; VLOOKUP(H3, 'Processed Non-zero TRI Data'!$I$2:$K$23, 3, FALSE)&amp; " &amp; DMR", IFERROR("Only TRI Form "&amp; VLOOKUP(H3, 'Processed Non-zero TRI Data'!$I$2:$K$23, 3, FALSE), "Only DMR"))</f>
        <v>Only DMR</v>
      </c>
      <c r="C3" s="34" t="s">
        <v>541</v>
      </c>
      <c r="D3" s="34" t="s">
        <v>542</v>
      </c>
      <c r="E3" s="34" t="s">
        <v>254</v>
      </c>
      <c r="F3" s="34">
        <v>40.331944</v>
      </c>
      <c r="G3" s="34">
        <v>-74.619721999999996</v>
      </c>
      <c r="H3" s="34"/>
      <c r="I3" s="105">
        <v>110000321651</v>
      </c>
      <c r="J3" s="33">
        <f>IF(OR($H3="",$H3="Yes"), VLOOKUP($I3, 'Processed Non-zero DMR Data'!$K:$V, 10, FALSE),"")</f>
        <v>8.4749999999999999E-3</v>
      </c>
      <c r="K3" s="33" t="str">
        <f>IFERROR(VLOOKUP($H3, 'Processed Non-zero TRI Data'!$I:$M, 5, 0), VLOOKUP($I3, 'Processed Non-zero DMR Data'!$K:$M, 3, FALSE))</f>
        <v>Industrial Organic Chemicals, Nec</v>
      </c>
      <c r="L3" s="33" t="str">
        <f>IFERROR(VLOOKUP($H3, 'Processed Non-zero TRI Data'!I:P, 8, 0), "Direct")</f>
        <v>Direct</v>
      </c>
      <c r="M3" s="33" t="str">
        <f>VLOOKUP($N3, 'COU.OES Summary'!C:D, 2, FALSE)</f>
        <v> </v>
      </c>
      <c r="N3" s="33" t="str">
        <f>IFERROR(VLOOKUP($H3, 'Processed Non-zero TRI Data'!$I:$O, 7, FALSE), VLOOKUP($I3, 'Processed Non-zero DMR Data'!$K:$R, 8, FALSE))</f>
        <v>Waste handling, treatment, and disposal - Remediation or Monitoring</v>
      </c>
      <c r="O3" s="33" t="s">
        <v>710</v>
      </c>
      <c r="P3" s="33">
        <f>VLOOKUP($N3, 'COU.OES Summary'!C:E, 3, FALSE)</f>
        <v>365</v>
      </c>
    </row>
    <row r="4" spans="1:16" ht="29" x14ac:dyDescent="0.35">
      <c r="A4" s="34">
        <v>3</v>
      </c>
      <c r="B4" s="33" t="str">
        <f>IF(AND(ISNUMBER(MATCH(H4, 'Processed Non-zero TRI Data'!$I$2:$I$23, FALSE)),ISNUMBER(MATCH(I4, 'Processed Non-zero DMR Data'!$K:$K, FALSE))),"Both TRI Form "&amp; VLOOKUP(H4, 'Processed Non-zero TRI Data'!$I$2:$K$23, 3, FALSE)&amp; " &amp; DMR", IFERROR("Only TRI Form "&amp; VLOOKUP(H4, 'Processed Non-zero TRI Data'!$I$2:$K$23, 3, FALSE), "Only DMR"))</f>
        <v>Only DMR</v>
      </c>
      <c r="C4" s="34" t="s">
        <v>431</v>
      </c>
      <c r="D4" s="34" t="s">
        <v>432</v>
      </c>
      <c r="E4" s="34" t="s">
        <v>254</v>
      </c>
      <c r="F4" s="34">
        <v>40.703099000000002</v>
      </c>
      <c r="G4" s="34">
        <v>-75.197676000000001</v>
      </c>
      <c r="H4" s="34"/>
      <c r="I4" s="105">
        <v>110000322311</v>
      </c>
      <c r="J4" s="33">
        <f>IF(OR($H4="",$H4="Yes"), VLOOKUP($I4, 'Processed Non-zero DMR Data'!$K:$V, 10, FALSE),"")</f>
        <v>0.15440000000000001</v>
      </c>
      <c r="K4" s="33" t="str">
        <f>IFERROR(VLOOKUP($H4, 'Processed Non-zero TRI Data'!$I:$M, 5, 0), VLOOKUP($I4, 'Processed Non-zero DMR Data'!$K:$M, 3, FALSE))</f>
        <v>Industrial Inorganic Chemicals, Nec</v>
      </c>
      <c r="L4" s="33" t="str">
        <f>IFERROR(VLOOKUP($H4, 'Processed Non-zero TRI Data'!I:P, 8, 0), "Direct")</f>
        <v>Direct</v>
      </c>
      <c r="M4" s="33" t="str">
        <f>VLOOKUP($N4, 'COU.OES Summary'!C:D, 2, FALSE)</f>
        <v> </v>
      </c>
      <c r="N4" s="33" t="str">
        <f>IFERROR(VLOOKUP($H4, 'Processed Non-zero TRI Data'!$I:$O, 7, FALSE), VLOOKUP($I4, 'Processed Non-zero DMR Data'!$K:$R, 8, FALSE))</f>
        <v>Waste handling, treatment, and disposal - Remediation or Monitoring</v>
      </c>
      <c r="O4" s="33" t="s">
        <v>710</v>
      </c>
      <c r="P4" s="33">
        <f>VLOOKUP($N4, 'COU.OES Summary'!C:E, 3, FALSE)</f>
        <v>365</v>
      </c>
    </row>
    <row r="5" spans="1:16" ht="29" x14ac:dyDescent="0.35">
      <c r="A5" s="34">
        <v>4</v>
      </c>
      <c r="B5" s="33" t="str">
        <f>IF(AND(ISNUMBER(MATCH(H5, 'Processed Non-zero TRI Data'!$I$2:$I$23, FALSE)),ISNUMBER(MATCH(I5, 'Processed Non-zero DMR Data'!$K:$K, FALSE))),"Both TRI Form "&amp; VLOOKUP(H5, 'Processed Non-zero TRI Data'!$I$2:$K$23, 3, FALSE)&amp; " &amp; DMR", IFERROR("Only TRI Form "&amp; VLOOKUP(H5, 'Processed Non-zero TRI Data'!$I$2:$K$23, 3, FALSE), "Only DMR"))</f>
        <v>Only DMR</v>
      </c>
      <c r="C5" s="34" t="s">
        <v>315</v>
      </c>
      <c r="D5" s="34" t="s">
        <v>316</v>
      </c>
      <c r="E5" s="34" t="s">
        <v>126</v>
      </c>
      <c r="F5" s="34">
        <v>42.575806</v>
      </c>
      <c r="G5" s="34">
        <v>-73.859943999999999</v>
      </c>
      <c r="H5" s="34"/>
      <c r="I5" s="105">
        <v>110000324391</v>
      </c>
      <c r="J5" s="33">
        <f>IF(OR($H5="",$H5="Yes"), VLOOKUP($I5, 'Processed Non-zero DMR Data'!$K:$V, 10, FALSE),"")</f>
        <v>0.58338999999999996</v>
      </c>
      <c r="K5" s="33" t="str">
        <f>IFERROR(VLOOKUP($H5, 'Processed Non-zero TRI Data'!$I:$M, 5, 0), VLOOKUP($I5, 'Processed Non-zero DMR Data'!$K:$M, 3, FALSE))</f>
        <v>Plastics Materials and Resins</v>
      </c>
      <c r="L5" s="33" t="str">
        <f>IFERROR(VLOOKUP($H5, 'Processed Non-zero TRI Data'!I:P, 8, 0), "Direct")</f>
        <v>Direct</v>
      </c>
      <c r="M5" s="33" t="str">
        <f>VLOOKUP($N5, 'COU.OES Summary'!C:D, 2, FALSE)</f>
        <v> </v>
      </c>
      <c r="N5" s="33" t="str">
        <f>IFERROR(VLOOKUP($H5, 'Processed Non-zero TRI Data'!$I:$O, 7, FALSE), VLOOKUP($I5, 'Processed Non-zero DMR Data'!$K:$R, 8, FALSE))</f>
        <v>Waste handling, treatment, and disposal - Remediation or Monitoring</v>
      </c>
      <c r="O5" s="33" t="s">
        <v>710</v>
      </c>
      <c r="P5" s="33">
        <f>VLOOKUP($N5, 'COU.OES Summary'!C:E, 3, FALSE)</f>
        <v>365</v>
      </c>
    </row>
    <row r="6" spans="1:16" ht="29" x14ac:dyDescent="0.35">
      <c r="A6" s="34">
        <v>5</v>
      </c>
      <c r="B6" s="33" t="str">
        <f>IF(AND(ISNUMBER(MATCH(H6, 'Processed Non-zero TRI Data'!$I$2:$I$23, FALSE)),ISNUMBER(MATCH(I6, 'Processed Non-zero DMR Data'!$K:$K, FALSE))),"Both TRI Form "&amp; VLOOKUP(H6, 'Processed Non-zero TRI Data'!$I$2:$K$23, 3, FALSE)&amp; " &amp; DMR", IFERROR("Only TRI Form "&amp; VLOOKUP(H6, 'Processed Non-zero TRI Data'!$I$2:$K$23, 3, FALSE), "Only DMR"))</f>
        <v>Only DMR</v>
      </c>
      <c r="C6" s="34" t="s">
        <v>375</v>
      </c>
      <c r="D6" s="34" t="s">
        <v>376</v>
      </c>
      <c r="E6" s="34" t="s">
        <v>126</v>
      </c>
      <c r="F6" s="34">
        <v>43.285654999999998</v>
      </c>
      <c r="G6" s="34">
        <v>-73.589192999999995</v>
      </c>
      <c r="H6" s="34"/>
      <c r="I6" s="105">
        <v>110000324569</v>
      </c>
      <c r="J6" s="33">
        <f>IF(OR($H6="",$H6="Yes"), VLOOKUP($I6, 'Processed Non-zero DMR Data'!$K:$V, 10, FALSE),"")</f>
        <v>0.24647659999999999</v>
      </c>
      <c r="K6" s="33" t="str">
        <f>IFERROR(VLOOKUP($H6, 'Processed Non-zero TRI Data'!$I:$M, 5, 0), VLOOKUP($I6, 'Processed Non-zero DMR Data'!$K:$M, 3, FALSE))</f>
        <v>Power, Distribution and Specialty
Transformers</v>
      </c>
      <c r="L6" s="33" t="str">
        <f>IFERROR(VLOOKUP($H6, 'Processed Non-zero TRI Data'!I:P, 8, 0), "Direct")</f>
        <v>Direct</v>
      </c>
      <c r="M6" s="33" t="str">
        <f>VLOOKUP($N6, 'COU.OES Summary'!C:D, 2, FALSE)</f>
        <v> </v>
      </c>
      <c r="N6" s="33" t="str">
        <f>IFERROR(VLOOKUP($H6, 'Processed Non-zero TRI Data'!$I:$O, 7, FALSE), VLOOKUP($I6, 'Processed Non-zero DMR Data'!$K:$R, 8, FALSE))</f>
        <v>Waste handling, treatment, and disposal - Remediation or Monitoring</v>
      </c>
      <c r="O6" s="33" t="s">
        <v>710</v>
      </c>
      <c r="P6" s="33">
        <f>VLOOKUP($N6, 'COU.OES Summary'!C:E, 3, FALSE)</f>
        <v>365</v>
      </c>
    </row>
    <row r="7" spans="1:16" ht="29" x14ac:dyDescent="0.35">
      <c r="A7" s="34">
        <v>6</v>
      </c>
      <c r="B7" s="33" t="str">
        <f>IF(AND(ISNUMBER(MATCH(H7, 'Processed Non-zero TRI Data'!$I$2:$I$23, FALSE)),ISNUMBER(MATCH(I7, 'Processed Non-zero DMR Data'!$K:$K, FALSE))),"Both TRI Form "&amp; VLOOKUP(H7, 'Processed Non-zero TRI Data'!$I$2:$K$23, 3, FALSE)&amp; " &amp; DMR", IFERROR("Only TRI Form "&amp; VLOOKUP(H7, 'Processed Non-zero TRI Data'!$I$2:$K$23, 3, FALSE), "Only DMR"))</f>
        <v>Only DMR</v>
      </c>
      <c r="C7" s="34" t="s">
        <v>605</v>
      </c>
      <c r="D7" s="34" t="s">
        <v>606</v>
      </c>
      <c r="E7" s="34" t="s">
        <v>126</v>
      </c>
      <c r="F7" s="34">
        <v>41.570210000000003</v>
      </c>
      <c r="G7" s="34">
        <v>-73.599559999999997</v>
      </c>
      <c r="H7" s="34"/>
      <c r="I7" s="105">
        <v>110000324765</v>
      </c>
      <c r="J7" s="33">
        <f>IF(OR($H7="",$H7="Yes"), VLOOKUP($I7, 'Processed Non-zero DMR Data'!$K:$V, 10, FALSE),"")</f>
        <v>7.7652778963750004E-3</v>
      </c>
      <c r="K7" s="33" t="str">
        <f>IFERROR(VLOOKUP($H7, 'Processed Non-zero TRI Data'!$I:$M, 5, 0), VLOOKUP($I7, 'Processed Non-zero DMR Data'!$K:$M, 3, FALSE))</f>
        <v>Fabricated Rubber Products, Nec</v>
      </c>
      <c r="L7" s="33" t="str">
        <f>IFERROR(VLOOKUP($H7, 'Processed Non-zero TRI Data'!I:P, 8, 0), "Direct")</f>
        <v>Direct</v>
      </c>
      <c r="M7" s="33" t="str">
        <f>VLOOKUP($N7, 'COU.OES Summary'!C:D, 2, FALSE)</f>
        <v> </v>
      </c>
      <c r="N7" s="33" t="str">
        <f>IFERROR(VLOOKUP($H7, 'Processed Non-zero TRI Data'!$I:$O, 7, FALSE), VLOOKUP($I7, 'Processed Non-zero DMR Data'!$K:$R, 8, FALSE))</f>
        <v>Waste handling, treatment, and disposal - Remediation or Monitoring</v>
      </c>
      <c r="O7" s="33" t="s">
        <v>710</v>
      </c>
      <c r="P7" s="33">
        <f>VLOOKUP($N7, 'COU.OES Summary'!C:E, 3, FALSE)</f>
        <v>365</v>
      </c>
    </row>
    <row r="8" spans="1:16" ht="29" x14ac:dyDescent="0.35">
      <c r="A8" s="34">
        <v>7</v>
      </c>
      <c r="B8" s="33" t="str">
        <f>IF(AND(ISNUMBER(MATCH(H8, 'Processed Non-zero TRI Data'!$I$2:$I$23, FALSE)),ISNUMBER(MATCH(I8, 'Processed Non-zero DMR Data'!$K:$K, FALSE))),"Both TRI Form "&amp; VLOOKUP(H8, 'Processed Non-zero TRI Data'!$I$2:$K$23, 3, FALSE)&amp; " &amp; DMR", IFERROR("Only TRI Form "&amp; VLOOKUP(H8, 'Processed Non-zero TRI Data'!$I$2:$K$23, 3, FALSE), "Only DMR"))</f>
        <v>Only DMR</v>
      </c>
      <c r="C8" s="34" t="s">
        <v>459</v>
      </c>
      <c r="D8" s="34" t="s">
        <v>460</v>
      </c>
      <c r="E8" s="34" t="s">
        <v>126</v>
      </c>
      <c r="F8" s="34">
        <v>42.308895999999997</v>
      </c>
      <c r="G8" s="34">
        <v>-75.397531999999998</v>
      </c>
      <c r="H8" s="34"/>
      <c r="I8" s="105">
        <v>110000326193</v>
      </c>
      <c r="J8" s="33">
        <f>IF(OR($H8="",$H8="Yes"), VLOOKUP($I8, 'Processed Non-zero DMR Data'!$K:$V, 10, FALSE),"")</f>
        <v>0.106831946725</v>
      </c>
      <c r="K8" s="33" t="str">
        <f>IFERROR(VLOOKUP($H8, 'Processed Non-zero TRI Data'!$I:$M, 5, 0), VLOOKUP($I8, 'Processed Non-zero DMR Data'!$K:$M, 3, FALSE))</f>
        <v>Plating and Polishing</v>
      </c>
      <c r="L8" s="33" t="str">
        <f>IFERROR(VLOOKUP($H8, 'Processed Non-zero TRI Data'!I:P, 8, 0), "Direct")</f>
        <v>Direct</v>
      </c>
      <c r="M8" s="33" t="str">
        <f>VLOOKUP($N8, 'COU.OES Summary'!C:D, 2, FALSE)</f>
        <v> </v>
      </c>
      <c r="N8" s="33" t="str">
        <f>IFERROR(VLOOKUP($H8, 'Processed Non-zero TRI Data'!$I:$O, 7, FALSE), VLOOKUP($I8, 'Processed Non-zero DMR Data'!$K:$R, 8, FALSE))</f>
        <v>Waste handling, treatment, and disposal - Remediation or Monitoring</v>
      </c>
      <c r="O8" s="33" t="s">
        <v>710</v>
      </c>
      <c r="P8" s="33">
        <f>VLOOKUP($N8, 'COU.OES Summary'!C:E, 3, FALSE)</f>
        <v>365</v>
      </c>
    </row>
    <row r="9" spans="1:16" ht="29" x14ac:dyDescent="0.35">
      <c r="A9" s="34">
        <v>8</v>
      </c>
      <c r="B9" s="33" t="str">
        <f>IF(AND(ISNUMBER(MATCH(H9, 'Processed Non-zero TRI Data'!$I$2:$I$23, FALSE)),ISNUMBER(MATCH(I9, 'Processed Non-zero DMR Data'!$K:$K, FALSE))),"Both TRI Form "&amp; VLOOKUP(H9, 'Processed Non-zero TRI Data'!$I$2:$K$23, 3, FALSE)&amp; " &amp; DMR", IFERROR("Only TRI Form "&amp; VLOOKUP(H9, 'Processed Non-zero TRI Data'!$I$2:$K$23, 3, FALSE), "Only DMR"))</f>
        <v>Only DMR</v>
      </c>
      <c r="C9" s="34" t="s">
        <v>124</v>
      </c>
      <c r="D9" s="34" t="s">
        <v>125</v>
      </c>
      <c r="E9" s="34" t="s">
        <v>126</v>
      </c>
      <c r="F9" s="34">
        <v>43.165965999999997</v>
      </c>
      <c r="G9" s="34">
        <v>-78.740509000000003</v>
      </c>
      <c r="H9" s="34"/>
      <c r="I9" s="105">
        <v>110000326521</v>
      </c>
      <c r="J9" s="33">
        <f>IF(OR($H9="",$H9="Yes"), VLOOKUP($I9, 'Processed Non-zero DMR Data'!$K:$V, 10, FALSE),"")</f>
        <v>0.1571323825</v>
      </c>
      <c r="K9" s="33" t="str">
        <f>IFERROR(VLOOKUP($H9, 'Processed Non-zero TRI Data'!$I:$M, 5, 0), VLOOKUP($I9, 'Processed Non-zero DMR Data'!$K:$M, 3, FALSE))</f>
        <v>Motor Vehicle Parts and Accessories</v>
      </c>
      <c r="L9" s="33" t="str">
        <f>IFERROR(VLOOKUP($H9, 'Processed Non-zero TRI Data'!I:P, 8, 0), "Direct")</f>
        <v>Direct</v>
      </c>
      <c r="M9" s="33" t="str">
        <f>VLOOKUP($N9, 'COU.OES Summary'!C:D, 2, FALSE)</f>
        <v> </v>
      </c>
      <c r="N9" s="33" t="str">
        <f>IFERROR(VLOOKUP($H9, 'Processed Non-zero TRI Data'!$I:$O, 7, FALSE), VLOOKUP($I9, 'Processed Non-zero DMR Data'!$K:$R, 8, FALSE))</f>
        <v>Waste handling, treatment, and disposal - Remediation or Monitoring</v>
      </c>
      <c r="O9" s="33" t="s">
        <v>710</v>
      </c>
      <c r="P9" s="33">
        <f>VLOOKUP($N9, 'COU.OES Summary'!C:E, 3, FALSE)</f>
        <v>365</v>
      </c>
    </row>
    <row r="10" spans="1:16" ht="29" x14ac:dyDescent="0.35">
      <c r="A10" s="34">
        <v>9</v>
      </c>
      <c r="B10" s="33" t="str">
        <f>IF(AND(ISNUMBER(MATCH(H10, 'Processed Non-zero TRI Data'!$I$2:$I$23, FALSE)),ISNUMBER(MATCH(I10, 'Processed Non-zero DMR Data'!$K:$K, FALSE))),"Both TRI Form "&amp; VLOOKUP(H10, 'Processed Non-zero TRI Data'!$I$2:$K$23, 3, FALSE)&amp; " &amp; DMR", IFERROR("Only TRI Form "&amp; VLOOKUP(H10, 'Processed Non-zero TRI Data'!$I$2:$K$23, 3, FALSE), "Only DMR"))</f>
        <v>Only DMR</v>
      </c>
      <c r="C10" s="34" t="s">
        <v>548</v>
      </c>
      <c r="D10" s="34" t="s">
        <v>339</v>
      </c>
      <c r="E10" s="34" t="s">
        <v>340</v>
      </c>
      <c r="F10" s="34">
        <v>40.670580000000001</v>
      </c>
      <c r="G10" s="34">
        <v>-80.336500000000001</v>
      </c>
      <c r="H10" s="34"/>
      <c r="I10" s="105">
        <v>110000329038</v>
      </c>
      <c r="J10" s="33">
        <f>IF(OR($H10="",$H10="Yes"), VLOOKUP($I10, 'Processed Non-zero DMR Data'!$K:$V, 10, FALSE),"")</f>
        <v>6.8100000000000001E-3</v>
      </c>
      <c r="K10" s="33" t="str">
        <f>IFERROR(VLOOKUP($H10, 'Processed Non-zero TRI Data'!$I:$M, 5, 0), VLOOKUP($I10, 'Processed Non-zero DMR Data'!$K:$M, 3, FALSE))</f>
        <v>Industrial Organic Chemicals, Nec</v>
      </c>
      <c r="L10" s="33" t="str">
        <f>IFERROR(VLOOKUP($H10, 'Processed Non-zero TRI Data'!I:P, 8, 0), "Direct")</f>
        <v>Direct</v>
      </c>
      <c r="M10" s="33" t="str">
        <f>VLOOKUP($N10, 'COU.OES Summary'!C:D, 2, FALSE)</f>
        <v> </v>
      </c>
      <c r="N10" s="33" t="str">
        <f>IFERROR(VLOOKUP($H10, 'Processed Non-zero TRI Data'!$I:$O, 7, FALSE), VLOOKUP($I10, 'Processed Non-zero DMR Data'!$K:$R, 8, FALSE))</f>
        <v>Waste handling, treatment, and disposal - Remediation or Monitoring</v>
      </c>
      <c r="O10" s="33" t="s">
        <v>710</v>
      </c>
      <c r="P10" s="33">
        <f>VLOOKUP($N10, 'COU.OES Summary'!C:E, 3, FALSE)</f>
        <v>365</v>
      </c>
    </row>
    <row r="11" spans="1:16" ht="29" x14ac:dyDescent="0.35">
      <c r="A11" s="34">
        <v>10</v>
      </c>
      <c r="B11" s="33" t="str">
        <f>IF(AND(ISNUMBER(MATCH(H11, 'Processed Non-zero TRI Data'!$I$2:$I$23, FALSE)),ISNUMBER(MATCH(I11, 'Processed Non-zero DMR Data'!$K:$K, FALSE))),"Both TRI Form "&amp; VLOOKUP(H11, 'Processed Non-zero TRI Data'!$I$2:$K$23, 3, FALSE)&amp; " &amp; DMR", IFERROR("Only TRI Form "&amp; VLOOKUP(H11, 'Processed Non-zero TRI Data'!$I$2:$K$23, 3, FALSE), "Only DMR"))</f>
        <v>Only DMR</v>
      </c>
      <c r="C11" s="34" t="s">
        <v>513</v>
      </c>
      <c r="D11" s="34" t="s">
        <v>514</v>
      </c>
      <c r="E11" s="34" t="s">
        <v>515</v>
      </c>
      <c r="F11" s="34">
        <v>39.585099999999997</v>
      </c>
      <c r="G11" s="34">
        <v>-75.649199999999993</v>
      </c>
      <c r="H11" s="34"/>
      <c r="I11" s="105">
        <v>110000338536</v>
      </c>
      <c r="J11" s="33">
        <f>IF(OR($H11="",$H11="Yes"), VLOOKUP($I11, 'Processed Non-zero DMR Data'!$K:$V, 10, FALSE),"")</f>
        <v>4.2562500000000003E-2</v>
      </c>
      <c r="K11" s="33" t="str">
        <f>IFERROR(VLOOKUP($H11, 'Processed Non-zero TRI Data'!$I:$M, 5, 0), VLOOKUP($I11, 'Processed Non-zero DMR Data'!$K:$M, 3, FALSE))</f>
        <v>Plastics Materials and Resins</v>
      </c>
      <c r="L11" s="33" t="str">
        <f>IFERROR(VLOOKUP($H11, 'Processed Non-zero TRI Data'!I:P, 8, 0), "Direct")</f>
        <v>Direct</v>
      </c>
      <c r="M11" s="33" t="str">
        <f>VLOOKUP($N11, 'COU.OES Summary'!C:D, 2, FALSE)</f>
        <v> </v>
      </c>
      <c r="N11" s="33" t="str">
        <f>IFERROR(VLOOKUP($H11, 'Processed Non-zero TRI Data'!$I:$O, 7, FALSE), VLOOKUP($I11, 'Processed Non-zero DMR Data'!$K:$R, 8, FALSE))</f>
        <v>Waste handling, treatment, and disposal - Remediation or Monitoring</v>
      </c>
      <c r="O11" s="33" t="s">
        <v>710</v>
      </c>
      <c r="P11" s="33">
        <f>VLOOKUP($N11, 'COU.OES Summary'!C:E, 3, FALSE)</f>
        <v>365</v>
      </c>
    </row>
    <row r="12" spans="1:16" ht="29" x14ac:dyDescent="0.35">
      <c r="A12" s="34">
        <v>11</v>
      </c>
      <c r="B12" s="33" t="str">
        <f>IF(AND(ISNUMBER(MATCH(H12, 'Processed Non-zero TRI Data'!$I$2:$I$23, FALSE)),ISNUMBER(MATCH(I12, 'Processed Non-zero DMR Data'!$K:$K, FALSE))),"Both TRI Form "&amp; VLOOKUP(H12, 'Processed Non-zero TRI Data'!$I$2:$K$23, 3, FALSE)&amp; " &amp; DMR", IFERROR("Only TRI Form "&amp; VLOOKUP(H12, 'Processed Non-zero TRI Data'!$I$2:$K$23, 3, FALSE), "Only DMR"))</f>
        <v>Only DMR</v>
      </c>
      <c r="C12" s="34" t="s">
        <v>679</v>
      </c>
      <c r="D12" s="34" t="s">
        <v>680</v>
      </c>
      <c r="E12" s="34" t="s">
        <v>515</v>
      </c>
      <c r="F12" s="34">
        <v>38.631867</v>
      </c>
      <c r="G12" s="34">
        <v>-75.628372999999996</v>
      </c>
      <c r="H12" s="34"/>
      <c r="I12" s="105">
        <v>110000339027</v>
      </c>
      <c r="J12" s="33">
        <f>IF(OR($H12="",$H12="Yes"), VLOOKUP($I12, 'Processed Non-zero DMR Data'!$K:$V, 10, FALSE),"")</f>
        <v>9.1481E-5</v>
      </c>
      <c r="K12" s="33" t="str">
        <f>IFERROR(VLOOKUP($H12, 'Processed Non-zero TRI Data'!$I:$M, 5, 0), VLOOKUP($I12, 'Processed Non-zero DMR Data'!$K:$M, 3, FALSE))</f>
        <v>Plastics Materials and Resins</v>
      </c>
      <c r="L12" s="33" t="str">
        <f>IFERROR(VLOOKUP($H12, 'Processed Non-zero TRI Data'!I:P, 8, 0), "Direct")</f>
        <v>Direct</v>
      </c>
      <c r="M12" s="33" t="str">
        <f>VLOOKUP($N12, 'COU.OES Summary'!C:D, 2, FALSE)</f>
        <v> </v>
      </c>
      <c r="N12" s="33" t="str">
        <f>IFERROR(VLOOKUP($H12, 'Processed Non-zero TRI Data'!$I:$O, 7, FALSE), VLOOKUP($I12, 'Processed Non-zero DMR Data'!$K:$R, 8, FALSE))</f>
        <v>Waste handling, treatment, and disposal - Remediation or Monitoring</v>
      </c>
      <c r="O12" s="33" t="s">
        <v>710</v>
      </c>
      <c r="P12" s="33">
        <f>VLOOKUP($N12, 'COU.OES Summary'!C:E, 3, FALSE)</f>
        <v>365</v>
      </c>
    </row>
    <row r="13" spans="1:16" ht="29" x14ac:dyDescent="0.35">
      <c r="A13" s="34">
        <v>12</v>
      </c>
      <c r="B13" s="33" t="str">
        <f>IF(AND(ISNUMBER(MATCH(H13, 'Processed Non-zero TRI Data'!$I$2:$I$23, FALSE)),ISNUMBER(MATCH(I13, 'Processed Non-zero DMR Data'!$K:$K, FALSE))),"Both TRI Form "&amp; VLOOKUP(H13, 'Processed Non-zero TRI Data'!$I$2:$K$23, 3, FALSE)&amp; " &amp; DMR", IFERROR("Only TRI Form "&amp; VLOOKUP(H13, 'Processed Non-zero TRI Data'!$I$2:$K$23, 3, FALSE), "Only DMR"))</f>
        <v>Only DMR</v>
      </c>
      <c r="C13" s="34" t="s">
        <v>324</v>
      </c>
      <c r="D13" s="34" t="s">
        <v>325</v>
      </c>
      <c r="E13" s="34" t="s">
        <v>161</v>
      </c>
      <c r="F13" s="34">
        <v>35.607599999999998</v>
      </c>
      <c r="G13" s="34">
        <v>-89.237700000000004</v>
      </c>
      <c r="H13" s="34"/>
      <c r="I13" s="105">
        <v>110000373621</v>
      </c>
      <c r="J13" s="33">
        <f>IF(OR($H13="",$H13="Yes"), VLOOKUP($I13, 'Processed Non-zero DMR Data'!$K:$V, 10, FALSE),"")</f>
        <v>1.4885931875</v>
      </c>
      <c r="K13" s="33" t="str">
        <f>IFERROR(VLOOKUP($H13, 'Processed Non-zero TRI Data'!$I:$M, 5, 0), VLOOKUP($I13, 'Processed Non-zero DMR Data'!$K:$M, 3, FALSE))</f>
        <v>Custom Compound Purchased Resins</v>
      </c>
      <c r="L13" s="33" t="str">
        <f>IFERROR(VLOOKUP($H13, 'Processed Non-zero TRI Data'!I:P, 8, 0), "Direct")</f>
        <v>Direct</v>
      </c>
      <c r="M13" s="33" t="str">
        <f>VLOOKUP($N13, 'COU.OES Summary'!C:D, 2, FALSE)</f>
        <v> </v>
      </c>
      <c r="N13" s="33" t="str">
        <f>IFERROR(VLOOKUP($H13, 'Processed Non-zero TRI Data'!$I:$O, 7, FALSE), VLOOKUP($I13, 'Processed Non-zero DMR Data'!$K:$R, 8, FALSE))</f>
        <v>Waste handling, treatment, and disposal - Remediation or Monitoring</v>
      </c>
      <c r="O13" s="33" t="s">
        <v>710</v>
      </c>
      <c r="P13" s="33">
        <f>VLOOKUP($N13, 'COU.OES Summary'!C:E, 3, FALSE)</f>
        <v>365</v>
      </c>
    </row>
    <row r="14" spans="1:16" ht="29" x14ac:dyDescent="0.35">
      <c r="A14" s="34">
        <v>13</v>
      </c>
      <c r="B14" s="33" t="str">
        <f>IF(AND(ISNUMBER(MATCH(H14, 'Processed Non-zero TRI Data'!$I$2:$I$23, FALSE)),ISNUMBER(MATCH(I14, 'Processed Non-zero DMR Data'!$K:$K, FALSE))),"Both TRI Form "&amp; VLOOKUP(H14, 'Processed Non-zero TRI Data'!$I$2:$K$23, 3, FALSE)&amp; " &amp; DMR", IFERROR("Only TRI Form "&amp; VLOOKUP(H14, 'Processed Non-zero TRI Data'!$I$2:$K$23, 3, FALSE), "Only DMR"))</f>
        <v>Only DMR</v>
      </c>
      <c r="C14" s="34" t="s">
        <v>306</v>
      </c>
      <c r="D14" s="34" t="s">
        <v>107</v>
      </c>
      <c r="E14" s="34" t="s">
        <v>108</v>
      </c>
      <c r="F14" s="34">
        <v>38.195278000000002</v>
      </c>
      <c r="G14" s="34">
        <v>-85.872221999999994</v>
      </c>
      <c r="H14" s="34"/>
      <c r="I14" s="105">
        <v>110000378467</v>
      </c>
      <c r="J14" s="33">
        <f>IF(OR($H14="",$H14="Yes"), VLOOKUP($I14, 'Processed Non-zero DMR Data'!$K:$V, 10, FALSE),"")</f>
        <v>1.0703049999999998</v>
      </c>
      <c r="K14" s="33" t="str">
        <f>IFERROR(VLOOKUP($H14, 'Processed Non-zero TRI Data'!$I:$M, 5, 0), VLOOKUP($I14, 'Processed Non-zero DMR Data'!$K:$M, 3, FALSE))</f>
        <v>Industrial Organic Chemicals, Nec</v>
      </c>
      <c r="L14" s="33" t="str">
        <f>IFERROR(VLOOKUP($H14, 'Processed Non-zero TRI Data'!I:P, 8, 0), "Direct")</f>
        <v>Direct</v>
      </c>
      <c r="M14" s="33" t="str">
        <f>VLOOKUP($N14, 'COU.OES Summary'!C:D, 2, FALSE)</f>
        <v> </v>
      </c>
      <c r="N14" s="33" t="str">
        <f>IFERROR(VLOOKUP($H14, 'Processed Non-zero TRI Data'!$I:$O, 7, FALSE), VLOOKUP($I14, 'Processed Non-zero DMR Data'!$K:$R, 8, FALSE))</f>
        <v>Waste handling, treatment, and disposal - Remediation or Monitoring</v>
      </c>
      <c r="O14" s="33" t="s">
        <v>710</v>
      </c>
      <c r="P14" s="33">
        <f>VLOOKUP($N14, 'COU.OES Summary'!C:E, 3, FALSE)</f>
        <v>365</v>
      </c>
    </row>
    <row r="15" spans="1:16" ht="29" x14ac:dyDescent="0.35">
      <c r="A15" s="34">
        <v>14</v>
      </c>
      <c r="B15" s="33" t="str">
        <f>IF(AND(ISNUMBER(MATCH(H15, 'Processed Non-zero TRI Data'!$I$2:$I$23, FALSE)),ISNUMBER(MATCH(I15, 'Processed Non-zero DMR Data'!$K:$K, FALSE))),"Both TRI Form "&amp; VLOOKUP(H15, 'Processed Non-zero TRI Data'!$I$2:$K$23, 3, FALSE)&amp; " &amp; DMR", IFERROR("Only TRI Form "&amp; VLOOKUP(H15, 'Processed Non-zero TRI Data'!$I$2:$K$23, 3, FALSE), "Only DMR"))</f>
        <v>Only DMR</v>
      </c>
      <c r="C15" s="34" t="s">
        <v>580</v>
      </c>
      <c r="D15" s="34" t="s">
        <v>581</v>
      </c>
      <c r="E15" s="34" t="s">
        <v>151</v>
      </c>
      <c r="F15" s="34">
        <v>40.86168</v>
      </c>
      <c r="G15" s="34">
        <v>-85.599149999999995</v>
      </c>
      <c r="H15" s="34"/>
      <c r="I15" s="105">
        <v>110000400012</v>
      </c>
      <c r="J15" s="33">
        <f>IF(OR($H15="",$H15="Yes"), VLOOKUP($I15, 'Processed Non-zero DMR Data'!$K:$V, 10, FALSE),"")</f>
        <v>1.5904948499999998E-2</v>
      </c>
      <c r="K15" s="33" t="str">
        <f>IFERROR(VLOOKUP($H15, 'Processed Non-zero TRI Data'!$I:$M, 5, 0), VLOOKUP($I15, 'Processed Non-zero DMR Data'!$K:$M, 3, FALSE))</f>
        <v>Motor Vehicle Parts and Accessories</v>
      </c>
      <c r="L15" s="33" t="str">
        <f>IFERROR(VLOOKUP($H15, 'Processed Non-zero TRI Data'!I:P, 8, 0), "Direct")</f>
        <v>Direct</v>
      </c>
      <c r="M15" s="33" t="str">
        <f>VLOOKUP($N15, 'COU.OES Summary'!C:D, 2, FALSE)</f>
        <v> </v>
      </c>
      <c r="N15" s="33" t="str">
        <f>IFERROR(VLOOKUP($H15, 'Processed Non-zero TRI Data'!$I:$O, 7, FALSE), VLOOKUP($I15, 'Processed Non-zero DMR Data'!$K:$R, 8, FALSE))</f>
        <v>Waste handling, treatment, and disposal - Remediation or Monitoring</v>
      </c>
      <c r="O15" s="33" t="s">
        <v>710</v>
      </c>
      <c r="P15" s="33">
        <f>VLOOKUP($N15, 'COU.OES Summary'!C:E, 3, FALSE)</f>
        <v>365</v>
      </c>
    </row>
    <row r="16" spans="1:16" ht="29" x14ac:dyDescent="0.35">
      <c r="A16" s="34">
        <v>15</v>
      </c>
      <c r="B16" s="33" t="str">
        <f>IF(AND(ISNUMBER(MATCH(H16, 'Processed Non-zero TRI Data'!$I$2:$I$23, FALSE)),ISNUMBER(MATCH(I16, 'Processed Non-zero DMR Data'!$K:$K, FALSE))),"Both TRI Form "&amp; VLOOKUP(H16, 'Processed Non-zero TRI Data'!$I$2:$K$23, 3, FALSE)&amp; " &amp; DMR", IFERROR("Only TRI Form "&amp; VLOOKUP(H16, 'Processed Non-zero TRI Data'!$I$2:$K$23, 3, FALSE), "Only DMR"))</f>
        <v>Only DMR</v>
      </c>
      <c r="C16" s="34" t="s">
        <v>149</v>
      </c>
      <c r="D16" s="34" t="s">
        <v>150</v>
      </c>
      <c r="E16" s="34" t="s">
        <v>151</v>
      </c>
      <c r="F16" s="34">
        <v>37.907200000000003</v>
      </c>
      <c r="G16" s="34">
        <v>-87.927099999999996</v>
      </c>
      <c r="H16" s="34"/>
      <c r="I16" s="105">
        <v>110000403670</v>
      </c>
      <c r="J16" s="33">
        <f>IF(OR($H16="",$H16="Yes"), VLOOKUP($I16, 'Processed Non-zero DMR Data'!$K:$V, 10, FALSE),"")</f>
        <v>10.859680000000001</v>
      </c>
      <c r="K16" s="33" t="str">
        <f>IFERROR(VLOOKUP($H16, 'Processed Non-zero TRI Data'!$I:$M, 5, 0), VLOOKUP($I16, 'Processed Non-zero DMR Data'!$K:$M, 3, FALSE))</f>
        <v>Plastics Materials and Resins</v>
      </c>
      <c r="L16" s="33" t="str">
        <f>IFERROR(VLOOKUP($H16, 'Processed Non-zero TRI Data'!I:P, 8, 0), "Direct")</f>
        <v>Direct</v>
      </c>
      <c r="M16" s="33" t="str">
        <f>VLOOKUP($N16, 'COU.OES Summary'!C:D, 2, FALSE)</f>
        <v> </v>
      </c>
      <c r="N16" s="33" t="str">
        <f>IFERROR(VLOOKUP($H16, 'Processed Non-zero TRI Data'!$I:$O, 7, FALSE), VLOOKUP($I16, 'Processed Non-zero DMR Data'!$K:$R, 8, FALSE))</f>
        <v>Waste handling, treatment, and disposal - Remediation or Monitoring</v>
      </c>
      <c r="O16" s="33" t="s">
        <v>710</v>
      </c>
      <c r="P16" s="33">
        <f>VLOOKUP($N16, 'COU.OES Summary'!C:E, 3, FALSE)</f>
        <v>365</v>
      </c>
    </row>
    <row r="17" spans="1:16" ht="29" x14ac:dyDescent="0.35">
      <c r="A17" s="34">
        <v>16</v>
      </c>
      <c r="B17" s="33" t="str">
        <f>IF(AND(ISNUMBER(MATCH(H17, 'Processed Non-zero TRI Data'!$I$2:$I$23, FALSE)),ISNUMBER(MATCH(I17, 'Processed Non-zero DMR Data'!$K:$K, FALSE))),"Both TRI Form "&amp; VLOOKUP(H17, 'Processed Non-zero TRI Data'!$I$2:$K$23, 3, FALSE)&amp; " &amp; DMR", IFERROR("Only TRI Form "&amp; VLOOKUP(H17, 'Processed Non-zero TRI Data'!$I$2:$K$23, 3, FALSE), "Only DMR"))</f>
        <v>Only DMR</v>
      </c>
      <c r="C17" s="34" t="s">
        <v>499</v>
      </c>
      <c r="D17" s="34" t="s">
        <v>500</v>
      </c>
      <c r="E17" s="34" t="s">
        <v>181</v>
      </c>
      <c r="F17" s="34">
        <v>43.185969999999998</v>
      </c>
      <c r="G17" s="34">
        <v>-85.256680000000003</v>
      </c>
      <c r="H17" s="34"/>
      <c r="I17" s="105">
        <v>110000408238</v>
      </c>
      <c r="J17" s="33">
        <f>IF(OR($H17="",$H17="Yes"), VLOOKUP($I17, 'Processed Non-zero DMR Data'!$K:$V, 10, FALSE),"")</f>
        <v>5.5560772000000001E-2</v>
      </c>
      <c r="K17" s="33" t="str">
        <f>IFERROR(VLOOKUP($H17, 'Processed Non-zero TRI Data'!$I:$M, 5, 0), VLOOKUP($I17, 'Processed Non-zero DMR Data'!$K:$M, 3, FALSE))</f>
        <v>Household Refrigerators and Freezers</v>
      </c>
      <c r="L17" s="33" t="str">
        <f>IFERROR(VLOOKUP($H17, 'Processed Non-zero TRI Data'!I:P, 8, 0), "Direct")</f>
        <v>Direct</v>
      </c>
      <c r="M17" s="33" t="str">
        <f>VLOOKUP($N17, 'COU.OES Summary'!C:D, 2, FALSE)</f>
        <v> </v>
      </c>
      <c r="N17" s="33" t="str">
        <f>IFERROR(VLOOKUP($H17, 'Processed Non-zero TRI Data'!$I:$O, 7, FALSE), VLOOKUP($I17, 'Processed Non-zero DMR Data'!$K:$R, 8, FALSE))</f>
        <v>Waste handling, treatment, and disposal - Remediation or Monitoring</v>
      </c>
      <c r="O17" s="33" t="s">
        <v>710</v>
      </c>
      <c r="P17" s="33">
        <f>VLOOKUP($N17, 'COU.OES Summary'!C:E, 3, FALSE)</f>
        <v>365</v>
      </c>
    </row>
    <row r="18" spans="1:16" ht="29" x14ac:dyDescent="0.35">
      <c r="A18" s="34">
        <v>17</v>
      </c>
      <c r="B18" s="33" t="str">
        <f>IF(AND(ISNUMBER(MATCH(H18, 'Processed Non-zero TRI Data'!$I$2:$I$23, FALSE)),ISNUMBER(MATCH(I18, 'Processed Non-zero DMR Data'!$K:$K, FALSE))),"Both TRI Form "&amp; VLOOKUP(H18, 'Processed Non-zero TRI Data'!$I$2:$K$23, 3, FALSE)&amp; " &amp; DMR", IFERROR("Only TRI Form "&amp; VLOOKUP(H18, 'Processed Non-zero TRI Data'!$I$2:$K$23, 3, FALSE), "Only DMR"))</f>
        <v>Only DMR</v>
      </c>
      <c r="C18" s="34" t="s">
        <v>603</v>
      </c>
      <c r="D18" s="34" t="s">
        <v>604</v>
      </c>
      <c r="E18" s="34" t="s">
        <v>181</v>
      </c>
      <c r="F18" s="34">
        <v>42.04945</v>
      </c>
      <c r="G18" s="34">
        <v>-86.511949999999999</v>
      </c>
      <c r="H18" s="34"/>
      <c r="I18" s="105">
        <v>110000409406</v>
      </c>
      <c r="J18" s="33">
        <f>IF(OR($H18="",$H18="Yes"), VLOOKUP($I18, 'Processed Non-zero DMR Data'!$K:$V, 10, FALSE),"")</f>
        <v>1.2396657738E-2</v>
      </c>
      <c r="K18" s="33" t="str">
        <f>IFERROR(VLOOKUP($H18, 'Processed Non-zero TRI Data'!$I:$M, 5, 0), VLOOKUP($I18, 'Processed Non-zero DMR Data'!$K:$M, 3, FALSE))</f>
        <v>Gray and Ductile Iron Foundries</v>
      </c>
      <c r="L18" s="33" t="str">
        <f>IFERROR(VLOOKUP($H18, 'Processed Non-zero TRI Data'!I:P, 8, 0), "Direct")</f>
        <v>Direct</v>
      </c>
      <c r="M18" s="33" t="str">
        <f>VLOOKUP($N18, 'COU.OES Summary'!C:D, 2, FALSE)</f>
        <v> </v>
      </c>
      <c r="N18" s="33" t="str">
        <f>IFERROR(VLOOKUP($H18, 'Processed Non-zero TRI Data'!$I:$O, 7, FALSE), VLOOKUP($I18, 'Processed Non-zero DMR Data'!$K:$R, 8, FALSE))</f>
        <v>Waste handling, treatment, and disposal - Remediation or Monitoring</v>
      </c>
      <c r="O18" s="33" t="s">
        <v>710</v>
      </c>
      <c r="P18" s="33">
        <f>VLOOKUP($N18, 'COU.OES Summary'!C:E, 3, FALSE)</f>
        <v>365</v>
      </c>
    </row>
    <row r="19" spans="1:16" ht="29" x14ac:dyDescent="0.35">
      <c r="A19" s="34">
        <v>18</v>
      </c>
      <c r="B19" s="33" t="str">
        <f>IF(AND(ISNUMBER(MATCH(H19, 'Processed Non-zero TRI Data'!$I$2:$I$23, FALSE)),ISNUMBER(MATCH(I19, 'Processed Non-zero DMR Data'!$K:$K, FALSE))),"Both TRI Form "&amp; VLOOKUP(H19, 'Processed Non-zero TRI Data'!$I$2:$K$23, 3, FALSE)&amp; " &amp; DMR", IFERROR("Only TRI Form "&amp; VLOOKUP(H19, 'Processed Non-zero TRI Data'!$I$2:$K$23, 3, FALSE), "Only DMR"))</f>
        <v>Only DMR</v>
      </c>
      <c r="C19" s="34" t="s">
        <v>179</v>
      </c>
      <c r="D19" s="34" t="s">
        <v>180</v>
      </c>
      <c r="E19" s="34" t="s">
        <v>181</v>
      </c>
      <c r="F19" s="34">
        <v>42.718290000000003</v>
      </c>
      <c r="G19" s="34">
        <v>-85.463239999999999</v>
      </c>
      <c r="H19" s="34"/>
      <c r="I19" s="105">
        <v>110000410190</v>
      </c>
      <c r="J19" s="33">
        <f>IF(OR($H19="",$H19="Yes"), VLOOKUP($I19, 'Processed Non-zero DMR Data'!$K:$V, 10, FALSE),"")</f>
        <v>3.7397692500000003E-2</v>
      </c>
      <c r="K19" s="33" t="str">
        <f>IFERROR(VLOOKUP($H19, 'Processed Non-zero TRI Data'!$I:$M, 5, 0), VLOOKUP($I19, 'Processed Non-zero DMR Data'!$K:$M, 3, FALSE))</f>
        <v>Household Appliances, Nec</v>
      </c>
      <c r="L19" s="33" t="str">
        <f>IFERROR(VLOOKUP($H19, 'Processed Non-zero TRI Data'!I:P, 8, 0), "Direct")</f>
        <v>Direct</v>
      </c>
      <c r="M19" s="33" t="str">
        <f>VLOOKUP($N19, 'COU.OES Summary'!C:D, 2, FALSE)</f>
        <v> </v>
      </c>
      <c r="N19" s="33" t="str">
        <f>IFERROR(VLOOKUP($H19, 'Processed Non-zero TRI Data'!$I:$O, 7, FALSE), VLOOKUP($I19, 'Processed Non-zero DMR Data'!$K:$R, 8, FALSE))</f>
        <v>Waste handling, treatment, and disposal - Remediation or Monitoring</v>
      </c>
      <c r="O19" s="33" t="s">
        <v>710</v>
      </c>
      <c r="P19" s="33">
        <f>VLOOKUP($N19, 'COU.OES Summary'!C:E, 3, FALSE)</f>
        <v>365</v>
      </c>
    </row>
    <row r="20" spans="1:16" ht="29" x14ac:dyDescent="0.35">
      <c r="A20" s="34">
        <v>19</v>
      </c>
      <c r="B20" s="33" t="str">
        <f>IF(AND(ISNUMBER(MATCH(H20, 'Processed Non-zero TRI Data'!$I$2:$I$23, FALSE)),ISNUMBER(MATCH(I20, 'Processed Non-zero DMR Data'!$K:$K, FALSE))),"Both TRI Form "&amp; VLOOKUP(H20, 'Processed Non-zero TRI Data'!$I$2:$K$23, 3, FALSE)&amp; " &amp; DMR", IFERROR("Only TRI Form "&amp; VLOOKUP(H20, 'Processed Non-zero TRI Data'!$I$2:$K$23, 3, FALSE), "Only DMR"))</f>
        <v>Only DMR</v>
      </c>
      <c r="C20" s="34" t="s">
        <v>405</v>
      </c>
      <c r="D20" s="34" t="s">
        <v>406</v>
      </c>
      <c r="E20" s="34" t="s">
        <v>181</v>
      </c>
      <c r="F20" s="34">
        <v>43.215029999999999</v>
      </c>
      <c r="G20" s="34">
        <v>-86.245689999999996</v>
      </c>
      <c r="H20" s="34"/>
      <c r="I20" s="105">
        <v>110000410957</v>
      </c>
      <c r="J20" s="33">
        <f>IF(OR($H20="",$H20="Yes"), VLOOKUP($I20, 'Processed Non-zero DMR Data'!$K:$V, 10, FALSE),"")</f>
        <v>0.15481407</v>
      </c>
      <c r="K20" s="33" t="str">
        <f>IFERROR(VLOOKUP($H20, 'Processed Non-zero TRI Data'!$I:$M, 5, 0), VLOOKUP($I20, 'Processed Non-zero DMR Data'!$K:$M, 3, FALSE))</f>
        <v>Motor Vehicle Parts and Accessories</v>
      </c>
      <c r="L20" s="33" t="str">
        <f>IFERROR(VLOOKUP($H20, 'Processed Non-zero TRI Data'!I:P, 8, 0), "Direct")</f>
        <v>Direct</v>
      </c>
      <c r="M20" s="33" t="str">
        <f>VLOOKUP($N20, 'COU.OES Summary'!C:D, 2, FALSE)</f>
        <v> </v>
      </c>
      <c r="N20" s="33" t="str">
        <f>IFERROR(VLOOKUP($H20, 'Processed Non-zero TRI Data'!$I:$O, 7, FALSE), VLOOKUP($I20, 'Processed Non-zero DMR Data'!$K:$R, 8, FALSE))</f>
        <v>Waste handling, treatment, and disposal - Remediation or Monitoring</v>
      </c>
      <c r="O20" s="33" t="s">
        <v>710</v>
      </c>
      <c r="P20" s="33">
        <f>VLOOKUP($N20, 'COU.OES Summary'!C:E, 3, FALSE)</f>
        <v>365</v>
      </c>
    </row>
    <row r="21" spans="1:16" ht="29" x14ac:dyDescent="0.35">
      <c r="A21" s="34">
        <v>20</v>
      </c>
      <c r="B21" s="33" t="str">
        <f>IF(AND(ISNUMBER(MATCH(H21, 'Processed Non-zero TRI Data'!$I$2:$I$23, FALSE)),ISNUMBER(MATCH(I21, 'Processed Non-zero DMR Data'!$K:$K, FALSE))),"Both TRI Form "&amp; VLOOKUP(H21, 'Processed Non-zero TRI Data'!$I$2:$K$23, 3, FALSE)&amp; " &amp; DMR", IFERROR("Only TRI Form "&amp; VLOOKUP(H21, 'Processed Non-zero TRI Data'!$I$2:$K$23, 3, FALSE), "Only DMR"))</f>
        <v>Only DMR</v>
      </c>
      <c r="C21" s="34" t="s">
        <v>390</v>
      </c>
      <c r="D21" s="34" t="s">
        <v>391</v>
      </c>
      <c r="E21" s="34" t="s">
        <v>181</v>
      </c>
      <c r="F21" s="34">
        <v>45.145420000000001</v>
      </c>
      <c r="G21" s="34">
        <v>-84.660679999999999</v>
      </c>
      <c r="H21" s="34"/>
      <c r="I21" s="105">
        <v>110000412296</v>
      </c>
      <c r="J21" s="33">
        <f>IF(OR($H21="",$H21="Yes"), VLOOKUP($I21, 'Processed Non-zero DMR Data'!$K:$V, 10, FALSE),"")</f>
        <v>0.26100981499999998</v>
      </c>
      <c r="K21" s="33" t="str">
        <f>IFERROR(VLOOKUP($H21, 'Processed Non-zero TRI Data'!$I:$M, 5, 0), VLOOKUP($I21, 'Processed Non-zero DMR Data'!$K:$M, 3, FALSE))</f>
        <v>Special Trade Contractors, Nec</v>
      </c>
      <c r="L21" s="33" t="str">
        <f>IFERROR(VLOOKUP($H21, 'Processed Non-zero TRI Data'!I:P, 8, 0), "Direct")</f>
        <v>Direct</v>
      </c>
      <c r="M21" s="33" t="str">
        <f>VLOOKUP($N21, 'COU.OES Summary'!C:D, 2, FALSE)</f>
        <v> </v>
      </c>
      <c r="N21" s="33" t="str">
        <f>IFERROR(VLOOKUP($H21, 'Processed Non-zero TRI Data'!$I:$O, 7, FALSE), VLOOKUP($I21, 'Processed Non-zero DMR Data'!$K:$R, 8, FALSE))</f>
        <v>Waste handling, treatment, and disposal - Remediation or Monitoring</v>
      </c>
      <c r="O21" s="33" t="s">
        <v>710</v>
      </c>
      <c r="P21" s="33">
        <f>VLOOKUP($N21, 'COU.OES Summary'!C:E, 3, FALSE)</f>
        <v>365</v>
      </c>
    </row>
    <row r="22" spans="1:16" ht="29" x14ac:dyDescent="0.35">
      <c r="A22" s="34">
        <v>21</v>
      </c>
      <c r="B22" s="33" t="str">
        <f>IF(AND(ISNUMBER(MATCH(H22, 'Processed Non-zero TRI Data'!$I$2:$I$23, FALSE)),ISNUMBER(MATCH(I22, 'Processed Non-zero DMR Data'!$K:$K, FALSE))),"Both TRI Form "&amp; VLOOKUP(H22, 'Processed Non-zero TRI Data'!$I$2:$K$23, 3, FALSE)&amp; " &amp; DMR", IFERROR("Only TRI Form "&amp; VLOOKUP(H22, 'Processed Non-zero TRI Data'!$I$2:$K$23, 3, FALSE), "Only DMR"))</f>
        <v>Only DMR</v>
      </c>
      <c r="C22" s="34" t="s">
        <v>351</v>
      </c>
      <c r="D22" s="34" t="s">
        <v>352</v>
      </c>
      <c r="E22" s="34" t="s">
        <v>111</v>
      </c>
      <c r="F22" s="34">
        <v>41.441667000000002</v>
      </c>
      <c r="G22" s="34">
        <v>-88.159719999999993</v>
      </c>
      <c r="H22" s="34"/>
      <c r="I22" s="105">
        <v>110000432504</v>
      </c>
      <c r="J22" s="33">
        <f>IF(OR($H22="",$H22="Yes"), VLOOKUP($I22, 'Processed Non-zero DMR Data'!$K:$V, 10, FALSE),"")</f>
        <v>0.57930400000000004</v>
      </c>
      <c r="K22" s="33" t="str">
        <f>IFERROR(VLOOKUP($H22, 'Processed Non-zero TRI Data'!$I:$M, 5, 0), VLOOKUP($I22, 'Processed Non-zero DMR Data'!$K:$M, 3, FALSE))</f>
        <v>Surface Active Agents</v>
      </c>
      <c r="L22" s="33" t="str">
        <f>IFERROR(VLOOKUP($H22, 'Processed Non-zero TRI Data'!I:P, 8, 0), "Direct")</f>
        <v>Direct</v>
      </c>
      <c r="M22" s="33" t="str">
        <f>VLOOKUP($N22, 'COU.OES Summary'!C:D, 2, FALSE)</f>
        <v> </v>
      </c>
      <c r="N22" s="33" t="str">
        <f>IFERROR(VLOOKUP($H22, 'Processed Non-zero TRI Data'!$I:$O, 7, FALSE), VLOOKUP($I22, 'Processed Non-zero DMR Data'!$K:$R, 8, FALSE))</f>
        <v>Waste handling, treatment, and disposal - Remediation or Monitoring</v>
      </c>
      <c r="O22" s="33" t="s">
        <v>710</v>
      </c>
      <c r="P22" s="33">
        <f>VLOOKUP($N22, 'COU.OES Summary'!C:E, 3, FALSE)</f>
        <v>365</v>
      </c>
    </row>
    <row r="23" spans="1:16" ht="29" x14ac:dyDescent="0.35">
      <c r="A23" s="34">
        <v>22</v>
      </c>
      <c r="B23" s="33" t="str">
        <f>IF(AND(ISNUMBER(MATCH(H23, 'Processed Non-zero TRI Data'!$I$2:$I$23, FALSE)),ISNUMBER(MATCH(I23, 'Processed Non-zero DMR Data'!$K:$K, FALSE))),"Both TRI Form "&amp; VLOOKUP(H23, 'Processed Non-zero TRI Data'!$I$2:$K$23, 3, FALSE)&amp; " &amp; DMR", IFERROR("Only TRI Form "&amp; VLOOKUP(H23, 'Processed Non-zero TRI Data'!$I$2:$K$23, 3, FALSE), "Only DMR"))</f>
        <v>Only DMR</v>
      </c>
      <c r="C23" s="34" t="s">
        <v>259</v>
      </c>
      <c r="D23" s="34" t="s">
        <v>260</v>
      </c>
      <c r="E23" s="34" t="s">
        <v>111</v>
      </c>
      <c r="F23" s="34">
        <v>41.412897000000001</v>
      </c>
      <c r="G23" s="34">
        <v>-88.329773000000003</v>
      </c>
      <c r="H23" s="34"/>
      <c r="I23" s="105">
        <v>110000433013</v>
      </c>
      <c r="J23" s="33">
        <f>IF(OR($H23="",$H23="Yes"), VLOOKUP($I23, 'Processed Non-zero DMR Data'!$K:$V, 10, FALSE),"")</f>
        <v>1.4017704</v>
      </c>
      <c r="K23" s="33" t="str">
        <f>IFERROR(VLOOKUP($H23, 'Processed Non-zero TRI Data'!$I:$M, 5, 0), VLOOKUP($I23, 'Processed Non-zero DMR Data'!$K:$M, 3, FALSE))</f>
        <v>Plastics Materials and Resins</v>
      </c>
      <c r="L23" s="33" t="str">
        <f>IFERROR(VLOOKUP($H23, 'Processed Non-zero TRI Data'!I:P, 8, 0), "Direct")</f>
        <v>Direct</v>
      </c>
      <c r="M23" s="33" t="str">
        <f>VLOOKUP($N23, 'COU.OES Summary'!C:D, 2, FALSE)</f>
        <v> </v>
      </c>
      <c r="N23" s="33" t="str">
        <f>IFERROR(VLOOKUP($H23, 'Processed Non-zero TRI Data'!$I:$O, 7, FALSE), VLOOKUP($I23, 'Processed Non-zero DMR Data'!$K:$R, 8, FALSE))</f>
        <v>Waste handling, treatment, and disposal - Remediation or Monitoring</v>
      </c>
      <c r="O23" s="33" t="s">
        <v>710</v>
      </c>
      <c r="P23" s="33">
        <f>VLOOKUP($N23, 'COU.OES Summary'!C:E, 3, FALSE)</f>
        <v>365</v>
      </c>
    </row>
    <row r="24" spans="1:16" ht="29" x14ac:dyDescent="0.35">
      <c r="A24" s="34">
        <v>23</v>
      </c>
      <c r="B24" s="33" t="str">
        <f>IF(AND(ISNUMBER(MATCH(H24, 'Processed Non-zero TRI Data'!$I$2:$I$23, FALSE)),ISNUMBER(MATCH(I24, 'Processed Non-zero DMR Data'!$K:$K, FALSE))),"Both TRI Form "&amp; VLOOKUP(H24, 'Processed Non-zero TRI Data'!$I$2:$K$23, 3, FALSE)&amp; " &amp; DMR", IFERROR("Only TRI Form "&amp; VLOOKUP(H24, 'Processed Non-zero TRI Data'!$I$2:$K$23, 3, FALSE), "Only DMR"))</f>
        <v>Only DMR</v>
      </c>
      <c r="C24" s="34" t="s">
        <v>407</v>
      </c>
      <c r="D24" s="34" t="s">
        <v>260</v>
      </c>
      <c r="E24" s="34" t="s">
        <v>111</v>
      </c>
      <c r="F24" s="34">
        <v>41.305320000000002</v>
      </c>
      <c r="G24" s="34">
        <v>-88.561769999999996</v>
      </c>
      <c r="H24" s="34"/>
      <c r="I24" s="105">
        <v>110000433022</v>
      </c>
      <c r="J24" s="33">
        <f>IF(OR($H24="",$H24="Yes"), VLOOKUP($I24, 'Processed Non-zero DMR Data'!$K:$V, 10, FALSE),"")</f>
        <v>6.4544044999999994E-2</v>
      </c>
      <c r="K24" s="33" t="str">
        <f>IFERROR(VLOOKUP($H24, 'Processed Non-zero TRI Data'!$I:$M, 5, 0), VLOOKUP($I24, 'Processed Non-zero DMR Data'!$K:$M, 3, FALSE))</f>
        <v>Plastics Materials and Resins</v>
      </c>
      <c r="L24" s="33" t="str">
        <f>IFERROR(VLOOKUP($H24, 'Processed Non-zero TRI Data'!I:P, 8, 0), "Direct")</f>
        <v>Direct</v>
      </c>
      <c r="M24" s="33" t="str">
        <f>VLOOKUP($N24, 'COU.OES Summary'!C:D, 2, FALSE)</f>
        <v> </v>
      </c>
      <c r="N24" s="33" t="str">
        <f>IFERROR(VLOOKUP($H24, 'Processed Non-zero TRI Data'!$I:$O, 7, FALSE), VLOOKUP($I24, 'Processed Non-zero DMR Data'!$K:$R, 8, FALSE))</f>
        <v>Waste handling, treatment, and disposal - Remediation or Monitoring</v>
      </c>
      <c r="O24" s="33" t="s">
        <v>710</v>
      </c>
      <c r="P24" s="33">
        <f>VLOOKUP($N24, 'COU.OES Summary'!C:E, 3, FALSE)</f>
        <v>365</v>
      </c>
    </row>
    <row r="25" spans="1:16" ht="29" x14ac:dyDescent="0.35">
      <c r="A25" s="34">
        <v>24</v>
      </c>
      <c r="B25" s="33" t="str">
        <f>IF(AND(ISNUMBER(MATCH(H25, 'Processed Non-zero TRI Data'!$I$2:$I$23, FALSE)),ISNUMBER(MATCH(I25, 'Processed Non-zero DMR Data'!$K:$K, FALSE))),"Both TRI Form "&amp; VLOOKUP(H25, 'Processed Non-zero TRI Data'!$I$2:$K$23, 3, FALSE)&amp; " &amp; DMR", IFERROR("Only TRI Form "&amp; VLOOKUP(H25, 'Processed Non-zero TRI Data'!$I$2:$K$23, 3, FALSE), "Only DMR"))</f>
        <v>Only DMR</v>
      </c>
      <c r="C25" s="34" t="s">
        <v>198</v>
      </c>
      <c r="D25" s="34" t="s">
        <v>199</v>
      </c>
      <c r="E25" s="34" t="s">
        <v>129</v>
      </c>
      <c r="F25" s="34">
        <v>38.209220000000002</v>
      </c>
      <c r="G25" s="34">
        <v>-90.476910000000004</v>
      </c>
      <c r="H25" s="34"/>
      <c r="I25" s="105">
        <v>110000440416</v>
      </c>
      <c r="J25" s="33">
        <f>IF(OR($H25="",$H25="Yes"), VLOOKUP($I25, 'Processed Non-zero DMR Data'!$K:$V, 10, FALSE),"")</f>
        <v>6.4206455336149997</v>
      </c>
      <c r="K25" s="33" t="str">
        <f>IFERROR(VLOOKUP($H25, 'Processed Non-zero TRI Data'!$I:$M, 5, 0), VLOOKUP($I25, 'Processed Non-zero DMR Data'!$K:$M, 3, FALSE))</f>
        <v>Wrecking and Demolition Work</v>
      </c>
      <c r="L25" s="33" t="str">
        <f>IFERROR(VLOOKUP($H25, 'Processed Non-zero TRI Data'!I:P, 8, 0), "Direct")</f>
        <v>Direct</v>
      </c>
      <c r="M25" s="33" t="str">
        <f>VLOOKUP($N25, 'COU.OES Summary'!C:D, 2, FALSE)</f>
        <v> </v>
      </c>
      <c r="N25" s="33" t="str">
        <f>IFERROR(VLOOKUP($H25, 'Processed Non-zero TRI Data'!$I:$O, 7, FALSE), VLOOKUP($I25, 'Processed Non-zero DMR Data'!$K:$R, 8, FALSE))</f>
        <v>Waste handling, treatment, and disposal - Remediation or Monitoring</v>
      </c>
      <c r="O25" s="33" t="s">
        <v>710</v>
      </c>
      <c r="P25" s="33">
        <f>VLOOKUP($N25, 'COU.OES Summary'!C:E, 3, FALSE)</f>
        <v>365</v>
      </c>
    </row>
    <row r="26" spans="1:16" ht="29" x14ac:dyDescent="0.35">
      <c r="A26" s="34">
        <v>25</v>
      </c>
      <c r="B26" s="33" t="str">
        <f>IF(AND(ISNUMBER(MATCH(H26, 'Processed Non-zero TRI Data'!$I$2:$I$23, FALSE)),ISNUMBER(MATCH(I26, 'Processed Non-zero DMR Data'!$K:$K, FALSE))),"Both TRI Form "&amp; VLOOKUP(H26, 'Processed Non-zero TRI Data'!$I$2:$K$23, 3, FALSE)&amp; " &amp; DMR", IFERROR("Only TRI Form "&amp; VLOOKUP(H26, 'Processed Non-zero TRI Data'!$I$2:$K$23, 3, FALSE), "Only DMR"))</f>
        <v>Only DMR</v>
      </c>
      <c r="C26" s="34" t="s">
        <v>157</v>
      </c>
      <c r="D26" s="34" t="s">
        <v>158</v>
      </c>
      <c r="E26" s="34" t="s">
        <v>129</v>
      </c>
      <c r="F26" s="34">
        <v>38.969749999999998</v>
      </c>
      <c r="G26" s="34">
        <v>-94.465860000000006</v>
      </c>
      <c r="H26" s="34"/>
      <c r="I26" s="105">
        <v>110000443226</v>
      </c>
      <c r="J26" s="33">
        <f>IF(OR($H26="",$H26="Yes"), VLOOKUP($I26, 'Processed Non-zero DMR Data'!$K:$V, 10, FALSE),"")</f>
        <v>3.3142</v>
      </c>
      <c r="K26" s="33" t="str">
        <f>IFERROR(VLOOKUP($H26, 'Processed Non-zero TRI Data'!$I:$M, 5, 0), VLOOKUP($I26, 'Processed Non-zero DMR Data'!$K:$M, 3, FALSE))</f>
        <v>Agricultural Chemicals, Nec</v>
      </c>
      <c r="L26" s="33" t="str">
        <f>IFERROR(VLOOKUP($H26, 'Processed Non-zero TRI Data'!I:P, 8, 0), "Direct")</f>
        <v>Direct</v>
      </c>
      <c r="M26" s="33" t="str">
        <f>VLOOKUP($N26, 'COU.OES Summary'!C:D, 2, FALSE)</f>
        <v> </v>
      </c>
      <c r="N26" s="33" t="str">
        <f>IFERROR(VLOOKUP($H26, 'Processed Non-zero TRI Data'!$I:$O, 7, FALSE), VLOOKUP($I26, 'Processed Non-zero DMR Data'!$K:$R, 8, FALSE))</f>
        <v>Waste handling, treatment, and disposal - Remediation or Monitoring</v>
      </c>
      <c r="O26" s="33" t="s">
        <v>710</v>
      </c>
      <c r="P26" s="33">
        <f>VLOOKUP($N26, 'COU.OES Summary'!C:E, 3, FALSE)</f>
        <v>365</v>
      </c>
    </row>
    <row r="27" spans="1:16" ht="29" x14ac:dyDescent="0.35">
      <c r="A27" s="34">
        <v>26</v>
      </c>
      <c r="B27" s="33" t="str">
        <f>IF(AND(ISNUMBER(MATCH(H27, 'Processed Non-zero TRI Data'!$I$2:$I$23, FALSE)),ISNUMBER(MATCH(I27, 'Processed Non-zero DMR Data'!$K:$K, FALSE))),"Both TRI Form "&amp; VLOOKUP(H27, 'Processed Non-zero TRI Data'!$I$2:$K$23, 3, FALSE)&amp; " &amp; DMR", IFERROR("Only TRI Form "&amp; VLOOKUP(H27, 'Processed Non-zero TRI Data'!$I$2:$K$23, 3, FALSE), "Only DMR"))</f>
        <v>Only DMR</v>
      </c>
      <c r="C27" s="34" t="s">
        <v>692</v>
      </c>
      <c r="D27" s="34" t="s">
        <v>693</v>
      </c>
      <c r="E27" s="34" t="s">
        <v>91</v>
      </c>
      <c r="F27" s="34">
        <v>30.230833000000001</v>
      </c>
      <c r="G27" s="34">
        <v>-92.306667000000004</v>
      </c>
      <c r="H27" s="34"/>
      <c r="I27" s="105">
        <v>110000449435</v>
      </c>
      <c r="J27" s="33">
        <f>IF(OR($H27="",$H27="Yes"), VLOOKUP($I27, 'Processed Non-zero DMR Data'!$K:$V, 10, FALSE),"")</f>
        <v>3.454191E-4</v>
      </c>
      <c r="K27" s="33" t="str">
        <f>IFERROR(VLOOKUP($H27, 'Processed Non-zero TRI Data'!$I:$M, 5, 0), VLOOKUP($I27, 'Processed Non-zero DMR Data'!$K:$M, 3, FALSE))</f>
        <v>Chemicals and Allied Products, Nec</v>
      </c>
      <c r="L27" s="33" t="str">
        <f>IFERROR(VLOOKUP($H27, 'Processed Non-zero TRI Data'!I:P, 8, 0), "Direct")</f>
        <v>Direct</v>
      </c>
      <c r="M27" s="33" t="str">
        <f>VLOOKUP($N27, 'COU.OES Summary'!C:D, 2, FALSE)</f>
        <v> </v>
      </c>
      <c r="N27" s="33" t="str">
        <f>IFERROR(VLOOKUP($H27, 'Processed Non-zero TRI Data'!$I:$O, 7, FALSE), VLOOKUP($I27, 'Processed Non-zero DMR Data'!$K:$R, 8, FALSE))</f>
        <v>Waste handling, treatment, and disposal - Remediation or Monitoring</v>
      </c>
      <c r="O27" s="33" t="s">
        <v>710</v>
      </c>
      <c r="P27" s="33">
        <f>VLOOKUP($N27, 'COU.OES Summary'!C:E, 3, FALSE)</f>
        <v>365</v>
      </c>
    </row>
    <row r="28" spans="1:16" ht="29" x14ac:dyDescent="0.35">
      <c r="A28" s="34">
        <v>27</v>
      </c>
      <c r="B28" s="33" t="str">
        <f>IF(AND(ISNUMBER(MATCH(H28, 'Processed Non-zero TRI Data'!$I$2:$I$23, FALSE)),ISNUMBER(MATCH(I28, 'Processed Non-zero DMR Data'!$K:$K, FALSE))),"Both TRI Form "&amp; VLOOKUP(H28, 'Processed Non-zero TRI Data'!$I$2:$K$23, 3, FALSE)&amp; " &amp; DMR", IFERROR("Only TRI Form "&amp; VLOOKUP(H28, 'Processed Non-zero TRI Data'!$I$2:$K$23, 3, FALSE), "Only DMR"))</f>
        <v>Only DMR</v>
      </c>
      <c r="C28" s="34" t="s">
        <v>488</v>
      </c>
      <c r="D28" s="34" t="s">
        <v>489</v>
      </c>
      <c r="E28" s="34" t="s">
        <v>202</v>
      </c>
      <c r="F28" s="34">
        <v>35.136057000000001</v>
      </c>
      <c r="G28" s="34">
        <v>-90.096892999999994</v>
      </c>
      <c r="H28" s="34"/>
      <c r="I28" s="105">
        <v>110000452082</v>
      </c>
      <c r="J28" s="33">
        <f>IF(OR($H28="",$H28="Yes"), VLOOKUP($I28, 'Processed Non-zero DMR Data'!$K:$V, 10, FALSE),"")</f>
        <v>3.10309E-2</v>
      </c>
      <c r="K28" s="33" t="str">
        <f>IFERROR(VLOOKUP($H28, 'Processed Non-zero TRI Data'!$I:$M, 5, 0), VLOOKUP($I28, 'Processed Non-zero DMR Data'!$K:$M, 3, FALSE))</f>
        <v>Industrial Organic Chemicals, Nec</v>
      </c>
      <c r="L28" s="33" t="str">
        <f>IFERROR(VLOOKUP($H28, 'Processed Non-zero TRI Data'!I:P, 8, 0), "Direct")</f>
        <v>Direct</v>
      </c>
      <c r="M28" s="33" t="str">
        <f>VLOOKUP($N28, 'COU.OES Summary'!C:D, 2, FALSE)</f>
        <v> </v>
      </c>
      <c r="N28" s="33" t="str">
        <f>IFERROR(VLOOKUP($H28, 'Processed Non-zero TRI Data'!$I:$O, 7, FALSE), VLOOKUP($I28, 'Processed Non-zero DMR Data'!$K:$R, 8, FALSE))</f>
        <v>Waste handling, treatment, and disposal - Remediation or Monitoring</v>
      </c>
      <c r="O28" s="33" t="s">
        <v>710</v>
      </c>
      <c r="P28" s="33">
        <f>VLOOKUP($N28, 'COU.OES Summary'!C:E, 3, FALSE)</f>
        <v>365</v>
      </c>
    </row>
    <row r="29" spans="1:16" ht="29" x14ac:dyDescent="0.35">
      <c r="A29" s="34">
        <v>28</v>
      </c>
      <c r="B29" s="33" t="str">
        <f>IF(AND(ISNUMBER(MATCH(H29, 'Processed Non-zero TRI Data'!$I$2:$I$23, FALSE)),ISNUMBER(MATCH(I29, 'Processed Non-zero DMR Data'!$K:$K, FALSE))),"Both TRI Form "&amp; VLOOKUP(H29, 'Processed Non-zero TRI Data'!$I$2:$K$23, 3, FALSE)&amp; " &amp; DMR", IFERROR("Only TRI Form "&amp; VLOOKUP(H29, 'Processed Non-zero TRI Data'!$I$2:$K$23, 3, FALSE), "Only DMR"))</f>
        <v>Only DMR</v>
      </c>
      <c r="C29" s="34" t="s">
        <v>146</v>
      </c>
      <c r="D29" s="34" t="s">
        <v>94</v>
      </c>
      <c r="E29" s="34" t="s">
        <v>95</v>
      </c>
      <c r="F29" s="34">
        <v>29.718139000000001</v>
      </c>
      <c r="G29" s="34">
        <v>-95.268749999999997</v>
      </c>
      <c r="H29" s="34"/>
      <c r="I29" s="105">
        <v>110000460901</v>
      </c>
      <c r="J29" s="33">
        <f>IF(OR($H29="",$H29="Yes"), VLOOKUP($I29, 'Processed Non-zero DMR Data'!$K:$V, 10, FALSE),"")</f>
        <v>33.773060000000001</v>
      </c>
      <c r="K29" s="33" t="str">
        <f>IFERROR(VLOOKUP($H29, 'Processed Non-zero TRI Data'!$I:$M, 5, 0), VLOOKUP($I29, 'Processed Non-zero DMR Data'!$K:$M, 3, FALSE))</f>
        <v>Industrial Inorganic Chemicals, Nec</v>
      </c>
      <c r="L29" s="33" t="str">
        <f>IFERROR(VLOOKUP($H29, 'Processed Non-zero TRI Data'!I:P, 8, 0), "Direct")</f>
        <v>Direct</v>
      </c>
      <c r="M29" s="33" t="str">
        <f>VLOOKUP($N29, 'COU.OES Summary'!C:D, 2, FALSE)</f>
        <v> </v>
      </c>
      <c r="N29" s="33" t="str">
        <f>IFERROR(VLOOKUP($H29, 'Processed Non-zero TRI Data'!$I:$O, 7, FALSE), VLOOKUP($I29, 'Processed Non-zero DMR Data'!$K:$R, 8, FALSE))</f>
        <v>Waste handling, treatment, and disposal - Remediation or Monitoring</v>
      </c>
      <c r="O29" s="33" t="s">
        <v>710</v>
      </c>
      <c r="P29" s="33">
        <f>VLOOKUP($N29, 'COU.OES Summary'!C:E, 3, FALSE)</f>
        <v>365</v>
      </c>
    </row>
    <row r="30" spans="1:16" ht="29" x14ac:dyDescent="0.35">
      <c r="A30" s="34">
        <v>29</v>
      </c>
      <c r="B30" s="33" t="str">
        <f>IF(AND(ISNUMBER(MATCH(H30, 'Processed Non-zero TRI Data'!$I$2:$I$23, FALSE)),ISNUMBER(MATCH(I30, 'Processed Non-zero DMR Data'!$K:$K, FALSE))),"Both TRI Form "&amp; VLOOKUP(H30, 'Processed Non-zero TRI Data'!$I$2:$K$23, 3, FALSE)&amp; " &amp; DMR", IFERROR("Only TRI Form "&amp; VLOOKUP(H30, 'Processed Non-zero TRI Data'!$I$2:$K$23, 3, FALSE), "Only DMR"))</f>
        <v>Only DMR</v>
      </c>
      <c r="C30" s="34" t="s">
        <v>367</v>
      </c>
      <c r="D30" s="34" t="s">
        <v>94</v>
      </c>
      <c r="E30" s="34" t="s">
        <v>95</v>
      </c>
      <c r="F30" s="34">
        <v>29.75487</v>
      </c>
      <c r="G30" s="34">
        <v>-95.103269999999995</v>
      </c>
      <c r="H30" s="34"/>
      <c r="I30" s="105">
        <v>110000460983</v>
      </c>
      <c r="J30" s="33">
        <f>IF(OR($H30="",$H30="Yes"), VLOOKUP($I30, 'Processed Non-zero DMR Data'!$K:$V, 10, FALSE),"")</f>
        <v>0.1110257</v>
      </c>
      <c r="K30" s="33" t="str">
        <f>IFERROR(VLOOKUP($H30, 'Processed Non-zero TRI Data'!$I:$M, 5, 0), VLOOKUP($I30, 'Processed Non-zero DMR Data'!$K:$M, 3, FALSE))</f>
        <v>Industrial Organic Chemicals, Nec</v>
      </c>
      <c r="L30" s="33" t="str">
        <f>IFERROR(VLOOKUP($H30, 'Processed Non-zero TRI Data'!I:P, 8, 0), "Direct")</f>
        <v>Direct</v>
      </c>
      <c r="M30" s="33" t="str">
        <f>VLOOKUP($N30, 'COU.OES Summary'!C:D, 2, FALSE)</f>
        <v> </v>
      </c>
      <c r="N30" s="33" t="str">
        <f>IFERROR(VLOOKUP($H30, 'Processed Non-zero TRI Data'!$I:$O, 7, FALSE), VLOOKUP($I30, 'Processed Non-zero DMR Data'!$K:$R, 8, FALSE))</f>
        <v>Waste handling, treatment, and disposal - Remediation or Monitoring</v>
      </c>
      <c r="O30" s="33" t="s">
        <v>710</v>
      </c>
      <c r="P30" s="33">
        <f>VLOOKUP($N30, 'COU.OES Summary'!C:E, 3, FALSE)</f>
        <v>365</v>
      </c>
    </row>
    <row r="31" spans="1:16" ht="29" x14ac:dyDescent="0.35">
      <c r="A31" s="34">
        <v>30</v>
      </c>
      <c r="B31" s="33" t="str">
        <f>IF(AND(ISNUMBER(MATCH(H31, 'Processed Non-zero TRI Data'!$I$2:$I$23, FALSE)),ISNUMBER(MATCH(I31, 'Processed Non-zero DMR Data'!$K:$K, FALSE))),"Both TRI Form "&amp; VLOOKUP(H31, 'Processed Non-zero TRI Data'!$I$2:$K$23, 3, FALSE)&amp; " &amp; DMR", IFERROR("Only TRI Form "&amp; VLOOKUP(H31, 'Processed Non-zero TRI Data'!$I$2:$K$23, 3, FALSE), "Only DMR"))</f>
        <v>Only DMR</v>
      </c>
      <c r="C31" s="34" t="s">
        <v>532</v>
      </c>
      <c r="D31" s="34" t="s">
        <v>94</v>
      </c>
      <c r="E31" s="34" t="s">
        <v>95</v>
      </c>
      <c r="F31" s="34">
        <v>29.706247999999999</v>
      </c>
      <c r="G31" s="34">
        <v>-95.251079000000004</v>
      </c>
      <c r="H31" s="34"/>
      <c r="I31" s="105">
        <v>110000461107</v>
      </c>
      <c r="J31" s="33">
        <f>IF(OR($H31="",$H31="Yes"), VLOOKUP($I31, 'Processed Non-zero DMR Data'!$K:$V, 10, FALSE),"")</f>
        <v>3.3141999999999998E-2</v>
      </c>
      <c r="K31" s="33" t="str">
        <f>IFERROR(VLOOKUP($H31, 'Processed Non-zero TRI Data'!$I:$M, 5, 0), VLOOKUP($I31, 'Processed Non-zero DMR Data'!$K:$M, 3, FALSE))</f>
        <v>Industrial Organic Chemicals, Nec</v>
      </c>
      <c r="L31" s="33" t="str">
        <f>IFERROR(VLOOKUP($H31, 'Processed Non-zero TRI Data'!I:P, 8, 0), "Direct")</f>
        <v>Direct</v>
      </c>
      <c r="M31" s="33" t="str">
        <f>VLOOKUP($N31, 'COU.OES Summary'!C:D, 2, FALSE)</f>
        <v> </v>
      </c>
      <c r="N31" s="33" t="str">
        <f>IFERROR(VLOOKUP($H31, 'Processed Non-zero TRI Data'!$I:$O, 7, FALSE), VLOOKUP($I31, 'Processed Non-zero DMR Data'!$K:$R, 8, FALSE))</f>
        <v>Waste handling, treatment, and disposal - Remediation or Monitoring</v>
      </c>
      <c r="O31" s="33" t="s">
        <v>710</v>
      </c>
      <c r="P31" s="33">
        <f>VLOOKUP($N31, 'COU.OES Summary'!C:E, 3, FALSE)</f>
        <v>365</v>
      </c>
    </row>
    <row r="32" spans="1:16" ht="29" x14ac:dyDescent="0.35">
      <c r="A32" s="34">
        <v>31</v>
      </c>
      <c r="B32" s="33" t="str">
        <f>IF(AND(ISNUMBER(MATCH(H32, 'Processed Non-zero TRI Data'!$I$2:$I$23, FALSE)),ISNUMBER(MATCH(I32, 'Processed Non-zero DMR Data'!$K:$K, FALSE))),"Both TRI Form "&amp; VLOOKUP(H32, 'Processed Non-zero TRI Data'!$I$2:$K$23, 3, FALSE)&amp; " &amp; DMR", IFERROR("Only TRI Form "&amp; VLOOKUP(H32, 'Processed Non-zero TRI Data'!$I$2:$K$23, 3, FALSE), "Only DMR"))</f>
        <v>Only DMR</v>
      </c>
      <c r="C32" s="34" t="s">
        <v>453</v>
      </c>
      <c r="D32" s="34" t="s">
        <v>421</v>
      </c>
      <c r="E32" s="34" t="s">
        <v>95</v>
      </c>
      <c r="F32" s="34">
        <v>29.704027</v>
      </c>
      <c r="G32" s="34">
        <v>-95.079931999999999</v>
      </c>
      <c r="H32" s="34"/>
      <c r="I32" s="105">
        <v>110000463631</v>
      </c>
      <c r="J32" s="33">
        <f>IF(OR($H32="",$H32="Yes"), VLOOKUP($I32, 'Processed Non-zero DMR Data'!$K:$V, 10, FALSE),"")</f>
        <v>0.1110257</v>
      </c>
      <c r="K32" s="33" t="str">
        <f>IFERROR(VLOOKUP($H32, 'Processed Non-zero TRI Data'!$I:$M, 5, 0), VLOOKUP($I32, 'Processed Non-zero DMR Data'!$K:$M, 3, FALSE))</f>
        <v>Plastics Materials and Resins</v>
      </c>
      <c r="L32" s="33" t="str">
        <f>IFERROR(VLOOKUP($H32, 'Processed Non-zero TRI Data'!I:P, 8, 0), "Direct")</f>
        <v>Direct</v>
      </c>
      <c r="M32" s="33" t="str">
        <f>VLOOKUP($N32, 'COU.OES Summary'!C:D, 2, FALSE)</f>
        <v> </v>
      </c>
      <c r="N32" s="33" t="str">
        <f>IFERROR(VLOOKUP($H32, 'Processed Non-zero TRI Data'!$I:$O, 7, FALSE), VLOOKUP($I32, 'Processed Non-zero DMR Data'!$K:$R, 8, FALSE))</f>
        <v>Waste handling, treatment, and disposal - Remediation or Monitoring</v>
      </c>
      <c r="O32" s="33" t="s">
        <v>710</v>
      </c>
      <c r="P32" s="33">
        <f>VLOOKUP($N32, 'COU.OES Summary'!C:E, 3, FALSE)</f>
        <v>365</v>
      </c>
    </row>
    <row r="33" spans="1:16" ht="29" x14ac:dyDescent="0.35">
      <c r="A33" s="34">
        <v>32</v>
      </c>
      <c r="B33" s="33" t="str">
        <f>IF(AND(ISNUMBER(MATCH(H33, 'Processed Non-zero TRI Data'!$I$2:$I$23, FALSE)),ISNUMBER(MATCH(I33, 'Processed Non-zero DMR Data'!$K:$K, FALSE))),"Both TRI Form "&amp; VLOOKUP(H33, 'Processed Non-zero TRI Data'!$I$2:$K$23, 3, FALSE)&amp; " &amp; DMR", IFERROR("Only TRI Form "&amp; VLOOKUP(H33, 'Processed Non-zero TRI Data'!$I$2:$K$23, 3, FALSE), "Only DMR"))</f>
        <v>Only DMR</v>
      </c>
      <c r="C33" s="34" t="s">
        <v>649</v>
      </c>
      <c r="D33" s="34" t="s">
        <v>421</v>
      </c>
      <c r="E33" s="34" t="s">
        <v>95</v>
      </c>
      <c r="F33" s="34">
        <v>29.726065999999999</v>
      </c>
      <c r="G33" s="34">
        <v>-95.079583999999997</v>
      </c>
      <c r="H33" s="34"/>
      <c r="I33" s="105">
        <v>110000463677</v>
      </c>
      <c r="J33" s="33">
        <f>IF(OR($H33="",$H33="Yes"), VLOOKUP($I33, 'Processed Non-zero DMR Data'!$K:$V, 10, FALSE),"")</f>
        <v>1.6405289999999999E-3</v>
      </c>
      <c r="K33" s="33" t="str">
        <f>IFERROR(VLOOKUP($H33, 'Processed Non-zero TRI Data'!$I:$M, 5, 0), VLOOKUP($I33, 'Processed Non-zero DMR Data'!$K:$M, 3, FALSE))</f>
        <v>Plastics Materials and Resins</v>
      </c>
      <c r="L33" s="33" t="str">
        <f>IFERROR(VLOOKUP($H33, 'Processed Non-zero TRI Data'!I:P, 8, 0), "Direct")</f>
        <v>Direct</v>
      </c>
      <c r="M33" s="33" t="str">
        <f>VLOOKUP($N33, 'COU.OES Summary'!C:D, 2, FALSE)</f>
        <v> </v>
      </c>
      <c r="N33" s="33" t="str">
        <f>IFERROR(VLOOKUP($H33, 'Processed Non-zero TRI Data'!$I:$O, 7, FALSE), VLOOKUP($I33, 'Processed Non-zero DMR Data'!$K:$R, 8, FALSE))</f>
        <v>Waste handling, treatment, and disposal - Remediation or Monitoring</v>
      </c>
      <c r="O33" s="33" t="s">
        <v>710</v>
      </c>
      <c r="P33" s="33">
        <f>VLOOKUP($N33, 'COU.OES Summary'!C:E, 3, FALSE)</f>
        <v>365</v>
      </c>
    </row>
    <row r="34" spans="1:16" ht="29" x14ac:dyDescent="0.35">
      <c r="A34" s="34">
        <v>33</v>
      </c>
      <c r="B34" s="33" t="str">
        <f>IF(AND(ISNUMBER(MATCH(H34, 'Processed Non-zero TRI Data'!$I$2:$I$23, FALSE)),ISNUMBER(MATCH(I34, 'Processed Non-zero DMR Data'!$K:$K, FALSE))),"Both TRI Form "&amp; VLOOKUP(H34, 'Processed Non-zero TRI Data'!$I$2:$K$23, 3, FALSE)&amp; " &amp; DMR", IFERROR("Only TRI Form "&amp; VLOOKUP(H34, 'Processed Non-zero TRI Data'!$I$2:$K$23, 3, FALSE), "Only DMR"))</f>
        <v>Only TRI Form R</v>
      </c>
      <c r="C34" s="34" t="s">
        <v>100</v>
      </c>
      <c r="D34" s="34" t="s">
        <v>101</v>
      </c>
      <c r="E34" s="34" t="s">
        <v>102</v>
      </c>
      <c r="F34" s="34">
        <v>33.119149999999998</v>
      </c>
      <c r="G34" s="34">
        <v>-117.28344</v>
      </c>
      <c r="H34" s="34" t="s">
        <v>103</v>
      </c>
      <c r="I34" s="105">
        <v>110000478509</v>
      </c>
      <c r="J34" s="33" t="str">
        <f>IF(OR($H34="",$H34="Yes"), VLOOKUP($I34, 'Processed Non-zero DMR Data'!$K:$V, 10, FALSE),"")</f>
        <v/>
      </c>
      <c r="K34" s="33" t="str">
        <f>IFERROR(VLOOKUP($H34, 'Processed Non-zero TRI Data'!$I:$M, 5, 0), VLOOKUP($I34, 'Processed Non-zero DMR Data'!$K:$M, 3, FALSE))</f>
        <v>All Other Miscellaneous Chemical Product and Preparation Manufacturing</v>
      </c>
      <c r="L34" s="33" t="str">
        <f>IFERROR(VLOOKUP($H34, 'Processed Non-zero TRI Data'!I:P, 8, 0), "Direct")</f>
        <v>Indirect</v>
      </c>
      <c r="M34" s="33" t="str">
        <f>VLOOKUP($N34, 'COU.OES Summary'!C:D, 2, FALSE)</f>
        <v> </v>
      </c>
      <c r="N34" s="33" t="str">
        <f>IFERROR(VLOOKUP($H34, 'Processed Non-zero TRI Data'!$I:$O, 7, FALSE), VLOOKUP($I34, 'Processed Non-zero DMR Data'!$K:$R, 8, FALSE))</f>
        <v>Processing – incorporation into formulation, mixture or reaction product</v>
      </c>
      <c r="O34" s="33" t="s">
        <v>710</v>
      </c>
      <c r="P34" s="33">
        <f>VLOOKUP($N34, 'COU.OES Summary'!C:E, 3, FALSE)</f>
        <v>250</v>
      </c>
    </row>
    <row r="35" spans="1:16" ht="29" x14ac:dyDescent="0.35">
      <c r="A35" s="34">
        <v>34</v>
      </c>
      <c r="B35" s="33" t="str">
        <f>IF(AND(ISNUMBER(MATCH(H35, 'Processed Non-zero TRI Data'!$I$2:$I$23, FALSE)),ISNUMBER(MATCH(I35, 'Processed Non-zero DMR Data'!$K:$K, FALSE))),"Both TRI Form "&amp; VLOOKUP(H35, 'Processed Non-zero TRI Data'!$I$2:$K$23, 3, FALSE)&amp; " &amp; DMR", IFERROR("Only TRI Form "&amp; VLOOKUP(H35, 'Processed Non-zero TRI Data'!$I$2:$K$23, 3, FALSE), "Only DMR"))</f>
        <v>Only DMR</v>
      </c>
      <c r="C35" s="34" t="s">
        <v>554</v>
      </c>
      <c r="D35" s="34" t="s">
        <v>555</v>
      </c>
      <c r="E35" s="34" t="s">
        <v>102</v>
      </c>
      <c r="F35" s="34">
        <v>37.318058999999998</v>
      </c>
      <c r="G35" s="34">
        <v>-122.09263199999999</v>
      </c>
      <c r="H35" s="34"/>
      <c r="I35" s="105">
        <v>110000484039</v>
      </c>
      <c r="J35" s="33">
        <f>IF(OR($H35="",$H35="Yes"), VLOOKUP($I35, 'Processed Non-zero DMR Data'!$K:$V, 10, FALSE),"")</f>
        <v>2.0888658000000001E-2</v>
      </c>
      <c r="K35" s="33" t="str">
        <f>IFERROR(VLOOKUP($H35, 'Processed Non-zero TRI Data'!$I:$M, 5, 0), VLOOKUP($I35, 'Processed Non-zero DMR Data'!$K:$M, 3, FALSE))</f>
        <v>Cement, Hydraulic</v>
      </c>
      <c r="L35" s="33" t="str">
        <f>IFERROR(VLOOKUP($H35, 'Processed Non-zero TRI Data'!I:P, 8, 0), "Direct")</f>
        <v>Direct</v>
      </c>
      <c r="M35" s="33" t="str">
        <f>VLOOKUP($N35, 'COU.OES Summary'!C:D, 2, FALSE)</f>
        <v> </v>
      </c>
      <c r="N35" s="33" t="str">
        <f>IFERROR(VLOOKUP($H35, 'Processed Non-zero TRI Data'!$I:$O, 7, FALSE), VLOOKUP($I35, 'Processed Non-zero DMR Data'!$K:$R, 8, FALSE))</f>
        <v>Waste handling, treatment, and disposal - Remediation or Monitoring</v>
      </c>
      <c r="O35" s="33" t="s">
        <v>710</v>
      </c>
      <c r="P35" s="33">
        <f>VLOOKUP($N35, 'COU.OES Summary'!C:E, 3, FALSE)</f>
        <v>365</v>
      </c>
    </row>
    <row r="36" spans="1:16" ht="29" x14ac:dyDescent="0.35">
      <c r="A36" s="34">
        <v>35</v>
      </c>
      <c r="B36" s="33" t="str">
        <f>IF(AND(ISNUMBER(MATCH(H36, 'Processed Non-zero TRI Data'!$I$2:$I$23, FALSE)),ISNUMBER(MATCH(I36, 'Processed Non-zero DMR Data'!$K:$K, FALSE))),"Both TRI Form "&amp; VLOOKUP(H36, 'Processed Non-zero TRI Data'!$I$2:$K$23, 3, FALSE)&amp; " &amp; DMR", IFERROR("Only TRI Form "&amp; VLOOKUP(H36, 'Processed Non-zero TRI Data'!$I$2:$K$23, 3, FALSE), "Only DMR"))</f>
        <v>Only DMR</v>
      </c>
      <c r="C36" s="34" t="s">
        <v>655</v>
      </c>
      <c r="D36" s="34" t="s">
        <v>600</v>
      </c>
      <c r="E36" s="34" t="s">
        <v>601</v>
      </c>
      <c r="F36" s="34">
        <v>45.548641000000003</v>
      </c>
      <c r="G36" s="34">
        <v>-122.72292299999999</v>
      </c>
      <c r="H36" s="34"/>
      <c r="I36" s="105">
        <v>110000487447</v>
      </c>
      <c r="J36" s="33">
        <f>IF(OR($H36="",$H36="Yes"), VLOOKUP($I36, 'Processed Non-zero DMR Data'!$K:$V, 10, FALSE),"")</f>
        <v>2.9100837970285698E-3</v>
      </c>
      <c r="K36" s="33" t="str">
        <f>IFERROR(VLOOKUP($H36, 'Processed Non-zero TRI Data'!$I:$M, 5, 0), VLOOKUP($I36, 'Processed Non-zero DMR Data'!$K:$M, 3, FALSE))</f>
        <v>Chemicals and Allied Products, Nec</v>
      </c>
      <c r="L36" s="33" t="str">
        <f>IFERROR(VLOOKUP($H36, 'Processed Non-zero TRI Data'!I:P, 8, 0), "Direct")</f>
        <v>Direct</v>
      </c>
      <c r="M36" s="33" t="str">
        <f>VLOOKUP($N36, 'COU.OES Summary'!C:D, 2, FALSE)</f>
        <v> </v>
      </c>
      <c r="N36" s="33" t="str">
        <f>IFERROR(VLOOKUP($H36, 'Processed Non-zero TRI Data'!$I:$O, 7, FALSE), VLOOKUP($I36, 'Processed Non-zero DMR Data'!$K:$R, 8, FALSE))</f>
        <v>Waste handling, treatment, and disposal - Remediation or Monitoring</v>
      </c>
      <c r="O36" s="33" t="s">
        <v>710</v>
      </c>
      <c r="P36" s="33">
        <f>VLOOKUP($N36, 'COU.OES Summary'!C:E, 3, FALSE)</f>
        <v>365</v>
      </c>
    </row>
    <row r="37" spans="1:16" ht="43.5" x14ac:dyDescent="0.35">
      <c r="A37" s="34">
        <v>36</v>
      </c>
      <c r="B37" s="33" t="str">
        <f>IF(AND(ISNUMBER(MATCH(H37, 'Processed Non-zero TRI Data'!$I$2:$I$23, FALSE)),ISNUMBER(MATCH(I37, 'Processed Non-zero DMR Data'!$K:$K, FALSE))),"Both TRI Form "&amp; VLOOKUP(H37, 'Processed Non-zero TRI Data'!$I$2:$K$23, 3, FALSE)&amp; " &amp; DMR", IFERROR("Only TRI Form "&amp; VLOOKUP(H37, 'Processed Non-zero TRI Data'!$I$2:$K$23, 3, FALSE), "Only DMR"))</f>
        <v>Only DMR</v>
      </c>
      <c r="C37" s="34" t="s">
        <v>599</v>
      </c>
      <c r="D37" s="34" t="s">
        <v>600</v>
      </c>
      <c r="E37" s="34" t="s">
        <v>601</v>
      </c>
      <c r="F37" s="34">
        <v>45.543847</v>
      </c>
      <c r="G37" s="34">
        <v>-122.46656299999999</v>
      </c>
      <c r="H37" s="34"/>
      <c r="I37" s="105">
        <v>110000487633</v>
      </c>
      <c r="J37" s="33">
        <f>IF(OR($H37="",$H37="Yes"), VLOOKUP($I37, 'Processed Non-zero DMR Data'!$K:$V, 10, FALSE),"")</f>
        <v>9.9867679200000004E-3</v>
      </c>
      <c r="K37" s="33" t="str">
        <f>IFERROR(VLOOKUP($H37, 'Processed Non-zero TRI Data'!$I:$M, 5, 0), VLOOKUP($I37, 'Processed Non-zero DMR Data'!$K:$M, 3, FALSE))</f>
        <v>Aircraft Parts and Auxiliary Equipment, NEC (research and development not
producing prototypes)</v>
      </c>
      <c r="L37" s="33" t="str">
        <f>IFERROR(VLOOKUP($H37, 'Processed Non-zero TRI Data'!I:P, 8, 0), "Direct")</f>
        <v>Direct</v>
      </c>
      <c r="M37" s="33" t="str">
        <f>VLOOKUP($N37, 'COU.OES Summary'!C:D, 2, FALSE)</f>
        <v> </v>
      </c>
      <c r="N37" s="33" t="str">
        <f>IFERROR(VLOOKUP($H37, 'Processed Non-zero TRI Data'!$I:$O, 7, FALSE), VLOOKUP($I37, 'Processed Non-zero DMR Data'!$K:$R, 8, FALSE))</f>
        <v>Waste handling, treatment, and disposal - Remediation or Monitoring</v>
      </c>
      <c r="O37" s="33" t="s">
        <v>710</v>
      </c>
      <c r="P37" s="33">
        <f>VLOOKUP($N37, 'COU.OES Summary'!C:E, 3, FALSE)</f>
        <v>365</v>
      </c>
    </row>
    <row r="38" spans="1:16" x14ac:dyDescent="0.35">
      <c r="A38" s="34">
        <v>37</v>
      </c>
      <c r="B38" s="33" t="str">
        <f>IF(AND(ISNUMBER(MATCH(H38, 'Processed Non-zero TRI Data'!$I$2:$I$23, FALSE)),ISNUMBER(MATCH(I38, 'Processed Non-zero DMR Data'!$K:$K, FALSE))),"Both TRI Form "&amp; VLOOKUP(H38, 'Processed Non-zero TRI Data'!$I$2:$K$23, 3, FALSE)&amp; " &amp; DMR", IFERROR("Only TRI Form "&amp; VLOOKUP(H38, 'Processed Non-zero TRI Data'!$I$2:$K$23, 3, FALSE), "Only DMR"))</f>
        <v>Both TRI Form R &amp; DMR</v>
      </c>
      <c r="C38" s="34" t="s">
        <v>89</v>
      </c>
      <c r="D38" s="34" t="s">
        <v>90</v>
      </c>
      <c r="E38" s="34" t="s">
        <v>91</v>
      </c>
      <c r="F38" s="34">
        <v>30.223500000000001</v>
      </c>
      <c r="G38" s="34">
        <v>-93.286900000000003</v>
      </c>
      <c r="H38" s="34" t="s">
        <v>92</v>
      </c>
      <c r="I38" s="105">
        <v>110000494894</v>
      </c>
      <c r="J38" s="33" t="str">
        <f>IF(OR($H38="",$H38="Yes"), VLOOKUP($I38, 'Processed Non-zero DMR Data'!$K:$V, 10, FALSE),"")</f>
        <v/>
      </c>
      <c r="K38" s="33" t="str">
        <f>IFERROR(VLOOKUP($H38, 'Processed Non-zero TRI Data'!$I:$M, 5, 0), VLOOKUP($I38, 'Processed Non-zero DMR Data'!$K:$M, 3, FALSE))</f>
        <v>Fossil Fuel Electric Power Generation</v>
      </c>
      <c r="L38" s="33" t="str">
        <f>IFERROR(VLOOKUP($H38, 'Processed Non-zero TRI Data'!I:P, 8, 0), "Direct")</f>
        <v>Direct</v>
      </c>
      <c r="M38" s="33" t="str">
        <f>VLOOKUP($N38, 'COU.OES Summary'!C:D, 2, FALSE)</f>
        <v> </v>
      </c>
      <c r="N38" s="33" t="str">
        <f>IFERROR(VLOOKUP($H38, 'Processed Non-zero TRI Data'!$I:$O, 7, FALSE), VLOOKUP($I38, 'Processed Non-zero DMR Data'!$K:$R, 8, FALSE))</f>
        <v>Manufacturing</v>
      </c>
      <c r="O38" s="33" t="s">
        <v>710</v>
      </c>
      <c r="P38" s="33">
        <f>VLOOKUP($N38, 'COU.OES Summary'!C:E, 3, FALSE)</f>
        <v>350</v>
      </c>
    </row>
    <row r="39" spans="1:16" ht="29" x14ac:dyDescent="0.35">
      <c r="A39" s="34">
        <v>38</v>
      </c>
      <c r="B39" s="33" t="str">
        <f>IF(AND(ISNUMBER(MATCH(H39, 'Processed Non-zero TRI Data'!$I$2:$I$23, FALSE)),ISNUMBER(MATCH(I39, 'Processed Non-zero DMR Data'!$K:$K, FALSE))),"Both TRI Form "&amp; VLOOKUP(H39, 'Processed Non-zero TRI Data'!$I$2:$K$23, 3, FALSE)&amp; " &amp; DMR", IFERROR("Only TRI Form "&amp; VLOOKUP(H39, 'Processed Non-zero TRI Data'!$I$2:$K$23, 3, FALSE), "Only DMR"))</f>
        <v>Only DMR</v>
      </c>
      <c r="C39" s="34" t="s">
        <v>454</v>
      </c>
      <c r="D39" s="34" t="s">
        <v>455</v>
      </c>
      <c r="E39" s="34" t="s">
        <v>111</v>
      </c>
      <c r="F39" s="34">
        <v>42.468611000000003</v>
      </c>
      <c r="G39" s="34">
        <v>-89.065550000000002</v>
      </c>
      <c r="H39" s="34"/>
      <c r="I39" s="105">
        <v>110000500459</v>
      </c>
      <c r="J39" s="33">
        <f>IF(OR($H39="",$H39="Yes"), VLOOKUP($I39, 'Processed Non-zero DMR Data'!$K:$V, 10, FALSE),"")</f>
        <v>9.9973204999999996E-2</v>
      </c>
      <c r="K39" s="33" t="str">
        <f>IFERROR(VLOOKUP($H39, 'Processed Non-zero TRI Data'!$I:$M, 5, 0), VLOOKUP($I39, 'Processed Non-zero DMR Data'!$K:$M, 3, FALSE))</f>
        <v>General Warehousing and Storage</v>
      </c>
      <c r="L39" s="33" t="str">
        <f>IFERROR(VLOOKUP($H39, 'Processed Non-zero TRI Data'!I:P, 8, 0), "Direct")</f>
        <v>Direct</v>
      </c>
      <c r="M39" s="33" t="str">
        <f>VLOOKUP($N39, 'COU.OES Summary'!C:D, 2, FALSE)</f>
        <v> </v>
      </c>
      <c r="N39" s="33" t="str">
        <f>IFERROR(VLOOKUP($H39, 'Processed Non-zero TRI Data'!$I:$O, 7, FALSE), VLOOKUP($I39, 'Processed Non-zero DMR Data'!$K:$R, 8, FALSE))</f>
        <v>Waste handling, treatment, and disposal - Remediation or Monitoring</v>
      </c>
      <c r="O39" s="33" t="s">
        <v>710</v>
      </c>
      <c r="P39" s="33">
        <f>VLOOKUP($N39, 'COU.OES Summary'!C:E, 3, FALSE)</f>
        <v>365</v>
      </c>
    </row>
    <row r="40" spans="1:16" ht="29" x14ac:dyDescent="0.35">
      <c r="A40" s="34">
        <v>39</v>
      </c>
      <c r="B40" s="33" t="str">
        <f>IF(AND(ISNUMBER(MATCH(H40, 'Processed Non-zero TRI Data'!$I$2:$I$23, FALSE)),ISNUMBER(MATCH(I40, 'Processed Non-zero DMR Data'!$K:$K, FALSE))),"Both TRI Form "&amp; VLOOKUP(H40, 'Processed Non-zero TRI Data'!$I$2:$K$23, 3, FALSE)&amp; " &amp; DMR", IFERROR("Only TRI Form "&amp; VLOOKUP(H40, 'Processed Non-zero TRI Data'!$I$2:$K$23, 3, FALSE), "Only DMR"))</f>
        <v>Only DMR</v>
      </c>
      <c r="C40" s="34" t="s">
        <v>358</v>
      </c>
      <c r="D40" s="34" t="s">
        <v>359</v>
      </c>
      <c r="E40" s="34" t="s">
        <v>102</v>
      </c>
      <c r="F40" s="34">
        <v>34.616678999999998</v>
      </c>
      <c r="G40" s="34">
        <v>-117.355046</v>
      </c>
      <c r="H40" s="34"/>
      <c r="I40" s="105">
        <v>110000517637</v>
      </c>
      <c r="J40" s="33">
        <f>IF(OR($H40="",$H40="Yes"), VLOOKUP($I40, 'Processed Non-zero DMR Data'!$K:$V, 10, FALSE),"")</f>
        <v>0.49044137500000001</v>
      </c>
      <c r="K40" s="33" t="str">
        <f>IFERROR(VLOOKUP($H40, 'Processed Non-zero TRI Data'!$I:$M, 5, 0), VLOOKUP($I40, 'Processed Non-zero DMR Data'!$K:$M, 3, FALSE))</f>
        <v>Sewerage Systems</v>
      </c>
      <c r="L40" s="33" t="str">
        <f>IFERROR(VLOOKUP($H40, 'Processed Non-zero TRI Data'!I:P, 8, 0), "Direct")</f>
        <v>Direct</v>
      </c>
      <c r="M40" s="33" t="str">
        <f>VLOOKUP($N40, 'COU.OES Summary'!C:D, 2, FALSE)</f>
        <v> </v>
      </c>
      <c r="N40" s="33" t="str">
        <f>IFERROR(VLOOKUP($H40, 'Processed Non-zero TRI Data'!$I:$O, 7, FALSE), VLOOKUP($I40, 'Processed Non-zero DMR Data'!$K:$R, 8, FALSE))</f>
        <v>Waste handling, treatment, and disposal - POTW</v>
      </c>
      <c r="O40" s="33" t="s">
        <v>710</v>
      </c>
      <c r="P40" s="33">
        <f>VLOOKUP($N40, 'COU.OES Summary'!C:E, 3, FALSE)</f>
        <v>365</v>
      </c>
    </row>
    <row r="41" spans="1:16" ht="29" x14ac:dyDescent="0.35">
      <c r="A41" s="34">
        <v>40</v>
      </c>
      <c r="B41" s="33" t="str">
        <f>IF(AND(ISNUMBER(MATCH(H41, 'Processed Non-zero TRI Data'!$I$2:$I$23, FALSE)),ISNUMBER(MATCH(I41, 'Processed Non-zero DMR Data'!$K:$K, FALSE))),"Both TRI Form "&amp; VLOOKUP(H41, 'Processed Non-zero TRI Data'!$I$2:$K$23, 3, FALSE)&amp; " &amp; DMR", IFERROR("Only TRI Form "&amp; VLOOKUP(H41, 'Processed Non-zero TRI Data'!$I$2:$K$23, 3, FALSE), "Only DMR"))</f>
        <v>Only DMR</v>
      </c>
      <c r="C41" s="34" t="s">
        <v>482</v>
      </c>
      <c r="D41" s="34" t="s">
        <v>483</v>
      </c>
      <c r="E41" s="34" t="s">
        <v>102</v>
      </c>
      <c r="F41" s="34">
        <v>39.259749999999997</v>
      </c>
      <c r="G41" s="34">
        <v>-121.03075</v>
      </c>
      <c r="H41" s="34"/>
      <c r="I41" s="105">
        <v>110000519920</v>
      </c>
      <c r="J41" s="33">
        <f>IF(OR($H41="",$H41="Yes"), VLOOKUP($I41, 'Processed Non-zero DMR Data'!$K:$V, 10, FALSE),"")</f>
        <v>1.1526082E-2</v>
      </c>
      <c r="K41" s="33" t="str">
        <f>IFERROR(VLOOKUP($H41, 'Processed Non-zero TRI Data'!$I:$M, 5, 0), VLOOKUP($I41, 'Processed Non-zero DMR Data'!$K:$M, 3, FALSE))</f>
        <v>Sewerage Systems</v>
      </c>
      <c r="L41" s="33" t="str">
        <f>IFERROR(VLOOKUP($H41, 'Processed Non-zero TRI Data'!I:P, 8, 0), "Direct")</f>
        <v>Direct</v>
      </c>
      <c r="M41" s="33" t="str">
        <f>VLOOKUP($N41, 'COU.OES Summary'!C:D, 2, FALSE)</f>
        <v> </v>
      </c>
      <c r="N41" s="33" t="str">
        <f>IFERROR(VLOOKUP($H41, 'Processed Non-zero TRI Data'!$I:$O, 7, FALSE), VLOOKUP($I41, 'Processed Non-zero DMR Data'!$K:$R, 8, FALSE))</f>
        <v>Waste handling, treatment, and disposal - POTW</v>
      </c>
      <c r="O41" s="33" t="s">
        <v>710</v>
      </c>
      <c r="P41" s="33">
        <f>VLOOKUP($N41, 'COU.OES Summary'!C:E, 3, FALSE)</f>
        <v>365</v>
      </c>
    </row>
    <row r="42" spans="1:16" ht="29" x14ac:dyDescent="0.35">
      <c r="A42" s="34">
        <v>41</v>
      </c>
      <c r="B42" s="33" t="str">
        <f>IF(AND(ISNUMBER(MATCH(H42, 'Processed Non-zero TRI Data'!$I$2:$I$23, FALSE)),ISNUMBER(MATCH(I42, 'Processed Non-zero DMR Data'!$K:$K, FALSE))),"Both TRI Form "&amp; VLOOKUP(H42, 'Processed Non-zero TRI Data'!$I$2:$K$23, 3, FALSE)&amp; " &amp; DMR", IFERROR("Only TRI Form "&amp; VLOOKUP(H42, 'Processed Non-zero TRI Data'!$I$2:$K$23, 3, FALSE), "Only DMR"))</f>
        <v>Only DMR</v>
      </c>
      <c r="C42" s="34" t="s">
        <v>552</v>
      </c>
      <c r="D42" s="34" t="s">
        <v>553</v>
      </c>
      <c r="E42" s="34" t="s">
        <v>102</v>
      </c>
      <c r="F42" s="34">
        <v>39.814332999999998</v>
      </c>
      <c r="G42" s="34">
        <v>-121.58030599999999</v>
      </c>
      <c r="H42" s="34"/>
      <c r="I42" s="105">
        <v>110000520026</v>
      </c>
      <c r="J42" s="33">
        <f>IF(OR($H42="",$H42="Yes"), VLOOKUP($I42, 'Processed Non-zero DMR Data'!$K:$V, 10, FALSE),"")</f>
        <v>2.6169385912499999E-2</v>
      </c>
      <c r="K42" s="33" t="str">
        <f>IFERROR(VLOOKUP($H42, 'Processed Non-zero TRI Data'!$I:$M, 5, 0), VLOOKUP($I42, 'Processed Non-zero DMR Data'!$K:$M, 3, FALSE))</f>
        <v>Water Supply</v>
      </c>
      <c r="L42" s="33" t="str">
        <f>IFERROR(VLOOKUP($H42, 'Processed Non-zero TRI Data'!I:P, 8, 0), "Direct")</f>
        <v>Direct</v>
      </c>
      <c r="M42" s="33" t="str">
        <f>VLOOKUP($N42, 'COU.OES Summary'!C:D, 2, FALSE)</f>
        <v> </v>
      </c>
      <c r="N42" s="33" t="str">
        <f>IFERROR(VLOOKUP($H42, 'Processed Non-zero TRI Data'!$I:$O, 7, FALSE), VLOOKUP($I42, 'Processed Non-zero DMR Data'!$K:$R, 8, FALSE))</f>
        <v>Waste handling, treatment, and disposal - Remediation or Monitoring</v>
      </c>
      <c r="O42" s="33" t="s">
        <v>710</v>
      </c>
      <c r="P42" s="33">
        <f>VLOOKUP($N42, 'COU.OES Summary'!C:E, 3, FALSE)</f>
        <v>365</v>
      </c>
    </row>
    <row r="43" spans="1:16" ht="29" x14ac:dyDescent="0.35">
      <c r="A43" s="34">
        <v>42</v>
      </c>
      <c r="B43" s="33" t="str">
        <f>IF(AND(ISNUMBER(MATCH(H43, 'Processed Non-zero TRI Data'!$I$2:$I$23, FALSE)),ISNUMBER(MATCH(I43, 'Processed Non-zero DMR Data'!$K:$K, FALSE))),"Both TRI Form "&amp; VLOOKUP(H43, 'Processed Non-zero TRI Data'!$I$2:$K$23, 3, FALSE)&amp; " &amp; DMR", IFERROR("Only TRI Form "&amp; VLOOKUP(H43, 'Processed Non-zero TRI Data'!$I$2:$K$23, 3, FALSE), "Only DMR"))</f>
        <v>Only DMR</v>
      </c>
      <c r="C43" s="34" t="s">
        <v>242</v>
      </c>
      <c r="D43" s="34" t="s">
        <v>243</v>
      </c>
      <c r="E43" s="34" t="s">
        <v>102</v>
      </c>
      <c r="F43" s="34">
        <v>34.055900000000001</v>
      </c>
      <c r="G43" s="34">
        <v>-117.36134</v>
      </c>
      <c r="H43" s="34"/>
      <c r="I43" s="105">
        <v>110000525842</v>
      </c>
      <c r="J43" s="33">
        <f>IF(OR($H43="",$H43="Yes"), VLOOKUP($I43, 'Processed Non-zero DMR Data'!$K:$V, 10, FALSE),"")</f>
        <v>1.627694303125</v>
      </c>
      <c r="K43" s="33" t="str">
        <f>IFERROR(VLOOKUP($H43, 'Processed Non-zero TRI Data'!$I:$M, 5, 0), VLOOKUP($I43, 'Processed Non-zero DMR Data'!$K:$M, 3, FALSE))</f>
        <v>Sewerage Systems</v>
      </c>
      <c r="L43" s="33" t="str">
        <f>IFERROR(VLOOKUP($H43, 'Processed Non-zero TRI Data'!I:P, 8, 0), "Direct")</f>
        <v>Direct</v>
      </c>
      <c r="M43" s="33" t="str">
        <f>VLOOKUP($N43, 'COU.OES Summary'!C:D, 2, FALSE)</f>
        <v> </v>
      </c>
      <c r="N43" s="33" t="str">
        <f>IFERROR(VLOOKUP($H43, 'Processed Non-zero TRI Data'!$I:$O, 7, FALSE), VLOOKUP($I43, 'Processed Non-zero DMR Data'!$K:$R, 8, FALSE))</f>
        <v>Waste handling, treatment, and disposal - POTW</v>
      </c>
      <c r="O43" s="33" t="s">
        <v>710</v>
      </c>
      <c r="P43" s="33">
        <f>VLOOKUP($N43, 'COU.OES Summary'!C:E, 3, FALSE)</f>
        <v>365</v>
      </c>
    </row>
    <row r="44" spans="1:16" ht="29" x14ac:dyDescent="0.35">
      <c r="A44" s="34">
        <v>43</v>
      </c>
      <c r="B44" s="33" t="str">
        <f>IF(AND(ISNUMBER(MATCH(H44, 'Processed Non-zero TRI Data'!$I$2:$I$23, FALSE)),ISNUMBER(MATCH(I44, 'Processed Non-zero DMR Data'!$K:$K, FALSE))),"Both TRI Form "&amp; VLOOKUP(H44, 'Processed Non-zero TRI Data'!$I$2:$K$23, 3, FALSE)&amp; " &amp; DMR", IFERROR("Only TRI Form "&amp; VLOOKUP(H44, 'Processed Non-zero TRI Data'!$I$2:$K$23, 3, FALSE), "Only DMR"))</f>
        <v>Only DMR</v>
      </c>
      <c r="C44" s="34" t="s">
        <v>343</v>
      </c>
      <c r="D44" s="34" t="s">
        <v>163</v>
      </c>
      <c r="E44" s="34" t="s">
        <v>108</v>
      </c>
      <c r="F44" s="34">
        <v>38.041639000000004</v>
      </c>
      <c r="G44" s="34">
        <v>-84.208667000000005</v>
      </c>
      <c r="H44" s="34"/>
      <c r="I44" s="105">
        <v>110000542896</v>
      </c>
      <c r="J44" s="33">
        <f>IF(OR($H44="",$H44="Yes"), VLOOKUP($I44, 'Processed Non-zero DMR Data'!$K:$V, 10, FALSE),"")</f>
        <v>0.63809876700000001</v>
      </c>
      <c r="K44" s="33" t="str">
        <f>IFERROR(VLOOKUP($H44, 'Processed Non-zero TRI Data'!$I:$M, 5, 0), VLOOKUP($I44, 'Processed Non-zero DMR Data'!$K:$M, 3, FALSE))</f>
        <v>Sewerage Systems</v>
      </c>
      <c r="L44" s="33" t="str">
        <f>IFERROR(VLOOKUP($H44, 'Processed Non-zero TRI Data'!I:P, 8, 0), "Direct")</f>
        <v>Direct</v>
      </c>
      <c r="M44" s="33" t="str">
        <f>VLOOKUP($N44, 'COU.OES Summary'!C:D, 2, FALSE)</f>
        <v> </v>
      </c>
      <c r="N44" s="33" t="str">
        <f>IFERROR(VLOOKUP($H44, 'Processed Non-zero TRI Data'!$I:$O, 7, FALSE), VLOOKUP($I44, 'Processed Non-zero DMR Data'!$K:$R, 8, FALSE))</f>
        <v>Waste handling, treatment, and disposal - POTW</v>
      </c>
      <c r="O44" s="33" t="s">
        <v>710</v>
      </c>
      <c r="P44" s="33">
        <f>VLOOKUP($N44, 'COU.OES Summary'!C:E, 3, FALSE)</f>
        <v>365</v>
      </c>
    </row>
    <row r="45" spans="1:16" ht="29" x14ac:dyDescent="0.35">
      <c r="A45" s="34">
        <v>44</v>
      </c>
      <c r="B45" s="33" t="str">
        <f>IF(AND(ISNUMBER(MATCH(H45, 'Processed Non-zero TRI Data'!$I$2:$I$23, FALSE)),ISNUMBER(MATCH(I45, 'Processed Non-zero DMR Data'!$K:$K, FALSE))),"Both TRI Form "&amp; VLOOKUP(H45, 'Processed Non-zero TRI Data'!$I$2:$K$23, 3, FALSE)&amp; " &amp; DMR", IFERROR("Only TRI Form "&amp; VLOOKUP(H45, 'Processed Non-zero TRI Data'!$I$2:$K$23, 3, FALSE), "Only DMR"))</f>
        <v>Only DMR</v>
      </c>
      <c r="C45" s="34" t="s">
        <v>468</v>
      </c>
      <c r="D45" s="34" t="s">
        <v>260</v>
      </c>
      <c r="E45" s="34" t="s">
        <v>111</v>
      </c>
      <c r="F45" s="34">
        <v>41.405655000000003</v>
      </c>
      <c r="G45" s="34">
        <v>-88.335212999999996</v>
      </c>
      <c r="H45" s="34"/>
      <c r="I45" s="105">
        <v>110000547196</v>
      </c>
      <c r="J45" s="33">
        <f>IF(OR($H45="",$H45="Yes"), VLOOKUP($I45, 'Processed Non-zero DMR Data'!$K:$V, 10, FALSE),"")</f>
        <v>5.8121079999999999E-2</v>
      </c>
      <c r="K45" s="33" t="str">
        <f>IFERROR(VLOOKUP($H45, 'Processed Non-zero TRI Data'!$I:$M, 5, 0), VLOOKUP($I45, 'Processed Non-zero DMR Data'!$K:$M, 3, FALSE))</f>
        <v>Industrial Organic Chemicals, Nec</v>
      </c>
      <c r="L45" s="33" t="str">
        <f>IFERROR(VLOOKUP($H45, 'Processed Non-zero TRI Data'!I:P, 8, 0), "Direct")</f>
        <v>Direct</v>
      </c>
      <c r="M45" s="33" t="str">
        <f>VLOOKUP($N45, 'COU.OES Summary'!C:D, 2, FALSE)</f>
        <v> </v>
      </c>
      <c r="N45" s="33" t="str">
        <f>IFERROR(VLOOKUP($H45, 'Processed Non-zero TRI Data'!$I:$O, 7, FALSE), VLOOKUP($I45, 'Processed Non-zero DMR Data'!$K:$R, 8, FALSE))</f>
        <v>Waste handling, treatment, and disposal - Remediation or Monitoring</v>
      </c>
      <c r="O45" s="33" t="s">
        <v>710</v>
      </c>
      <c r="P45" s="33">
        <f>VLOOKUP($N45, 'COU.OES Summary'!C:E, 3, FALSE)</f>
        <v>365</v>
      </c>
    </row>
    <row r="46" spans="1:16" ht="29" x14ac:dyDescent="0.35">
      <c r="A46" s="34">
        <v>45</v>
      </c>
      <c r="B46" s="33" t="str">
        <f>IF(AND(ISNUMBER(MATCH(H46, 'Processed Non-zero TRI Data'!$I$2:$I$23, FALSE)),ISNUMBER(MATCH(I46, 'Processed Non-zero DMR Data'!$K:$K, FALSE))),"Both TRI Form "&amp; VLOOKUP(H46, 'Processed Non-zero TRI Data'!$I$2:$K$23, 3, FALSE)&amp; " &amp; DMR", IFERROR("Only TRI Form "&amp; VLOOKUP(H46, 'Processed Non-zero TRI Data'!$I$2:$K$23, 3, FALSE), "Only DMR"))</f>
        <v>Only DMR</v>
      </c>
      <c r="C46" s="34" t="s">
        <v>166</v>
      </c>
      <c r="D46" s="34" t="s">
        <v>167</v>
      </c>
      <c r="E46" s="34" t="s">
        <v>108</v>
      </c>
      <c r="F46" s="34">
        <v>38.223610999999998</v>
      </c>
      <c r="G46" s="34">
        <v>-84.253332999999998</v>
      </c>
      <c r="H46" s="34"/>
      <c r="I46" s="105">
        <v>110000551082</v>
      </c>
      <c r="J46" s="33">
        <f>IF(OR($H46="",$H46="Yes"), VLOOKUP($I46, 'Processed Non-zero DMR Data'!$K:$V, 10, FALSE),"")</f>
        <v>8.2787885625000008</v>
      </c>
      <c r="K46" s="33" t="str">
        <f>IFERROR(VLOOKUP($H46, 'Processed Non-zero TRI Data'!$I:$M, 5, 0), VLOOKUP($I46, 'Processed Non-zero DMR Data'!$K:$M, 3, FALSE))</f>
        <v>Sewerage Systems</v>
      </c>
      <c r="L46" s="33" t="str">
        <f>IFERROR(VLOOKUP($H46, 'Processed Non-zero TRI Data'!I:P, 8, 0), "Direct")</f>
        <v>Direct</v>
      </c>
      <c r="M46" s="33" t="str">
        <f>VLOOKUP($N46, 'COU.OES Summary'!C:D, 2, FALSE)</f>
        <v> </v>
      </c>
      <c r="N46" s="33" t="str">
        <f>IFERROR(VLOOKUP($H46, 'Processed Non-zero TRI Data'!$I:$O, 7, FALSE), VLOOKUP($I46, 'Processed Non-zero DMR Data'!$K:$R, 8, FALSE))</f>
        <v>Waste handling, treatment, and disposal - POTW</v>
      </c>
      <c r="O46" s="33" t="s">
        <v>710</v>
      </c>
      <c r="P46" s="33">
        <f>VLOOKUP($N46, 'COU.OES Summary'!C:E, 3, FALSE)</f>
        <v>365</v>
      </c>
    </row>
    <row r="47" spans="1:16" ht="29" x14ac:dyDescent="0.35">
      <c r="A47" s="34">
        <v>46</v>
      </c>
      <c r="B47" s="33" t="str">
        <f>IF(AND(ISNUMBER(MATCH(H47, 'Processed Non-zero TRI Data'!$I$2:$I$23, FALSE)),ISNUMBER(MATCH(I47, 'Processed Non-zero DMR Data'!$K:$K, FALSE))),"Both TRI Form "&amp; VLOOKUP(H47, 'Processed Non-zero TRI Data'!$I$2:$K$23, 3, FALSE)&amp; " &amp; DMR", IFERROR("Only TRI Form "&amp; VLOOKUP(H47, 'Processed Non-zero TRI Data'!$I$2:$K$23, 3, FALSE), "Only DMR"))</f>
        <v>Only DMR</v>
      </c>
      <c r="C47" s="34" t="s">
        <v>233</v>
      </c>
      <c r="D47" s="34" t="s">
        <v>234</v>
      </c>
      <c r="E47" s="34" t="s">
        <v>108</v>
      </c>
      <c r="F47" s="34">
        <v>37.106380000000001</v>
      </c>
      <c r="G47" s="34">
        <v>-84.066829999999996</v>
      </c>
      <c r="H47" s="34"/>
      <c r="I47" s="105">
        <v>110000557013</v>
      </c>
      <c r="J47" s="33">
        <f>IF(OR($H47="",$H47="Yes"), VLOOKUP($I47, 'Processed Non-zero DMR Data'!$K:$V, 10, FALSE),"")</f>
        <v>2.8348892999999999</v>
      </c>
      <c r="K47" s="33" t="str">
        <f>IFERROR(VLOOKUP($H47, 'Processed Non-zero TRI Data'!$I:$M, 5, 0), VLOOKUP($I47, 'Processed Non-zero DMR Data'!$K:$M, 3, FALSE))</f>
        <v>Sewerage Systems</v>
      </c>
      <c r="L47" s="33" t="str">
        <f>IFERROR(VLOOKUP($H47, 'Processed Non-zero TRI Data'!I:P, 8, 0), "Direct")</f>
        <v>Direct</v>
      </c>
      <c r="M47" s="33" t="str">
        <f>VLOOKUP($N47, 'COU.OES Summary'!C:D, 2, FALSE)</f>
        <v> </v>
      </c>
      <c r="N47" s="33" t="str">
        <f>IFERROR(VLOOKUP($H47, 'Processed Non-zero TRI Data'!$I:$O, 7, FALSE), VLOOKUP($I47, 'Processed Non-zero DMR Data'!$K:$R, 8, FALSE))</f>
        <v>Waste handling, treatment, and disposal - POTW</v>
      </c>
      <c r="O47" s="33" t="s">
        <v>710</v>
      </c>
      <c r="P47" s="33">
        <f>VLOOKUP($N47, 'COU.OES Summary'!C:E, 3, FALSE)</f>
        <v>365</v>
      </c>
    </row>
    <row r="48" spans="1:16" ht="29" x14ac:dyDescent="0.35">
      <c r="A48" s="34">
        <v>47</v>
      </c>
      <c r="B48" s="33" t="str">
        <f>IF(AND(ISNUMBER(MATCH(H48, 'Processed Non-zero TRI Data'!$I$2:$I$23, FALSE)),ISNUMBER(MATCH(I48, 'Processed Non-zero DMR Data'!$K:$K, FALSE))),"Both TRI Form "&amp; VLOOKUP(H48, 'Processed Non-zero TRI Data'!$I$2:$K$23, 3, FALSE)&amp; " &amp; DMR", IFERROR("Only TRI Form "&amp; VLOOKUP(H48, 'Processed Non-zero TRI Data'!$I$2:$K$23, 3, FALSE), "Only DMR"))</f>
        <v>Only DMR</v>
      </c>
      <c r="C48" s="34" t="s">
        <v>116</v>
      </c>
      <c r="D48" s="34" t="s">
        <v>117</v>
      </c>
      <c r="E48" s="34" t="s">
        <v>108</v>
      </c>
      <c r="F48" s="34">
        <v>37.642310000000002</v>
      </c>
      <c r="G48" s="34">
        <v>-85.903570000000002</v>
      </c>
      <c r="H48" s="34"/>
      <c r="I48" s="105">
        <v>110000571373</v>
      </c>
      <c r="J48" s="33">
        <f>IF(OR($H48="",$H48="Yes"), VLOOKUP($I48, 'Processed Non-zero DMR Data'!$K:$V, 10, FALSE),"")</f>
        <v>33.847362500000003</v>
      </c>
      <c r="K48" s="33" t="str">
        <f>IFERROR(VLOOKUP($H48, 'Processed Non-zero TRI Data'!$I:$M, 5, 0), VLOOKUP($I48, 'Processed Non-zero DMR Data'!$K:$M, 3, FALSE))</f>
        <v>Sewerage Systems</v>
      </c>
      <c r="L48" s="33" t="str">
        <f>IFERROR(VLOOKUP($H48, 'Processed Non-zero TRI Data'!I:P, 8, 0), "Direct")</f>
        <v>Direct</v>
      </c>
      <c r="M48" s="33" t="str">
        <f>VLOOKUP($N48, 'COU.OES Summary'!C:D, 2, FALSE)</f>
        <v> </v>
      </c>
      <c r="N48" s="33" t="str">
        <f>IFERROR(VLOOKUP($H48, 'Processed Non-zero TRI Data'!$I:$O, 7, FALSE), VLOOKUP($I48, 'Processed Non-zero DMR Data'!$K:$R, 8, FALSE))</f>
        <v>Waste handling, treatment, and disposal - POTW</v>
      </c>
      <c r="O48" s="33" t="s">
        <v>710</v>
      </c>
      <c r="P48" s="33">
        <f>VLOOKUP($N48, 'COU.OES Summary'!C:E, 3, FALSE)</f>
        <v>365</v>
      </c>
    </row>
    <row r="49" spans="1:16" ht="29" x14ac:dyDescent="0.35">
      <c r="A49" s="34">
        <v>48</v>
      </c>
      <c r="B49" s="33" t="str">
        <f>IF(AND(ISNUMBER(MATCH(H49, 'Processed Non-zero TRI Data'!$I$2:$I$23, FALSE)),ISNUMBER(MATCH(I49, 'Processed Non-zero DMR Data'!$K:$K, FALSE))),"Both TRI Form "&amp; VLOOKUP(H49, 'Processed Non-zero TRI Data'!$I$2:$K$23, 3, FALSE)&amp; " &amp; DMR", IFERROR("Only TRI Form "&amp; VLOOKUP(H49, 'Processed Non-zero TRI Data'!$I$2:$K$23, 3, FALSE), "Only DMR"))</f>
        <v>Only DMR</v>
      </c>
      <c r="C49" s="34" t="s">
        <v>495</v>
      </c>
      <c r="D49" s="34" t="s">
        <v>496</v>
      </c>
      <c r="E49" s="34" t="s">
        <v>350</v>
      </c>
      <c r="F49" s="34">
        <v>39.599829999999997</v>
      </c>
      <c r="G49" s="34">
        <v>-79.97148</v>
      </c>
      <c r="H49" s="34"/>
      <c r="I49" s="105">
        <v>110000572782</v>
      </c>
      <c r="J49" s="33">
        <f>IF(OR($H49="",$H49="Yes"), VLOOKUP($I49, 'Processed Non-zero DMR Data'!$K:$V, 10, FALSE),"")</f>
        <v>5.7998500000000001E-2</v>
      </c>
      <c r="K49" s="33" t="str">
        <f>IFERROR(VLOOKUP($H49, 'Processed Non-zero TRI Data'!$I:$M, 5, 0), VLOOKUP($I49, 'Processed Non-zero DMR Data'!$K:$M, 3, FALSE))</f>
        <v>Industrial Organic Chemicals, Nec</v>
      </c>
      <c r="L49" s="33" t="str">
        <f>IFERROR(VLOOKUP($H49, 'Processed Non-zero TRI Data'!I:P, 8, 0), "Direct")</f>
        <v>Direct</v>
      </c>
      <c r="M49" s="33" t="str">
        <f>VLOOKUP($N49, 'COU.OES Summary'!C:D, 2, FALSE)</f>
        <v> </v>
      </c>
      <c r="N49" s="33" t="str">
        <f>IFERROR(VLOOKUP($H49, 'Processed Non-zero TRI Data'!$I:$O, 7, FALSE), VLOOKUP($I49, 'Processed Non-zero DMR Data'!$K:$R, 8, FALSE))</f>
        <v>Waste handling, treatment, and disposal - Remediation or Monitoring</v>
      </c>
      <c r="O49" s="33" t="s">
        <v>710</v>
      </c>
      <c r="P49" s="33">
        <f>VLOOKUP($N49, 'COU.OES Summary'!C:E, 3, FALSE)</f>
        <v>365</v>
      </c>
    </row>
    <row r="50" spans="1:16" ht="29" x14ac:dyDescent="0.35">
      <c r="A50" s="34">
        <v>49</v>
      </c>
      <c r="B50" s="33" t="str">
        <f>IF(AND(ISNUMBER(MATCH(H50, 'Processed Non-zero TRI Data'!$I$2:$I$23, FALSE)),ISNUMBER(MATCH(I50, 'Processed Non-zero DMR Data'!$K:$K, FALSE))),"Both TRI Form "&amp; VLOOKUP(H50, 'Processed Non-zero TRI Data'!$I$2:$K$23, 3, FALSE)&amp; " &amp; DMR", IFERROR("Only TRI Form "&amp; VLOOKUP(H50, 'Processed Non-zero TRI Data'!$I$2:$K$23, 3, FALSE), "Only DMR"))</f>
        <v>Only DMR</v>
      </c>
      <c r="C50" s="34" t="s">
        <v>159</v>
      </c>
      <c r="D50" s="34" t="s">
        <v>160</v>
      </c>
      <c r="E50" s="34" t="s">
        <v>161</v>
      </c>
      <c r="F50" s="34">
        <v>36.527054999999997</v>
      </c>
      <c r="G50" s="34">
        <v>-82.538579999999996</v>
      </c>
      <c r="H50" s="34"/>
      <c r="I50" s="105">
        <v>110000574423</v>
      </c>
      <c r="J50" s="33">
        <f>IF(OR($H50="",$H50="Yes"), VLOOKUP($I50, 'Processed Non-zero DMR Data'!$K:$V, 10, FALSE),"")</f>
        <v>9.6808818599999995</v>
      </c>
      <c r="K50" s="33" t="str">
        <f>IFERROR(VLOOKUP($H50, 'Processed Non-zero TRI Data'!$I:$M, 5, 0), VLOOKUP($I50, 'Processed Non-zero DMR Data'!$K:$M, 3, FALSE))</f>
        <v>Industrial Organic Chemicals, Nec</v>
      </c>
      <c r="L50" s="33" t="str">
        <f>IFERROR(VLOOKUP($H50, 'Processed Non-zero TRI Data'!I:P, 8, 0), "Direct")</f>
        <v>Direct</v>
      </c>
      <c r="M50" s="33" t="str">
        <f>VLOOKUP($N50, 'COU.OES Summary'!C:D, 2, FALSE)</f>
        <v> </v>
      </c>
      <c r="N50" s="33" t="str">
        <f>IFERROR(VLOOKUP($H50, 'Processed Non-zero TRI Data'!$I:$O, 7, FALSE), VLOOKUP($I50, 'Processed Non-zero DMR Data'!$K:$R, 8, FALSE))</f>
        <v>Waste handling, treatment, and disposal - Remediation or Monitoring</v>
      </c>
      <c r="O50" s="33" t="s">
        <v>710</v>
      </c>
      <c r="P50" s="33">
        <f>VLOOKUP($N50, 'COU.OES Summary'!C:E, 3, FALSE)</f>
        <v>365</v>
      </c>
    </row>
    <row r="51" spans="1:16" ht="29" x14ac:dyDescent="0.35">
      <c r="A51" s="34">
        <v>50</v>
      </c>
      <c r="B51" s="33" t="str">
        <f>IF(AND(ISNUMBER(MATCH(H51, 'Processed Non-zero TRI Data'!$I$2:$I$23, FALSE)),ISNUMBER(MATCH(I51, 'Processed Non-zero DMR Data'!$K:$K, FALSE))),"Both TRI Form "&amp; VLOOKUP(H51, 'Processed Non-zero TRI Data'!$I$2:$K$23, 3, FALSE)&amp; " &amp; DMR", IFERROR("Only TRI Form "&amp; VLOOKUP(H51, 'Processed Non-zero TRI Data'!$I$2:$K$23, 3, FALSE), "Only DMR"))</f>
        <v>Only DMR</v>
      </c>
      <c r="C51" s="34" t="s">
        <v>539</v>
      </c>
      <c r="D51" s="34" t="s">
        <v>540</v>
      </c>
      <c r="E51" s="34" t="s">
        <v>91</v>
      </c>
      <c r="F51" s="34">
        <v>29.808250000000001</v>
      </c>
      <c r="G51" s="34">
        <v>-90.01</v>
      </c>
      <c r="H51" s="34"/>
      <c r="I51" s="105">
        <v>110000575244</v>
      </c>
      <c r="J51" s="33">
        <f>IF(OR($H51="",$H51="Yes"), VLOOKUP($I51, 'Processed Non-zero DMR Data'!$K:$V, 10, FALSE),"")</f>
        <v>3.1064280387500001E-2</v>
      </c>
      <c r="K51" s="33" t="str">
        <f>IFERROR(VLOOKUP($H51, 'Processed Non-zero TRI Data'!$I:$M, 5, 0), VLOOKUP($I51, 'Processed Non-zero DMR Data'!$K:$M, 3, FALSE))</f>
        <v>Industrial Organic Chemicals, Nec</v>
      </c>
      <c r="L51" s="33" t="str">
        <f>IFERROR(VLOOKUP($H51, 'Processed Non-zero TRI Data'!I:P, 8, 0), "Direct")</f>
        <v>Direct</v>
      </c>
      <c r="M51" s="33" t="str">
        <f>VLOOKUP($N51, 'COU.OES Summary'!C:D, 2, FALSE)</f>
        <v> </v>
      </c>
      <c r="N51" s="33" t="str">
        <f>IFERROR(VLOOKUP($H51, 'Processed Non-zero TRI Data'!$I:$O, 7, FALSE), VLOOKUP($I51, 'Processed Non-zero DMR Data'!$K:$R, 8, FALSE))</f>
        <v>Waste handling, treatment, and disposal - Remediation or Monitoring</v>
      </c>
      <c r="O51" s="33" t="s">
        <v>710</v>
      </c>
      <c r="P51" s="33">
        <f>VLOOKUP($N51, 'COU.OES Summary'!C:E, 3, FALSE)</f>
        <v>365</v>
      </c>
    </row>
    <row r="52" spans="1:16" ht="29" x14ac:dyDescent="0.35">
      <c r="A52" s="34">
        <v>51</v>
      </c>
      <c r="B52" s="33" t="str">
        <f>IF(AND(ISNUMBER(MATCH(H52, 'Processed Non-zero TRI Data'!$I$2:$I$23, FALSE)),ISNUMBER(MATCH(I52, 'Processed Non-zero DMR Data'!$K:$K, FALSE))),"Both TRI Form "&amp; VLOOKUP(H52, 'Processed Non-zero TRI Data'!$I$2:$K$23, 3, FALSE)&amp; " &amp; DMR", IFERROR("Only TRI Form "&amp; VLOOKUP(H52, 'Processed Non-zero TRI Data'!$I$2:$K$23, 3, FALSE), "Only DMR"))</f>
        <v>Only DMR</v>
      </c>
      <c r="C52" s="34" t="s">
        <v>398</v>
      </c>
      <c r="D52" s="34" t="s">
        <v>399</v>
      </c>
      <c r="E52" s="34" t="s">
        <v>400</v>
      </c>
      <c r="F52" s="34">
        <v>41.633920000000003</v>
      </c>
      <c r="G52" s="34">
        <v>-71.493690000000001</v>
      </c>
      <c r="H52" s="34"/>
      <c r="I52" s="105">
        <v>110000581255</v>
      </c>
      <c r="J52" s="33">
        <f>IF(OR($H52="",$H52="Yes"), VLOOKUP($I52, 'Processed Non-zero DMR Data'!$K:$V, 10, FALSE),"")</f>
        <v>0.233113608</v>
      </c>
      <c r="K52" s="33" t="str">
        <f>IFERROR(VLOOKUP($H52, 'Processed Non-zero TRI Data'!$I:$M, 5, 0), VLOOKUP($I52, 'Processed Non-zero DMR Data'!$K:$M, 3, FALSE))</f>
        <v>Steel Wire and Related Products</v>
      </c>
      <c r="L52" s="33" t="str">
        <f>IFERROR(VLOOKUP($H52, 'Processed Non-zero TRI Data'!I:P, 8, 0), "Direct")</f>
        <v>Direct</v>
      </c>
      <c r="M52" s="33" t="str">
        <f>VLOOKUP($N52, 'COU.OES Summary'!C:D, 2, FALSE)</f>
        <v> </v>
      </c>
      <c r="N52" s="33" t="str">
        <f>IFERROR(VLOOKUP($H52, 'Processed Non-zero TRI Data'!$I:$O, 7, FALSE), VLOOKUP($I52, 'Processed Non-zero DMR Data'!$K:$R, 8, FALSE))</f>
        <v>Waste handling, treatment, and disposal - Remediation or Monitoring</v>
      </c>
      <c r="O52" s="33" t="s">
        <v>710</v>
      </c>
      <c r="P52" s="33">
        <f>VLOOKUP($N52, 'COU.OES Summary'!C:E, 3, FALSE)</f>
        <v>365</v>
      </c>
    </row>
    <row r="53" spans="1:16" ht="29" x14ac:dyDescent="0.35">
      <c r="A53" s="34">
        <v>52</v>
      </c>
      <c r="B53" s="33" t="str">
        <f>IF(AND(ISNUMBER(MATCH(H53, 'Processed Non-zero TRI Data'!$I$2:$I$23, FALSE)),ISNUMBER(MATCH(I53, 'Processed Non-zero DMR Data'!$K:$K, FALSE))),"Both TRI Form "&amp; VLOOKUP(H53, 'Processed Non-zero TRI Data'!$I$2:$K$23, 3, FALSE)&amp; " &amp; DMR", IFERROR("Only TRI Form "&amp; VLOOKUP(H53, 'Processed Non-zero TRI Data'!$I$2:$K$23, 3, FALSE), "Only DMR"))</f>
        <v>Only DMR</v>
      </c>
      <c r="C53" s="34" t="s">
        <v>299</v>
      </c>
      <c r="D53" s="34" t="s">
        <v>300</v>
      </c>
      <c r="E53" s="34" t="s">
        <v>254</v>
      </c>
      <c r="F53" s="34">
        <v>39.80142</v>
      </c>
      <c r="G53" s="34">
        <v>-75.354990000000001</v>
      </c>
      <c r="H53" s="34"/>
      <c r="I53" s="105">
        <v>110000582003</v>
      </c>
      <c r="J53" s="33">
        <f>IF(OR($H53="",$H53="Yes"), VLOOKUP($I53, 'Processed Non-zero DMR Data'!$K:$V, 10, FALSE),"")</f>
        <v>0.2135</v>
      </c>
      <c r="K53" s="33" t="str">
        <f>IFERROR(VLOOKUP($H53, 'Processed Non-zero TRI Data'!$I:$M, 5, 0), VLOOKUP($I53, 'Processed Non-zero DMR Data'!$K:$M, 3, FALSE))</f>
        <v>Industrial Organic Chemicals, Nec</v>
      </c>
      <c r="L53" s="33" t="str">
        <f>IFERROR(VLOOKUP($H53, 'Processed Non-zero TRI Data'!I:P, 8, 0), "Direct")</f>
        <v>Direct</v>
      </c>
      <c r="M53" s="33" t="str">
        <f>VLOOKUP($N53, 'COU.OES Summary'!C:D, 2, FALSE)</f>
        <v> </v>
      </c>
      <c r="N53" s="33" t="str">
        <f>IFERROR(VLOOKUP($H53, 'Processed Non-zero TRI Data'!$I:$O, 7, FALSE), VLOOKUP($I53, 'Processed Non-zero DMR Data'!$K:$R, 8, FALSE))</f>
        <v>Waste handling, treatment, and disposal - Remediation or Monitoring</v>
      </c>
      <c r="O53" s="33" t="s">
        <v>710</v>
      </c>
      <c r="P53" s="33">
        <f>VLOOKUP($N53, 'COU.OES Summary'!C:E, 3, FALSE)</f>
        <v>365</v>
      </c>
    </row>
    <row r="54" spans="1:16" ht="29" x14ac:dyDescent="0.35">
      <c r="A54" s="34">
        <v>53</v>
      </c>
      <c r="B54" s="33" t="str">
        <f>IF(AND(ISNUMBER(MATCH(H54, 'Processed Non-zero TRI Data'!$I$2:$I$23, FALSE)),ISNUMBER(MATCH(I54, 'Processed Non-zero DMR Data'!$K:$K, FALSE))),"Both TRI Form "&amp; VLOOKUP(H54, 'Processed Non-zero TRI Data'!$I$2:$K$23, 3, FALSE)&amp; " &amp; DMR", IFERROR("Only TRI Form "&amp; VLOOKUP(H54, 'Processed Non-zero TRI Data'!$I$2:$K$23, 3, FALSE), "Only DMR"))</f>
        <v>Only DMR</v>
      </c>
      <c r="C54" s="34" t="s">
        <v>624</v>
      </c>
      <c r="D54" s="34" t="s">
        <v>625</v>
      </c>
      <c r="E54" s="34" t="s">
        <v>340</v>
      </c>
      <c r="F54" s="34">
        <v>40.627648000000001</v>
      </c>
      <c r="G54" s="34">
        <v>-76.064880000000002</v>
      </c>
      <c r="H54" s="34"/>
      <c r="I54" s="105">
        <v>110000584305</v>
      </c>
      <c r="J54" s="33">
        <f>IF(OR($H54="",$H54="Yes"), VLOOKUP($I54, 'Processed Non-zero DMR Data'!$K:$V, 10, FALSE),"")</f>
        <v>7.2526500000000002E-3</v>
      </c>
      <c r="K54" s="33" t="str">
        <f>IFERROR(VLOOKUP($H54, 'Processed Non-zero TRI Data'!$I:$M, 5, 0), VLOOKUP($I54, 'Processed Non-zero DMR Data'!$K:$M, 3, FALSE))</f>
        <v>Pens and Mechanical Pencils</v>
      </c>
      <c r="L54" s="33" t="str">
        <f>IFERROR(VLOOKUP($H54, 'Processed Non-zero TRI Data'!I:P, 8, 0), "Direct")</f>
        <v>Direct</v>
      </c>
      <c r="M54" s="33" t="str">
        <f>VLOOKUP($N54, 'COU.OES Summary'!C:D, 2, FALSE)</f>
        <v> </v>
      </c>
      <c r="N54" s="33" t="str">
        <f>IFERROR(VLOOKUP($H54, 'Processed Non-zero TRI Data'!$I:$O, 7, FALSE), VLOOKUP($I54, 'Processed Non-zero DMR Data'!$K:$R, 8, FALSE))</f>
        <v>Waste handling, treatment, and disposal - Remediation or Monitoring</v>
      </c>
      <c r="O54" s="33" t="s">
        <v>710</v>
      </c>
      <c r="P54" s="33">
        <f>VLOOKUP($N54, 'COU.OES Summary'!C:E, 3, FALSE)</f>
        <v>365</v>
      </c>
    </row>
    <row r="55" spans="1:16" ht="29" x14ac:dyDescent="0.35">
      <c r="A55" s="34">
        <v>54</v>
      </c>
      <c r="B55" s="33" t="str">
        <f>IF(AND(ISNUMBER(MATCH(H55, 'Processed Non-zero TRI Data'!$I$2:$I$23, FALSE)),ISNUMBER(MATCH(I55, 'Processed Non-zero DMR Data'!$K:$K, FALSE))),"Both TRI Form "&amp; VLOOKUP(H55, 'Processed Non-zero TRI Data'!$I$2:$K$23, 3, FALSE)&amp; " &amp; DMR", IFERROR("Only TRI Form "&amp; VLOOKUP(H55, 'Processed Non-zero TRI Data'!$I$2:$K$23, 3, FALSE), "Only DMR"))</f>
        <v>Only DMR</v>
      </c>
      <c r="C55" s="34" t="s">
        <v>529</v>
      </c>
      <c r="D55" s="34" t="s">
        <v>128</v>
      </c>
      <c r="E55" s="34" t="s">
        <v>129</v>
      </c>
      <c r="F55" s="34">
        <v>38.539057</v>
      </c>
      <c r="G55" s="34">
        <v>-90.971136000000001</v>
      </c>
      <c r="H55" s="34"/>
      <c r="I55" s="105">
        <v>110000595909</v>
      </c>
      <c r="J55" s="33">
        <f>IF(OR($H55="",$H55="Yes"), VLOOKUP($I55, 'Processed Non-zero DMR Data'!$K:$V, 10, FALSE),"")</f>
        <v>1.7161644199999999E-2</v>
      </c>
      <c r="K55" s="33" t="str">
        <f>IFERROR(VLOOKUP($H55, 'Processed Non-zero TRI Data'!$I:$M, 5, 0), VLOOKUP($I55, 'Processed Non-zero DMR Data'!$K:$M, 3, FALSE))</f>
        <v>Fabricated Metal Products, Nec</v>
      </c>
      <c r="L55" s="33" t="str">
        <f>IFERROR(VLOOKUP($H55, 'Processed Non-zero TRI Data'!I:P, 8, 0), "Direct")</f>
        <v>Direct</v>
      </c>
      <c r="M55" s="33" t="str">
        <f>VLOOKUP($N55, 'COU.OES Summary'!C:D, 2, FALSE)</f>
        <v> </v>
      </c>
      <c r="N55" s="33" t="str">
        <f>IFERROR(VLOOKUP($H55, 'Processed Non-zero TRI Data'!$I:$O, 7, FALSE), VLOOKUP($I55, 'Processed Non-zero DMR Data'!$K:$R, 8, FALSE))</f>
        <v>Waste handling, treatment, and disposal - Remediation or Monitoring</v>
      </c>
      <c r="O55" s="33" t="s">
        <v>710</v>
      </c>
      <c r="P55" s="33">
        <f>VLOOKUP($N55, 'COU.OES Summary'!C:E, 3, FALSE)</f>
        <v>365</v>
      </c>
    </row>
    <row r="56" spans="1:16" ht="29" x14ac:dyDescent="0.35">
      <c r="A56" s="34">
        <v>55</v>
      </c>
      <c r="B56" s="33" t="str">
        <f>IF(AND(ISNUMBER(MATCH(H56, 'Processed Non-zero TRI Data'!$I$2:$I$23, FALSE)),ISNUMBER(MATCH(I56, 'Processed Non-zero DMR Data'!$K:$K, FALSE))),"Both TRI Form "&amp; VLOOKUP(H56, 'Processed Non-zero TRI Data'!$I$2:$K$23, 3, FALSE)&amp; " &amp; DMR", IFERROR("Only TRI Form "&amp; VLOOKUP(H56, 'Processed Non-zero TRI Data'!$I$2:$K$23, 3, FALSE), "Only DMR"))</f>
        <v>Only DMR</v>
      </c>
      <c r="C56" s="34" t="s">
        <v>217</v>
      </c>
      <c r="D56" s="34" t="s">
        <v>218</v>
      </c>
      <c r="E56" s="34" t="s">
        <v>129</v>
      </c>
      <c r="F56" s="34">
        <v>39.662540999999997</v>
      </c>
      <c r="G56" s="34">
        <v>-91.301670000000001</v>
      </c>
      <c r="H56" s="34"/>
      <c r="I56" s="105">
        <v>110000595981</v>
      </c>
      <c r="J56" s="33">
        <f>IF(OR($H56="",$H56="Yes"), VLOOKUP($I56, 'Processed Non-zero DMR Data'!$K:$V, 10, FALSE),"")</f>
        <v>0.49734899999999999</v>
      </c>
      <c r="K56" s="33" t="str">
        <f>IFERROR(VLOOKUP($H56, 'Processed Non-zero TRI Data'!$I:$M, 5, 0), VLOOKUP($I56, 'Processed Non-zero DMR Data'!$K:$M, 3, FALSE))</f>
        <v>Cement, Hydraulic</v>
      </c>
      <c r="L56" s="33" t="str">
        <f>IFERROR(VLOOKUP($H56, 'Processed Non-zero TRI Data'!I:P, 8, 0), "Direct")</f>
        <v>Direct</v>
      </c>
      <c r="M56" s="33" t="str">
        <f>VLOOKUP($N56, 'COU.OES Summary'!C:D, 2, FALSE)</f>
        <v> </v>
      </c>
      <c r="N56" s="33" t="str">
        <f>IFERROR(VLOOKUP($H56, 'Processed Non-zero TRI Data'!$I:$O, 7, FALSE), VLOOKUP($I56, 'Processed Non-zero DMR Data'!$K:$R, 8, FALSE))</f>
        <v>Waste handling, treatment, and disposal - Remediation or Monitoring</v>
      </c>
      <c r="O56" s="33" t="s">
        <v>710</v>
      </c>
      <c r="P56" s="33">
        <f>VLOOKUP($N56, 'COU.OES Summary'!C:E, 3, FALSE)</f>
        <v>365</v>
      </c>
    </row>
    <row r="57" spans="1:16" ht="29" x14ac:dyDescent="0.35">
      <c r="A57" s="34">
        <v>56</v>
      </c>
      <c r="B57" s="33" t="str">
        <f>IF(AND(ISNUMBER(MATCH(H57, 'Processed Non-zero TRI Data'!$I$2:$I$23, FALSE)),ISNUMBER(MATCH(I57, 'Processed Non-zero DMR Data'!$K:$K, FALSE))),"Both TRI Form "&amp; VLOOKUP(H57, 'Processed Non-zero TRI Data'!$I$2:$K$23, 3, FALSE)&amp; " &amp; DMR", IFERROR("Only TRI Form "&amp; VLOOKUP(H57, 'Processed Non-zero TRI Data'!$I$2:$K$23, 3, FALSE), "Only DMR"))</f>
        <v>Only DMR</v>
      </c>
      <c r="C57" s="34" t="s">
        <v>317</v>
      </c>
      <c r="D57" s="34" t="s">
        <v>90</v>
      </c>
      <c r="E57" s="34" t="s">
        <v>91</v>
      </c>
      <c r="F57" s="34">
        <v>30.193916000000002</v>
      </c>
      <c r="G57" s="34">
        <v>-93.321347000000003</v>
      </c>
      <c r="H57" s="34"/>
      <c r="I57" s="105">
        <v>110000597266</v>
      </c>
      <c r="J57" s="33">
        <f>IF(OR($H57="",$H57="Yes"), VLOOKUP($I57, 'Processed Non-zero DMR Data'!$K:$V, 10, FALSE),"")</f>
        <v>0.33141999999999999</v>
      </c>
      <c r="K57" s="33" t="str">
        <f>IFERROR(VLOOKUP($H57, 'Processed Non-zero TRI Data'!$I:$M, 5, 0), VLOOKUP($I57, 'Processed Non-zero DMR Data'!$K:$M, 3, FALSE))</f>
        <v>Plastics Materials and Resins</v>
      </c>
      <c r="L57" s="33" t="str">
        <f>IFERROR(VLOOKUP($H57, 'Processed Non-zero TRI Data'!I:P, 8, 0), "Direct")</f>
        <v>Direct</v>
      </c>
      <c r="M57" s="33" t="str">
        <f>VLOOKUP($N57, 'COU.OES Summary'!C:D, 2, FALSE)</f>
        <v> </v>
      </c>
      <c r="N57" s="33" t="str">
        <f>IFERROR(VLOOKUP($H57, 'Processed Non-zero TRI Data'!$I:$O, 7, FALSE), VLOOKUP($I57, 'Processed Non-zero DMR Data'!$K:$R, 8, FALSE))</f>
        <v>Waste handling, treatment, and disposal - Remediation or Monitoring</v>
      </c>
      <c r="O57" s="33" t="s">
        <v>710</v>
      </c>
      <c r="P57" s="33">
        <f>VLOOKUP($N57, 'COU.OES Summary'!C:E, 3, FALSE)</f>
        <v>365</v>
      </c>
    </row>
    <row r="58" spans="1:16" ht="29" x14ac:dyDescent="0.35">
      <c r="A58" s="34">
        <v>57</v>
      </c>
      <c r="B58" s="33" t="str">
        <f>IF(AND(ISNUMBER(MATCH(H58, 'Processed Non-zero TRI Data'!$I$2:$I$23, FALSE)),ISNUMBER(MATCH(I58, 'Processed Non-zero DMR Data'!$K:$K, FALSE))),"Both TRI Form "&amp; VLOOKUP(H58, 'Processed Non-zero TRI Data'!$I$2:$K$23, 3, FALSE)&amp; " &amp; DMR", IFERROR("Only TRI Form "&amp; VLOOKUP(H58, 'Processed Non-zero TRI Data'!$I$2:$K$23, 3, FALSE), "Only DMR"))</f>
        <v>Only DMR</v>
      </c>
      <c r="C58" s="34" t="s">
        <v>533</v>
      </c>
      <c r="D58" s="34" t="s">
        <v>534</v>
      </c>
      <c r="E58" s="34" t="s">
        <v>91</v>
      </c>
      <c r="F58" s="34">
        <v>30.486767</v>
      </c>
      <c r="G58" s="34">
        <v>-90.925479999999993</v>
      </c>
      <c r="H58" s="34"/>
      <c r="I58" s="105">
        <v>110000597355</v>
      </c>
      <c r="J58" s="33">
        <f>IF(OR($H58="",$H58="Yes"), VLOOKUP($I58, 'Processed Non-zero DMR Data'!$K:$V, 10, FALSE),"")</f>
        <v>3.3141999999999998E-2</v>
      </c>
      <c r="K58" s="33" t="str">
        <f>IFERROR(VLOOKUP($H58, 'Processed Non-zero TRI Data'!$I:$M, 5, 0), VLOOKUP($I58, 'Processed Non-zero DMR Data'!$K:$M, 3, FALSE))</f>
        <v>Chemical Preparations, Nec</v>
      </c>
      <c r="L58" s="33" t="str">
        <f>IFERROR(VLOOKUP($H58, 'Processed Non-zero TRI Data'!I:P, 8, 0), "Direct")</f>
        <v>Direct</v>
      </c>
      <c r="M58" s="33" t="str">
        <f>VLOOKUP($N58, 'COU.OES Summary'!C:D, 2, FALSE)</f>
        <v> </v>
      </c>
      <c r="N58" s="33" t="str">
        <f>IFERROR(VLOOKUP($H58, 'Processed Non-zero TRI Data'!$I:$O, 7, FALSE), VLOOKUP($I58, 'Processed Non-zero DMR Data'!$K:$R, 8, FALSE))</f>
        <v>Waste handling, treatment, and disposal - Remediation or Monitoring</v>
      </c>
      <c r="O58" s="33" t="s">
        <v>710</v>
      </c>
      <c r="P58" s="33">
        <f>VLOOKUP($N58, 'COU.OES Summary'!C:E, 3, FALSE)</f>
        <v>365</v>
      </c>
    </row>
    <row r="59" spans="1:16" ht="29" x14ac:dyDescent="0.35">
      <c r="A59" s="34">
        <v>58</v>
      </c>
      <c r="B59" s="33" t="str">
        <f>IF(AND(ISNUMBER(MATCH(H59, 'Processed Non-zero TRI Data'!$I$2:$I$23, FALSE)),ISNUMBER(MATCH(I59, 'Processed Non-zero DMR Data'!$K:$K, FALSE))),"Both TRI Form "&amp; VLOOKUP(H59, 'Processed Non-zero TRI Data'!$I$2:$K$23, 3, FALSE)&amp; " &amp; DMR", IFERROR("Only TRI Form "&amp; VLOOKUP(H59, 'Processed Non-zero TRI Data'!$I$2:$K$23, 3, FALSE), "Only DMR"))</f>
        <v>Only DMR</v>
      </c>
      <c r="C59" s="34" t="s">
        <v>318</v>
      </c>
      <c r="D59" s="34" t="s">
        <v>319</v>
      </c>
      <c r="E59" s="34" t="s">
        <v>91</v>
      </c>
      <c r="F59" s="34">
        <v>30.241299999999999</v>
      </c>
      <c r="G59" s="34">
        <v>-91.100899999999996</v>
      </c>
      <c r="H59" s="34"/>
      <c r="I59" s="105">
        <v>110000597426</v>
      </c>
      <c r="J59" s="33">
        <f>IF(OR($H59="",$H59="Yes"), VLOOKUP($I59, 'Processed Non-zero DMR Data'!$K:$V, 10, FALSE),"")</f>
        <v>0.82855000000000001</v>
      </c>
      <c r="K59" s="33" t="str">
        <f>IFERROR(VLOOKUP($H59, 'Processed Non-zero TRI Data'!$I:$M, 5, 0), VLOOKUP($I59, 'Processed Non-zero DMR Data'!$K:$M, 3, FALSE))</f>
        <v>Industrial Inorganic Chemicals, Nec</v>
      </c>
      <c r="L59" s="33" t="str">
        <f>IFERROR(VLOOKUP($H59, 'Processed Non-zero TRI Data'!I:P, 8, 0), "Direct")</f>
        <v>Direct</v>
      </c>
      <c r="M59" s="33" t="str">
        <f>VLOOKUP($N59, 'COU.OES Summary'!C:D, 2, FALSE)</f>
        <v> </v>
      </c>
      <c r="N59" s="33" t="str">
        <f>IFERROR(VLOOKUP($H59, 'Processed Non-zero TRI Data'!$I:$O, 7, FALSE), VLOOKUP($I59, 'Processed Non-zero DMR Data'!$K:$R, 8, FALSE))</f>
        <v>Waste handling, treatment, and disposal - Remediation or Monitoring</v>
      </c>
      <c r="O59" s="33" t="s">
        <v>710</v>
      </c>
      <c r="P59" s="33">
        <f>VLOOKUP($N59, 'COU.OES Summary'!C:E, 3, FALSE)</f>
        <v>365</v>
      </c>
    </row>
    <row r="60" spans="1:16" ht="29" x14ac:dyDescent="0.35">
      <c r="A60" s="34">
        <v>59</v>
      </c>
      <c r="B60" s="33" t="str">
        <f>IF(AND(ISNUMBER(MATCH(H60, 'Processed Non-zero TRI Data'!$I$2:$I$23, FALSE)),ISNUMBER(MATCH(I60, 'Processed Non-zero DMR Data'!$K:$K, FALSE))),"Both TRI Form "&amp; VLOOKUP(H60, 'Processed Non-zero TRI Data'!$I$2:$K$23, 3, FALSE)&amp; " &amp; DMR", IFERROR("Only TRI Form "&amp; VLOOKUP(H60, 'Processed Non-zero TRI Data'!$I$2:$K$23, 3, FALSE), "Only DMR"))</f>
        <v>Only DMR</v>
      </c>
      <c r="C60" s="34" t="s">
        <v>593</v>
      </c>
      <c r="D60" s="34" t="s">
        <v>594</v>
      </c>
      <c r="E60" s="34" t="s">
        <v>95</v>
      </c>
      <c r="F60" s="34">
        <v>29.458400000000001</v>
      </c>
      <c r="G60" s="34">
        <v>-95.330399999999997</v>
      </c>
      <c r="H60" s="34"/>
      <c r="I60" s="105">
        <v>110000599479</v>
      </c>
      <c r="J60" s="33">
        <f>IF(OR($H60="",$H60="Yes"), VLOOKUP($I60, 'Processed Non-zero DMR Data'!$K:$V, 10, FALSE),"")</f>
        <v>1.4913900000000001E-2</v>
      </c>
      <c r="K60" s="33" t="str">
        <f>IFERROR(VLOOKUP($H60, 'Processed Non-zero TRI Data'!$I:$M, 5, 0), VLOOKUP($I60, 'Processed Non-zero DMR Data'!$K:$M, 3, FALSE))</f>
        <v>Industrial Organic Chemicals, Nec</v>
      </c>
      <c r="L60" s="33" t="str">
        <f>IFERROR(VLOOKUP($H60, 'Processed Non-zero TRI Data'!I:P, 8, 0), "Direct")</f>
        <v>Direct</v>
      </c>
      <c r="M60" s="33" t="str">
        <f>VLOOKUP($N60, 'COU.OES Summary'!C:D, 2, FALSE)</f>
        <v> </v>
      </c>
      <c r="N60" s="33" t="str">
        <f>IFERROR(VLOOKUP($H60, 'Processed Non-zero TRI Data'!$I:$O, 7, FALSE), VLOOKUP($I60, 'Processed Non-zero DMR Data'!$K:$R, 8, FALSE))</f>
        <v>Waste handling, treatment, and disposal - Remediation or Monitoring</v>
      </c>
      <c r="O60" s="33" t="s">
        <v>710</v>
      </c>
      <c r="P60" s="33">
        <f>VLOOKUP($N60, 'COU.OES Summary'!C:E, 3, FALSE)</f>
        <v>365</v>
      </c>
    </row>
    <row r="61" spans="1:16" ht="29" x14ac:dyDescent="0.35">
      <c r="A61" s="34">
        <v>60</v>
      </c>
      <c r="B61" s="33" t="str">
        <f>IF(AND(ISNUMBER(MATCH(H61, 'Processed Non-zero TRI Data'!$I$2:$I$23, FALSE)),ISNUMBER(MATCH(I61, 'Processed Non-zero DMR Data'!$K:$K, FALSE))),"Both TRI Form "&amp; VLOOKUP(H61, 'Processed Non-zero TRI Data'!$I$2:$K$23, 3, FALSE)&amp; " &amp; DMR", IFERROR("Only TRI Form "&amp; VLOOKUP(H61, 'Processed Non-zero TRI Data'!$I$2:$K$23, 3, FALSE), "Only DMR"))</f>
        <v>Only DMR</v>
      </c>
      <c r="C61" s="34" t="s">
        <v>348</v>
      </c>
      <c r="D61" s="34" t="s">
        <v>349</v>
      </c>
      <c r="E61" s="34" t="s">
        <v>350</v>
      </c>
      <c r="F61" s="34">
        <v>39.719476999999998</v>
      </c>
      <c r="G61" s="34">
        <v>-80.827316999999994</v>
      </c>
      <c r="H61" s="34"/>
      <c r="I61" s="105">
        <v>110000608030</v>
      </c>
      <c r="J61" s="33">
        <f>IF(OR($H61="",$H61="Yes"), VLOOKUP($I61, 'Processed Non-zero DMR Data'!$K:$V, 10, FALSE),"")</f>
        <v>0.62128992000000005</v>
      </c>
      <c r="K61" s="33" t="str">
        <f>IFERROR(VLOOKUP($H61, 'Processed Non-zero TRI Data'!$I:$M, 5, 0), VLOOKUP($I61, 'Processed Non-zero DMR Data'!$K:$M, 3, FALSE))</f>
        <v>Industrial Organic Chemicals, Nec</v>
      </c>
      <c r="L61" s="33" t="str">
        <f>IFERROR(VLOOKUP($H61, 'Processed Non-zero TRI Data'!I:P, 8, 0), "Direct")</f>
        <v>Direct</v>
      </c>
      <c r="M61" s="33" t="str">
        <f>VLOOKUP($N61, 'COU.OES Summary'!C:D, 2, FALSE)</f>
        <v> </v>
      </c>
      <c r="N61" s="33" t="str">
        <f>IFERROR(VLOOKUP($H61, 'Processed Non-zero TRI Data'!$I:$O, 7, FALSE), VLOOKUP($I61, 'Processed Non-zero DMR Data'!$K:$R, 8, FALSE))</f>
        <v>Waste handling, treatment, and disposal - Remediation or Monitoring</v>
      </c>
      <c r="O61" s="33" t="s">
        <v>710</v>
      </c>
      <c r="P61" s="33">
        <f>VLOOKUP($N61, 'COU.OES Summary'!C:E, 3, FALSE)</f>
        <v>365</v>
      </c>
    </row>
    <row r="62" spans="1:16" ht="29" x14ac:dyDescent="0.35">
      <c r="A62" s="34">
        <v>61</v>
      </c>
      <c r="B62" s="33" t="str">
        <f>IF(AND(ISNUMBER(MATCH(H62, 'Processed Non-zero TRI Data'!$I$2:$I$23, FALSE)),ISNUMBER(MATCH(I62, 'Processed Non-zero DMR Data'!$K:$K, FALSE))),"Both TRI Form "&amp; VLOOKUP(H62, 'Processed Non-zero TRI Data'!$I$2:$K$23, 3, FALSE)&amp; " &amp; DMR", IFERROR("Only TRI Form "&amp; VLOOKUP(H62, 'Processed Non-zero TRI Data'!$I$2:$K$23, 3, FALSE), "Only DMR"))</f>
        <v>Only DMR</v>
      </c>
      <c r="C62" s="34" t="s">
        <v>565</v>
      </c>
      <c r="D62" s="34" t="s">
        <v>566</v>
      </c>
      <c r="E62" s="34" t="s">
        <v>567</v>
      </c>
      <c r="F62" s="34">
        <v>34.632592000000002</v>
      </c>
      <c r="G62" s="34">
        <v>-84.927667999999997</v>
      </c>
      <c r="H62" s="34"/>
      <c r="I62" s="105">
        <v>110000611703</v>
      </c>
      <c r="J62" s="33">
        <f>IF(OR($H62="",$H62="Yes"), VLOOKUP($I62, 'Processed Non-zero DMR Data'!$K:$V, 10, FALSE),"")</f>
        <v>2.1111000000000001E-2</v>
      </c>
      <c r="K62" s="33" t="str">
        <f>IFERROR(VLOOKUP($H62, 'Processed Non-zero TRI Data'!$I:$M, 5, 0), VLOOKUP($I62, 'Processed Non-zero DMR Data'!$K:$M, 3, FALSE))</f>
        <v>Plastics Materials and Resins</v>
      </c>
      <c r="L62" s="33" t="str">
        <f>IFERROR(VLOOKUP($H62, 'Processed Non-zero TRI Data'!I:P, 8, 0), "Direct")</f>
        <v>Direct</v>
      </c>
      <c r="M62" s="33" t="str">
        <f>VLOOKUP($N62, 'COU.OES Summary'!C:D, 2, FALSE)</f>
        <v> </v>
      </c>
      <c r="N62" s="33" t="str">
        <f>IFERROR(VLOOKUP($H62, 'Processed Non-zero TRI Data'!$I:$O, 7, FALSE), VLOOKUP($I62, 'Processed Non-zero DMR Data'!$K:$R, 8, FALSE))</f>
        <v>Waste handling, treatment, and disposal - Remediation or Monitoring</v>
      </c>
      <c r="O62" s="33" t="s">
        <v>710</v>
      </c>
      <c r="P62" s="33">
        <f>VLOOKUP($N62, 'COU.OES Summary'!C:E, 3, FALSE)</f>
        <v>365</v>
      </c>
    </row>
    <row r="63" spans="1:16" ht="29" x14ac:dyDescent="0.35">
      <c r="A63" s="34">
        <v>62</v>
      </c>
      <c r="B63" s="33" t="str">
        <f>IF(AND(ISNUMBER(MATCH(H63, 'Processed Non-zero TRI Data'!$I$2:$I$23, FALSE)),ISNUMBER(MATCH(I63, 'Processed Non-zero DMR Data'!$K:$K, FALSE))),"Both TRI Form "&amp; VLOOKUP(H63, 'Processed Non-zero TRI Data'!$I$2:$K$23, 3, FALSE)&amp; " &amp; DMR", IFERROR("Only TRI Form "&amp; VLOOKUP(H63, 'Processed Non-zero TRI Data'!$I$2:$K$23, 3, FALSE), "Only DMR"))</f>
        <v>Only DMR</v>
      </c>
      <c r="C63" s="34" t="s">
        <v>355</v>
      </c>
      <c r="D63" s="34" t="s">
        <v>90</v>
      </c>
      <c r="E63" s="34" t="s">
        <v>91</v>
      </c>
      <c r="F63" s="34">
        <v>30.321895000000001</v>
      </c>
      <c r="G63" s="34">
        <v>-93.300735000000003</v>
      </c>
      <c r="H63" s="34"/>
      <c r="I63" s="105">
        <v>110000613685</v>
      </c>
      <c r="J63" s="33">
        <f>IF(OR($H63="",$H63="Yes"), VLOOKUP($I63, 'Processed Non-zero DMR Data'!$K:$V, 10, FALSE),"")</f>
        <v>1.0430513749999999</v>
      </c>
      <c r="K63" s="33" t="str">
        <f>IFERROR(VLOOKUP($H63, 'Processed Non-zero TRI Data'!$I:$M, 5, 0), VLOOKUP($I63, 'Processed Non-zero DMR Data'!$K:$M, 3, FALSE))</f>
        <v>Refuse Systems</v>
      </c>
      <c r="L63" s="33" t="str">
        <f>IFERROR(VLOOKUP($H63, 'Processed Non-zero TRI Data'!I:P, 8, 0), "Direct")</f>
        <v>Direct</v>
      </c>
      <c r="M63" s="33" t="str">
        <f>VLOOKUP($N63, 'COU.OES Summary'!C:D, 2, FALSE)</f>
        <v> </v>
      </c>
      <c r="N63" s="33" t="str">
        <f>IFERROR(VLOOKUP($H63, 'Processed Non-zero TRI Data'!$I:$O, 7, FALSE), VLOOKUP($I63, 'Processed Non-zero DMR Data'!$K:$R, 8, FALSE))</f>
        <v>Waste handling, treatment, and disposal - non-POTW WWT</v>
      </c>
      <c r="O63" s="33" t="s">
        <v>710</v>
      </c>
      <c r="P63" s="33">
        <f>VLOOKUP($N63, 'COU.OES Summary'!C:E, 3, FALSE)</f>
        <v>365</v>
      </c>
    </row>
    <row r="64" spans="1:16" ht="29" x14ac:dyDescent="0.35">
      <c r="A64" s="34">
        <v>63</v>
      </c>
      <c r="B64" s="33" t="str">
        <f>IF(AND(ISNUMBER(MATCH(H64, 'Processed Non-zero TRI Data'!$I$2:$I$23, FALSE)),ISNUMBER(MATCH(I64, 'Processed Non-zero DMR Data'!$K:$K, FALSE))),"Both TRI Form "&amp; VLOOKUP(H64, 'Processed Non-zero TRI Data'!$I$2:$K$23, 3, FALSE)&amp; " &amp; DMR", IFERROR("Only TRI Form "&amp; VLOOKUP(H64, 'Processed Non-zero TRI Data'!$I$2:$K$23, 3, FALSE), "Only DMR"))</f>
        <v>Only DMR</v>
      </c>
      <c r="C64" s="34" t="s">
        <v>508</v>
      </c>
      <c r="D64" s="34" t="s">
        <v>509</v>
      </c>
      <c r="E64" s="34" t="s">
        <v>129</v>
      </c>
      <c r="F64" s="34">
        <v>39.248446999999999</v>
      </c>
      <c r="G64" s="34">
        <v>-94.293233000000001</v>
      </c>
      <c r="H64" s="34"/>
      <c r="I64" s="105">
        <v>110000614746</v>
      </c>
      <c r="J64" s="33">
        <f>IF(OR($H64="",$H64="Yes"), VLOOKUP($I64, 'Processed Non-zero DMR Data'!$K:$V, 10, FALSE),"")</f>
        <v>4.9800192631524999E-2</v>
      </c>
      <c r="K64" s="33" t="str">
        <f>IFERROR(VLOOKUP($H64, 'Processed Non-zero TRI Data'!$I:$M, 5, 0), VLOOKUP($I64, 'Processed Non-zero DMR Data'!$K:$M, 3, FALSE))</f>
        <v>Refuse Systems</v>
      </c>
      <c r="L64" s="33" t="str">
        <f>IFERROR(VLOOKUP($H64, 'Processed Non-zero TRI Data'!I:P, 8, 0), "Direct")</f>
        <v>Direct</v>
      </c>
      <c r="M64" s="33" t="str">
        <f>VLOOKUP($N64, 'COU.OES Summary'!C:D, 2, FALSE)</f>
        <v> </v>
      </c>
      <c r="N64" s="33" t="str">
        <f>IFERROR(VLOOKUP($H64, 'Processed Non-zero TRI Data'!$I:$O, 7, FALSE), VLOOKUP($I64, 'Processed Non-zero DMR Data'!$K:$R, 8, FALSE))</f>
        <v>Waste handling, treatment, and disposal - non-POTW WWT</v>
      </c>
      <c r="O64" s="33" t="s">
        <v>710</v>
      </c>
      <c r="P64" s="33">
        <f>VLOOKUP($N64, 'COU.OES Summary'!C:E, 3, FALSE)</f>
        <v>365</v>
      </c>
    </row>
    <row r="65" spans="1:16" ht="29" x14ac:dyDescent="0.35">
      <c r="A65" s="34">
        <v>64</v>
      </c>
      <c r="B65" s="33" t="str">
        <f>IF(AND(ISNUMBER(MATCH(H65, 'Processed Non-zero TRI Data'!$I$2:$I$23, FALSE)),ISNUMBER(MATCH(I65, 'Processed Non-zero DMR Data'!$K:$K, FALSE))),"Both TRI Form "&amp; VLOOKUP(H65, 'Processed Non-zero TRI Data'!$I$2:$K$23, 3, FALSE)&amp; " &amp; DMR", IFERROR("Only TRI Form "&amp; VLOOKUP(H65, 'Processed Non-zero TRI Data'!$I$2:$K$23, 3, FALSE), "Only DMR"))</f>
        <v>Only DMR</v>
      </c>
      <c r="C65" s="34" t="s">
        <v>595</v>
      </c>
      <c r="D65" s="34" t="s">
        <v>596</v>
      </c>
      <c r="E65" s="34" t="s">
        <v>126</v>
      </c>
      <c r="F65" s="34">
        <v>43.211829000000002</v>
      </c>
      <c r="G65" s="34">
        <v>-77.929390999999995</v>
      </c>
      <c r="H65" s="34"/>
      <c r="I65" s="105">
        <v>110000616414</v>
      </c>
      <c r="J65" s="33">
        <f>IF(OR($H65="",$H65="Yes"), VLOOKUP($I65, 'Processed Non-zero DMR Data'!$K:$V, 10, FALSE),"")</f>
        <v>5.8111999999999999E-3</v>
      </c>
      <c r="K65" s="33" t="str">
        <f>IFERROR(VLOOKUP($H65, 'Processed Non-zero TRI Data'!$I:$M, 5, 0), VLOOKUP($I65, 'Processed Non-zero DMR Data'!$K:$M, 3, FALSE))</f>
        <v>Air, Water, and Solid Waste Management</v>
      </c>
      <c r="L65" s="33" t="str">
        <f>IFERROR(VLOOKUP($H65, 'Processed Non-zero TRI Data'!I:P, 8, 0), "Direct")</f>
        <v>Direct</v>
      </c>
      <c r="M65" s="33" t="str">
        <f>VLOOKUP($N65, 'COU.OES Summary'!C:D, 2, FALSE)</f>
        <v> </v>
      </c>
      <c r="N65" s="33" t="str">
        <f>IFERROR(VLOOKUP($H65, 'Processed Non-zero TRI Data'!$I:$O, 7, FALSE), VLOOKUP($I65, 'Processed Non-zero DMR Data'!$K:$R, 8, FALSE))</f>
        <v>Waste handling, treatment, and disposal - Remediation or Monitoring</v>
      </c>
      <c r="O65" s="33" t="s">
        <v>710</v>
      </c>
      <c r="P65" s="33">
        <f>VLOOKUP($N65, 'COU.OES Summary'!C:E, 3, FALSE)</f>
        <v>365</v>
      </c>
    </row>
    <row r="66" spans="1:16" ht="29" x14ac:dyDescent="0.35">
      <c r="A66" s="34">
        <v>65</v>
      </c>
      <c r="B66" s="33" t="str">
        <f>IF(AND(ISNUMBER(MATCH(H66, 'Processed Non-zero TRI Data'!$I$2:$I$23, FALSE)),ISNUMBER(MATCH(I66, 'Processed Non-zero DMR Data'!$K:$K, FALSE))),"Both TRI Form "&amp; VLOOKUP(H66, 'Processed Non-zero TRI Data'!$I$2:$K$23, 3, FALSE)&amp; " &amp; DMR", IFERROR("Only TRI Form "&amp; VLOOKUP(H66, 'Processed Non-zero TRI Data'!$I$2:$K$23, 3, FALSE), "Only DMR"))</f>
        <v>Only DMR</v>
      </c>
      <c r="C66" s="34" t="s">
        <v>550</v>
      </c>
      <c r="D66" s="34" t="s">
        <v>551</v>
      </c>
      <c r="E66" s="34" t="s">
        <v>340</v>
      </c>
      <c r="F66" s="34">
        <v>40.359177000000003</v>
      </c>
      <c r="G66" s="34">
        <v>-79.902659999999997</v>
      </c>
      <c r="H66" s="34"/>
      <c r="I66" s="105">
        <v>110000701973</v>
      </c>
      <c r="J66" s="33">
        <f>IF(OR($H66="",$H66="Yes"), VLOOKUP($I66, 'Processed Non-zero DMR Data'!$K:$V, 10, FALSE),"")</f>
        <v>2.6203555E-2</v>
      </c>
      <c r="K66" s="33" t="str">
        <f>IFERROR(VLOOKUP($H66, 'Processed Non-zero TRI Data'!$I:$M, 5, 0), VLOOKUP($I66, 'Processed Non-zero DMR Data'!$K:$M, 3, FALSE))</f>
        <v>Noncommercial Research Organizations</v>
      </c>
      <c r="L66" s="33" t="str">
        <f>IFERROR(VLOOKUP($H66, 'Processed Non-zero TRI Data'!I:P, 8, 0), "Direct")</f>
        <v>Direct</v>
      </c>
      <c r="M66" s="33" t="str">
        <f>VLOOKUP($N66, 'COU.OES Summary'!C:D, 2, FALSE)</f>
        <v> </v>
      </c>
      <c r="N66" s="33" t="str">
        <f>IFERROR(VLOOKUP($H66, 'Processed Non-zero TRI Data'!$I:$O, 7, FALSE), VLOOKUP($I66, 'Processed Non-zero DMR Data'!$K:$R, 8, FALSE))</f>
        <v>Waste handling, treatment, and disposal - Remediation or Monitoring</v>
      </c>
      <c r="O66" s="33" t="s">
        <v>710</v>
      </c>
      <c r="P66" s="33">
        <f>VLOOKUP($N66, 'COU.OES Summary'!C:E, 3, FALSE)</f>
        <v>365</v>
      </c>
    </row>
    <row r="67" spans="1:16" ht="29" x14ac:dyDescent="0.35">
      <c r="A67" s="34">
        <v>66</v>
      </c>
      <c r="B67" s="33" t="str">
        <f>IF(AND(ISNUMBER(MATCH(H67, 'Processed Non-zero TRI Data'!$I$2:$I$23, FALSE)),ISNUMBER(MATCH(I67, 'Processed Non-zero DMR Data'!$K:$K, FALSE))),"Both TRI Form "&amp; VLOOKUP(H67, 'Processed Non-zero TRI Data'!$I$2:$K$23, 3, FALSE)&amp; " &amp; DMR", IFERROR("Only TRI Form "&amp; VLOOKUP(H67, 'Processed Non-zero TRI Data'!$I$2:$K$23, 3, FALSE), "Only DMR"))</f>
        <v>Only DMR</v>
      </c>
      <c r="C67" s="34" t="s">
        <v>332</v>
      </c>
      <c r="D67" s="34" t="s">
        <v>333</v>
      </c>
      <c r="E67" s="34" t="s">
        <v>108</v>
      </c>
      <c r="F67" s="34">
        <v>36.946111000000002</v>
      </c>
      <c r="G67" s="34">
        <v>-85.020832999999996</v>
      </c>
      <c r="H67" s="34"/>
      <c r="I67" s="105">
        <v>110000719045</v>
      </c>
      <c r="J67" s="33">
        <f>IF(OR($H67="",$H67="Yes"), VLOOKUP($I67, 'Processed Non-zero DMR Data'!$K:$V, 10, FALSE),"")</f>
        <v>0.69628860000000004</v>
      </c>
      <c r="K67" s="33" t="str">
        <f>IFERROR(VLOOKUP($H67, 'Processed Non-zero TRI Data'!$I:$M, 5, 0), VLOOKUP($I67, 'Processed Non-zero DMR Data'!$K:$M, 3, FALSE))</f>
        <v>Sewerage Systems</v>
      </c>
      <c r="L67" s="33" t="str">
        <f>IFERROR(VLOOKUP($H67, 'Processed Non-zero TRI Data'!I:P, 8, 0), "Direct")</f>
        <v>Direct</v>
      </c>
      <c r="M67" s="33" t="str">
        <f>VLOOKUP($N67, 'COU.OES Summary'!C:D, 2, FALSE)</f>
        <v> </v>
      </c>
      <c r="N67" s="33" t="str">
        <f>IFERROR(VLOOKUP($H67, 'Processed Non-zero TRI Data'!$I:$O, 7, FALSE), VLOOKUP($I67, 'Processed Non-zero DMR Data'!$K:$R, 8, FALSE))</f>
        <v>Waste handling, treatment, and disposal - POTW</v>
      </c>
      <c r="O67" s="33" t="s">
        <v>710</v>
      </c>
      <c r="P67" s="33">
        <f>VLOOKUP($N67, 'COU.OES Summary'!C:E, 3, FALSE)</f>
        <v>365</v>
      </c>
    </row>
    <row r="68" spans="1:16" ht="29" x14ac:dyDescent="0.35">
      <c r="A68" s="34">
        <v>67</v>
      </c>
      <c r="B68" s="33" t="str">
        <f>IF(AND(ISNUMBER(MATCH(H68, 'Processed Non-zero TRI Data'!$I$2:$I$23, FALSE)),ISNUMBER(MATCH(I68, 'Processed Non-zero DMR Data'!$K:$K, FALSE))),"Both TRI Form "&amp; VLOOKUP(H68, 'Processed Non-zero TRI Data'!$I$2:$K$23, 3, FALSE)&amp; " &amp; DMR", IFERROR("Only TRI Form "&amp; VLOOKUP(H68, 'Processed Non-zero TRI Data'!$I$2:$K$23, 3, FALSE), "Only DMR"))</f>
        <v>Only DMR</v>
      </c>
      <c r="C68" s="34" t="s">
        <v>486</v>
      </c>
      <c r="D68" s="34" t="s">
        <v>415</v>
      </c>
      <c r="E68" s="34" t="s">
        <v>102</v>
      </c>
      <c r="F68" s="34">
        <v>39.916111000000001</v>
      </c>
      <c r="G68" s="34">
        <v>-122.104444</v>
      </c>
      <c r="H68" s="34"/>
      <c r="I68" s="105">
        <v>110000730451</v>
      </c>
      <c r="J68" s="33">
        <f>IF(OR($H68="",$H68="Yes"), VLOOKUP($I68, 'Processed Non-zero DMR Data'!$K:$V, 10, FALSE),"")</f>
        <v>6.7778701533333305E-2</v>
      </c>
      <c r="K68" s="33" t="str">
        <f>IFERROR(VLOOKUP($H68, 'Processed Non-zero TRI Data'!$I:$M, 5, 0), VLOOKUP($I68, 'Processed Non-zero DMR Data'!$K:$M, 3, FALSE))</f>
        <v>Sewerage Systems</v>
      </c>
      <c r="L68" s="33" t="str">
        <f>IFERROR(VLOOKUP($H68, 'Processed Non-zero TRI Data'!I:P, 8, 0), "Direct")</f>
        <v>Direct</v>
      </c>
      <c r="M68" s="33" t="str">
        <f>VLOOKUP($N68, 'COU.OES Summary'!C:D, 2, FALSE)</f>
        <v> </v>
      </c>
      <c r="N68" s="33" t="str">
        <f>IFERROR(VLOOKUP($H68, 'Processed Non-zero TRI Data'!$I:$O, 7, FALSE), VLOOKUP($I68, 'Processed Non-zero DMR Data'!$K:$R, 8, FALSE))</f>
        <v>Waste handling, treatment, and disposal - POTW</v>
      </c>
      <c r="O68" s="33" t="s">
        <v>710</v>
      </c>
      <c r="P68" s="33">
        <f>VLOOKUP($N68, 'COU.OES Summary'!C:E, 3, FALSE)</f>
        <v>365</v>
      </c>
    </row>
    <row r="69" spans="1:16" ht="29" x14ac:dyDescent="0.35">
      <c r="A69" s="34">
        <v>68</v>
      </c>
      <c r="B69" s="33" t="str">
        <f>IF(AND(ISNUMBER(MATCH(H69, 'Processed Non-zero TRI Data'!$I$2:$I$23, FALSE)),ISNUMBER(MATCH(I69, 'Processed Non-zero DMR Data'!$K:$K, FALSE))),"Both TRI Form "&amp; VLOOKUP(H69, 'Processed Non-zero TRI Data'!$I$2:$K$23, 3, FALSE)&amp; " &amp; DMR", IFERROR("Only TRI Form "&amp; VLOOKUP(H69, 'Processed Non-zero TRI Data'!$I$2:$K$23, 3, FALSE), "Only DMR"))</f>
        <v>Only DMR</v>
      </c>
      <c r="C69" s="34" t="s">
        <v>212</v>
      </c>
      <c r="D69" s="34" t="s">
        <v>213</v>
      </c>
      <c r="E69" s="34" t="s">
        <v>102</v>
      </c>
      <c r="F69" s="34">
        <v>38.368760000000002</v>
      </c>
      <c r="G69" s="34">
        <v>-122.76860000000001</v>
      </c>
      <c r="H69" s="34"/>
      <c r="I69" s="105">
        <v>110000730460</v>
      </c>
      <c r="J69" s="33">
        <f>IF(OR($H69="",$H69="Yes"), VLOOKUP($I69, 'Processed Non-zero DMR Data'!$K:$V, 10, FALSE),"")</f>
        <v>11.207385</v>
      </c>
      <c r="K69" s="33" t="str">
        <f>IFERROR(VLOOKUP($H69, 'Processed Non-zero TRI Data'!$I:$M, 5, 0), VLOOKUP($I69, 'Processed Non-zero DMR Data'!$K:$M, 3, FALSE))</f>
        <v>Sewerage Systems</v>
      </c>
      <c r="L69" s="33" t="str">
        <f>IFERROR(VLOOKUP($H69, 'Processed Non-zero TRI Data'!I:P, 8, 0), "Direct")</f>
        <v>Direct</v>
      </c>
      <c r="M69" s="33" t="str">
        <f>VLOOKUP($N69, 'COU.OES Summary'!C:D, 2, FALSE)</f>
        <v> </v>
      </c>
      <c r="N69" s="33" t="str">
        <f>IFERROR(VLOOKUP($H69, 'Processed Non-zero TRI Data'!$I:$O, 7, FALSE), VLOOKUP($I69, 'Processed Non-zero DMR Data'!$K:$R, 8, FALSE))</f>
        <v>Waste handling, treatment, and disposal - POTW</v>
      </c>
      <c r="O69" s="33" t="s">
        <v>710</v>
      </c>
      <c r="P69" s="33">
        <f>VLOOKUP($N69, 'COU.OES Summary'!C:E, 3, FALSE)</f>
        <v>365</v>
      </c>
    </row>
    <row r="70" spans="1:16" ht="29" x14ac:dyDescent="0.35">
      <c r="A70" s="34">
        <v>69</v>
      </c>
      <c r="B70" s="33" t="str">
        <f>IF(AND(ISNUMBER(MATCH(H70, 'Processed Non-zero TRI Data'!$I$2:$I$23, FALSE)),ISNUMBER(MATCH(I70, 'Processed Non-zero DMR Data'!$K:$K, FALSE))),"Both TRI Form "&amp; VLOOKUP(H70, 'Processed Non-zero TRI Data'!$I$2:$K$23, 3, FALSE)&amp; " &amp; DMR", IFERROR("Only TRI Form "&amp; VLOOKUP(H70, 'Processed Non-zero TRI Data'!$I$2:$K$23, 3, FALSE), "Only DMR"))</f>
        <v>Only DMR</v>
      </c>
      <c r="C70" s="34" t="s">
        <v>671</v>
      </c>
      <c r="D70" s="34" t="s">
        <v>672</v>
      </c>
      <c r="E70" s="34" t="s">
        <v>102</v>
      </c>
      <c r="F70" s="34">
        <v>40.162660000000002</v>
      </c>
      <c r="G70" s="34">
        <v>-122.22068</v>
      </c>
      <c r="H70" s="34"/>
      <c r="I70" s="105">
        <v>110000730745</v>
      </c>
      <c r="J70" s="33">
        <f>IF(OR($H70="",$H70="Yes"), VLOOKUP($I70, 'Processed Non-zero DMR Data'!$K:$V, 10, FALSE),"")</f>
        <v>1.1003752000000001E-3</v>
      </c>
      <c r="K70" s="33" t="str">
        <f>IFERROR(VLOOKUP($H70, 'Processed Non-zero TRI Data'!$I:$M, 5, 0), VLOOKUP($I70, 'Processed Non-zero DMR Data'!$K:$M, 3, FALSE))</f>
        <v>Sewerage Systems</v>
      </c>
      <c r="L70" s="33" t="str">
        <f>IFERROR(VLOOKUP($H70, 'Processed Non-zero TRI Data'!I:P, 8, 0), "Direct")</f>
        <v>Direct</v>
      </c>
      <c r="M70" s="33" t="str">
        <f>VLOOKUP($N70, 'COU.OES Summary'!C:D, 2, FALSE)</f>
        <v> </v>
      </c>
      <c r="N70" s="33" t="str">
        <f>IFERROR(VLOOKUP($H70, 'Processed Non-zero TRI Data'!$I:$O, 7, FALSE), VLOOKUP($I70, 'Processed Non-zero DMR Data'!$K:$R, 8, FALSE))</f>
        <v>Waste handling, treatment, and disposal - POTW</v>
      </c>
      <c r="O70" s="33" t="s">
        <v>710</v>
      </c>
      <c r="P70" s="33">
        <f>VLOOKUP($N70, 'COU.OES Summary'!C:E, 3, FALSE)</f>
        <v>365</v>
      </c>
    </row>
    <row r="71" spans="1:16" ht="29" x14ac:dyDescent="0.35">
      <c r="A71" s="34">
        <v>70</v>
      </c>
      <c r="B71" s="33" t="str">
        <f>IF(AND(ISNUMBER(MATCH(H71, 'Processed Non-zero TRI Data'!$I$2:$I$23, FALSE)),ISNUMBER(MATCH(I71, 'Processed Non-zero DMR Data'!$K:$K, FALSE))),"Both TRI Form "&amp; VLOOKUP(H71, 'Processed Non-zero TRI Data'!$I$2:$K$23, 3, FALSE)&amp; " &amp; DMR", IFERROR("Only TRI Form "&amp; VLOOKUP(H71, 'Processed Non-zero TRI Data'!$I$2:$K$23, 3, FALSE), "Only DMR"))</f>
        <v>Only DMR</v>
      </c>
      <c r="C71" s="34" t="s">
        <v>412</v>
      </c>
      <c r="D71" s="34" t="s">
        <v>413</v>
      </c>
      <c r="E71" s="34" t="s">
        <v>102</v>
      </c>
      <c r="F71" s="34">
        <v>32.664450000000002</v>
      </c>
      <c r="G71" s="34">
        <v>-115.55970499999999</v>
      </c>
      <c r="H71" s="34"/>
      <c r="I71" s="105">
        <v>110000730825</v>
      </c>
      <c r="J71" s="33">
        <f>IF(OR($H71="",$H71="Yes"), VLOOKUP($I71, 'Processed Non-zero DMR Data'!$K:$V, 10, FALSE),"")</f>
        <v>8.5136478124999998E-2</v>
      </c>
      <c r="K71" s="33" t="str">
        <f>IFERROR(VLOOKUP($H71, 'Processed Non-zero TRI Data'!$I:$M, 5, 0), VLOOKUP($I71, 'Processed Non-zero DMR Data'!$K:$M, 3, FALSE))</f>
        <v>Sewerage Systems</v>
      </c>
      <c r="L71" s="33" t="str">
        <f>IFERROR(VLOOKUP($H71, 'Processed Non-zero TRI Data'!I:P, 8, 0), "Direct")</f>
        <v>Direct</v>
      </c>
      <c r="M71" s="33" t="str">
        <f>VLOOKUP($N71, 'COU.OES Summary'!C:D, 2, FALSE)</f>
        <v> </v>
      </c>
      <c r="N71" s="33" t="str">
        <f>IFERROR(VLOOKUP($H71, 'Processed Non-zero TRI Data'!$I:$O, 7, FALSE), VLOOKUP($I71, 'Processed Non-zero DMR Data'!$K:$R, 8, FALSE))</f>
        <v>Waste handling, treatment, and disposal - POTW</v>
      </c>
      <c r="O71" s="33" t="s">
        <v>710</v>
      </c>
      <c r="P71" s="33">
        <f>VLOOKUP($N71, 'COU.OES Summary'!C:E, 3, FALSE)</f>
        <v>365</v>
      </c>
    </row>
    <row r="72" spans="1:16" ht="29" x14ac:dyDescent="0.35">
      <c r="A72" s="34">
        <v>71</v>
      </c>
      <c r="B72" s="33" t="str">
        <f>IF(AND(ISNUMBER(MATCH(H72, 'Processed Non-zero TRI Data'!$I$2:$I$23, FALSE)),ISNUMBER(MATCH(I72, 'Processed Non-zero DMR Data'!$K:$K, FALSE))),"Both TRI Form "&amp; VLOOKUP(H72, 'Processed Non-zero TRI Data'!$I$2:$K$23, 3, FALSE)&amp; " &amp; DMR", IFERROR("Only TRI Form "&amp; VLOOKUP(H72, 'Processed Non-zero TRI Data'!$I$2:$K$23, 3, FALSE), "Only DMR"))</f>
        <v>Only DMR</v>
      </c>
      <c r="C72" s="34" t="s">
        <v>164</v>
      </c>
      <c r="D72" s="34" t="s">
        <v>165</v>
      </c>
      <c r="E72" s="34" t="s">
        <v>108</v>
      </c>
      <c r="F72" s="34">
        <v>38.217222</v>
      </c>
      <c r="G72" s="34">
        <v>-84.564166999999998</v>
      </c>
      <c r="H72" s="34"/>
      <c r="I72" s="105">
        <v>110000732208</v>
      </c>
      <c r="J72" s="33">
        <f>IF(OR($H72="",$H72="Yes"), VLOOKUP($I72, 'Processed Non-zero DMR Data'!$K:$V, 10, FALSE),"")</f>
        <v>8.7726837500000006</v>
      </c>
      <c r="K72" s="33" t="str">
        <f>IFERROR(VLOOKUP($H72, 'Processed Non-zero TRI Data'!$I:$M, 5, 0), VLOOKUP($I72, 'Processed Non-zero DMR Data'!$K:$M, 3, FALSE))</f>
        <v>Sewerage Systems</v>
      </c>
      <c r="L72" s="33" t="str">
        <f>IFERROR(VLOOKUP($H72, 'Processed Non-zero TRI Data'!I:P, 8, 0), "Direct")</f>
        <v>Direct</v>
      </c>
      <c r="M72" s="33" t="str">
        <f>VLOOKUP($N72, 'COU.OES Summary'!C:D, 2, FALSE)</f>
        <v> </v>
      </c>
      <c r="N72" s="33" t="str">
        <f>IFERROR(VLOOKUP($H72, 'Processed Non-zero TRI Data'!$I:$O, 7, FALSE), VLOOKUP($I72, 'Processed Non-zero DMR Data'!$K:$R, 8, FALSE))</f>
        <v>Waste handling, treatment, and disposal - POTW</v>
      </c>
      <c r="O72" s="33" t="s">
        <v>710</v>
      </c>
      <c r="P72" s="33">
        <f>VLOOKUP($N72, 'COU.OES Summary'!C:E, 3, FALSE)</f>
        <v>365</v>
      </c>
    </row>
    <row r="73" spans="1:16" ht="29" x14ac:dyDescent="0.35">
      <c r="A73" s="34">
        <v>72</v>
      </c>
      <c r="B73" s="33" t="str">
        <f>IF(AND(ISNUMBER(MATCH(H73, 'Processed Non-zero TRI Data'!$I$2:$I$23, FALSE)),ISNUMBER(MATCH(I73, 'Processed Non-zero DMR Data'!$K:$K, FALSE))),"Both TRI Form "&amp; VLOOKUP(H73, 'Processed Non-zero TRI Data'!$I$2:$K$23, 3, FALSE)&amp; " &amp; DMR", IFERROR("Only TRI Form "&amp; VLOOKUP(H73, 'Processed Non-zero TRI Data'!$I$2:$K$23, 3, FALSE), "Only DMR"))</f>
        <v>Only DMR</v>
      </c>
      <c r="C73" s="34" t="s">
        <v>184</v>
      </c>
      <c r="D73" s="34" t="s">
        <v>185</v>
      </c>
      <c r="E73" s="34" t="s">
        <v>108</v>
      </c>
      <c r="F73" s="34">
        <v>38.057777999999999</v>
      </c>
      <c r="G73" s="34">
        <v>-84.743888999999996</v>
      </c>
      <c r="H73" s="34"/>
      <c r="I73" s="105">
        <v>110000732226</v>
      </c>
      <c r="J73" s="33">
        <f>IF(OR($H73="",$H73="Yes"), VLOOKUP($I73, 'Processed Non-zero DMR Data'!$K:$V, 10, FALSE),"")</f>
        <v>5.636622</v>
      </c>
      <c r="K73" s="33" t="str">
        <f>IFERROR(VLOOKUP($H73, 'Processed Non-zero TRI Data'!$I:$M, 5, 0), VLOOKUP($I73, 'Processed Non-zero DMR Data'!$K:$M, 3, FALSE))</f>
        <v>Sewerage Systems</v>
      </c>
      <c r="L73" s="33" t="str">
        <f>IFERROR(VLOOKUP($H73, 'Processed Non-zero TRI Data'!I:P, 8, 0), "Direct")</f>
        <v>Direct</v>
      </c>
      <c r="M73" s="33" t="str">
        <f>VLOOKUP($N73, 'COU.OES Summary'!C:D, 2, FALSE)</f>
        <v> </v>
      </c>
      <c r="N73" s="33" t="str">
        <f>IFERROR(VLOOKUP($H73, 'Processed Non-zero TRI Data'!$I:$O, 7, FALSE), VLOOKUP($I73, 'Processed Non-zero DMR Data'!$K:$R, 8, FALSE))</f>
        <v>Waste handling, treatment, and disposal - POTW</v>
      </c>
      <c r="O73" s="33" t="s">
        <v>710</v>
      </c>
      <c r="P73" s="33">
        <f>VLOOKUP($N73, 'COU.OES Summary'!C:E, 3, FALSE)</f>
        <v>365</v>
      </c>
    </row>
    <row r="74" spans="1:16" ht="29" x14ac:dyDescent="0.35">
      <c r="A74" s="34">
        <v>73</v>
      </c>
      <c r="B74" s="33" t="str">
        <f>IF(AND(ISNUMBER(MATCH(H74, 'Processed Non-zero TRI Data'!$I$2:$I$23, FALSE)),ISNUMBER(MATCH(I74, 'Processed Non-zero DMR Data'!$K:$K, FALSE))),"Both TRI Form "&amp; VLOOKUP(H74, 'Processed Non-zero TRI Data'!$I$2:$K$23, 3, FALSE)&amp; " &amp; DMR", IFERROR("Only TRI Form "&amp; VLOOKUP(H74, 'Processed Non-zero TRI Data'!$I$2:$K$23, 3, FALSE), "Only DMR"))</f>
        <v>Only DMR</v>
      </c>
      <c r="C74" s="34" t="s">
        <v>132</v>
      </c>
      <c r="D74" s="34" t="s">
        <v>133</v>
      </c>
      <c r="E74" s="34" t="s">
        <v>108</v>
      </c>
      <c r="F74" s="34">
        <v>38.474601999999997</v>
      </c>
      <c r="G74" s="34">
        <v>-82.623778999999999</v>
      </c>
      <c r="H74" s="34"/>
      <c r="I74" s="105">
        <v>110000732244</v>
      </c>
      <c r="J74" s="33">
        <f>IF(OR($H74="",$H74="Yes"), VLOOKUP($I74, 'Processed Non-zero DMR Data'!$K:$V, 10, FALSE),"")</f>
        <v>24.038535</v>
      </c>
      <c r="K74" s="33" t="str">
        <f>IFERROR(VLOOKUP($H74, 'Processed Non-zero TRI Data'!$I:$M, 5, 0), VLOOKUP($I74, 'Processed Non-zero DMR Data'!$K:$M, 3, FALSE))</f>
        <v>Sewerage Systems</v>
      </c>
      <c r="L74" s="33" t="str">
        <f>IFERROR(VLOOKUP($H74, 'Processed Non-zero TRI Data'!I:P, 8, 0), "Direct")</f>
        <v>Direct</v>
      </c>
      <c r="M74" s="33" t="str">
        <f>VLOOKUP($N74, 'COU.OES Summary'!C:D, 2, FALSE)</f>
        <v> </v>
      </c>
      <c r="N74" s="33" t="str">
        <f>IFERROR(VLOOKUP($H74, 'Processed Non-zero TRI Data'!$I:$O, 7, FALSE), VLOOKUP($I74, 'Processed Non-zero DMR Data'!$K:$R, 8, FALSE))</f>
        <v>Waste handling, treatment, and disposal - POTW</v>
      </c>
      <c r="O74" s="33" t="s">
        <v>710</v>
      </c>
      <c r="P74" s="33">
        <f>VLOOKUP($N74, 'COU.OES Summary'!C:E, 3, FALSE)</f>
        <v>365</v>
      </c>
    </row>
    <row r="75" spans="1:16" ht="29" x14ac:dyDescent="0.35">
      <c r="A75" s="34">
        <v>74</v>
      </c>
      <c r="B75" s="33" t="str">
        <f>IF(AND(ISNUMBER(MATCH(H75, 'Processed Non-zero TRI Data'!$I$2:$I$23, FALSE)),ISNUMBER(MATCH(I75, 'Processed Non-zero DMR Data'!$K:$K, FALSE))),"Both TRI Form "&amp; VLOOKUP(H75, 'Processed Non-zero TRI Data'!$I$2:$K$23, 3, FALSE)&amp; " &amp; DMR", IFERROR("Only TRI Form "&amp; VLOOKUP(H75, 'Processed Non-zero TRI Data'!$I$2:$K$23, 3, FALSE), "Only DMR"))</f>
        <v>Only DMR</v>
      </c>
      <c r="C75" s="34" t="s">
        <v>140</v>
      </c>
      <c r="D75" s="34" t="s">
        <v>141</v>
      </c>
      <c r="E75" s="34" t="s">
        <v>108</v>
      </c>
      <c r="F75" s="34">
        <v>37.845027999999999</v>
      </c>
      <c r="G75" s="34">
        <v>-85.940962999999996</v>
      </c>
      <c r="H75" s="34"/>
      <c r="I75" s="105">
        <v>110000732253</v>
      </c>
      <c r="J75" s="33">
        <f>IF(OR($H75="",$H75="Yes"), VLOOKUP($I75, 'Processed Non-zero DMR Data'!$K:$V, 10, FALSE),"")</f>
        <v>13.5216759375</v>
      </c>
      <c r="K75" s="33" t="str">
        <f>IFERROR(VLOOKUP($H75, 'Processed Non-zero TRI Data'!$I:$M, 5, 0), VLOOKUP($I75, 'Processed Non-zero DMR Data'!$K:$M, 3, FALSE))</f>
        <v>Sewerage Systems</v>
      </c>
      <c r="L75" s="33" t="str">
        <f>IFERROR(VLOOKUP($H75, 'Processed Non-zero TRI Data'!I:P, 8, 0), "Direct")</f>
        <v>Direct</v>
      </c>
      <c r="M75" s="33" t="str">
        <f>VLOOKUP($N75, 'COU.OES Summary'!C:D, 2, FALSE)</f>
        <v> </v>
      </c>
      <c r="N75" s="33" t="str">
        <f>IFERROR(VLOOKUP($H75, 'Processed Non-zero TRI Data'!$I:$O, 7, FALSE), VLOOKUP($I75, 'Processed Non-zero DMR Data'!$K:$R, 8, FALSE))</f>
        <v>Waste handling, treatment, and disposal - POTW</v>
      </c>
      <c r="O75" s="33" t="s">
        <v>710</v>
      </c>
      <c r="P75" s="33">
        <f>VLOOKUP($N75, 'COU.OES Summary'!C:E, 3, FALSE)</f>
        <v>365</v>
      </c>
    </row>
    <row r="76" spans="1:16" ht="29" x14ac:dyDescent="0.35">
      <c r="A76" s="34">
        <v>75</v>
      </c>
      <c r="B76" s="33" t="str">
        <f>IF(AND(ISNUMBER(MATCH(H76, 'Processed Non-zero TRI Data'!$I$2:$I$23, FALSE)),ISNUMBER(MATCH(I76, 'Processed Non-zero DMR Data'!$K:$K, FALSE))),"Both TRI Form "&amp; VLOOKUP(H76, 'Processed Non-zero TRI Data'!$I$2:$K$23, 3, FALSE)&amp; " &amp; DMR", IFERROR("Only TRI Form "&amp; VLOOKUP(H76, 'Processed Non-zero TRI Data'!$I$2:$K$23, 3, FALSE), "Only DMR"))</f>
        <v>Only DMR</v>
      </c>
      <c r="C76" s="34" t="s">
        <v>139</v>
      </c>
      <c r="D76" s="34" t="s">
        <v>107</v>
      </c>
      <c r="E76" s="34" t="s">
        <v>108</v>
      </c>
      <c r="F76" s="34">
        <v>38.322221999999996</v>
      </c>
      <c r="G76" s="34">
        <v>-85.555000000000007</v>
      </c>
      <c r="H76" s="34"/>
      <c r="I76" s="105">
        <v>110000732271</v>
      </c>
      <c r="J76" s="33">
        <f>IF(OR($H76="",$H76="Yes"), VLOOKUP($I76, 'Processed Non-zero DMR Data'!$K:$V, 10, FALSE),"")</f>
        <v>14.512920125000001</v>
      </c>
      <c r="K76" s="33" t="str">
        <f>IFERROR(VLOOKUP($H76, 'Processed Non-zero TRI Data'!$I:$M, 5, 0), VLOOKUP($I76, 'Processed Non-zero DMR Data'!$K:$M, 3, FALSE))</f>
        <v>Sewerage Systems</v>
      </c>
      <c r="L76" s="33" t="str">
        <f>IFERROR(VLOOKUP($H76, 'Processed Non-zero TRI Data'!I:P, 8, 0), "Direct")</f>
        <v>Direct</v>
      </c>
      <c r="M76" s="33" t="str">
        <f>VLOOKUP($N76, 'COU.OES Summary'!C:D, 2, FALSE)</f>
        <v> </v>
      </c>
      <c r="N76" s="33" t="str">
        <f>IFERROR(VLOOKUP($H76, 'Processed Non-zero TRI Data'!$I:$O, 7, FALSE), VLOOKUP($I76, 'Processed Non-zero DMR Data'!$K:$R, 8, FALSE))</f>
        <v>Waste handling, treatment, and disposal - POTW</v>
      </c>
      <c r="O76" s="33" t="s">
        <v>710</v>
      </c>
      <c r="P76" s="33">
        <f>VLOOKUP($N76, 'COU.OES Summary'!C:E, 3, FALSE)</f>
        <v>365</v>
      </c>
    </row>
    <row r="77" spans="1:16" ht="29" x14ac:dyDescent="0.35">
      <c r="A77" s="34">
        <v>76</v>
      </c>
      <c r="B77" s="33" t="str">
        <f>IF(AND(ISNUMBER(MATCH(H77, 'Processed Non-zero TRI Data'!$I$2:$I$23, FALSE)),ISNUMBER(MATCH(I77, 'Processed Non-zero DMR Data'!$K:$K, FALSE))),"Both TRI Form "&amp; VLOOKUP(H77, 'Processed Non-zero TRI Data'!$I$2:$K$23, 3, FALSE)&amp; " &amp; DMR", IFERROR("Only TRI Form "&amp; VLOOKUP(H77, 'Processed Non-zero TRI Data'!$I$2:$K$23, 3, FALSE), "Only DMR"))</f>
        <v>Only DMR</v>
      </c>
      <c r="C77" s="34" t="s">
        <v>142</v>
      </c>
      <c r="D77" s="34" t="s">
        <v>143</v>
      </c>
      <c r="E77" s="34" t="s">
        <v>108</v>
      </c>
      <c r="F77" s="34">
        <v>38.213957000000001</v>
      </c>
      <c r="G77" s="34">
        <v>-84.873705000000001</v>
      </c>
      <c r="H77" s="34"/>
      <c r="I77" s="105">
        <v>110000732299</v>
      </c>
      <c r="J77" s="33">
        <f>IF(OR($H77="",$H77="Yes"), VLOOKUP($I77, 'Processed Non-zero DMR Data'!$K:$V, 10, FALSE),"")</f>
        <v>13.4007925</v>
      </c>
      <c r="K77" s="33" t="str">
        <f>IFERROR(VLOOKUP($H77, 'Processed Non-zero TRI Data'!$I:$M, 5, 0), VLOOKUP($I77, 'Processed Non-zero DMR Data'!$K:$M, 3, FALSE))</f>
        <v>Sewerage Systems</v>
      </c>
      <c r="L77" s="33" t="str">
        <f>IFERROR(VLOOKUP($H77, 'Processed Non-zero TRI Data'!I:P, 8, 0), "Direct")</f>
        <v>Direct</v>
      </c>
      <c r="M77" s="33" t="str">
        <f>VLOOKUP($N77, 'COU.OES Summary'!C:D, 2, FALSE)</f>
        <v> </v>
      </c>
      <c r="N77" s="33" t="str">
        <f>IFERROR(VLOOKUP($H77, 'Processed Non-zero TRI Data'!$I:$O, 7, FALSE), VLOOKUP($I77, 'Processed Non-zero DMR Data'!$K:$R, 8, FALSE))</f>
        <v>Waste handling, treatment, and disposal - POTW</v>
      </c>
      <c r="O77" s="33" t="s">
        <v>710</v>
      </c>
      <c r="P77" s="33">
        <f>VLOOKUP($N77, 'COU.OES Summary'!C:E, 3, FALSE)</f>
        <v>365</v>
      </c>
    </row>
    <row r="78" spans="1:16" ht="29" x14ac:dyDescent="0.35">
      <c r="A78" s="34">
        <v>77</v>
      </c>
      <c r="B78" s="33" t="str">
        <f>IF(AND(ISNUMBER(MATCH(H78, 'Processed Non-zero TRI Data'!$I$2:$I$23, FALSE)),ISNUMBER(MATCH(I78, 'Processed Non-zero DMR Data'!$K:$K, FALSE))),"Both TRI Form "&amp; VLOOKUP(H78, 'Processed Non-zero TRI Data'!$I$2:$K$23, 3, FALSE)&amp; " &amp; DMR", IFERROR("Only TRI Form "&amp; VLOOKUP(H78, 'Processed Non-zero TRI Data'!$I$2:$K$23, 3, FALSE), "Only DMR"))</f>
        <v>Only DMR</v>
      </c>
      <c r="C78" s="34" t="s">
        <v>265</v>
      </c>
      <c r="D78" s="34" t="s">
        <v>266</v>
      </c>
      <c r="E78" s="34" t="s">
        <v>108</v>
      </c>
      <c r="F78" s="34">
        <v>37.776316000000001</v>
      </c>
      <c r="G78" s="34">
        <v>-84.867384999999999</v>
      </c>
      <c r="H78" s="34"/>
      <c r="I78" s="105">
        <v>110000732324</v>
      </c>
      <c r="J78" s="33">
        <f>IF(OR($H78="",$H78="Yes"), VLOOKUP($I78, 'Processed Non-zero DMR Data'!$K:$V, 10, FALSE),"")</f>
        <v>1.8070347</v>
      </c>
      <c r="K78" s="33" t="str">
        <f>IFERROR(VLOOKUP($H78, 'Processed Non-zero TRI Data'!$I:$M, 5, 0), VLOOKUP($I78, 'Processed Non-zero DMR Data'!$K:$M, 3, FALSE))</f>
        <v>Sewerage Systems</v>
      </c>
      <c r="L78" s="33" t="str">
        <f>IFERROR(VLOOKUP($H78, 'Processed Non-zero TRI Data'!I:P, 8, 0), "Direct")</f>
        <v>Direct</v>
      </c>
      <c r="M78" s="33" t="str">
        <f>VLOOKUP($N78, 'COU.OES Summary'!C:D, 2, FALSE)</f>
        <v> </v>
      </c>
      <c r="N78" s="33" t="str">
        <f>IFERROR(VLOOKUP($H78, 'Processed Non-zero TRI Data'!$I:$O, 7, FALSE), VLOOKUP($I78, 'Processed Non-zero DMR Data'!$K:$R, 8, FALSE))</f>
        <v>Waste handling, treatment, and disposal - POTW</v>
      </c>
      <c r="O78" s="33" t="s">
        <v>710</v>
      </c>
      <c r="P78" s="33">
        <f>VLOOKUP($N78, 'COU.OES Summary'!C:E, 3, FALSE)</f>
        <v>365</v>
      </c>
    </row>
    <row r="79" spans="1:16" ht="29" x14ac:dyDescent="0.35">
      <c r="A79" s="34">
        <v>78</v>
      </c>
      <c r="B79" s="33" t="str">
        <f>IF(AND(ISNUMBER(MATCH(H79, 'Processed Non-zero TRI Data'!$I$2:$I$23, FALSE)),ISNUMBER(MATCH(I79, 'Processed Non-zero DMR Data'!$K:$K, FALSE))),"Both TRI Form "&amp; VLOOKUP(H79, 'Processed Non-zero TRI Data'!$I$2:$K$23, 3, FALSE)&amp; " &amp; DMR", IFERROR("Only TRI Form "&amp; VLOOKUP(H79, 'Processed Non-zero TRI Data'!$I$2:$K$23, 3, FALSE), "Only DMR"))</f>
        <v>Only DMR</v>
      </c>
      <c r="C79" s="34" t="s">
        <v>130</v>
      </c>
      <c r="D79" s="34" t="s">
        <v>131</v>
      </c>
      <c r="E79" s="34" t="s">
        <v>108</v>
      </c>
      <c r="F79" s="34">
        <v>37.621431000000001</v>
      </c>
      <c r="G79" s="34">
        <v>-84.733756</v>
      </c>
      <c r="H79" s="34"/>
      <c r="I79" s="105">
        <v>110000732351</v>
      </c>
      <c r="J79" s="33">
        <f>IF(OR($H79="",$H79="Yes"), VLOOKUP($I79, 'Processed Non-zero DMR Data'!$K:$V, 10, FALSE),"")</f>
        <v>25.316445625</v>
      </c>
      <c r="K79" s="33" t="str">
        <f>IFERROR(VLOOKUP($H79, 'Processed Non-zero TRI Data'!$I:$M, 5, 0), VLOOKUP($I79, 'Processed Non-zero DMR Data'!$K:$M, 3, FALSE))</f>
        <v>Sewerage Systems</v>
      </c>
      <c r="L79" s="33" t="str">
        <f>IFERROR(VLOOKUP($H79, 'Processed Non-zero TRI Data'!I:P, 8, 0), "Direct")</f>
        <v>Direct</v>
      </c>
      <c r="M79" s="33" t="str">
        <f>VLOOKUP($N79, 'COU.OES Summary'!C:D, 2, FALSE)</f>
        <v> </v>
      </c>
      <c r="N79" s="33" t="str">
        <f>IFERROR(VLOOKUP($H79, 'Processed Non-zero TRI Data'!$I:$O, 7, FALSE), VLOOKUP($I79, 'Processed Non-zero DMR Data'!$K:$R, 8, FALSE))</f>
        <v>Waste handling, treatment, and disposal - POTW</v>
      </c>
      <c r="O79" s="33" t="s">
        <v>710</v>
      </c>
      <c r="P79" s="33">
        <f>VLOOKUP($N79, 'COU.OES Summary'!C:E, 3, FALSE)</f>
        <v>365</v>
      </c>
    </row>
    <row r="80" spans="1:16" ht="29" x14ac:dyDescent="0.35">
      <c r="A80" s="34">
        <v>79</v>
      </c>
      <c r="B80" s="33" t="str">
        <f>IF(AND(ISNUMBER(MATCH(H80, 'Processed Non-zero TRI Data'!$I$2:$I$23, FALSE)),ISNUMBER(MATCH(I80, 'Processed Non-zero DMR Data'!$K:$K, FALSE))),"Both TRI Form "&amp; VLOOKUP(H80, 'Processed Non-zero TRI Data'!$I$2:$K$23, 3, FALSE)&amp; " &amp; DMR", IFERROR("Only TRI Form "&amp; VLOOKUP(H80, 'Processed Non-zero TRI Data'!$I$2:$K$23, 3, FALSE), "Only DMR"))</f>
        <v>Only DMR</v>
      </c>
      <c r="C80" s="34" t="s">
        <v>106</v>
      </c>
      <c r="D80" s="34" t="s">
        <v>107</v>
      </c>
      <c r="E80" s="34" t="s">
        <v>108</v>
      </c>
      <c r="F80" s="34">
        <v>38.08614</v>
      </c>
      <c r="G80" s="34">
        <v>-85.898780000000002</v>
      </c>
      <c r="H80" s="34"/>
      <c r="I80" s="105">
        <v>110000732379</v>
      </c>
      <c r="J80" s="33">
        <f>IF(OR($H80="",$H80="Yes"), VLOOKUP($I80, 'Processed Non-zero DMR Data'!$K:$V, 10, FALSE),"")</f>
        <v>212.68922756250001</v>
      </c>
      <c r="K80" s="33" t="str">
        <f>IFERROR(VLOOKUP($H80, 'Processed Non-zero TRI Data'!$I:$M, 5, 0), VLOOKUP($I80, 'Processed Non-zero DMR Data'!$K:$M, 3, FALSE))</f>
        <v>Sewerage Systems</v>
      </c>
      <c r="L80" s="33" t="str">
        <f>IFERROR(VLOOKUP($H80, 'Processed Non-zero TRI Data'!I:P, 8, 0), "Direct")</f>
        <v>Direct</v>
      </c>
      <c r="M80" s="33" t="str">
        <f>VLOOKUP($N80, 'COU.OES Summary'!C:D, 2, FALSE)</f>
        <v> </v>
      </c>
      <c r="N80" s="33" t="str">
        <f>IFERROR(VLOOKUP($H80, 'Processed Non-zero TRI Data'!$I:$O, 7, FALSE), VLOOKUP($I80, 'Processed Non-zero DMR Data'!$K:$R, 8, FALSE))</f>
        <v>Waste handling, treatment, and disposal - POTW</v>
      </c>
      <c r="O80" s="33" t="s">
        <v>710</v>
      </c>
      <c r="P80" s="33">
        <f>VLOOKUP($N80, 'COU.OES Summary'!C:E, 3, FALSE)</f>
        <v>365</v>
      </c>
    </row>
    <row r="81" spans="1:16" ht="29" x14ac:dyDescent="0.35">
      <c r="A81" s="34">
        <v>80</v>
      </c>
      <c r="B81" s="33" t="str">
        <f>IF(AND(ISNUMBER(MATCH(H81, 'Processed Non-zero TRI Data'!$I$2:$I$23, FALSE)),ISNUMBER(MATCH(I81, 'Processed Non-zero DMR Data'!$K:$K, FALSE))),"Both TRI Form "&amp; VLOOKUP(H81, 'Processed Non-zero TRI Data'!$I$2:$K$23, 3, FALSE)&amp; " &amp; DMR", IFERROR("Only TRI Form "&amp; VLOOKUP(H81, 'Processed Non-zero TRI Data'!$I$2:$K$23, 3, FALSE), "Only DMR"))</f>
        <v>Only DMR</v>
      </c>
      <c r="C81" s="34" t="s">
        <v>219</v>
      </c>
      <c r="D81" s="34" t="s">
        <v>220</v>
      </c>
      <c r="E81" s="34" t="s">
        <v>221</v>
      </c>
      <c r="F81" s="34">
        <v>39.463894000000003</v>
      </c>
      <c r="G81" s="34">
        <v>-118.75532800000001</v>
      </c>
      <c r="H81" s="34"/>
      <c r="I81" s="105">
        <v>110000734616</v>
      </c>
      <c r="J81" s="33">
        <f>IF(OR($H81="",$H81="Yes"), VLOOKUP($I81, 'Processed Non-zero DMR Data'!$K:$V, 10, FALSE),"")</f>
        <v>3.5919650000000001</v>
      </c>
      <c r="K81" s="33" t="str">
        <f>IFERROR(VLOOKUP($H81, 'Processed Non-zero TRI Data'!$I:$M, 5, 0), VLOOKUP($I81, 'Processed Non-zero DMR Data'!$K:$M, 3, FALSE))</f>
        <v>Sewerage Systems</v>
      </c>
      <c r="L81" s="33" t="str">
        <f>IFERROR(VLOOKUP($H81, 'Processed Non-zero TRI Data'!I:P, 8, 0), "Direct")</f>
        <v>Direct</v>
      </c>
      <c r="M81" s="33" t="str">
        <f>VLOOKUP($N81, 'COU.OES Summary'!C:D, 2, FALSE)</f>
        <v> </v>
      </c>
      <c r="N81" s="33" t="str">
        <f>IFERROR(VLOOKUP($H81, 'Processed Non-zero TRI Data'!$I:$O, 7, FALSE), VLOOKUP($I81, 'Processed Non-zero DMR Data'!$K:$R, 8, FALSE))</f>
        <v>Waste handling, treatment, and disposal - POTW</v>
      </c>
      <c r="O81" s="33" t="s">
        <v>710</v>
      </c>
      <c r="P81" s="33">
        <f>VLOOKUP($N81, 'COU.OES Summary'!C:E, 3, FALSE)</f>
        <v>365</v>
      </c>
    </row>
    <row r="82" spans="1:16" ht="29" x14ac:dyDescent="0.35">
      <c r="A82" s="34">
        <v>81</v>
      </c>
      <c r="B82" s="33" t="str">
        <f>IF(AND(ISNUMBER(MATCH(H82, 'Processed Non-zero TRI Data'!$I$2:$I$23, FALSE)),ISNUMBER(MATCH(I82, 'Processed Non-zero DMR Data'!$K:$K, FALSE))),"Both TRI Form "&amp; VLOOKUP(H82, 'Processed Non-zero TRI Data'!$I$2:$K$23, 3, FALSE)&amp; " &amp; DMR", IFERROR("Only TRI Form "&amp; VLOOKUP(H82, 'Processed Non-zero TRI Data'!$I$2:$K$23, 3, FALSE), "Only DMR"))</f>
        <v>Only DMR</v>
      </c>
      <c r="C82" s="34" t="s">
        <v>516</v>
      </c>
      <c r="D82" s="34" t="s">
        <v>517</v>
      </c>
      <c r="E82" s="34" t="s">
        <v>126</v>
      </c>
      <c r="F82" s="34">
        <v>43.047975999999998</v>
      </c>
      <c r="G82" s="34">
        <v>-78.859217000000001</v>
      </c>
      <c r="H82" s="34"/>
      <c r="I82" s="105">
        <v>110000734661</v>
      </c>
      <c r="J82" s="33">
        <f>IF(OR($H82="",$H82="Yes"), VLOOKUP($I82, 'Processed Non-zero DMR Data'!$K:$V, 10, FALSE),"")</f>
        <v>1.5853127307999999E-2</v>
      </c>
      <c r="K82" s="33" t="str">
        <f>IFERROR(VLOOKUP($H82, 'Processed Non-zero TRI Data'!$I:$M, 5, 0), VLOOKUP($I82, 'Processed Non-zero DMR Data'!$K:$M, 3, FALSE))</f>
        <v>Air, Water, and Solid Waste Management</v>
      </c>
      <c r="L82" s="33" t="str">
        <f>IFERROR(VLOOKUP($H82, 'Processed Non-zero TRI Data'!I:P, 8, 0), "Direct")</f>
        <v>Direct</v>
      </c>
      <c r="M82" s="33" t="str">
        <f>VLOOKUP($N82, 'COU.OES Summary'!C:D, 2, FALSE)</f>
        <v> </v>
      </c>
      <c r="N82" s="33" t="str">
        <f>IFERROR(VLOOKUP($H82, 'Processed Non-zero TRI Data'!$I:$O, 7, FALSE), VLOOKUP($I82, 'Processed Non-zero DMR Data'!$K:$R, 8, FALSE))</f>
        <v>Waste handling, treatment, and disposal - Remediation or Monitoring</v>
      </c>
      <c r="O82" s="33" t="s">
        <v>710</v>
      </c>
      <c r="P82" s="33">
        <f>VLOOKUP($N82, 'COU.OES Summary'!C:E, 3, FALSE)</f>
        <v>365</v>
      </c>
    </row>
    <row r="83" spans="1:16" ht="29" x14ac:dyDescent="0.35">
      <c r="A83" s="34">
        <v>82</v>
      </c>
      <c r="B83" s="33" t="str">
        <f>IF(AND(ISNUMBER(MATCH(H83, 'Processed Non-zero TRI Data'!$I$2:$I$23, FALSE)),ISNUMBER(MATCH(I83, 'Processed Non-zero DMR Data'!$K:$K, FALSE))),"Both TRI Form "&amp; VLOOKUP(H83, 'Processed Non-zero TRI Data'!$I$2:$K$23, 3, FALSE)&amp; " &amp; DMR", IFERROR("Only TRI Form "&amp; VLOOKUP(H83, 'Processed Non-zero TRI Data'!$I$2:$K$23, 3, FALSE), "Only DMR"))</f>
        <v>Only DMR</v>
      </c>
      <c r="C83" s="34" t="s">
        <v>277</v>
      </c>
      <c r="D83" s="34" t="s">
        <v>278</v>
      </c>
      <c r="E83" s="34" t="s">
        <v>108</v>
      </c>
      <c r="F83" s="34">
        <v>36.856732000000001</v>
      </c>
      <c r="G83" s="34">
        <v>-86.889048000000003</v>
      </c>
      <c r="H83" s="34"/>
      <c r="I83" s="105">
        <v>110000736730</v>
      </c>
      <c r="J83" s="33">
        <f>IF(OR($H83="",$H83="Yes"), VLOOKUP($I83, 'Processed Non-zero DMR Data'!$K:$V, 10, FALSE),"")</f>
        <v>1.4202077</v>
      </c>
      <c r="K83" s="33" t="str">
        <f>IFERROR(VLOOKUP($H83, 'Processed Non-zero TRI Data'!$I:$M, 5, 0), VLOOKUP($I83, 'Processed Non-zero DMR Data'!$K:$M, 3, FALSE))</f>
        <v>Sewerage Systems</v>
      </c>
      <c r="L83" s="33" t="str">
        <f>IFERROR(VLOOKUP($H83, 'Processed Non-zero TRI Data'!I:P, 8, 0), "Direct")</f>
        <v>Direct</v>
      </c>
      <c r="M83" s="33" t="str">
        <f>VLOOKUP($N83, 'COU.OES Summary'!C:D, 2, FALSE)</f>
        <v> </v>
      </c>
      <c r="N83" s="33" t="str">
        <f>IFERROR(VLOOKUP($H83, 'Processed Non-zero TRI Data'!$I:$O, 7, FALSE), VLOOKUP($I83, 'Processed Non-zero DMR Data'!$K:$R, 8, FALSE))</f>
        <v>Waste handling, treatment, and disposal - POTW</v>
      </c>
      <c r="O83" s="33" t="s">
        <v>710</v>
      </c>
      <c r="P83" s="33">
        <f>VLOOKUP($N83, 'COU.OES Summary'!C:E, 3, FALSE)</f>
        <v>365</v>
      </c>
    </row>
    <row r="84" spans="1:16" ht="29" x14ac:dyDescent="0.35">
      <c r="A84" s="34">
        <v>83</v>
      </c>
      <c r="B84" s="33" t="str">
        <f>IF(AND(ISNUMBER(MATCH(H84, 'Processed Non-zero TRI Data'!$I$2:$I$23, FALSE)),ISNUMBER(MATCH(I84, 'Processed Non-zero DMR Data'!$K:$K, FALSE))),"Both TRI Form "&amp; VLOOKUP(H84, 'Processed Non-zero TRI Data'!$I$2:$K$23, 3, FALSE)&amp; " &amp; DMR", IFERROR("Only TRI Form "&amp; VLOOKUP(H84, 'Processed Non-zero TRI Data'!$I$2:$K$23, 3, FALSE), "Only DMR"))</f>
        <v>Only DMR</v>
      </c>
      <c r="C84" s="34" t="s">
        <v>261</v>
      </c>
      <c r="D84" s="34" t="s">
        <v>262</v>
      </c>
      <c r="E84" s="34" t="s">
        <v>108</v>
      </c>
      <c r="F84" s="34">
        <v>37.349167000000001</v>
      </c>
      <c r="G84" s="34">
        <v>-85.379444000000007</v>
      </c>
      <c r="H84" s="34"/>
      <c r="I84" s="105">
        <v>110000736776</v>
      </c>
      <c r="J84" s="33">
        <f>IF(OR($H84="",$H84="Yes"), VLOOKUP($I84, 'Processed Non-zero DMR Data'!$K:$V, 10, FALSE),"")</f>
        <v>2.0066650625000002</v>
      </c>
      <c r="K84" s="33" t="str">
        <f>IFERROR(VLOOKUP($H84, 'Processed Non-zero TRI Data'!$I:$M, 5, 0), VLOOKUP($I84, 'Processed Non-zero DMR Data'!$K:$M, 3, FALSE))</f>
        <v>Sewerage Systems</v>
      </c>
      <c r="L84" s="33" t="str">
        <f>IFERROR(VLOOKUP($H84, 'Processed Non-zero TRI Data'!I:P, 8, 0), "Direct")</f>
        <v>Direct</v>
      </c>
      <c r="M84" s="33" t="str">
        <f>VLOOKUP($N84, 'COU.OES Summary'!C:D, 2, FALSE)</f>
        <v> </v>
      </c>
      <c r="N84" s="33" t="str">
        <f>IFERROR(VLOOKUP($H84, 'Processed Non-zero TRI Data'!$I:$O, 7, FALSE), VLOOKUP($I84, 'Processed Non-zero DMR Data'!$K:$R, 8, FALSE))</f>
        <v>Waste handling, treatment, and disposal - POTW</v>
      </c>
      <c r="O84" s="33" t="s">
        <v>710</v>
      </c>
      <c r="P84" s="33">
        <f>VLOOKUP($N84, 'COU.OES Summary'!C:E, 3, FALSE)</f>
        <v>365</v>
      </c>
    </row>
    <row r="85" spans="1:16" ht="29" x14ac:dyDescent="0.35">
      <c r="A85" s="34">
        <v>84</v>
      </c>
      <c r="B85" s="33" t="str">
        <f>IF(AND(ISNUMBER(MATCH(H85, 'Processed Non-zero TRI Data'!$I$2:$I$23, FALSE)),ISNUMBER(MATCH(I85, 'Processed Non-zero DMR Data'!$K:$K, FALSE))),"Both TRI Form "&amp; VLOOKUP(H85, 'Processed Non-zero TRI Data'!$I$2:$K$23, 3, FALSE)&amp; " &amp; DMR", IFERROR("Only TRI Form "&amp; VLOOKUP(H85, 'Processed Non-zero TRI Data'!$I$2:$K$23, 3, FALSE), "Only DMR"))</f>
        <v>Only DMR</v>
      </c>
      <c r="C85" s="34" t="s">
        <v>127</v>
      </c>
      <c r="D85" s="34" t="s">
        <v>128</v>
      </c>
      <c r="E85" s="34" t="s">
        <v>129</v>
      </c>
      <c r="F85" s="34">
        <v>38.544123999999996</v>
      </c>
      <c r="G85" s="34">
        <v>-90.962633999999994</v>
      </c>
      <c r="H85" s="34"/>
      <c r="I85" s="105">
        <v>110000737123</v>
      </c>
      <c r="J85" s="33">
        <f>IF(OR($H85="",$H85="Yes"), VLOOKUP($I85, 'Processed Non-zero DMR Data'!$K:$V, 10, FALSE),"")</f>
        <v>25.57316325</v>
      </c>
      <c r="K85" s="33" t="str">
        <f>IFERROR(VLOOKUP($H85, 'Processed Non-zero TRI Data'!$I:$M, 5, 0), VLOOKUP($I85, 'Processed Non-zero DMR Data'!$K:$M, 3, FALSE))</f>
        <v>Sewerage Systems</v>
      </c>
      <c r="L85" s="33" t="str">
        <f>IFERROR(VLOOKUP($H85, 'Processed Non-zero TRI Data'!I:P, 8, 0), "Direct")</f>
        <v>Direct</v>
      </c>
      <c r="M85" s="33" t="str">
        <f>VLOOKUP($N85, 'COU.OES Summary'!C:D, 2, FALSE)</f>
        <v> </v>
      </c>
      <c r="N85" s="33" t="str">
        <f>IFERROR(VLOOKUP($H85, 'Processed Non-zero TRI Data'!$I:$O, 7, FALSE), VLOOKUP($I85, 'Processed Non-zero DMR Data'!$K:$R, 8, FALSE))</f>
        <v>Waste handling, treatment, and disposal - POTW</v>
      </c>
      <c r="O85" s="33" t="s">
        <v>710</v>
      </c>
      <c r="P85" s="33">
        <f>VLOOKUP($N85, 'COU.OES Summary'!C:E, 3, FALSE)</f>
        <v>365</v>
      </c>
    </row>
    <row r="86" spans="1:16" ht="29" x14ac:dyDescent="0.35">
      <c r="A86" s="34">
        <v>85</v>
      </c>
      <c r="B86" s="33" t="str">
        <f>IF(AND(ISNUMBER(MATCH(H86, 'Processed Non-zero TRI Data'!$I$2:$I$23, FALSE)),ISNUMBER(MATCH(I86, 'Processed Non-zero DMR Data'!$K:$K, FALSE))),"Both TRI Form "&amp; VLOOKUP(H86, 'Processed Non-zero TRI Data'!$I$2:$K$23, 3, FALSE)&amp; " &amp; DMR", IFERROR("Only TRI Form "&amp; VLOOKUP(H86, 'Processed Non-zero TRI Data'!$I$2:$K$23, 3, FALSE), "Only DMR"))</f>
        <v>Only DMR</v>
      </c>
      <c r="C86" s="34" t="s">
        <v>588</v>
      </c>
      <c r="D86" s="34" t="s">
        <v>589</v>
      </c>
      <c r="E86" s="34" t="s">
        <v>126</v>
      </c>
      <c r="F86" s="34">
        <v>43.129750000000001</v>
      </c>
      <c r="G86" s="34">
        <v>-78.939679999999996</v>
      </c>
      <c r="H86" s="34"/>
      <c r="I86" s="105">
        <v>110000737365</v>
      </c>
      <c r="J86" s="33">
        <f>IF(OR($H86="",$H86="Yes"), VLOOKUP($I86, 'Processed Non-zero DMR Data'!$K:$V, 10, FALSE),"")</f>
        <v>1.4576963025224999E-2</v>
      </c>
      <c r="K86" s="33" t="str">
        <f>IFERROR(VLOOKUP($H86, 'Processed Non-zero TRI Data'!$I:$M, 5, 0), VLOOKUP($I86, 'Processed Non-zero DMR Data'!$K:$M, 3, FALSE))</f>
        <v>Air, Water, and Solid Waste Management</v>
      </c>
      <c r="L86" s="33" t="str">
        <f>IFERROR(VLOOKUP($H86, 'Processed Non-zero TRI Data'!I:P, 8, 0), "Direct")</f>
        <v>Direct</v>
      </c>
      <c r="M86" s="33" t="str">
        <f>VLOOKUP($N86, 'COU.OES Summary'!C:D, 2, FALSE)</f>
        <v> </v>
      </c>
      <c r="N86" s="33" t="str">
        <f>IFERROR(VLOOKUP($H86, 'Processed Non-zero TRI Data'!$I:$O, 7, FALSE), VLOOKUP($I86, 'Processed Non-zero DMR Data'!$K:$R, 8, FALSE))</f>
        <v>Waste handling, treatment, and disposal - Remediation or Monitoring</v>
      </c>
      <c r="O86" s="33" t="s">
        <v>710</v>
      </c>
      <c r="P86" s="33">
        <f>VLOOKUP($N86, 'COU.OES Summary'!C:E, 3, FALSE)</f>
        <v>365</v>
      </c>
    </row>
    <row r="87" spans="1:16" ht="29" x14ac:dyDescent="0.35">
      <c r="A87" s="34">
        <v>86</v>
      </c>
      <c r="B87" s="33" t="str">
        <f>IF(AND(ISNUMBER(MATCH(H87, 'Processed Non-zero TRI Data'!$I$2:$I$23, FALSE)),ISNUMBER(MATCH(I87, 'Processed Non-zero DMR Data'!$K:$K, FALSE))),"Both TRI Form "&amp; VLOOKUP(H87, 'Processed Non-zero TRI Data'!$I$2:$K$23, 3, FALSE)&amp; " &amp; DMR", IFERROR("Only TRI Form "&amp; VLOOKUP(H87, 'Processed Non-zero TRI Data'!$I$2:$K$23, 3, FALSE), "Only DMR"))</f>
        <v>Only DMR</v>
      </c>
      <c r="C87" s="34" t="s">
        <v>619</v>
      </c>
      <c r="D87" s="34" t="s">
        <v>620</v>
      </c>
      <c r="E87" s="34" t="s">
        <v>126</v>
      </c>
      <c r="F87" s="34">
        <v>43.089840000000002</v>
      </c>
      <c r="G87" s="34">
        <v>-75.280265</v>
      </c>
      <c r="H87" s="34"/>
      <c r="I87" s="105">
        <v>110000738916</v>
      </c>
      <c r="J87" s="33">
        <f>IF(OR($H87="",$H87="Yes"), VLOOKUP($I87, 'Processed Non-zero DMR Data'!$K:$V, 10, FALSE),"")</f>
        <v>8.0783103600000003E-3</v>
      </c>
      <c r="K87" s="33" t="str">
        <f>IFERROR(VLOOKUP($H87, 'Processed Non-zero TRI Data'!$I:$M, 5, 0), VLOOKUP($I87, 'Processed Non-zero DMR Data'!$K:$M, 3, FALSE))</f>
        <v>Nonferrous Foundries, Nec</v>
      </c>
      <c r="L87" s="33" t="str">
        <f>IFERROR(VLOOKUP($H87, 'Processed Non-zero TRI Data'!I:P, 8, 0), "Direct")</f>
        <v>Direct</v>
      </c>
      <c r="M87" s="33" t="str">
        <f>VLOOKUP($N87, 'COU.OES Summary'!C:D, 2, FALSE)</f>
        <v> </v>
      </c>
      <c r="N87" s="33" t="str">
        <f>IFERROR(VLOOKUP($H87, 'Processed Non-zero TRI Data'!$I:$O, 7, FALSE), VLOOKUP($I87, 'Processed Non-zero DMR Data'!$K:$R, 8, FALSE))</f>
        <v>Waste handling, treatment, and disposal - Remediation or Monitoring</v>
      </c>
      <c r="O87" s="33" t="s">
        <v>710</v>
      </c>
      <c r="P87" s="33">
        <f>VLOOKUP($N87, 'COU.OES Summary'!C:E, 3, FALSE)</f>
        <v>365</v>
      </c>
    </row>
    <row r="88" spans="1:16" ht="29" x14ac:dyDescent="0.35">
      <c r="A88" s="34">
        <v>87</v>
      </c>
      <c r="B88" s="33" t="str">
        <f>IF(AND(ISNUMBER(MATCH(H88, 'Processed Non-zero TRI Data'!$I$2:$I$23, FALSE)),ISNUMBER(MATCH(I88, 'Processed Non-zero DMR Data'!$K:$K, FALSE))),"Both TRI Form "&amp; VLOOKUP(H88, 'Processed Non-zero TRI Data'!$I$2:$K$23, 3, FALSE)&amp; " &amp; DMR", IFERROR("Only TRI Form "&amp; VLOOKUP(H88, 'Processed Non-zero TRI Data'!$I$2:$K$23, 3, FALSE), "Only DMR"))</f>
        <v>Only DMR</v>
      </c>
      <c r="C88" s="34" t="s">
        <v>168</v>
      </c>
      <c r="D88" s="34" t="s">
        <v>169</v>
      </c>
      <c r="E88" s="34" t="s">
        <v>108</v>
      </c>
      <c r="F88" s="34">
        <v>37.047736999999998</v>
      </c>
      <c r="G88" s="34">
        <v>-88.35866</v>
      </c>
      <c r="H88" s="34"/>
      <c r="I88" s="105">
        <v>110000741608</v>
      </c>
      <c r="J88" s="33">
        <f>IF(OR($H88="",$H88="Yes"), VLOOKUP($I88, 'Processed Non-zero DMR Data'!$K:$V, 10, FALSE),"")</f>
        <v>4.3084600000000002</v>
      </c>
      <c r="K88" s="33" t="str">
        <f>IFERROR(VLOOKUP($H88, 'Processed Non-zero TRI Data'!$I:$M, 5, 0), VLOOKUP($I88, 'Processed Non-zero DMR Data'!$K:$M, 3, FALSE))</f>
        <v>Industrial Organic Chemicals, Nec</v>
      </c>
      <c r="L88" s="33" t="str">
        <f>IFERROR(VLOOKUP($H88, 'Processed Non-zero TRI Data'!I:P, 8, 0), "Direct")</f>
        <v>Direct</v>
      </c>
      <c r="M88" s="33" t="str">
        <f>VLOOKUP($N88, 'COU.OES Summary'!C:D, 2, FALSE)</f>
        <v> </v>
      </c>
      <c r="N88" s="33" t="str">
        <f>IFERROR(VLOOKUP($H88, 'Processed Non-zero TRI Data'!$I:$O, 7, FALSE), VLOOKUP($I88, 'Processed Non-zero DMR Data'!$K:$R, 8, FALSE))</f>
        <v>Waste handling, treatment, and disposal - Remediation or Monitoring</v>
      </c>
      <c r="O88" s="33" t="s">
        <v>710</v>
      </c>
      <c r="P88" s="33">
        <f>VLOOKUP($N88, 'COU.OES Summary'!C:E, 3, FALSE)</f>
        <v>365</v>
      </c>
    </row>
    <row r="89" spans="1:16" ht="29" x14ac:dyDescent="0.35">
      <c r="A89" s="34">
        <v>88</v>
      </c>
      <c r="B89" s="33" t="str">
        <f>IF(AND(ISNUMBER(MATCH(H89, 'Processed Non-zero TRI Data'!$I$2:$I$23, FALSE)),ISNUMBER(MATCH(I89, 'Processed Non-zero DMR Data'!$K:$K, FALSE))),"Both TRI Form "&amp; VLOOKUP(H89, 'Processed Non-zero TRI Data'!$I$2:$K$23, 3, FALSE)&amp; " &amp; DMR", IFERROR("Only TRI Form "&amp; VLOOKUP(H89, 'Processed Non-zero TRI Data'!$I$2:$K$23, 3, FALSE), "Only DMR"))</f>
        <v>Only DMR</v>
      </c>
      <c r="C89" s="34" t="s">
        <v>121</v>
      </c>
      <c r="D89" s="34" t="s">
        <v>122</v>
      </c>
      <c r="E89" s="34" t="s">
        <v>111</v>
      </c>
      <c r="F89" s="34">
        <v>39.795811999999998</v>
      </c>
      <c r="G89" s="34">
        <v>-88.347945999999993</v>
      </c>
      <c r="H89" s="34"/>
      <c r="I89" s="105">
        <v>110000746211</v>
      </c>
      <c r="J89" s="33">
        <f>IF(OR($H89="",$H89="Yes"), VLOOKUP($I89, 'Processed Non-zero DMR Data'!$K:$V, 10, FALSE),"")</f>
        <v>13.671075</v>
      </c>
      <c r="K89" s="33" t="str">
        <f>IFERROR(VLOOKUP($H89, 'Processed Non-zero TRI Data'!$I:$M, 5, 0), VLOOKUP($I89, 'Processed Non-zero DMR Data'!$K:$M, 3, FALSE))</f>
        <v>Industrial Organic Chemicals, Nec</v>
      </c>
      <c r="L89" s="33" t="str">
        <f>IFERROR(VLOOKUP($H89, 'Processed Non-zero TRI Data'!I:P, 8, 0), "Direct")</f>
        <v>Direct</v>
      </c>
      <c r="M89" s="33" t="str">
        <f>VLOOKUP($N89, 'COU.OES Summary'!C:D, 2, FALSE)</f>
        <v> </v>
      </c>
      <c r="N89" s="33" t="str">
        <f>IFERROR(VLOOKUP($H89, 'Processed Non-zero TRI Data'!$I:$O, 7, FALSE), VLOOKUP($I89, 'Processed Non-zero DMR Data'!$K:$R, 8, FALSE))</f>
        <v>Waste handling, treatment, and disposal - Remediation or Monitoring</v>
      </c>
      <c r="O89" s="33" t="s">
        <v>710</v>
      </c>
      <c r="P89" s="33">
        <f>VLOOKUP($N89, 'COU.OES Summary'!C:E, 3, FALSE)</f>
        <v>365</v>
      </c>
    </row>
    <row r="90" spans="1:16" ht="29" x14ac:dyDescent="0.35">
      <c r="A90" s="34">
        <v>89</v>
      </c>
      <c r="B90" s="33" t="str">
        <f>IF(AND(ISNUMBER(MATCH(H90, 'Processed Non-zero TRI Data'!$I$2:$I$23, FALSE)),ISNUMBER(MATCH(I90, 'Processed Non-zero DMR Data'!$K:$K, FALSE))),"Both TRI Form "&amp; VLOOKUP(H90, 'Processed Non-zero TRI Data'!$I$2:$K$23, 3, FALSE)&amp; " &amp; DMR", IFERROR("Only TRI Form "&amp; VLOOKUP(H90, 'Processed Non-zero TRI Data'!$I$2:$K$23, 3, FALSE), "Only DMR"))</f>
        <v>Only DMR</v>
      </c>
      <c r="C90" s="34" t="s">
        <v>312</v>
      </c>
      <c r="D90" s="34" t="s">
        <v>115</v>
      </c>
      <c r="E90" s="34" t="s">
        <v>108</v>
      </c>
      <c r="F90" s="34">
        <v>37.8125</v>
      </c>
      <c r="G90" s="34">
        <v>-87.05</v>
      </c>
      <c r="H90" s="34"/>
      <c r="I90" s="105">
        <v>110000747835</v>
      </c>
      <c r="J90" s="33">
        <f>IF(OR($H90="",$H90="Yes"), VLOOKUP($I90, 'Processed Non-zero DMR Data'!$K:$V, 10, FALSE),"")</f>
        <v>0.19305215000000001</v>
      </c>
      <c r="K90" s="33" t="str">
        <f>IFERROR(VLOOKUP($H90, 'Processed Non-zero TRI Data'!$I:$M, 5, 0), VLOOKUP($I90, 'Processed Non-zero DMR Data'!$K:$M, 3, FALSE))</f>
        <v>Plastics Materials and Resins</v>
      </c>
      <c r="L90" s="33" t="str">
        <f>IFERROR(VLOOKUP($H90, 'Processed Non-zero TRI Data'!I:P, 8, 0), "Direct")</f>
        <v>Direct</v>
      </c>
      <c r="M90" s="33" t="str">
        <f>VLOOKUP($N90, 'COU.OES Summary'!C:D, 2, FALSE)</f>
        <v> </v>
      </c>
      <c r="N90" s="33" t="str">
        <f>IFERROR(VLOOKUP($H90, 'Processed Non-zero TRI Data'!$I:$O, 7, FALSE), VLOOKUP($I90, 'Processed Non-zero DMR Data'!$K:$R, 8, FALSE))</f>
        <v>Waste handling, treatment, and disposal - Remediation or Monitoring</v>
      </c>
      <c r="O90" s="33" t="s">
        <v>710</v>
      </c>
      <c r="P90" s="33">
        <f>VLOOKUP($N90, 'COU.OES Summary'!C:E, 3, FALSE)</f>
        <v>365</v>
      </c>
    </row>
    <row r="91" spans="1:16" ht="29" x14ac:dyDescent="0.35">
      <c r="A91" s="34">
        <v>90</v>
      </c>
      <c r="B91" s="33" t="str">
        <f>IF(AND(ISNUMBER(MATCH(H91, 'Processed Non-zero TRI Data'!$I$2:$I$23, FALSE)),ISNUMBER(MATCH(I91, 'Processed Non-zero DMR Data'!$K:$K, FALSE))),"Both TRI Form "&amp; VLOOKUP(H91, 'Processed Non-zero TRI Data'!$I$2:$K$23, 3, FALSE)&amp; " &amp; DMR", IFERROR("Only TRI Form "&amp; VLOOKUP(H91, 'Processed Non-zero TRI Data'!$I$2:$K$23, 3, FALSE), "Only DMR"))</f>
        <v>Only DMR</v>
      </c>
      <c r="C91" s="34" t="s">
        <v>282</v>
      </c>
      <c r="D91" s="34" t="s">
        <v>283</v>
      </c>
      <c r="E91" s="34" t="s">
        <v>95</v>
      </c>
      <c r="F91" s="34">
        <v>30.311361000000002</v>
      </c>
      <c r="G91" s="34">
        <v>-95.387083000000004</v>
      </c>
      <c r="H91" s="34"/>
      <c r="I91" s="105">
        <v>110000748095</v>
      </c>
      <c r="J91" s="33">
        <f>IF(OR($H91="",$H91="Yes"), VLOOKUP($I91, 'Processed Non-zero DMR Data'!$K:$V, 10, FALSE),"")</f>
        <v>1.6405289999999999</v>
      </c>
      <c r="K91" s="33" t="str">
        <f>IFERROR(VLOOKUP($H91, 'Processed Non-zero TRI Data'!$I:$M, 5, 0), VLOOKUP($I91, 'Processed Non-zero DMR Data'!$K:$M, 3, FALSE))</f>
        <v>Industrial Organic Chemicals, Nec</v>
      </c>
      <c r="L91" s="33" t="str">
        <f>IFERROR(VLOOKUP($H91, 'Processed Non-zero TRI Data'!I:P, 8, 0), "Direct")</f>
        <v>Direct</v>
      </c>
      <c r="M91" s="33" t="str">
        <f>VLOOKUP($N91, 'COU.OES Summary'!C:D, 2, FALSE)</f>
        <v> </v>
      </c>
      <c r="N91" s="33" t="str">
        <f>IFERROR(VLOOKUP($H91, 'Processed Non-zero TRI Data'!$I:$O, 7, FALSE), VLOOKUP($I91, 'Processed Non-zero DMR Data'!$K:$R, 8, FALSE))</f>
        <v>Waste handling, treatment, and disposal - Remediation or Monitoring</v>
      </c>
      <c r="O91" s="33" t="s">
        <v>710</v>
      </c>
      <c r="P91" s="33">
        <f>VLOOKUP($N91, 'COU.OES Summary'!C:E, 3, FALSE)</f>
        <v>365</v>
      </c>
    </row>
    <row r="92" spans="1:16" ht="29" x14ac:dyDescent="0.35">
      <c r="A92" s="34">
        <v>91</v>
      </c>
      <c r="B92" s="33" t="str">
        <f>IF(AND(ISNUMBER(MATCH(H92, 'Processed Non-zero TRI Data'!$I$2:$I$23, FALSE)),ISNUMBER(MATCH(I92, 'Processed Non-zero DMR Data'!$K:$K, FALSE))),"Both TRI Form "&amp; VLOOKUP(H92, 'Processed Non-zero TRI Data'!$I$2:$K$23, 3, FALSE)&amp; " &amp; DMR", IFERROR("Only TRI Form "&amp; VLOOKUP(H92, 'Processed Non-zero TRI Data'!$I$2:$K$23, 3, FALSE), "Only DMR"))</f>
        <v>Only DMR</v>
      </c>
      <c r="C92" s="34" t="s">
        <v>530</v>
      </c>
      <c r="D92" s="34" t="s">
        <v>531</v>
      </c>
      <c r="E92" s="34" t="s">
        <v>276</v>
      </c>
      <c r="F92" s="34">
        <v>38.748759999999997</v>
      </c>
      <c r="G92" s="34">
        <v>-77.511420000000001</v>
      </c>
      <c r="H92" s="34"/>
      <c r="I92" s="105">
        <v>110000749021</v>
      </c>
      <c r="J92" s="33">
        <f>IF(OR($H92="",$H92="Yes"), VLOOKUP($I92, 'Processed Non-zero DMR Data'!$K:$V, 10, FALSE),"")</f>
        <v>5.940197925E-2</v>
      </c>
      <c r="K92" s="33" t="str">
        <f>IFERROR(VLOOKUP($H92, 'Processed Non-zero TRI Data'!$I:$M, 5, 0), VLOOKUP($I92, 'Processed Non-zero DMR Data'!$K:$M, 3, FALSE))</f>
        <v>Sanitary Services, Nec</v>
      </c>
      <c r="L92" s="33" t="str">
        <f>IFERROR(VLOOKUP($H92, 'Processed Non-zero TRI Data'!I:P, 8, 0), "Direct")</f>
        <v>Direct</v>
      </c>
      <c r="M92" s="33" t="str">
        <f>VLOOKUP($N92, 'COU.OES Summary'!C:D, 2, FALSE)</f>
        <v> </v>
      </c>
      <c r="N92" s="33" t="str">
        <f>IFERROR(VLOOKUP($H92, 'Processed Non-zero TRI Data'!$I:$O, 7, FALSE), VLOOKUP($I92, 'Processed Non-zero DMR Data'!$K:$R, 8, FALSE))</f>
        <v>Waste handling, treatment, and disposal - Remediation or Monitoring</v>
      </c>
      <c r="O92" s="33" t="s">
        <v>710</v>
      </c>
      <c r="P92" s="33">
        <f>VLOOKUP($N92, 'COU.OES Summary'!C:E, 3, FALSE)</f>
        <v>365</v>
      </c>
    </row>
    <row r="93" spans="1:16" ht="29" x14ac:dyDescent="0.35">
      <c r="A93" s="34">
        <v>92</v>
      </c>
      <c r="B93" s="33" t="str">
        <f>IF(AND(ISNUMBER(MATCH(H93, 'Processed Non-zero TRI Data'!$I$2:$I$23, FALSE)),ISNUMBER(MATCH(I93, 'Processed Non-zero DMR Data'!$K:$K, FALSE))),"Both TRI Form "&amp; VLOOKUP(H93, 'Processed Non-zero TRI Data'!$I$2:$K$23, 3, FALSE)&amp; " &amp; DMR", IFERROR("Only TRI Form "&amp; VLOOKUP(H93, 'Processed Non-zero TRI Data'!$I$2:$K$23, 3, FALSE), "Only DMR"))</f>
        <v>Only DMR</v>
      </c>
      <c r="C93" s="34" t="s">
        <v>284</v>
      </c>
      <c r="D93" s="34" t="s">
        <v>285</v>
      </c>
      <c r="E93" s="34" t="s">
        <v>108</v>
      </c>
      <c r="F93" s="34">
        <v>38.551630000000003</v>
      </c>
      <c r="G93" s="34">
        <v>-82.778199999999998</v>
      </c>
      <c r="H93" s="34"/>
      <c r="I93" s="105">
        <v>110000759723</v>
      </c>
      <c r="J93" s="33">
        <f>IF(OR($H93="",$H93="Yes"), VLOOKUP($I93, 'Processed Non-zero DMR Data'!$K:$V, 10, FALSE),"")</f>
        <v>1.3815249999999999</v>
      </c>
      <c r="K93" s="33" t="str">
        <f>IFERROR(VLOOKUP($H93, 'Processed Non-zero TRI Data'!$I:$M, 5, 0), VLOOKUP($I93, 'Processed Non-zero DMR Data'!$K:$M, 3, FALSE))</f>
        <v>Sewerage Systems</v>
      </c>
      <c r="L93" s="33" t="str">
        <f>IFERROR(VLOOKUP($H93, 'Processed Non-zero TRI Data'!I:P, 8, 0), "Direct")</f>
        <v>Direct</v>
      </c>
      <c r="M93" s="33" t="str">
        <f>VLOOKUP($N93, 'COU.OES Summary'!C:D, 2, FALSE)</f>
        <v> </v>
      </c>
      <c r="N93" s="33" t="str">
        <f>IFERROR(VLOOKUP($H93, 'Processed Non-zero TRI Data'!$I:$O, 7, FALSE), VLOOKUP($I93, 'Processed Non-zero DMR Data'!$K:$R, 8, FALSE))</f>
        <v>Waste handling, treatment, and disposal - POTW</v>
      </c>
      <c r="O93" s="33" t="s">
        <v>710</v>
      </c>
      <c r="P93" s="33">
        <f>VLOOKUP($N93, 'COU.OES Summary'!C:E, 3, FALSE)</f>
        <v>365</v>
      </c>
    </row>
    <row r="94" spans="1:16" ht="29" x14ac:dyDescent="0.35">
      <c r="A94" s="34">
        <v>93</v>
      </c>
      <c r="B94" s="33" t="str">
        <f>IF(AND(ISNUMBER(MATCH(H94, 'Processed Non-zero TRI Data'!$I$2:$I$23, FALSE)),ISNUMBER(MATCH(I94, 'Processed Non-zero DMR Data'!$K:$K, FALSE))),"Both TRI Form "&amp; VLOOKUP(H94, 'Processed Non-zero TRI Data'!$I$2:$K$23, 3, FALSE)&amp; " &amp; DMR", IFERROR("Only TRI Form "&amp; VLOOKUP(H94, 'Processed Non-zero TRI Data'!$I$2:$K$23, 3, FALSE), "Only DMR"))</f>
        <v>Only DMR</v>
      </c>
      <c r="C94" s="34" t="s">
        <v>203</v>
      </c>
      <c r="D94" s="34" t="s">
        <v>165</v>
      </c>
      <c r="E94" s="34" t="s">
        <v>108</v>
      </c>
      <c r="F94" s="34">
        <v>38.267437999999999</v>
      </c>
      <c r="G94" s="34">
        <v>-84.527996000000002</v>
      </c>
      <c r="H94" s="34"/>
      <c r="I94" s="105">
        <v>110000759741</v>
      </c>
      <c r="J94" s="33">
        <f>IF(OR($H94="",$H94="Yes"), VLOOKUP($I94, 'Processed Non-zero DMR Data'!$K:$V, 10, FALSE),"")</f>
        <v>4.5728477500000002</v>
      </c>
      <c r="K94" s="33" t="str">
        <f>IFERROR(VLOOKUP($H94, 'Processed Non-zero TRI Data'!$I:$M, 5, 0), VLOOKUP($I94, 'Processed Non-zero DMR Data'!$K:$M, 3, FALSE))</f>
        <v>Sewerage Systems</v>
      </c>
      <c r="L94" s="33" t="str">
        <f>IFERROR(VLOOKUP($H94, 'Processed Non-zero TRI Data'!I:P, 8, 0), "Direct")</f>
        <v>Direct</v>
      </c>
      <c r="M94" s="33" t="str">
        <f>VLOOKUP($N94, 'COU.OES Summary'!C:D, 2, FALSE)</f>
        <v> </v>
      </c>
      <c r="N94" s="33" t="str">
        <f>IFERROR(VLOOKUP($H94, 'Processed Non-zero TRI Data'!$I:$O, 7, FALSE), VLOOKUP($I94, 'Processed Non-zero DMR Data'!$K:$R, 8, FALSE))</f>
        <v>Waste handling, treatment, and disposal - POTW</v>
      </c>
      <c r="O94" s="33" t="s">
        <v>710</v>
      </c>
      <c r="P94" s="33">
        <f>VLOOKUP($N94, 'COU.OES Summary'!C:E, 3, FALSE)</f>
        <v>365</v>
      </c>
    </row>
    <row r="95" spans="1:16" ht="29" x14ac:dyDescent="0.35">
      <c r="A95" s="34">
        <v>94</v>
      </c>
      <c r="B95" s="33" t="str">
        <f>IF(AND(ISNUMBER(MATCH(H95, 'Processed Non-zero TRI Data'!$I$2:$I$23, FALSE)),ISNUMBER(MATCH(I95, 'Processed Non-zero DMR Data'!$K:$K, FALSE))),"Both TRI Form "&amp; VLOOKUP(H95, 'Processed Non-zero TRI Data'!$I$2:$K$23, 3, FALSE)&amp; " &amp; DMR", IFERROR("Only TRI Form "&amp; VLOOKUP(H95, 'Processed Non-zero TRI Data'!$I$2:$K$23, 3, FALSE), "Only DMR"))</f>
        <v>Only DMR</v>
      </c>
      <c r="C95" s="34" t="s">
        <v>362</v>
      </c>
      <c r="D95" s="34" t="s">
        <v>363</v>
      </c>
      <c r="E95" s="34" t="s">
        <v>108</v>
      </c>
      <c r="F95" s="34">
        <v>38.686529999999998</v>
      </c>
      <c r="G95" s="34">
        <v>-83.788679999999999</v>
      </c>
      <c r="H95" s="34"/>
      <c r="I95" s="105">
        <v>110000761104</v>
      </c>
      <c r="J95" s="33">
        <f>IF(OR($H95="",$H95="Yes"), VLOOKUP($I95, 'Processed Non-zero DMR Data'!$K:$V, 10, FALSE),"")</f>
        <v>0.46971849999999998</v>
      </c>
      <c r="K95" s="33" t="str">
        <f>IFERROR(VLOOKUP($H95, 'Processed Non-zero TRI Data'!$I:$M, 5, 0), VLOOKUP($I95, 'Processed Non-zero DMR Data'!$K:$M, 3, FALSE))</f>
        <v>Sewerage Systems</v>
      </c>
      <c r="L95" s="33" t="str">
        <f>IFERROR(VLOOKUP($H95, 'Processed Non-zero TRI Data'!I:P, 8, 0), "Direct")</f>
        <v>Direct</v>
      </c>
      <c r="M95" s="33" t="str">
        <f>VLOOKUP($N95, 'COU.OES Summary'!C:D, 2, FALSE)</f>
        <v> </v>
      </c>
      <c r="N95" s="33" t="str">
        <f>IFERROR(VLOOKUP($H95, 'Processed Non-zero TRI Data'!$I:$O, 7, FALSE), VLOOKUP($I95, 'Processed Non-zero DMR Data'!$K:$R, 8, FALSE))</f>
        <v>Waste handling, treatment, and disposal - POTW</v>
      </c>
      <c r="O95" s="33" t="s">
        <v>710</v>
      </c>
      <c r="P95" s="33">
        <f>VLOOKUP($N95, 'COU.OES Summary'!C:E, 3, FALSE)</f>
        <v>365</v>
      </c>
    </row>
    <row r="96" spans="1:16" ht="29" x14ac:dyDescent="0.35">
      <c r="A96" s="34">
        <v>95</v>
      </c>
      <c r="B96" s="33" t="str">
        <f>IF(AND(ISNUMBER(MATCH(H96, 'Processed Non-zero TRI Data'!$I$2:$I$23, FALSE)),ISNUMBER(MATCH(I96, 'Processed Non-zero DMR Data'!$K:$K, FALSE))),"Both TRI Form "&amp; VLOOKUP(H96, 'Processed Non-zero TRI Data'!$I$2:$K$23, 3, FALSE)&amp; " &amp; DMR", IFERROR("Only TRI Form "&amp; VLOOKUP(H96, 'Processed Non-zero TRI Data'!$I$2:$K$23, 3, FALSE), "Only DMR"))</f>
        <v>Only DMR</v>
      </c>
      <c r="C96" s="34" t="s">
        <v>416</v>
      </c>
      <c r="D96" s="34" t="s">
        <v>417</v>
      </c>
      <c r="E96" s="34" t="s">
        <v>340</v>
      </c>
      <c r="F96" s="34">
        <v>40.177332</v>
      </c>
      <c r="G96" s="34">
        <v>-74.800439999999995</v>
      </c>
      <c r="H96" s="34"/>
      <c r="I96" s="105">
        <v>110000772628</v>
      </c>
      <c r="J96" s="33">
        <f>IF(OR($H96="",$H96="Yes"), VLOOKUP($I96, 'Processed Non-zero DMR Data'!$K:$V, 10, FALSE),"")</f>
        <v>8.2891500000000007E-2</v>
      </c>
      <c r="K96" s="33" t="str">
        <f>IFERROR(VLOOKUP($H96, 'Processed Non-zero TRI Data'!$I:$M, 5, 0), VLOOKUP($I96, 'Processed Non-zero DMR Data'!$K:$M, 3, FALSE))</f>
        <v>Industrial Inorganic Chemicals, Nec</v>
      </c>
      <c r="L96" s="33" t="str">
        <f>IFERROR(VLOOKUP($H96, 'Processed Non-zero TRI Data'!I:P, 8, 0), "Direct")</f>
        <v>Direct</v>
      </c>
      <c r="M96" s="33" t="str">
        <f>VLOOKUP($N96, 'COU.OES Summary'!C:D, 2, FALSE)</f>
        <v> </v>
      </c>
      <c r="N96" s="33" t="str">
        <f>IFERROR(VLOOKUP($H96, 'Processed Non-zero TRI Data'!$I:$O, 7, FALSE), VLOOKUP($I96, 'Processed Non-zero DMR Data'!$K:$R, 8, FALSE))</f>
        <v>Waste handling, treatment, and disposal - Remediation or Monitoring</v>
      </c>
      <c r="O96" s="33" t="s">
        <v>710</v>
      </c>
      <c r="P96" s="33">
        <f>VLOOKUP($N96, 'COU.OES Summary'!C:E, 3, FALSE)</f>
        <v>365</v>
      </c>
    </row>
    <row r="97" spans="1:16" ht="29" x14ac:dyDescent="0.35">
      <c r="A97" s="34">
        <v>96</v>
      </c>
      <c r="B97" s="33" t="str">
        <f>IF(AND(ISNUMBER(MATCH(H97, 'Processed Non-zero TRI Data'!$I$2:$I$23, FALSE)),ISNUMBER(MATCH(I97, 'Processed Non-zero DMR Data'!$K:$K, FALSE))),"Both TRI Form "&amp; VLOOKUP(H97, 'Processed Non-zero TRI Data'!$I$2:$K$23, 3, FALSE)&amp; " &amp; DMR", IFERROR("Only TRI Form "&amp; VLOOKUP(H97, 'Processed Non-zero TRI Data'!$I$2:$K$23, 3, FALSE), "Only DMR"))</f>
        <v>Only DMR</v>
      </c>
      <c r="C97" s="34" t="s">
        <v>435</v>
      </c>
      <c r="D97" s="34" t="s">
        <v>436</v>
      </c>
      <c r="E97" s="34" t="s">
        <v>340</v>
      </c>
      <c r="F97" s="34">
        <v>40.159343999999997</v>
      </c>
      <c r="G97" s="34">
        <v>-74.776695000000004</v>
      </c>
      <c r="H97" s="34"/>
      <c r="I97" s="105">
        <v>110000817439</v>
      </c>
      <c r="J97" s="33">
        <f>IF(OR($H97="",$H97="Yes"), VLOOKUP($I97, 'Processed Non-zero DMR Data'!$K:$V, 10, FALSE),"")</f>
        <v>0.14096700000000001</v>
      </c>
      <c r="K97" s="33" t="str">
        <f>IFERROR(VLOOKUP($H97, 'Processed Non-zero TRI Data'!$I:$M, 5, 0), VLOOKUP($I97, 'Processed Non-zero DMR Data'!$K:$M, 3, FALSE))</f>
        <v>Refuse Systems</v>
      </c>
      <c r="L97" s="33" t="str">
        <f>IFERROR(VLOOKUP($H97, 'Processed Non-zero TRI Data'!I:P, 8, 0), "Direct")</f>
        <v>Direct</v>
      </c>
      <c r="M97" s="33" t="str">
        <f>VLOOKUP($N97, 'COU.OES Summary'!C:D, 2, FALSE)</f>
        <v> </v>
      </c>
      <c r="N97" s="33" t="str">
        <f>IFERROR(VLOOKUP($H97, 'Processed Non-zero TRI Data'!$I:$O, 7, FALSE), VLOOKUP($I97, 'Processed Non-zero DMR Data'!$K:$R, 8, FALSE))</f>
        <v>Waste handling, treatment, and disposal - Landfill</v>
      </c>
      <c r="O97" s="33" t="s">
        <v>710</v>
      </c>
      <c r="P97" s="33">
        <f>VLOOKUP($N97, 'COU.OES Summary'!C:E, 3, FALSE)</f>
        <v>365</v>
      </c>
    </row>
    <row r="98" spans="1:16" ht="29" x14ac:dyDescent="0.35">
      <c r="A98" s="34">
        <v>97</v>
      </c>
      <c r="B98" s="33" t="str">
        <f>IF(AND(ISNUMBER(MATCH(H98, 'Processed Non-zero TRI Data'!$I$2:$I$23, FALSE)),ISNUMBER(MATCH(I98, 'Processed Non-zero DMR Data'!$K:$K, FALSE))),"Both TRI Form "&amp; VLOOKUP(H98, 'Processed Non-zero TRI Data'!$I$2:$K$23, 3, FALSE)&amp; " &amp; DMR", IFERROR("Only TRI Form "&amp; VLOOKUP(H98, 'Processed Non-zero TRI Data'!$I$2:$K$23, 3, FALSE), "Only DMR"))</f>
        <v>Only DMR</v>
      </c>
      <c r="C98" s="34" t="s">
        <v>368</v>
      </c>
      <c r="D98" s="34" t="s">
        <v>369</v>
      </c>
      <c r="E98" s="34" t="s">
        <v>91</v>
      </c>
      <c r="F98" s="34">
        <v>29.924576999999999</v>
      </c>
      <c r="G98" s="34">
        <v>-90.145308</v>
      </c>
      <c r="H98" s="34"/>
      <c r="I98" s="105">
        <v>110000834688</v>
      </c>
      <c r="J98" s="33">
        <f>IF(OR($H98="",$H98="Yes"), VLOOKUP($I98, 'Processed Non-zero DMR Data'!$K:$V, 10, FALSE),"")</f>
        <v>0.25074205625000001</v>
      </c>
      <c r="K98" s="33" t="str">
        <f>IFERROR(VLOOKUP($H98, 'Processed Non-zero TRI Data'!$I:$M, 5, 0), VLOOKUP($I98, 'Processed Non-zero DMR Data'!$K:$M, 3, FALSE))</f>
        <v>Special Warehousing and Storage, Nec</v>
      </c>
      <c r="L98" s="33" t="str">
        <f>IFERROR(VLOOKUP($H98, 'Processed Non-zero TRI Data'!I:P, 8, 0), "Direct")</f>
        <v>Direct</v>
      </c>
      <c r="M98" s="33" t="str">
        <f>VLOOKUP($N98, 'COU.OES Summary'!C:D, 2, FALSE)</f>
        <v> </v>
      </c>
      <c r="N98" s="33" t="str">
        <f>IFERROR(VLOOKUP($H98, 'Processed Non-zero TRI Data'!$I:$O, 7, FALSE), VLOOKUP($I98, 'Processed Non-zero DMR Data'!$K:$R, 8, FALSE))</f>
        <v>Waste handling, treatment, and disposal - Remediation or Monitoring</v>
      </c>
      <c r="O98" s="33" t="s">
        <v>710</v>
      </c>
      <c r="P98" s="33">
        <f>VLOOKUP($N98, 'COU.OES Summary'!C:E, 3, FALSE)</f>
        <v>365</v>
      </c>
    </row>
    <row r="99" spans="1:16" ht="29" x14ac:dyDescent="0.35">
      <c r="A99" s="34">
        <v>98</v>
      </c>
      <c r="B99" s="33" t="str">
        <f>IF(AND(ISNUMBER(MATCH(H99, 'Processed Non-zero TRI Data'!$I$2:$I$23, FALSE)),ISNUMBER(MATCH(I99, 'Processed Non-zero DMR Data'!$K:$K, FALSE))),"Both TRI Form "&amp; VLOOKUP(H99, 'Processed Non-zero TRI Data'!$I$2:$K$23, 3, FALSE)&amp; " &amp; DMR", IFERROR("Only TRI Form "&amp; VLOOKUP(H99, 'Processed Non-zero TRI Data'!$I$2:$K$23, 3, FALSE), "Only DMR"))</f>
        <v>Only DMR</v>
      </c>
      <c r="C99" s="34" t="s">
        <v>611</v>
      </c>
      <c r="D99" s="34" t="s">
        <v>612</v>
      </c>
      <c r="E99" s="34" t="s">
        <v>91</v>
      </c>
      <c r="F99" s="34">
        <v>30.27083</v>
      </c>
      <c r="G99" s="34">
        <v>-92.037279999999996</v>
      </c>
      <c r="H99" s="34"/>
      <c r="I99" s="105">
        <v>110000846602</v>
      </c>
      <c r="J99" s="33">
        <f>IF(OR($H99="",$H99="Yes"), VLOOKUP($I99, 'Processed Non-zero DMR Data'!$K:$V, 10, FALSE),"")</f>
        <v>2.6525279999999999E-3</v>
      </c>
      <c r="K99" s="33" t="str">
        <f>IFERROR(VLOOKUP($H99, 'Processed Non-zero TRI Data'!$I:$M, 5, 0), VLOOKUP($I99, 'Processed Non-zero DMR Data'!$K:$M, 3, FALSE))</f>
        <v>Plastics Materials and Resins</v>
      </c>
      <c r="L99" s="33" t="str">
        <f>IFERROR(VLOOKUP($H99, 'Processed Non-zero TRI Data'!I:P, 8, 0), "Direct")</f>
        <v>Direct</v>
      </c>
      <c r="M99" s="33" t="str">
        <f>VLOOKUP($N99, 'COU.OES Summary'!C:D, 2, FALSE)</f>
        <v> </v>
      </c>
      <c r="N99" s="33" t="str">
        <f>IFERROR(VLOOKUP($H99, 'Processed Non-zero TRI Data'!$I:$O, 7, FALSE), VLOOKUP($I99, 'Processed Non-zero DMR Data'!$K:$R, 8, FALSE))</f>
        <v>Waste handling, treatment, and disposal - Remediation or Monitoring</v>
      </c>
      <c r="O99" s="33" t="s">
        <v>710</v>
      </c>
      <c r="P99" s="33">
        <f>VLOOKUP($N99, 'COU.OES Summary'!C:E, 3, FALSE)</f>
        <v>365</v>
      </c>
    </row>
    <row r="100" spans="1:16" ht="29" x14ac:dyDescent="0.35">
      <c r="A100" s="34">
        <v>99</v>
      </c>
      <c r="B100" s="33" t="str">
        <f>IF(AND(ISNUMBER(MATCH(H100, 'Processed Non-zero TRI Data'!$I$2:$I$23, FALSE)),ISNUMBER(MATCH(I100, 'Processed Non-zero DMR Data'!$K:$K, FALSE))),"Both TRI Form "&amp; VLOOKUP(H100, 'Processed Non-zero TRI Data'!$I$2:$K$23, 3, FALSE)&amp; " &amp; DMR", IFERROR("Only TRI Form "&amp; VLOOKUP(H100, 'Processed Non-zero TRI Data'!$I$2:$K$23, 3, FALSE), "Only DMR"))</f>
        <v>Only DMR</v>
      </c>
      <c r="C100" s="34" t="s">
        <v>374</v>
      </c>
      <c r="D100" s="34" t="s">
        <v>197</v>
      </c>
      <c r="E100" s="34" t="s">
        <v>194</v>
      </c>
      <c r="F100" s="34">
        <v>34.047221999999998</v>
      </c>
      <c r="G100" s="34">
        <v>-81.151360999999994</v>
      </c>
      <c r="H100" s="34"/>
      <c r="I100" s="105">
        <v>110000854246</v>
      </c>
      <c r="J100" s="33">
        <f>IF(OR($H100="",$H100="Yes"), VLOOKUP($I100, 'Processed Non-zero DMR Data'!$K:$V, 10, FALSE),"")</f>
        <v>0.33141999999999999</v>
      </c>
      <c r="K100" s="33" t="str">
        <f>IFERROR(VLOOKUP($H100, 'Processed Non-zero TRI Data'!$I:$M, 5, 0), VLOOKUP($I100, 'Processed Non-zero DMR Data'!$K:$M, 3, FALSE))</f>
        <v>Organic Fibers, Noncellulosic</v>
      </c>
      <c r="L100" s="33" t="str">
        <f>IFERROR(VLOOKUP($H100, 'Processed Non-zero TRI Data'!I:P, 8, 0), "Direct")</f>
        <v>Direct</v>
      </c>
      <c r="M100" s="33" t="str">
        <f>VLOOKUP($N100, 'COU.OES Summary'!C:D, 2, FALSE)</f>
        <v> </v>
      </c>
      <c r="N100" s="33" t="str">
        <f>IFERROR(VLOOKUP($H100, 'Processed Non-zero TRI Data'!$I:$O, 7, FALSE), VLOOKUP($I100, 'Processed Non-zero DMR Data'!$K:$R, 8, FALSE))</f>
        <v>Waste handling, treatment, and disposal - Remediation or Monitoring</v>
      </c>
      <c r="O100" s="33" t="s">
        <v>710</v>
      </c>
      <c r="P100" s="33">
        <f>VLOOKUP($N100, 'COU.OES Summary'!C:E, 3, FALSE)</f>
        <v>365</v>
      </c>
    </row>
    <row r="101" spans="1:16" ht="29" x14ac:dyDescent="0.35">
      <c r="A101" s="34">
        <v>100</v>
      </c>
      <c r="B101" s="33" t="str">
        <f>IF(AND(ISNUMBER(MATCH(H101, 'Processed Non-zero TRI Data'!$I$2:$I$23, FALSE)),ISNUMBER(MATCH(I101, 'Processed Non-zero DMR Data'!$K:$K, FALSE))),"Both TRI Form "&amp; VLOOKUP(H101, 'Processed Non-zero TRI Data'!$I$2:$K$23, 3, FALSE)&amp; " &amp; DMR", IFERROR("Only TRI Form "&amp; VLOOKUP(H101, 'Processed Non-zero TRI Data'!$I$2:$K$23, 3, FALSE), "Only DMR"))</f>
        <v>Only TRI Form A</v>
      </c>
      <c r="C101" s="34" t="s">
        <v>93</v>
      </c>
      <c r="D101" s="34" t="s">
        <v>94</v>
      </c>
      <c r="E101" s="34" t="s">
        <v>95</v>
      </c>
      <c r="F101" s="34">
        <v>29.671271000000001</v>
      </c>
      <c r="G101" s="34">
        <v>-95.404606999999999</v>
      </c>
      <c r="H101" s="34" t="s">
        <v>96</v>
      </c>
      <c r="I101" s="105">
        <v>110000861755</v>
      </c>
      <c r="J101" s="33" t="str">
        <f>IF(OR($H101="",$H101="Yes"), VLOOKUP($I101, 'Processed Non-zero DMR Data'!$K:$V, 10, FALSE),"")</f>
        <v/>
      </c>
      <c r="K101" s="33" t="str">
        <f>IFERROR(VLOOKUP($H101, 'Processed Non-zero TRI Data'!$I:$M, 5, 0), VLOOKUP($I101, 'Processed Non-zero DMR Data'!$K:$M, 3, FALSE))</f>
        <v>Plastics Material and Resin Manufacturing</v>
      </c>
      <c r="L101" s="33" t="str">
        <f>IFERROR(VLOOKUP($H101, 'Processed Non-zero TRI Data'!I:P, 8, 0), "Direct")</f>
        <v>Direct and/or Indirect</v>
      </c>
      <c r="M101" s="33" t="str">
        <f>VLOOKUP($N101, 'COU.OES Summary'!C:D, 2, FALSE)</f>
        <v> </v>
      </c>
      <c r="N101" s="33" t="str">
        <f>IFERROR(VLOOKUP($H101, 'Processed Non-zero TRI Data'!$I:$O, 7, FALSE), VLOOKUP($I101, 'Processed Non-zero DMR Data'!$K:$R, 8, FALSE))</f>
        <v>Processing – incorporation into formulation, mixture or reaction product</v>
      </c>
      <c r="O101" s="33" t="s">
        <v>710</v>
      </c>
      <c r="P101" s="33">
        <f>VLOOKUP($N101, 'COU.OES Summary'!C:E, 3, FALSE)</f>
        <v>250</v>
      </c>
    </row>
    <row r="102" spans="1:16" ht="29" x14ac:dyDescent="0.35">
      <c r="A102" s="34">
        <v>101</v>
      </c>
      <c r="B102" s="33" t="str">
        <f>IF(AND(ISNUMBER(MATCH(H102, 'Processed Non-zero TRI Data'!$I$2:$I$23, FALSE)),ISNUMBER(MATCH(I102, 'Processed Non-zero DMR Data'!$K:$K, FALSE))),"Both TRI Form "&amp; VLOOKUP(H102, 'Processed Non-zero TRI Data'!$I$2:$K$23, 3, FALSE)&amp; " &amp; DMR", IFERROR("Only TRI Form "&amp; VLOOKUP(H102, 'Processed Non-zero TRI Data'!$I$2:$K$23, 3, FALSE), "Only DMR"))</f>
        <v>Only DMR</v>
      </c>
      <c r="C102" s="34" t="s">
        <v>573</v>
      </c>
      <c r="D102" s="34" t="s">
        <v>209</v>
      </c>
      <c r="E102" s="34" t="s">
        <v>91</v>
      </c>
      <c r="F102" s="34">
        <v>30.233011999999999</v>
      </c>
      <c r="G102" s="34">
        <v>-91.022057000000004</v>
      </c>
      <c r="H102" s="34"/>
      <c r="I102" s="105">
        <v>110000911309</v>
      </c>
      <c r="J102" s="33">
        <f>IF(OR($H102="",$H102="Yes"), VLOOKUP($I102, 'Processed Non-zero DMR Data'!$K:$V, 10, FALSE),"")</f>
        <v>1.1140674375E-2</v>
      </c>
      <c r="K102" s="33" t="str">
        <f>IFERROR(VLOOKUP($H102, 'Processed Non-zero TRI Data'!$I:$M, 5, 0), VLOOKUP($I102, 'Processed Non-zero DMR Data'!$K:$M, 3, FALSE))</f>
        <v>Transportation Services, Nec</v>
      </c>
      <c r="L102" s="33" t="str">
        <f>IFERROR(VLOOKUP($H102, 'Processed Non-zero TRI Data'!I:P, 8, 0), "Direct")</f>
        <v>Direct</v>
      </c>
      <c r="M102" s="33" t="str">
        <f>VLOOKUP($N102, 'COU.OES Summary'!C:D, 2, FALSE)</f>
        <v> </v>
      </c>
      <c r="N102" s="33" t="str">
        <f>IFERROR(VLOOKUP($H102, 'Processed Non-zero TRI Data'!$I:$O, 7, FALSE), VLOOKUP($I102, 'Processed Non-zero DMR Data'!$K:$R, 8, FALSE))</f>
        <v>Waste handling, treatment, and disposal - Remediation or Monitoring</v>
      </c>
      <c r="O102" s="33" t="s">
        <v>710</v>
      </c>
      <c r="P102" s="33">
        <f>VLOOKUP($N102, 'COU.OES Summary'!C:E, 3, FALSE)</f>
        <v>365</v>
      </c>
    </row>
    <row r="103" spans="1:16" ht="29" x14ac:dyDescent="0.35">
      <c r="A103" s="34">
        <v>102</v>
      </c>
      <c r="B103" s="33" t="str">
        <f>IF(AND(ISNUMBER(MATCH(H103, 'Processed Non-zero TRI Data'!$I$2:$I$23, FALSE)),ISNUMBER(MATCH(I103, 'Processed Non-zero DMR Data'!$K:$K, FALSE))),"Both TRI Form "&amp; VLOOKUP(H103, 'Processed Non-zero TRI Data'!$I$2:$K$23, 3, FALSE)&amp; " &amp; DMR", IFERROR("Only TRI Form "&amp; VLOOKUP(H103, 'Processed Non-zero TRI Data'!$I$2:$K$23, 3, FALSE), "Only DMR"))</f>
        <v>Only DMR</v>
      </c>
      <c r="C103" s="34" t="s">
        <v>192</v>
      </c>
      <c r="D103" s="34" t="s">
        <v>193</v>
      </c>
      <c r="E103" s="34" t="s">
        <v>194</v>
      </c>
      <c r="F103" s="34">
        <v>35.118552999999999</v>
      </c>
      <c r="G103" s="34">
        <v>-81.559533000000002</v>
      </c>
      <c r="H103" s="34"/>
      <c r="I103" s="105">
        <v>110000915984</v>
      </c>
      <c r="J103" s="33">
        <f>IF(OR($H103="",$H103="Yes"), VLOOKUP($I103, 'Processed Non-zero DMR Data'!$K:$V, 10, FALSE),"")</f>
        <v>4.8967305000000003</v>
      </c>
      <c r="K103" s="33" t="str">
        <f>IFERROR(VLOOKUP($H103, 'Processed Non-zero TRI Data'!$I:$M, 5, 0), VLOOKUP($I103, 'Processed Non-zero DMR Data'!$K:$M, 3, FALSE))</f>
        <v>Finishing Plants, Cotton</v>
      </c>
      <c r="L103" s="33" t="str">
        <f>IFERROR(VLOOKUP($H103, 'Processed Non-zero TRI Data'!I:P, 8, 0), "Direct")</f>
        <v>Direct</v>
      </c>
      <c r="M103" s="33" t="str">
        <f>VLOOKUP($N103, 'COU.OES Summary'!C:D, 2, FALSE)</f>
        <v> </v>
      </c>
      <c r="N103" s="33" t="str">
        <f>IFERROR(VLOOKUP($H103, 'Processed Non-zero TRI Data'!$I:$O, 7, FALSE), VLOOKUP($I103, 'Processed Non-zero DMR Data'!$K:$R, 8, FALSE))</f>
        <v>Waste handling, treatment, and disposal - Remediation or Monitoring</v>
      </c>
      <c r="O103" s="33" t="s">
        <v>710</v>
      </c>
      <c r="P103" s="33">
        <f>VLOOKUP($N103, 'COU.OES Summary'!C:E, 3, FALSE)</f>
        <v>365</v>
      </c>
    </row>
    <row r="104" spans="1:16" ht="29" x14ac:dyDescent="0.35">
      <c r="A104" s="34">
        <v>103</v>
      </c>
      <c r="B104" s="33" t="str">
        <f>IF(AND(ISNUMBER(MATCH(H104, 'Processed Non-zero TRI Data'!$I$2:$I$23, FALSE)),ISNUMBER(MATCH(I104, 'Processed Non-zero DMR Data'!$K:$K, FALSE))),"Both TRI Form "&amp; VLOOKUP(H104, 'Processed Non-zero TRI Data'!$I$2:$K$23, 3, FALSE)&amp; " &amp; DMR", IFERROR("Only TRI Form "&amp; VLOOKUP(H104, 'Processed Non-zero TRI Data'!$I$2:$K$23, 3, FALSE), "Only DMR"))</f>
        <v>Only DMR</v>
      </c>
      <c r="C104" s="34" t="s">
        <v>382</v>
      </c>
      <c r="D104" s="34" t="s">
        <v>383</v>
      </c>
      <c r="E104" s="34" t="s">
        <v>340</v>
      </c>
      <c r="F104" s="34">
        <v>40.231741999999997</v>
      </c>
      <c r="G104" s="34">
        <v>-78.917860000000005</v>
      </c>
      <c r="H104" s="34"/>
      <c r="I104" s="105">
        <v>110001057533</v>
      </c>
      <c r="J104" s="33">
        <f>IF(OR($H104="",$H104="Yes"), VLOOKUP($I104, 'Processed Non-zero DMR Data'!$K:$V, 10, FALSE),"")</f>
        <v>3.7922861250000002E-2</v>
      </c>
      <c r="K104" s="33" t="str">
        <f>IFERROR(VLOOKUP($H104, 'Processed Non-zero TRI Data'!$I:$M, 5, 0), VLOOKUP($I104, 'Processed Non-zero DMR Data'!$K:$M, 3, FALSE))</f>
        <v>Sewerage Systems</v>
      </c>
      <c r="L104" s="33" t="str">
        <f>IFERROR(VLOOKUP($H104, 'Processed Non-zero TRI Data'!I:P, 8, 0), "Direct")</f>
        <v>Direct</v>
      </c>
      <c r="M104" s="33" t="str">
        <f>VLOOKUP($N104, 'COU.OES Summary'!C:D, 2, FALSE)</f>
        <v> </v>
      </c>
      <c r="N104" s="33" t="str">
        <f>IFERROR(VLOOKUP($H104, 'Processed Non-zero TRI Data'!$I:$O, 7, FALSE), VLOOKUP($I104, 'Processed Non-zero DMR Data'!$K:$R, 8, FALSE))</f>
        <v>Waste handling, treatment, and disposal - POTW</v>
      </c>
      <c r="O104" s="33" t="s">
        <v>710</v>
      </c>
      <c r="P104" s="33">
        <f>VLOOKUP($N104, 'COU.OES Summary'!C:E, 3, FALSE)</f>
        <v>365</v>
      </c>
    </row>
    <row r="105" spans="1:16" ht="29" x14ac:dyDescent="0.35">
      <c r="A105" s="34">
        <v>104</v>
      </c>
      <c r="B105" s="33" t="str">
        <f>IF(AND(ISNUMBER(MATCH(H105, 'Processed Non-zero TRI Data'!$I$2:$I$23, FALSE)),ISNUMBER(MATCH(I105, 'Processed Non-zero DMR Data'!$K:$K, FALSE))),"Both TRI Form "&amp; VLOOKUP(H105, 'Processed Non-zero TRI Data'!$I$2:$K$23, 3, FALSE)&amp; " &amp; DMR", IFERROR("Only TRI Form "&amp; VLOOKUP(H105, 'Processed Non-zero TRI Data'!$I$2:$K$23, 3, FALSE), "Only DMR"))</f>
        <v>Only DMR</v>
      </c>
      <c r="C105" s="34" t="s">
        <v>463</v>
      </c>
      <c r="D105" s="34" t="s">
        <v>464</v>
      </c>
      <c r="E105" s="34" t="s">
        <v>102</v>
      </c>
      <c r="F105" s="34">
        <v>37.894722000000002</v>
      </c>
      <c r="G105" s="34">
        <v>-121.587222</v>
      </c>
      <c r="H105" s="34"/>
      <c r="I105" s="105">
        <v>110001103911</v>
      </c>
      <c r="J105" s="33">
        <f>IF(OR($H105="",$H105="Yes"), VLOOKUP($I105, 'Processed Non-zero DMR Data'!$K:$V, 10, FALSE),"")</f>
        <v>0.103630272</v>
      </c>
      <c r="K105" s="33" t="str">
        <f>IFERROR(VLOOKUP($H105, 'Processed Non-zero TRI Data'!$I:$M, 5, 0), VLOOKUP($I105, 'Processed Non-zero DMR Data'!$K:$M, 3, FALSE))</f>
        <v>Sewerage Systems</v>
      </c>
      <c r="L105" s="33" t="str">
        <f>IFERROR(VLOOKUP($H105, 'Processed Non-zero TRI Data'!I:P, 8, 0), "Direct")</f>
        <v>Direct</v>
      </c>
      <c r="M105" s="33" t="str">
        <f>VLOOKUP($N105, 'COU.OES Summary'!C:D, 2, FALSE)</f>
        <v> </v>
      </c>
      <c r="N105" s="33" t="str">
        <f>IFERROR(VLOOKUP($H105, 'Processed Non-zero TRI Data'!$I:$O, 7, FALSE), VLOOKUP($I105, 'Processed Non-zero DMR Data'!$K:$R, 8, FALSE))</f>
        <v>Waste handling, treatment, and disposal - POTW</v>
      </c>
      <c r="O105" s="33" t="s">
        <v>710</v>
      </c>
      <c r="P105" s="33">
        <f>VLOOKUP($N105, 'COU.OES Summary'!C:E, 3, FALSE)</f>
        <v>365</v>
      </c>
    </row>
    <row r="106" spans="1:16" ht="29" x14ac:dyDescent="0.35">
      <c r="A106" s="34">
        <v>105</v>
      </c>
      <c r="B106" s="33" t="str">
        <f>IF(AND(ISNUMBER(MATCH(H106, 'Processed Non-zero TRI Data'!$I$2:$I$23, FALSE)),ISNUMBER(MATCH(I106, 'Processed Non-zero DMR Data'!$K:$K, FALSE))),"Both TRI Form "&amp; VLOOKUP(H106, 'Processed Non-zero TRI Data'!$I$2:$K$23, 3, FALSE)&amp; " &amp; DMR", IFERROR("Only TRI Form "&amp; VLOOKUP(H106, 'Processed Non-zero TRI Data'!$I$2:$K$23, 3, FALSE), "Only DMR"))</f>
        <v>Only DMR</v>
      </c>
      <c r="C106" s="34" t="s">
        <v>190</v>
      </c>
      <c r="D106" s="34" t="s">
        <v>191</v>
      </c>
      <c r="E106" s="34" t="s">
        <v>108</v>
      </c>
      <c r="F106" s="34">
        <v>36.983809999999998</v>
      </c>
      <c r="G106" s="34">
        <v>-85.957089999999994</v>
      </c>
      <c r="H106" s="34"/>
      <c r="I106" s="105">
        <v>110001123276</v>
      </c>
      <c r="J106" s="33">
        <f>IF(OR($H106="",$H106="Yes"), VLOOKUP($I106, 'Processed Non-zero DMR Data'!$K:$V, 10, FALSE),"")</f>
        <v>5.2014416250000002</v>
      </c>
      <c r="K106" s="33" t="str">
        <f>IFERROR(VLOOKUP($H106, 'Processed Non-zero TRI Data'!$I:$M, 5, 0), VLOOKUP($I106, 'Processed Non-zero DMR Data'!$K:$M, 3, FALSE))</f>
        <v>Sewerage Systems</v>
      </c>
      <c r="L106" s="33" t="str">
        <f>IFERROR(VLOOKUP($H106, 'Processed Non-zero TRI Data'!I:P, 8, 0), "Direct")</f>
        <v>Direct</v>
      </c>
      <c r="M106" s="33" t="str">
        <f>VLOOKUP($N106, 'COU.OES Summary'!C:D, 2, FALSE)</f>
        <v> </v>
      </c>
      <c r="N106" s="33" t="str">
        <f>IFERROR(VLOOKUP($H106, 'Processed Non-zero TRI Data'!$I:$O, 7, FALSE), VLOOKUP($I106, 'Processed Non-zero DMR Data'!$K:$R, 8, FALSE))</f>
        <v>Waste handling, treatment, and disposal - POTW</v>
      </c>
      <c r="O106" s="33" t="s">
        <v>710</v>
      </c>
      <c r="P106" s="33">
        <f>VLOOKUP($N106, 'COU.OES Summary'!C:E, 3, FALSE)</f>
        <v>365</v>
      </c>
    </row>
    <row r="107" spans="1:16" ht="29" x14ac:dyDescent="0.35">
      <c r="A107" s="34">
        <v>106</v>
      </c>
      <c r="B107" s="33" t="str">
        <f>IF(AND(ISNUMBER(MATCH(H107, 'Processed Non-zero TRI Data'!$I$2:$I$23, FALSE)),ISNUMBER(MATCH(I107, 'Processed Non-zero DMR Data'!$K:$K, FALSE))),"Both TRI Form "&amp; VLOOKUP(H107, 'Processed Non-zero TRI Data'!$I$2:$K$23, 3, FALSE)&amp; " &amp; DMR", IFERROR("Only TRI Form "&amp; VLOOKUP(H107, 'Processed Non-zero TRI Data'!$I$2:$K$23, 3, FALSE), "Only DMR"))</f>
        <v>Only DMR</v>
      </c>
      <c r="C107" s="34" t="s">
        <v>575</v>
      </c>
      <c r="D107" s="34" t="s">
        <v>576</v>
      </c>
      <c r="E107" s="34" t="s">
        <v>91</v>
      </c>
      <c r="F107" s="34">
        <v>32.008493999999999</v>
      </c>
      <c r="G107" s="34">
        <v>-93.335728000000003</v>
      </c>
      <c r="H107" s="34"/>
      <c r="I107" s="105">
        <v>110001131837</v>
      </c>
      <c r="J107" s="33">
        <f>IF(OR($H107="",$H107="Yes"), VLOOKUP($I107, 'Processed Non-zero DMR Data'!$K:$V, 10, FALSE),"")</f>
        <v>1.9046542027499998E-2</v>
      </c>
      <c r="K107" s="33" t="str">
        <f>IFERROR(VLOOKUP($H107, 'Processed Non-zero TRI Data'!$I:$M, 5, 0), VLOOKUP($I107, 'Processed Non-zero DMR Data'!$K:$M, 3, FALSE))</f>
        <v>Special Warehousing and Storage, Nec</v>
      </c>
      <c r="L107" s="33" t="str">
        <f>IFERROR(VLOOKUP($H107, 'Processed Non-zero TRI Data'!I:P, 8, 0), "Direct")</f>
        <v>Direct</v>
      </c>
      <c r="M107" s="33" t="str">
        <f>VLOOKUP($N107, 'COU.OES Summary'!C:D, 2, FALSE)</f>
        <v> </v>
      </c>
      <c r="N107" s="33" t="str">
        <f>IFERROR(VLOOKUP($H107, 'Processed Non-zero TRI Data'!$I:$O, 7, FALSE), VLOOKUP($I107, 'Processed Non-zero DMR Data'!$K:$R, 8, FALSE))</f>
        <v>Waste handling, treatment, and disposal - Remediation or Monitoring</v>
      </c>
      <c r="O107" s="33" t="s">
        <v>710</v>
      </c>
      <c r="P107" s="33">
        <f>VLOOKUP($N107, 'COU.OES Summary'!C:E, 3, FALSE)</f>
        <v>365</v>
      </c>
    </row>
    <row r="108" spans="1:16" ht="29" x14ac:dyDescent="0.35">
      <c r="A108" s="34">
        <v>107</v>
      </c>
      <c r="B108" s="33" t="str">
        <f>IF(AND(ISNUMBER(MATCH(H108, 'Processed Non-zero TRI Data'!$I$2:$I$23, FALSE)),ISNUMBER(MATCH(I108, 'Processed Non-zero DMR Data'!$K:$K, FALSE))),"Both TRI Form "&amp; VLOOKUP(H108, 'Processed Non-zero TRI Data'!$I$2:$K$23, 3, FALSE)&amp; " &amp; DMR", IFERROR("Only TRI Form "&amp; VLOOKUP(H108, 'Processed Non-zero TRI Data'!$I$2:$K$23, 3, FALSE), "Only DMR"))</f>
        <v>Only DMR</v>
      </c>
      <c r="C108" s="34" t="s">
        <v>607</v>
      </c>
      <c r="D108" s="34" t="s">
        <v>608</v>
      </c>
      <c r="E108" s="34" t="s">
        <v>102</v>
      </c>
      <c r="F108" s="34">
        <v>38.055900000000001</v>
      </c>
      <c r="G108" s="34">
        <v>-122.21435</v>
      </c>
      <c r="H108" s="34"/>
      <c r="I108" s="105">
        <v>110001163062</v>
      </c>
      <c r="J108" s="33">
        <f>IF(OR($H108="",$H108="Yes"), VLOOKUP($I108, 'Processed Non-zero DMR Data'!$K:$V, 10, FALSE),"")</f>
        <v>1.12444806495E-2</v>
      </c>
      <c r="K108" s="33" t="str">
        <f>IFERROR(VLOOKUP($H108, 'Processed Non-zero TRI Data'!$I:$M, 5, 0), VLOOKUP($I108, 'Processed Non-zero DMR Data'!$K:$M, 3, FALSE))</f>
        <v>Electric and Other Services Combined</v>
      </c>
      <c r="L108" s="33" t="str">
        <f>IFERROR(VLOOKUP($H108, 'Processed Non-zero TRI Data'!I:P, 8, 0), "Direct")</f>
        <v>Direct</v>
      </c>
      <c r="M108" s="33" t="str">
        <f>VLOOKUP($N108, 'COU.OES Summary'!C:D, 2, FALSE)</f>
        <v> </v>
      </c>
      <c r="N108" s="33" t="str">
        <f>IFERROR(VLOOKUP($H108, 'Processed Non-zero TRI Data'!$I:$O, 7, FALSE), VLOOKUP($I108, 'Processed Non-zero DMR Data'!$K:$R, 8, FALSE))</f>
        <v>Waste handling, treatment, and disposal - Remediation or Monitoring</v>
      </c>
      <c r="O108" s="33" t="s">
        <v>710</v>
      </c>
      <c r="P108" s="33">
        <f>VLOOKUP($N108, 'COU.OES Summary'!C:E, 3, FALSE)</f>
        <v>365</v>
      </c>
    </row>
    <row r="109" spans="1:16" ht="29" x14ac:dyDescent="0.35">
      <c r="A109" s="34">
        <v>108</v>
      </c>
      <c r="B109" s="33" t="str">
        <f>IF(AND(ISNUMBER(MATCH(H109, 'Processed Non-zero TRI Data'!$I$2:$I$23, FALSE)),ISNUMBER(MATCH(I109, 'Processed Non-zero DMR Data'!$K:$K, FALSE))),"Both TRI Form "&amp; VLOOKUP(H109, 'Processed Non-zero TRI Data'!$I$2:$K$23, 3, FALSE)&amp; " &amp; DMR", IFERROR("Only TRI Form "&amp; VLOOKUP(H109, 'Processed Non-zero TRI Data'!$I$2:$K$23, 3, FALSE), "Only DMR"))</f>
        <v>Only DMR</v>
      </c>
      <c r="C109" s="34" t="s">
        <v>522</v>
      </c>
      <c r="D109" s="34" t="s">
        <v>523</v>
      </c>
      <c r="E109" s="34" t="s">
        <v>102</v>
      </c>
      <c r="F109" s="34">
        <v>33.227348999999997</v>
      </c>
      <c r="G109" s="34">
        <v>-115.528569</v>
      </c>
      <c r="H109" s="34"/>
      <c r="I109" s="105">
        <v>110001177958</v>
      </c>
      <c r="J109" s="33">
        <f>IF(OR($H109="",$H109="Yes"), VLOOKUP($I109, 'Processed Non-zero DMR Data'!$K:$V, 10, FALSE),"")</f>
        <v>4.1445750000000003E-2</v>
      </c>
      <c r="K109" s="33" t="str">
        <f>IFERROR(VLOOKUP($H109, 'Processed Non-zero TRI Data'!$I:$M, 5, 0), VLOOKUP($I109, 'Processed Non-zero DMR Data'!$K:$M, 3, FALSE))</f>
        <v>Sewerage Systems</v>
      </c>
      <c r="L109" s="33" t="str">
        <f>IFERROR(VLOOKUP($H109, 'Processed Non-zero TRI Data'!I:P, 8, 0), "Direct")</f>
        <v>Direct</v>
      </c>
      <c r="M109" s="33" t="str">
        <f>VLOOKUP($N109, 'COU.OES Summary'!C:D, 2, FALSE)</f>
        <v> </v>
      </c>
      <c r="N109" s="33" t="str">
        <f>IFERROR(VLOOKUP($H109, 'Processed Non-zero TRI Data'!$I:$O, 7, FALSE), VLOOKUP($I109, 'Processed Non-zero DMR Data'!$K:$R, 8, FALSE))</f>
        <v>Waste handling, treatment, and disposal - POTW</v>
      </c>
      <c r="O109" s="33" t="s">
        <v>710</v>
      </c>
      <c r="P109" s="33">
        <f>VLOOKUP($N109, 'COU.OES Summary'!C:E, 3, FALSE)</f>
        <v>365</v>
      </c>
    </row>
    <row r="110" spans="1:16" ht="29" x14ac:dyDescent="0.35">
      <c r="A110" s="34">
        <v>109</v>
      </c>
      <c r="B110" s="33" t="str">
        <f>IF(AND(ISNUMBER(MATCH(H110, 'Processed Non-zero TRI Data'!$I$2:$I$23, FALSE)),ISNUMBER(MATCH(I110, 'Processed Non-zero DMR Data'!$K:$K, FALSE))),"Both TRI Form "&amp; VLOOKUP(H110, 'Processed Non-zero TRI Data'!$I$2:$K$23, 3, FALSE)&amp; " &amp; DMR", IFERROR("Only TRI Form "&amp; VLOOKUP(H110, 'Processed Non-zero TRI Data'!$I$2:$K$23, 3, FALSE), "Only DMR"))</f>
        <v>Only DMR</v>
      </c>
      <c r="C110" s="34" t="s">
        <v>441</v>
      </c>
      <c r="D110" s="34" t="s">
        <v>357</v>
      </c>
      <c r="E110" s="34" t="s">
        <v>181</v>
      </c>
      <c r="F110" s="34">
        <v>44.260753000000001</v>
      </c>
      <c r="G110" s="34">
        <v>-85.408919999999995</v>
      </c>
      <c r="H110" s="34"/>
      <c r="I110" s="105">
        <v>110001301074</v>
      </c>
      <c r="J110" s="33">
        <f>IF(OR($H110="",$H110="Yes"), VLOOKUP($I110, 'Processed Non-zero DMR Data'!$K:$V, 10, FALSE),"")</f>
        <v>7.0594034999999999E-2</v>
      </c>
      <c r="K110" s="33" t="str">
        <f>IFERROR(VLOOKUP($H110, 'Processed Non-zero TRI Data'!$I:$M, 5, 0), VLOOKUP($I110, 'Processed Non-zero DMR Data'!$K:$M, 3, FALSE))</f>
        <v>Household Vacuum Cleaners</v>
      </c>
      <c r="L110" s="33" t="str">
        <f>IFERROR(VLOOKUP($H110, 'Processed Non-zero TRI Data'!I:P, 8, 0), "Direct")</f>
        <v>Direct</v>
      </c>
      <c r="M110" s="33" t="str">
        <f>VLOOKUP($N110, 'COU.OES Summary'!C:D, 2, FALSE)</f>
        <v> </v>
      </c>
      <c r="N110" s="33" t="str">
        <f>IFERROR(VLOOKUP($H110, 'Processed Non-zero TRI Data'!$I:$O, 7, FALSE), VLOOKUP($I110, 'Processed Non-zero DMR Data'!$K:$R, 8, FALSE))</f>
        <v>Waste handling, treatment, and disposal - Remediation or Monitoring</v>
      </c>
      <c r="O110" s="33" t="s">
        <v>710</v>
      </c>
      <c r="P110" s="33">
        <f>VLOOKUP($N110, 'COU.OES Summary'!C:E, 3, FALSE)</f>
        <v>365</v>
      </c>
    </row>
    <row r="111" spans="1:16" ht="29" x14ac:dyDescent="0.35">
      <c r="A111" s="34">
        <v>110</v>
      </c>
      <c r="B111" s="33" t="str">
        <f>IF(AND(ISNUMBER(MATCH(H111, 'Processed Non-zero TRI Data'!$I$2:$I$23, FALSE)),ISNUMBER(MATCH(I111, 'Processed Non-zero DMR Data'!$K:$K, FALSE))),"Both TRI Form "&amp; VLOOKUP(H111, 'Processed Non-zero TRI Data'!$I$2:$K$23, 3, FALSE)&amp; " &amp; DMR", IFERROR("Only TRI Form "&amp; VLOOKUP(H111, 'Processed Non-zero TRI Data'!$I$2:$K$23, 3, FALSE), "Only DMR"))</f>
        <v>Only DMR</v>
      </c>
      <c r="C111" s="34" t="s">
        <v>558</v>
      </c>
      <c r="D111" s="34" t="s">
        <v>559</v>
      </c>
      <c r="E111" s="34" t="s">
        <v>560</v>
      </c>
      <c r="F111" s="34">
        <v>41.111856000000003</v>
      </c>
      <c r="G111" s="34">
        <v>-95.923699999999997</v>
      </c>
      <c r="H111" s="34"/>
      <c r="I111" s="105">
        <v>110001512603</v>
      </c>
      <c r="J111" s="33">
        <f>IF(OR($H111="",$H111="Yes"), VLOOKUP($I111, 'Processed Non-zero DMR Data'!$K:$V, 10, FALSE),"")</f>
        <v>2.2814844500000001E-2</v>
      </c>
      <c r="K111" s="33" t="str">
        <f>IFERROR(VLOOKUP($H111, 'Processed Non-zero TRI Data'!$I:$M, 5, 0), VLOOKUP($I111, 'Processed Non-zero DMR Data'!$K:$M, 3, FALSE))</f>
        <v>National Security</v>
      </c>
      <c r="L111" s="33" t="str">
        <f>IFERROR(VLOOKUP($H111, 'Processed Non-zero TRI Data'!I:P, 8, 0), "Direct")</f>
        <v>Direct</v>
      </c>
      <c r="M111" s="33" t="str">
        <f>VLOOKUP($N111, 'COU.OES Summary'!C:D, 2, FALSE)</f>
        <v> </v>
      </c>
      <c r="N111" s="33" t="str">
        <f>IFERROR(VLOOKUP($H111, 'Processed Non-zero TRI Data'!$I:$O, 7, FALSE), VLOOKUP($I111, 'Processed Non-zero DMR Data'!$K:$R, 8, FALSE))</f>
        <v>Waste handling, treatment, and disposal - POTW</v>
      </c>
      <c r="O111" s="33" t="s">
        <v>710</v>
      </c>
      <c r="P111" s="33">
        <f>VLOOKUP($N111, 'COU.OES Summary'!C:E, 3, FALSE)</f>
        <v>365</v>
      </c>
    </row>
    <row r="112" spans="1:16" ht="29" x14ac:dyDescent="0.35">
      <c r="A112" s="34">
        <v>111</v>
      </c>
      <c r="B112" s="33" t="str">
        <f>IF(AND(ISNUMBER(MATCH(H112, 'Processed Non-zero TRI Data'!$I$2:$I$23, FALSE)),ISNUMBER(MATCH(I112, 'Processed Non-zero DMR Data'!$K:$K, FALSE))),"Both TRI Form "&amp; VLOOKUP(H112, 'Processed Non-zero TRI Data'!$I$2:$K$23, 3, FALSE)&amp; " &amp; DMR", IFERROR("Only TRI Form "&amp; VLOOKUP(H112, 'Processed Non-zero TRI Data'!$I$2:$K$23, 3, FALSE), "Only DMR"))</f>
        <v>Only DMR</v>
      </c>
      <c r="C112" s="34" t="s">
        <v>497</v>
      </c>
      <c r="D112" s="34" t="s">
        <v>498</v>
      </c>
      <c r="E112" s="34" t="s">
        <v>181</v>
      </c>
      <c r="F112" s="34">
        <v>41.775967999999999</v>
      </c>
      <c r="G112" s="34">
        <v>-86.654864000000003</v>
      </c>
      <c r="H112" s="34"/>
      <c r="I112" s="105">
        <v>110001847761</v>
      </c>
      <c r="J112" s="33">
        <f>IF(OR($H112="",$H112="Yes"), VLOOKUP($I112, 'Processed Non-zero DMR Data'!$K:$V, 10, FALSE),"")</f>
        <v>3.5547343636363603E-2</v>
      </c>
      <c r="K112" s="33" t="str">
        <f>IFERROR(VLOOKUP($H112, 'Processed Non-zero TRI Data'!$I:$M, 5, 0), VLOOKUP($I112, 'Processed Non-zero DMR Data'!$K:$M, 3, FALSE))</f>
        <v>Refuse Systems</v>
      </c>
      <c r="L112" s="33" t="str">
        <f>IFERROR(VLOOKUP($H112, 'Processed Non-zero TRI Data'!I:P, 8, 0), "Direct")</f>
        <v>Direct</v>
      </c>
      <c r="M112" s="33" t="str">
        <f>VLOOKUP($N112, 'COU.OES Summary'!C:D, 2, FALSE)</f>
        <v> </v>
      </c>
      <c r="N112" s="33" t="str">
        <f>IFERROR(VLOOKUP($H112, 'Processed Non-zero TRI Data'!$I:$O, 7, FALSE), VLOOKUP($I112, 'Processed Non-zero DMR Data'!$K:$R, 8, FALSE))</f>
        <v>Waste handling, treatment, and disposal - Landfill</v>
      </c>
      <c r="O112" s="33" t="s">
        <v>710</v>
      </c>
      <c r="P112" s="33">
        <f>VLOOKUP($N112, 'COU.OES Summary'!C:E, 3, FALSE)</f>
        <v>365</v>
      </c>
    </row>
    <row r="113" spans="1:16" ht="29" x14ac:dyDescent="0.35">
      <c r="A113" s="34">
        <v>112</v>
      </c>
      <c r="B113" s="33" t="str">
        <f>IF(AND(ISNUMBER(MATCH(H113, 'Processed Non-zero TRI Data'!$I$2:$I$23, FALSE)),ISNUMBER(MATCH(I113, 'Processed Non-zero DMR Data'!$K:$K, FALSE))),"Both TRI Form "&amp; VLOOKUP(H113, 'Processed Non-zero TRI Data'!$I$2:$K$23, 3, FALSE)&amp; " &amp; DMR", IFERROR("Only TRI Form "&amp; VLOOKUP(H113, 'Processed Non-zero TRI Data'!$I$2:$K$23, 3, FALSE), "Only DMR"))</f>
        <v>Only DMR</v>
      </c>
      <c r="C113" s="34" t="s">
        <v>177</v>
      </c>
      <c r="D113" s="34" t="s">
        <v>178</v>
      </c>
      <c r="E113" s="34" t="s">
        <v>108</v>
      </c>
      <c r="F113" s="34">
        <v>36.866140000000001</v>
      </c>
      <c r="G113" s="34">
        <v>-88.342470000000006</v>
      </c>
      <c r="H113" s="34"/>
      <c r="I113" s="105">
        <v>110001855635</v>
      </c>
      <c r="J113" s="33">
        <f>IF(OR($H113="",$H113="Yes"), VLOOKUP($I113, 'Processed Non-zero DMR Data'!$K:$V, 10, FALSE),"")</f>
        <v>5.7747745000000004</v>
      </c>
      <c r="K113" s="33" t="str">
        <f>IFERROR(VLOOKUP($H113, 'Processed Non-zero TRI Data'!$I:$M, 5, 0), VLOOKUP($I113, 'Processed Non-zero DMR Data'!$K:$M, 3, FALSE))</f>
        <v>Sewerage Systems</v>
      </c>
      <c r="L113" s="33" t="str">
        <f>IFERROR(VLOOKUP($H113, 'Processed Non-zero TRI Data'!I:P, 8, 0), "Direct")</f>
        <v>Direct</v>
      </c>
      <c r="M113" s="33" t="str">
        <f>VLOOKUP($N113, 'COU.OES Summary'!C:D, 2, FALSE)</f>
        <v> </v>
      </c>
      <c r="N113" s="33" t="str">
        <f>IFERROR(VLOOKUP($H113, 'Processed Non-zero TRI Data'!$I:$O, 7, FALSE), VLOOKUP($I113, 'Processed Non-zero DMR Data'!$K:$R, 8, FALSE))</f>
        <v>Waste handling, treatment, and disposal - POTW</v>
      </c>
      <c r="O113" s="33" t="s">
        <v>710</v>
      </c>
      <c r="P113" s="33">
        <f>VLOOKUP($N113, 'COU.OES Summary'!C:E, 3, FALSE)</f>
        <v>365</v>
      </c>
    </row>
    <row r="114" spans="1:16" ht="29" x14ac:dyDescent="0.35">
      <c r="A114" s="34">
        <v>113</v>
      </c>
      <c r="B114" s="33" t="str">
        <f>IF(AND(ISNUMBER(MATCH(H114, 'Processed Non-zero TRI Data'!$I$2:$I$23, FALSE)),ISNUMBER(MATCH(I114, 'Processed Non-zero DMR Data'!$K:$K, FALSE))),"Both TRI Form "&amp; VLOOKUP(H114, 'Processed Non-zero TRI Data'!$I$2:$K$23, 3, FALSE)&amp; " &amp; DMR", IFERROR("Only TRI Form "&amp; VLOOKUP(H114, 'Processed Non-zero TRI Data'!$I$2:$K$23, 3, FALSE), "Only DMR"))</f>
        <v>Only DMR</v>
      </c>
      <c r="C114" s="34" t="s">
        <v>136</v>
      </c>
      <c r="D114" s="34" t="s">
        <v>137</v>
      </c>
      <c r="E114" s="34" t="s">
        <v>108</v>
      </c>
      <c r="F114" s="34">
        <v>37.318492999999997</v>
      </c>
      <c r="G114" s="34">
        <v>-87.549857000000003</v>
      </c>
      <c r="H114" s="34"/>
      <c r="I114" s="105">
        <v>110002041380</v>
      </c>
      <c r="J114" s="33">
        <f>IF(OR($H114="",$H114="Yes"), VLOOKUP($I114, 'Processed Non-zero DMR Data'!$K:$V, 10, FALSE),"")</f>
        <v>6.6741472750000002</v>
      </c>
      <c r="K114" s="33" t="str">
        <f>IFERROR(VLOOKUP($H114, 'Processed Non-zero TRI Data'!$I:$M, 5, 0), VLOOKUP($I114, 'Processed Non-zero DMR Data'!$K:$M, 3, FALSE))</f>
        <v>Sewerage Systems</v>
      </c>
      <c r="L114" s="33" t="str">
        <f>IFERROR(VLOOKUP($H114, 'Processed Non-zero TRI Data'!I:P, 8, 0), "Direct")</f>
        <v>Direct</v>
      </c>
      <c r="M114" s="33" t="str">
        <f>VLOOKUP($N114, 'COU.OES Summary'!C:D, 2, FALSE)</f>
        <v> </v>
      </c>
      <c r="N114" s="33" t="str">
        <f>IFERROR(VLOOKUP($H114, 'Processed Non-zero TRI Data'!$I:$O, 7, FALSE), VLOOKUP($I114, 'Processed Non-zero DMR Data'!$K:$R, 8, FALSE))</f>
        <v>Waste handling, treatment, and disposal - POTW</v>
      </c>
      <c r="O114" s="33" t="s">
        <v>710</v>
      </c>
      <c r="P114" s="33">
        <f>VLOOKUP($N114, 'COU.OES Summary'!C:E, 3, FALSE)</f>
        <v>365</v>
      </c>
    </row>
    <row r="115" spans="1:16" ht="29" x14ac:dyDescent="0.35">
      <c r="A115" s="34">
        <v>114</v>
      </c>
      <c r="B115" s="33" t="str">
        <f>IF(AND(ISNUMBER(MATCH(H115, 'Processed Non-zero TRI Data'!$I$2:$I$23, FALSE)),ISNUMBER(MATCH(I115, 'Processed Non-zero DMR Data'!$K:$K, FALSE))),"Both TRI Form "&amp; VLOOKUP(H115, 'Processed Non-zero TRI Data'!$I$2:$K$23, 3, FALSE)&amp; " &amp; DMR", IFERROR("Only TRI Form "&amp; VLOOKUP(H115, 'Processed Non-zero TRI Data'!$I$2:$K$23, 3, FALSE), "Only DMR"))</f>
        <v>Only DMR</v>
      </c>
      <c r="C115" s="34" t="s">
        <v>646</v>
      </c>
      <c r="D115" s="34" t="s">
        <v>647</v>
      </c>
      <c r="E115" s="34" t="s">
        <v>102</v>
      </c>
      <c r="F115" s="34">
        <v>33.147531999999998</v>
      </c>
      <c r="G115" s="34">
        <v>-115.54533000000001</v>
      </c>
      <c r="H115" s="34"/>
      <c r="I115" s="105">
        <v>110002043217</v>
      </c>
      <c r="J115" s="33">
        <f>IF(OR($H115="",$H115="Yes"), VLOOKUP($I115, 'Processed Non-zero DMR Data'!$K:$V, 10, FALSE),"")</f>
        <v>4.1445750000000002E-3</v>
      </c>
      <c r="K115" s="33" t="str">
        <f>IFERROR(VLOOKUP($H115, 'Processed Non-zero TRI Data'!$I:$M, 5, 0), VLOOKUP($I115, 'Processed Non-zero DMR Data'!$K:$M, 3, FALSE))</f>
        <v>Sewerage Systems</v>
      </c>
      <c r="L115" s="33" t="str">
        <f>IFERROR(VLOOKUP($H115, 'Processed Non-zero TRI Data'!I:P, 8, 0), "Direct")</f>
        <v>Direct</v>
      </c>
      <c r="M115" s="33" t="str">
        <f>VLOOKUP($N115, 'COU.OES Summary'!C:D, 2, FALSE)</f>
        <v> </v>
      </c>
      <c r="N115" s="33" t="str">
        <f>IFERROR(VLOOKUP($H115, 'Processed Non-zero TRI Data'!$I:$O, 7, FALSE), VLOOKUP($I115, 'Processed Non-zero DMR Data'!$K:$R, 8, FALSE))</f>
        <v>Waste handling, treatment, and disposal - POTW</v>
      </c>
      <c r="O115" s="33" t="s">
        <v>710</v>
      </c>
      <c r="P115" s="33">
        <f>VLOOKUP($N115, 'COU.OES Summary'!C:E, 3, FALSE)</f>
        <v>365</v>
      </c>
    </row>
    <row r="116" spans="1:16" ht="29" x14ac:dyDescent="0.35">
      <c r="A116" s="34">
        <v>115</v>
      </c>
      <c r="B116" s="33" t="str">
        <f>IF(AND(ISNUMBER(MATCH(H116, 'Processed Non-zero TRI Data'!$I$2:$I$23, FALSE)),ISNUMBER(MATCH(I116, 'Processed Non-zero DMR Data'!$K:$K, FALSE))),"Both TRI Form "&amp; VLOOKUP(H116, 'Processed Non-zero TRI Data'!$I$2:$K$23, 3, FALSE)&amp; " &amp; DMR", IFERROR("Only TRI Form "&amp; VLOOKUP(H116, 'Processed Non-zero TRI Data'!$I$2:$K$23, 3, FALSE), "Only DMR"))</f>
        <v>Only DMR</v>
      </c>
      <c r="C116" s="34" t="s">
        <v>257</v>
      </c>
      <c r="D116" s="34" t="s">
        <v>258</v>
      </c>
      <c r="E116" s="34" t="s">
        <v>108</v>
      </c>
      <c r="F116" s="34">
        <v>38.391995999999999</v>
      </c>
      <c r="G116" s="34">
        <v>-85.416021999999998</v>
      </c>
      <c r="H116" s="34"/>
      <c r="I116" s="105">
        <v>110002108059</v>
      </c>
      <c r="J116" s="33">
        <f>IF(OR($H116="",$H116="Yes"), VLOOKUP($I116, 'Processed Non-zero DMR Data'!$K:$V, 10, FALSE),"")</f>
        <v>2.1137332500000001</v>
      </c>
      <c r="K116" s="33" t="str">
        <f>IFERROR(VLOOKUP($H116, 'Processed Non-zero TRI Data'!$I:$M, 5, 0), VLOOKUP($I116, 'Processed Non-zero DMR Data'!$K:$M, 3, FALSE))</f>
        <v>Correctional Institutions</v>
      </c>
      <c r="L116" s="33" t="str">
        <f>IFERROR(VLOOKUP($H116, 'Processed Non-zero TRI Data'!I:P, 8, 0), "Direct")</f>
        <v>Direct</v>
      </c>
      <c r="M116" s="33" t="str">
        <f>VLOOKUP($N116, 'COU.OES Summary'!C:D, 2, FALSE)</f>
        <v> </v>
      </c>
      <c r="N116" s="33" t="str">
        <f>IFERROR(VLOOKUP($H116, 'Processed Non-zero TRI Data'!$I:$O, 7, FALSE), VLOOKUP($I116, 'Processed Non-zero DMR Data'!$K:$R, 8, FALSE))</f>
        <v>Waste handling, treatment, and disposal - Remediation or Monitoring</v>
      </c>
      <c r="O116" s="33" t="s">
        <v>710</v>
      </c>
      <c r="P116" s="33">
        <f>VLOOKUP($N116, 'COU.OES Summary'!C:E, 3, FALSE)</f>
        <v>365</v>
      </c>
    </row>
    <row r="117" spans="1:16" ht="29" x14ac:dyDescent="0.35">
      <c r="A117" s="34">
        <v>116</v>
      </c>
      <c r="B117" s="33" t="str">
        <f>IF(AND(ISNUMBER(MATCH(H117, 'Processed Non-zero TRI Data'!$I$2:$I$23, FALSE)),ISNUMBER(MATCH(I117, 'Processed Non-zero DMR Data'!$K:$K, FALSE))),"Both TRI Form "&amp; VLOOKUP(H117, 'Processed Non-zero TRI Data'!$I$2:$K$23, 3, FALSE)&amp; " &amp; DMR", IFERROR("Only TRI Form "&amp; VLOOKUP(H117, 'Processed Non-zero TRI Data'!$I$2:$K$23, 3, FALSE), "Only DMR"))</f>
        <v>Only DMR</v>
      </c>
      <c r="C117" s="34" t="s">
        <v>666</v>
      </c>
      <c r="D117" s="34" t="s">
        <v>667</v>
      </c>
      <c r="E117" s="34" t="s">
        <v>194</v>
      </c>
      <c r="F117" s="34">
        <v>33.773513999999999</v>
      </c>
      <c r="G117" s="34">
        <v>-81.904872999999995</v>
      </c>
      <c r="H117" s="34"/>
      <c r="I117" s="105">
        <v>110002311551</v>
      </c>
      <c r="J117" s="33">
        <f>IF(OR($H117="",$H117="Yes"), VLOOKUP($I117, 'Processed Non-zero DMR Data'!$K:$V, 10, FALSE),"")</f>
        <v>1.257660875E-3</v>
      </c>
      <c r="K117" s="33" t="str">
        <f>IFERROR(VLOOKUP($H117, 'Processed Non-zero TRI Data'!$I:$M, 5, 0), VLOOKUP($I117, 'Processed Non-zero DMR Data'!$K:$M, 3, FALSE))</f>
        <v>Sewerage Systems</v>
      </c>
      <c r="L117" s="33" t="str">
        <f>IFERROR(VLOOKUP($H117, 'Processed Non-zero TRI Data'!I:P, 8, 0), "Direct")</f>
        <v>Direct</v>
      </c>
      <c r="M117" s="33" t="str">
        <f>VLOOKUP($N117, 'COU.OES Summary'!C:D, 2, FALSE)</f>
        <v> </v>
      </c>
      <c r="N117" s="33" t="str">
        <f>IFERROR(VLOOKUP($H117, 'Processed Non-zero TRI Data'!$I:$O, 7, FALSE), VLOOKUP($I117, 'Processed Non-zero DMR Data'!$K:$R, 8, FALSE))</f>
        <v>Waste handling, treatment, and disposal - POTW</v>
      </c>
      <c r="O117" s="33" t="s">
        <v>710</v>
      </c>
      <c r="P117" s="33">
        <f>VLOOKUP($N117, 'COU.OES Summary'!C:E, 3, FALSE)</f>
        <v>365</v>
      </c>
    </row>
    <row r="118" spans="1:16" ht="29" x14ac:dyDescent="0.35">
      <c r="A118" s="34">
        <v>117</v>
      </c>
      <c r="B118" s="33" t="str">
        <f>IF(AND(ISNUMBER(MATCH(H118, 'Processed Non-zero TRI Data'!$I$2:$I$23, FALSE)),ISNUMBER(MATCH(I118, 'Processed Non-zero DMR Data'!$K:$K, FALSE))),"Both TRI Form "&amp; VLOOKUP(H118, 'Processed Non-zero TRI Data'!$I$2:$K$23, 3, FALSE)&amp; " &amp; DMR", IFERROR("Only TRI Form "&amp; VLOOKUP(H118, 'Processed Non-zero TRI Data'!$I$2:$K$23, 3, FALSE), "Only DMR"))</f>
        <v>Only DMR</v>
      </c>
      <c r="C118" s="34" t="s">
        <v>629</v>
      </c>
      <c r="D118" s="34" t="s">
        <v>620</v>
      </c>
      <c r="E118" s="34" t="s">
        <v>126</v>
      </c>
      <c r="F118" s="34">
        <v>43.107216000000001</v>
      </c>
      <c r="G118" s="34">
        <v>-75.225815999999995</v>
      </c>
      <c r="H118" s="34"/>
      <c r="I118" s="105">
        <v>110002321345</v>
      </c>
      <c r="J118" s="33">
        <f>IF(OR($H118="",$H118="Yes"), VLOOKUP($I118, 'Processed Non-zero DMR Data'!$K:$V, 10, FALSE),"")</f>
        <v>7.0432793999999996E-3</v>
      </c>
      <c r="K118" s="33" t="str">
        <f>IFERROR(VLOOKUP($H118, 'Processed Non-zero TRI Data'!$I:$M, 5, 0), VLOOKUP($I118, 'Processed Non-zero DMR Data'!$K:$M, 3, FALSE))</f>
        <v>Chemicals and Allied Products, Nec</v>
      </c>
      <c r="L118" s="33" t="str">
        <f>IFERROR(VLOOKUP($H118, 'Processed Non-zero TRI Data'!I:P, 8, 0), "Direct")</f>
        <v>Direct</v>
      </c>
      <c r="M118" s="33" t="str">
        <f>VLOOKUP($N118, 'COU.OES Summary'!C:D, 2, FALSE)</f>
        <v> </v>
      </c>
      <c r="N118" s="33" t="str">
        <f>IFERROR(VLOOKUP($H118, 'Processed Non-zero TRI Data'!$I:$O, 7, FALSE), VLOOKUP($I118, 'Processed Non-zero DMR Data'!$K:$R, 8, FALSE))</f>
        <v>Waste handling, treatment, and disposal - Remediation or Monitoring</v>
      </c>
      <c r="O118" s="33" t="s">
        <v>710</v>
      </c>
      <c r="P118" s="33">
        <f>VLOOKUP($N118, 'COU.OES Summary'!C:E, 3, FALSE)</f>
        <v>365</v>
      </c>
    </row>
    <row r="119" spans="1:16" ht="29" x14ac:dyDescent="0.35">
      <c r="A119" s="34">
        <v>118</v>
      </c>
      <c r="B119" s="33" t="str">
        <f>IF(AND(ISNUMBER(MATCH(H119, 'Processed Non-zero TRI Data'!$I$2:$I$23, FALSE)),ISNUMBER(MATCH(I119, 'Processed Non-zero DMR Data'!$K:$K, FALSE))),"Both TRI Form "&amp; VLOOKUP(H119, 'Processed Non-zero TRI Data'!$I$2:$K$23, 3, FALSE)&amp; " &amp; DMR", IFERROR("Only TRI Form "&amp; VLOOKUP(H119, 'Processed Non-zero TRI Data'!$I$2:$K$23, 3, FALSE), "Only DMR"))</f>
        <v>Only DMR</v>
      </c>
      <c r="C119" s="34" t="s">
        <v>503</v>
      </c>
      <c r="D119" s="34" t="s">
        <v>504</v>
      </c>
      <c r="E119" s="34" t="s">
        <v>102</v>
      </c>
      <c r="F119" s="34">
        <v>32.803809999999999</v>
      </c>
      <c r="G119" s="34">
        <v>-115.53973999999999</v>
      </c>
      <c r="H119" s="34"/>
      <c r="I119" s="105">
        <v>110002672484</v>
      </c>
      <c r="J119" s="33">
        <f>IF(OR($H119="",$H119="Yes"), VLOOKUP($I119, 'Processed Non-zero DMR Data'!$K:$V, 10, FALSE),"")</f>
        <v>8.5378244999999992E-3</v>
      </c>
      <c r="K119" s="33" t="str">
        <f>IFERROR(VLOOKUP($H119, 'Processed Non-zero TRI Data'!$I:$M, 5, 0), VLOOKUP($I119, 'Processed Non-zero DMR Data'!$K:$M, 3, FALSE))</f>
        <v>Fish Hatcheries and Preserves</v>
      </c>
      <c r="L119" s="33" t="str">
        <f>IFERROR(VLOOKUP($H119, 'Processed Non-zero TRI Data'!I:P, 8, 0), "Direct")</f>
        <v>Direct</v>
      </c>
      <c r="M119" s="33" t="str">
        <f>VLOOKUP($N119, 'COU.OES Summary'!C:D, 2, FALSE)</f>
        <v> </v>
      </c>
      <c r="N119" s="33" t="str">
        <f>IFERROR(VLOOKUP($H119, 'Processed Non-zero TRI Data'!$I:$O, 7, FALSE), VLOOKUP($I119, 'Processed Non-zero DMR Data'!$K:$R, 8, FALSE))</f>
        <v>Waste handling, treatment, and disposal - non-POTW WWT</v>
      </c>
      <c r="O119" s="33" t="s">
        <v>710</v>
      </c>
      <c r="P119" s="33">
        <f>VLOOKUP($N119, 'COU.OES Summary'!C:E, 3, FALSE)</f>
        <v>365</v>
      </c>
    </row>
    <row r="120" spans="1:16" ht="29" x14ac:dyDescent="0.35">
      <c r="A120" s="34">
        <v>119</v>
      </c>
      <c r="B120" s="33" t="str">
        <f>IF(AND(ISNUMBER(MATCH(H120, 'Processed Non-zero TRI Data'!$I$2:$I$23, FALSE)),ISNUMBER(MATCH(I120, 'Processed Non-zero DMR Data'!$K:$K, FALSE))),"Both TRI Form "&amp; VLOOKUP(H120, 'Processed Non-zero TRI Data'!$I$2:$K$23, 3, FALSE)&amp; " &amp; DMR", IFERROR("Only TRI Form "&amp; VLOOKUP(H120, 'Processed Non-zero TRI Data'!$I$2:$K$23, 3, FALSE), "Only DMR"))</f>
        <v>Only DMR</v>
      </c>
      <c r="C120" s="34" t="s">
        <v>403</v>
      </c>
      <c r="D120" s="34" t="s">
        <v>404</v>
      </c>
      <c r="E120" s="34" t="s">
        <v>108</v>
      </c>
      <c r="F120" s="34">
        <v>36.864350000000002</v>
      </c>
      <c r="G120" s="34">
        <v>-86.705910000000003</v>
      </c>
      <c r="H120" s="34"/>
      <c r="I120" s="105">
        <v>110003250277</v>
      </c>
      <c r="J120" s="33">
        <f>IF(OR($H120="",$H120="Yes"), VLOOKUP($I120, 'Processed Non-zero DMR Data'!$K:$V, 10, FALSE),"")</f>
        <v>0.22104399999999999</v>
      </c>
      <c r="K120" s="33" t="str">
        <f>IFERROR(VLOOKUP($H120, 'Processed Non-zero TRI Data'!$I:$M, 5, 0), VLOOKUP($I120, 'Processed Non-zero DMR Data'!$K:$M, 3, FALSE))</f>
        <v>Sewerage Systems</v>
      </c>
      <c r="L120" s="33" t="str">
        <f>IFERROR(VLOOKUP($H120, 'Processed Non-zero TRI Data'!I:P, 8, 0), "Direct")</f>
        <v>Direct</v>
      </c>
      <c r="M120" s="33" t="str">
        <f>VLOOKUP($N120, 'COU.OES Summary'!C:D, 2, FALSE)</f>
        <v> </v>
      </c>
      <c r="N120" s="33" t="str">
        <f>IFERROR(VLOOKUP($H120, 'Processed Non-zero TRI Data'!$I:$O, 7, FALSE), VLOOKUP($I120, 'Processed Non-zero DMR Data'!$K:$R, 8, FALSE))</f>
        <v>Waste handling, treatment, and disposal - POTW</v>
      </c>
      <c r="O120" s="33" t="s">
        <v>710</v>
      </c>
      <c r="P120" s="33">
        <f>VLOOKUP($N120, 'COU.OES Summary'!C:E, 3, FALSE)</f>
        <v>365</v>
      </c>
    </row>
    <row r="121" spans="1:16" ht="29" x14ac:dyDescent="0.35">
      <c r="A121" s="34">
        <v>120</v>
      </c>
      <c r="B121" s="33" t="str">
        <f>IF(AND(ISNUMBER(MATCH(H121, 'Processed Non-zero TRI Data'!$I$2:$I$23, FALSE)),ISNUMBER(MATCH(I121, 'Processed Non-zero DMR Data'!$K:$K, FALSE))),"Both TRI Form "&amp; VLOOKUP(H121, 'Processed Non-zero TRI Data'!$I$2:$K$23, 3, FALSE)&amp; " &amp; DMR", IFERROR("Only TRI Form "&amp; VLOOKUP(H121, 'Processed Non-zero TRI Data'!$I$2:$K$23, 3, FALSE), "Only DMR"))</f>
        <v>Only DMR</v>
      </c>
      <c r="C121" s="34" t="s">
        <v>360</v>
      </c>
      <c r="D121" s="34" t="s">
        <v>361</v>
      </c>
      <c r="E121" s="34" t="s">
        <v>108</v>
      </c>
      <c r="F121" s="34">
        <v>38.421495999999998</v>
      </c>
      <c r="G121" s="34">
        <v>-83.734424000000004</v>
      </c>
      <c r="H121" s="34"/>
      <c r="I121" s="105">
        <v>110003251427</v>
      </c>
      <c r="J121" s="33">
        <f>IF(OR($H121="",$H121="Yes"), VLOOKUP($I121, 'Processed Non-zero DMR Data'!$K:$V, 10, FALSE),"")</f>
        <v>0.47524460000000002</v>
      </c>
      <c r="K121" s="33" t="str">
        <f>IFERROR(VLOOKUP($H121, 'Processed Non-zero TRI Data'!$I:$M, 5, 0), VLOOKUP($I121, 'Processed Non-zero DMR Data'!$K:$M, 3, FALSE))</f>
        <v>Sewerage Systems</v>
      </c>
      <c r="L121" s="33" t="str">
        <f>IFERROR(VLOOKUP($H121, 'Processed Non-zero TRI Data'!I:P, 8, 0), "Direct")</f>
        <v>Direct</v>
      </c>
      <c r="M121" s="33" t="str">
        <f>VLOOKUP($N121, 'COU.OES Summary'!C:D, 2, FALSE)</f>
        <v> </v>
      </c>
      <c r="N121" s="33" t="str">
        <f>IFERROR(VLOOKUP($H121, 'Processed Non-zero TRI Data'!$I:$O, 7, FALSE), VLOOKUP($I121, 'Processed Non-zero DMR Data'!$K:$R, 8, FALSE))</f>
        <v>Waste handling, treatment, and disposal - POTW</v>
      </c>
      <c r="O121" s="33" t="s">
        <v>710</v>
      </c>
      <c r="P121" s="33">
        <f>VLOOKUP($N121, 'COU.OES Summary'!C:E, 3, FALSE)</f>
        <v>365</v>
      </c>
    </row>
    <row r="122" spans="1:16" ht="29" x14ac:dyDescent="0.35">
      <c r="A122" s="34">
        <v>121</v>
      </c>
      <c r="B122" s="33" t="str">
        <f>IF(AND(ISNUMBER(MATCH(H122, 'Processed Non-zero TRI Data'!$I$2:$I$23, FALSE)),ISNUMBER(MATCH(I122, 'Processed Non-zero DMR Data'!$K:$K, FALSE))),"Both TRI Form "&amp; VLOOKUP(H122, 'Processed Non-zero TRI Data'!$I$2:$K$23, 3, FALSE)&amp; " &amp; DMR", IFERROR("Only TRI Form "&amp; VLOOKUP(H122, 'Processed Non-zero TRI Data'!$I$2:$K$23, 3, FALSE), "Only DMR"))</f>
        <v>Only DMR</v>
      </c>
      <c r="C122" s="34" t="s">
        <v>386</v>
      </c>
      <c r="D122" s="34" t="s">
        <v>387</v>
      </c>
      <c r="E122" s="34" t="s">
        <v>181</v>
      </c>
      <c r="F122" s="34">
        <v>42.591610000000003</v>
      </c>
      <c r="G122" s="34">
        <v>-83.602609999999999</v>
      </c>
      <c r="H122" s="34"/>
      <c r="I122" s="105">
        <v>110003597395</v>
      </c>
      <c r="J122" s="33">
        <f>IF(OR($H122="",$H122="Yes"), VLOOKUP($I122, 'Processed Non-zero DMR Data'!$K:$V, 10, FALSE),"")</f>
        <v>0.28251646887499998</v>
      </c>
      <c r="K122" s="33" t="str">
        <f>IFERROR(VLOOKUP($H122, 'Processed Non-zero TRI Data'!$I:$M, 5, 0), VLOOKUP($I122, 'Processed Non-zero DMR Data'!$K:$M, 3, FALSE))</f>
        <v>Special Trade Contractors, Nec</v>
      </c>
      <c r="L122" s="33" t="str">
        <f>IFERROR(VLOOKUP($H122, 'Processed Non-zero TRI Data'!I:P, 8, 0), "Direct")</f>
        <v>Direct</v>
      </c>
      <c r="M122" s="33" t="str">
        <f>VLOOKUP($N122, 'COU.OES Summary'!C:D, 2, FALSE)</f>
        <v> </v>
      </c>
      <c r="N122" s="33" t="str">
        <f>IFERROR(VLOOKUP($H122, 'Processed Non-zero TRI Data'!$I:$O, 7, FALSE), VLOOKUP($I122, 'Processed Non-zero DMR Data'!$K:$R, 8, FALSE))</f>
        <v>Waste handling, treatment, and disposal - Remediation or Monitoring</v>
      </c>
      <c r="O122" s="33" t="s">
        <v>710</v>
      </c>
      <c r="P122" s="33">
        <f>VLOOKUP($N122, 'COU.OES Summary'!C:E, 3, FALSE)</f>
        <v>365</v>
      </c>
    </row>
    <row r="123" spans="1:16" ht="29" x14ac:dyDescent="0.35">
      <c r="A123" s="34">
        <v>122</v>
      </c>
      <c r="B123" s="33" t="str">
        <f>IF(AND(ISNUMBER(MATCH(H123, 'Processed Non-zero TRI Data'!$I$2:$I$23, FALSE)),ISNUMBER(MATCH(I123, 'Processed Non-zero DMR Data'!$K:$K, FALSE))),"Both TRI Form "&amp; VLOOKUP(H123, 'Processed Non-zero TRI Data'!$I$2:$K$23, 3, FALSE)&amp; " &amp; DMR", IFERROR("Only TRI Form "&amp; VLOOKUP(H123, 'Processed Non-zero TRI Data'!$I$2:$K$23, 3, FALSE), "Only DMR"))</f>
        <v>Only DMR</v>
      </c>
      <c r="C123" s="34" t="s">
        <v>520</v>
      </c>
      <c r="D123" s="34" t="s">
        <v>521</v>
      </c>
      <c r="E123" s="34" t="s">
        <v>181</v>
      </c>
      <c r="F123" s="34">
        <v>42.606527</v>
      </c>
      <c r="G123" s="34">
        <v>-83.921477999999993</v>
      </c>
      <c r="H123" s="34"/>
      <c r="I123" s="105">
        <v>110003614358</v>
      </c>
      <c r="J123" s="33">
        <f>IF(OR($H123="",$H123="Yes"), VLOOKUP($I123, 'Processed Non-zero DMR Data'!$K:$V, 10, FALSE),"")</f>
        <v>4.1547945000000003E-2</v>
      </c>
      <c r="K123" s="33" t="str">
        <f>IFERROR(VLOOKUP($H123, 'Processed Non-zero TRI Data'!$I:$M, 5, 0), VLOOKUP($I123, 'Processed Non-zero DMR Data'!$K:$M, 3, FALSE))</f>
        <v>Sanitary Services, Nec</v>
      </c>
      <c r="L123" s="33" t="str">
        <f>IFERROR(VLOOKUP($H123, 'Processed Non-zero TRI Data'!I:P, 8, 0), "Direct")</f>
        <v>Direct</v>
      </c>
      <c r="M123" s="33" t="str">
        <f>VLOOKUP($N123, 'COU.OES Summary'!C:D, 2, FALSE)</f>
        <v> </v>
      </c>
      <c r="N123" s="33" t="str">
        <f>IFERROR(VLOOKUP($H123, 'Processed Non-zero TRI Data'!$I:$O, 7, FALSE), VLOOKUP($I123, 'Processed Non-zero DMR Data'!$K:$R, 8, FALSE))</f>
        <v>Waste handling, treatment, and disposal - Remediation or Monitoring</v>
      </c>
      <c r="O123" s="33" t="s">
        <v>710</v>
      </c>
      <c r="P123" s="33">
        <f>VLOOKUP($N123, 'COU.OES Summary'!C:E, 3, FALSE)</f>
        <v>365</v>
      </c>
    </row>
    <row r="124" spans="1:16" ht="29" x14ac:dyDescent="0.35">
      <c r="A124" s="34">
        <v>123</v>
      </c>
      <c r="B124" s="33" t="str">
        <f>IF(AND(ISNUMBER(MATCH(H124, 'Processed Non-zero TRI Data'!$I$2:$I$23, FALSE)),ISNUMBER(MATCH(I124, 'Processed Non-zero DMR Data'!$K:$K, FALSE))),"Both TRI Form "&amp; VLOOKUP(H124, 'Processed Non-zero TRI Data'!$I$2:$K$23, 3, FALSE)&amp; " &amp; DMR", IFERROR("Only TRI Form "&amp; VLOOKUP(H124, 'Processed Non-zero TRI Data'!$I$2:$K$23, 3, FALSE), "Only DMR"))</f>
        <v>Only DMR</v>
      </c>
      <c r="C124" s="34" t="s">
        <v>658</v>
      </c>
      <c r="D124" s="34" t="s">
        <v>337</v>
      </c>
      <c r="E124" s="34" t="s">
        <v>221</v>
      </c>
      <c r="F124" s="34">
        <v>36.170819999999999</v>
      </c>
      <c r="G124" s="34">
        <v>-115.14431</v>
      </c>
      <c r="H124" s="34"/>
      <c r="I124" s="105">
        <v>110004300596</v>
      </c>
      <c r="J124" s="33">
        <f>IF(OR($H124="",$H124="Yes"), VLOOKUP($I124, 'Processed Non-zero DMR Data'!$K:$V, 10, FALSE),"")</f>
        <v>2.2898776875000001E-3</v>
      </c>
      <c r="K124" s="33" t="str">
        <f>IFERROR(VLOOKUP($H124, 'Processed Non-zero TRI Data'!$I:$M, 5, 0), VLOOKUP($I124, 'Processed Non-zero DMR Data'!$K:$M, 3, FALSE))</f>
        <v>Hotels and Motels</v>
      </c>
      <c r="L124" s="33" t="str">
        <f>IFERROR(VLOOKUP($H124, 'Processed Non-zero TRI Data'!I:P, 8, 0), "Direct")</f>
        <v>Direct</v>
      </c>
      <c r="M124" s="33" t="str">
        <f>VLOOKUP($N124, 'COU.OES Summary'!C:D, 2, FALSE)</f>
        <v> </v>
      </c>
      <c r="N124" s="33" t="str">
        <f>IFERROR(VLOOKUP($H124, 'Processed Non-zero TRI Data'!$I:$O, 7, FALSE), VLOOKUP($I124, 'Processed Non-zero DMR Data'!$K:$R, 8, FALSE))</f>
        <v>Waste handling, treatment, and disposal - Remediation or Monitoring</v>
      </c>
      <c r="O124" s="33" t="s">
        <v>710</v>
      </c>
      <c r="P124" s="33">
        <f>VLOOKUP($N124, 'COU.OES Summary'!C:E, 3, FALSE)</f>
        <v>365</v>
      </c>
    </row>
    <row r="125" spans="1:16" ht="29" x14ac:dyDescent="0.35">
      <c r="A125" s="34">
        <v>124</v>
      </c>
      <c r="B125" s="33" t="str">
        <f>IF(AND(ISNUMBER(MATCH(H125, 'Processed Non-zero TRI Data'!$I$2:$I$23, FALSE)),ISNUMBER(MATCH(I125, 'Processed Non-zero DMR Data'!$K:$K, FALSE))),"Both TRI Form "&amp; VLOOKUP(H125, 'Processed Non-zero TRI Data'!$I$2:$K$23, 3, FALSE)&amp; " &amp; DMR", IFERROR("Only TRI Form "&amp; VLOOKUP(H125, 'Processed Non-zero TRI Data'!$I$2:$K$23, 3, FALSE), "Only DMR"))</f>
        <v>Only DMR</v>
      </c>
      <c r="C125" s="34" t="s">
        <v>336</v>
      </c>
      <c r="D125" s="34" t="s">
        <v>337</v>
      </c>
      <c r="E125" s="34" t="s">
        <v>221</v>
      </c>
      <c r="F125" s="34">
        <v>36.122100000000003</v>
      </c>
      <c r="G125" s="34">
        <v>-115.17139</v>
      </c>
      <c r="H125" s="34"/>
      <c r="I125" s="105">
        <v>110004306938</v>
      </c>
      <c r="J125" s="33">
        <f>IF(OR($H125="",$H125="Yes"), VLOOKUP($I125, 'Processed Non-zero DMR Data'!$K:$V, 10, FALSE),"")</f>
        <v>0.198918877125</v>
      </c>
      <c r="K125" s="33" t="str">
        <f>IFERROR(VLOOKUP($H125, 'Processed Non-zero TRI Data'!$I:$M, 5, 0), VLOOKUP($I125, 'Processed Non-zero DMR Data'!$K:$M, 3, FALSE))</f>
        <v>Hotels and Motels</v>
      </c>
      <c r="L125" s="33" t="str">
        <f>IFERROR(VLOOKUP($H125, 'Processed Non-zero TRI Data'!I:P, 8, 0), "Direct")</f>
        <v>Direct</v>
      </c>
      <c r="M125" s="33" t="str">
        <f>VLOOKUP($N125, 'COU.OES Summary'!C:D, 2, FALSE)</f>
        <v> </v>
      </c>
      <c r="N125" s="33" t="str">
        <f>IFERROR(VLOOKUP($H125, 'Processed Non-zero TRI Data'!$I:$O, 7, FALSE), VLOOKUP($I125, 'Processed Non-zero DMR Data'!$K:$R, 8, FALSE))</f>
        <v>Waste handling, treatment, and disposal - Remediation or Monitoring</v>
      </c>
      <c r="O125" s="33" t="s">
        <v>710</v>
      </c>
      <c r="P125" s="33">
        <f>VLOOKUP($N125, 'COU.OES Summary'!C:E, 3, FALSE)</f>
        <v>365</v>
      </c>
    </row>
    <row r="126" spans="1:16" ht="29" x14ac:dyDescent="0.35">
      <c r="A126" s="34">
        <v>125</v>
      </c>
      <c r="B126" s="33" t="str">
        <f>IF(AND(ISNUMBER(MATCH(H126, 'Processed Non-zero TRI Data'!$I$2:$I$23, FALSE)),ISNUMBER(MATCH(I126, 'Processed Non-zero DMR Data'!$K:$K, FALSE))),"Both TRI Form "&amp; VLOOKUP(H126, 'Processed Non-zero TRI Data'!$I$2:$K$23, 3, FALSE)&amp; " &amp; DMR", IFERROR("Only TRI Form "&amp; VLOOKUP(H126, 'Processed Non-zero TRI Data'!$I$2:$K$23, 3, FALSE), "Only DMR"))</f>
        <v>Only DMR</v>
      </c>
      <c r="C126" s="34" t="s">
        <v>154</v>
      </c>
      <c r="D126" s="34" t="s">
        <v>155</v>
      </c>
      <c r="E126" s="34" t="s">
        <v>156</v>
      </c>
      <c r="F126" s="34">
        <v>21.304500000000001</v>
      </c>
      <c r="G126" s="34">
        <v>-157.88205600000001</v>
      </c>
      <c r="H126" s="34"/>
      <c r="I126" s="105">
        <v>110005726802</v>
      </c>
      <c r="J126" s="33">
        <f>IF(OR($H126="",$H126="Yes"), VLOOKUP($I126, 'Processed Non-zero DMR Data'!$K:$V, 10, FALSE),"")</f>
        <v>0.75884102399999998</v>
      </c>
      <c r="K126" s="33" t="str">
        <f>IFERROR(VLOOKUP($H126, 'Processed Non-zero TRI Data'!$I:$M, 5, 0), VLOOKUP($I126, 'Processed Non-zero DMR Data'!$K:$M, 3, FALSE))</f>
        <v>Sewerage Systems</v>
      </c>
      <c r="L126" s="33" t="str">
        <f>IFERROR(VLOOKUP($H126, 'Processed Non-zero TRI Data'!I:P, 8, 0), "Direct")</f>
        <v>Direct</v>
      </c>
      <c r="M126" s="33" t="str">
        <f>VLOOKUP($N126, 'COU.OES Summary'!C:D, 2, FALSE)</f>
        <v> </v>
      </c>
      <c r="N126" s="33" t="str">
        <f>IFERROR(VLOOKUP($H126, 'Processed Non-zero TRI Data'!$I:$O, 7, FALSE), VLOOKUP($I126, 'Processed Non-zero DMR Data'!$K:$R, 8, FALSE))</f>
        <v>Waste handling, treatment, and disposal - POTW</v>
      </c>
      <c r="O126" s="33" t="s">
        <v>710</v>
      </c>
      <c r="P126" s="33">
        <f>VLOOKUP($N126, 'COU.OES Summary'!C:E, 3, FALSE)</f>
        <v>365</v>
      </c>
    </row>
    <row r="127" spans="1:16" ht="43.5" x14ac:dyDescent="0.35">
      <c r="A127" s="34">
        <v>126</v>
      </c>
      <c r="B127" s="33" t="str">
        <f>IF(AND(ISNUMBER(MATCH(H127, 'Processed Non-zero TRI Data'!$I$2:$I$23, FALSE)),ISNUMBER(MATCH(I127, 'Processed Non-zero DMR Data'!$K:$K, FALSE))),"Both TRI Form "&amp; VLOOKUP(H127, 'Processed Non-zero TRI Data'!$I$2:$K$23, 3, FALSE)&amp; " &amp; DMR", IFERROR("Only TRI Form "&amp; VLOOKUP(H127, 'Processed Non-zero TRI Data'!$I$2:$K$23, 3, FALSE), "Only DMR"))</f>
        <v>Only DMR</v>
      </c>
      <c r="C127" s="34" t="s">
        <v>353</v>
      </c>
      <c r="D127" s="34" t="s">
        <v>354</v>
      </c>
      <c r="E127" s="34" t="s">
        <v>111</v>
      </c>
      <c r="F127" s="34">
        <v>42.304209</v>
      </c>
      <c r="G127" s="34">
        <v>-89.055548999999999</v>
      </c>
      <c r="H127" s="34"/>
      <c r="I127" s="105">
        <v>110005812371</v>
      </c>
      <c r="J127" s="33">
        <f>IF(OR($H127="",$H127="Yes"), VLOOKUP($I127, 'Processed Non-zero DMR Data'!$K:$V, 10, FALSE),"")</f>
        <v>0.54177089550000002</v>
      </c>
      <c r="K127" s="33" t="str">
        <f>IFERROR(VLOOKUP($H127, 'Processed Non-zero TRI Data'!$I:$M, 5, 0), VLOOKUP($I127, 'Processed Non-zero DMR Data'!$K:$M, 3, FALSE))</f>
        <v>Aircraft Parts and Auxiliary Equipment, NEC (research and development not
producing prototypes)</v>
      </c>
      <c r="L127" s="33" t="str">
        <f>IFERROR(VLOOKUP($H127, 'Processed Non-zero TRI Data'!I:P, 8, 0), "Direct")</f>
        <v>Direct</v>
      </c>
      <c r="M127" s="33" t="str">
        <f>VLOOKUP($N127, 'COU.OES Summary'!C:D, 2, FALSE)</f>
        <v> </v>
      </c>
      <c r="N127" s="33" t="str">
        <f>IFERROR(VLOOKUP($H127, 'Processed Non-zero TRI Data'!$I:$O, 7, FALSE), VLOOKUP($I127, 'Processed Non-zero DMR Data'!$K:$R, 8, FALSE))</f>
        <v>Waste handling, treatment, and disposal - Remediation or Monitoring</v>
      </c>
      <c r="O127" s="33" t="s">
        <v>710</v>
      </c>
      <c r="P127" s="33">
        <f>VLOOKUP($N127, 'COU.OES Summary'!C:E, 3, FALSE)</f>
        <v>365</v>
      </c>
    </row>
    <row r="128" spans="1:16" ht="29" x14ac:dyDescent="0.35">
      <c r="A128" s="34">
        <v>127</v>
      </c>
      <c r="B128" s="33" t="str">
        <f>IF(AND(ISNUMBER(MATCH(H128, 'Processed Non-zero TRI Data'!$I$2:$I$23, FALSE)),ISNUMBER(MATCH(I128, 'Processed Non-zero DMR Data'!$K:$K, FALSE))),"Both TRI Form "&amp; VLOOKUP(H128, 'Processed Non-zero TRI Data'!$I$2:$K$23, 3, FALSE)&amp; " &amp; DMR", IFERROR("Only TRI Form "&amp; VLOOKUP(H128, 'Processed Non-zero TRI Data'!$I$2:$K$23, 3, FALSE), "Only DMR"))</f>
        <v>Only DMR</v>
      </c>
      <c r="C128" s="34" t="s">
        <v>694</v>
      </c>
      <c r="D128" s="34" t="s">
        <v>695</v>
      </c>
      <c r="E128" s="34" t="s">
        <v>102</v>
      </c>
      <c r="F128" s="34">
        <v>37.499200000000002</v>
      </c>
      <c r="G128" s="34">
        <v>-122.411</v>
      </c>
      <c r="H128" s="34"/>
      <c r="I128" s="105">
        <v>110005972965</v>
      </c>
      <c r="J128" s="33">
        <f>IF(OR($H128="",$H128="Yes"), VLOOKUP($I128, 'Processed Non-zero DMR Data'!$K:$V, 10, FALSE),"")</f>
        <v>2.1738226798749999E-4</v>
      </c>
      <c r="K128" s="33" t="str">
        <f>IFERROR(VLOOKUP($H128, 'Processed Non-zero TRI Data'!$I:$M, 5, 0), VLOOKUP($I128, 'Processed Non-zero DMR Data'!$K:$M, 3, FALSE))</f>
        <v>Refuse Systems</v>
      </c>
      <c r="L128" s="33" t="str">
        <f>IFERROR(VLOOKUP($H128, 'Processed Non-zero TRI Data'!I:P, 8, 0), "Direct")</f>
        <v>Direct</v>
      </c>
      <c r="M128" s="33" t="str">
        <f>VLOOKUP($N128, 'COU.OES Summary'!C:D, 2, FALSE)</f>
        <v> </v>
      </c>
      <c r="N128" s="33" t="str">
        <f>IFERROR(VLOOKUP($H128, 'Processed Non-zero TRI Data'!$I:$O, 7, FALSE), VLOOKUP($I128, 'Processed Non-zero DMR Data'!$K:$R, 8, FALSE))</f>
        <v>Waste handling, treatment, and disposal - non-POTW WWT</v>
      </c>
      <c r="O128" s="33" t="s">
        <v>710</v>
      </c>
      <c r="P128" s="33">
        <f>VLOOKUP($N128, 'COU.OES Summary'!C:E, 3, FALSE)</f>
        <v>365</v>
      </c>
    </row>
    <row r="129" spans="1:16" ht="29" x14ac:dyDescent="0.35">
      <c r="A129" s="34">
        <v>128</v>
      </c>
      <c r="B129" s="33" t="str">
        <f>IF(AND(ISNUMBER(MATCH(H129, 'Processed Non-zero TRI Data'!$I$2:$I$23, FALSE)),ISNUMBER(MATCH(I129, 'Processed Non-zero DMR Data'!$K:$K, FALSE))),"Both TRI Form "&amp; VLOOKUP(H129, 'Processed Non-zero TRI Data'!$I$2:$K$23, 3, FALSE)&amp; " &amp; DMR", IFERROR("Only TRI Form "&amp; VLOOKUP(H129, 'Processed Non-zero TRI Data'!$I$2:$K$23, 3, FALSE), "Only DMR"))</f>
        <v>Only DMR</v>
      </c>
      <c r="C129" s="34" t="s">
        <v>307</v>
      </c>
      <c r="D129" s="34" t="s">
        <v>308</v>
      </c>
      <c r="E129" s="34" t="s">
        <v>181</v>
      </c>
      <c r="F129" s="34">
        <v>42.338805999999998</v>
      </c>
      <c r="G129" s="34">
        <v>-85.144028000000006</v>
      </c>
      <c r="H129" s="34"/>
      <c r="I129" s="105">
        <v>110006040989</v>
      </c>
      <c r="J129" s="33">
        <f>IF(OR($H129="",$H129="Yes"), VLOOKUP($I129, 'Processed Non-zero DMR Data'!$K:$V, 10, FALSE),"")</f>
        <v>0.84246529999999997</v>
      </c>
      <c r="K129" s="33" t="str">
        <f>IFERROR(VLOOKUP($H129, 'Processed Non-zero TRI Data'!$I:$M, 5, 0), VLOOKUP($I129, 'Processed Non-zero DMR Data'!$K:$M, 3, FALSE))</f>
        <v>Nonclassifiable Establishments</v>
      </c>
      <c r="L129" s="33" t="str">
        <f>IFERROR(VLOOKUP($H129, 'Processed Non-zero TRI Data'!I:P, 8, 0), "Direct")</f>
        <v>Direct</v>
      </c>
      <c r="M129" s="33" t="str">
        <f>VLOOKUP($N129, 'COU.OES Summary'!C:D, 2, FALSE)</f>
        <v> </v>
      </c>
      <c r="N129" s="33" t="str">
        <f>IFERROR(VLOOKUP($H129, 'Processed Non-zero TRI Data'!$I:$O, 7, FALSE), VLOOKUP($I129, 'Processed Non-zero DMR Data'!$K:$R, 8, FALSE))</f>
        <v>Waste handling, treatment, and disposal - Remediation or Monitoring</v>
      </c>
      <c r="O129" s="33" t="s">
        <v>710</v>
      </c>
      <c r="P129" s="33">
        <f>VLOOKUP($N129, 'COU.OES Summary'!C:E, 3, FALSE)</f>
        <v>365</v>
      </c>
    </row>
    <row r="130" spans="1:16" ht="29" x14ac:dyDescent="0.35">
      <c r="A130" s="34">
        <v>129</v>
      </c>
      <c r="B130" s="33" t="str">
        <f>IF(AND(ISNUMBER(MATCH(H130, 'Processed Non-zero TRI Data'!$I$2:$I$23, FALSE)),ISNUMBER(MATCH(I130, 'Processed Non-zero DMR Data'!$K:$K, FALSE))),"Both TRI Form "&amp; VLOOKUP(H130, 'Processed Non-zero TRI Data'!$I$2:$K$23, 3, FALSE)&amp; " &amp; DMR", IFERROR("Only TRI Form "&amp; VLOOKUP(H130, 'Processed Non-zero TRI Data'!$I$2:$K$23, 3, FALSE), "Only DMR"))</f>
        <v>Only DMR</v>
      </c>
      <c r="C130" s="34" t="s">
        <v>320</v>
      </c>
      <c r="D130" s="34" t="s">
        <v>321</v>
      </c>
      <c r="E130" s="34" t="s">
        <v>108</v>
      </c>
      <c r="F130" s="34">
        <v>37.021974</v>
      </c>
      <c r="G130" s="34">
        <v>-88.512833000000001</v>
      </c>
      <c r="H130" s="34"/>
      <c r="I130" s="105">
        <v>110006367136</v>
      </c>
      <c r="J130" s="33">
        <f>IF(OR($H130="",$H130="Yes"), VLOOKUP($I130, 'Processed Non-zero DMR Data'!$K:$V, 10, FALSE),"")</f>
        <v>0.49734899999999999</v>
      </c>
      <c r="K130" s="33" t="str">
        <f>IFERROR(VLOOKUP($H130, 'Processed Non-zero TRI Data'!$I:$M, 5, 0), VLOOKUP($I130, 'Processed Non-zero DMR Data'!$K:$M, 3, FALSE))</f>
        <v>Sewerage Systems</v>
      </c>
      <c r="L130" s="33" t="str">
        <f>IFERROR(VLOOKUP($H130, 'Processed Non-zero TRI Data'!I:P, 8, 0), "Direct")</f>
        <v>Direct</v>
      </c>
      <c r="M130" s="33" t="str">
        <f>VLOOKUP($N130, 'COU.OES Summary'!C:D, 2, FALSE)</f>
        <v> </v>
      </c>
      <c r="N130" s="33" t="str">
        <f>IFERROR(VLOOKUP($H130, 'Processed Non-zero TRI Data'!$I:$O, 7, FALSE), VLOOKUP($I130, 'Processed Non-zero DMR Data'!$K:$R, 8, FALSE))</f>
        <v>Waste handling, treatment, and disposal - POTW</v>
      </c>
      <c r="O130" s="33" t="s">
        <v>710</v>
      </c>
      <c r="P130" s="33">
        <f>VLOOKUP($N130, 'COU.OES Summary'!C:E, 3, FALSE)</f>
        <v>365</v>
      </c>
    </row>
    <row r="131" spans="1:16" ht="29" x14ac:dyDescent="0.35">
      <c r="A131" s="34">
        <v>130</v>
      </c>
      <c r="B131" s="33" t="str">
        <f>IF(AND(ISNUMBER(MATCH(H131, 'Processed Non-zero TRI Data'!$I$2:$I$23, FALSE)),ISNUMBER(MATCH(I131, 'Processed Non-zero DMR Data'!$K:$K, FALSE))),"Both TRI Form "&amp; VLOOKUP(H131, 'Processed Non-zero TRI Data'!$I$2:$K$23, 3, FALSE)&amp; " &amp; DMR", IFERROR("Only TRI Form "&amp; VLOOKUP(H131, 'Processed Non-zero TRI Data'!$I$2:$K$23, 3, FALSE), "Only DMR"))</f>
        <v>Only DMR</v>
      </c>
      <c r="C131" s="34" t="s">
        <v>170</v>
      </c>
      <c r="D131" s="34" t="s">
        <v>171</v>
      </c>
      <c r="E131" s="34" t="s">
        <v>108</v>
      </c>
      <c r="F131" s="34">
        <v>37.491857000000003</v>
      </c>
      <c r="G131" s="34">
        <v>-82.539703000000003</v>
      </c>
      <c r="H131" s="34"/>
      <c r="I131" s="105">
        <v>110006644872</v>
      </c>
      <c r="J131" s="33">
        <f>IF(OR($H131="",$H131="Yes"), VLOOKUP($I131, 'Processed Non-zero DMR Data'!$K:$V, 10, FALSE),"")</f>
        <v>7.6501946875</v>
      </c>
      <c r="K131" s="33" t="str">
        <f>IFERROR(VLOOKUP($H131, 'Processed Non-zero TRI Data'!$I:$M, 5, 0), VLOOKUP($I131, 'Processed Non-zero DMR Data'!$K:$M, 3, FALSE))</f>
        <v>Sewerage Systems</v>
      </c>
      <c r="L131" s="33" t="str">
        <f>IFERROR(VLOOKUP($H131, 'Processed Non-zero TRI Data'!I:P, 8, 0), "Direct")</f>
        <v>Direct</v>
      </c>
      <c r="M131" s="33" t="str">
        <f>VLOOKUP($N131, 'COU.OES Summary'!C:D, 2, FALSE)</f>
        <v> </v>
      </c>
      <c r="N131" s="33" t="str">
        <f>IFERROR(VLOOKUP($H131, 'Processed Non-zero TRI Data'!$I:$O, 7, FALSE), VLOOKUP($I131, 'Processed Non-zero DMR Data'!$K:$R, 8, FALSE))</f>
        <v>Waste handling, treatment, and disposal - POTW</v>
      </c>
      <c r="O131" s="33" t="s">
        <v>710</v>
      </c>
      <c r="P131" s="33">
        <f>VLOOKUP($N131, 'COU.OES Summary'!C:E, 3, FALSE)</f>
        <v>365</v>
      </c>
    </row>
    <row r="132" spans="1:16" ht="29" x14ac:dyDescent="0.35">
      <c r="A132" s="34">
        <v>131</v>
      </c>
      <c r="B132" s="33" t="str">
        <f>IF(AND(ISNUMBER(MATCH(H132, 'Processed Non-zero TRI Data'!$I$2:$I$23, FALSE)),ISNUMBER(MATCH(I132, 'Processed Non-zero DMR Data'!$K:$K, FALSE))),"Both TRI Form "&amp; VLOOKUP(H132, 'Processed Non-zero TRI Data'!$I$2:$K$23, 3, FALSE)&amp; " &amp; DMR", IFERROR("Only TRI Form "&amp; VLOOKUP(H132, 'Processed Non-zero TRI Data'!$I$2:$K$23, 3, FALSE), "Only DMR"))</f>
        <v>Only DMR</v>
      </c>
      <c r="C132" s="34" t="s">
        <v>549</v>
      </c>
      <c r="D132" s="34" t="s">
        <v>507</v>
      </c>
      <c r="E132" s="34" t="s">
        <v>181</v>
      </c>
      <c r="F132" s="34">
        <v>43.977820999999999</v>
      </c>
      <c r="G132" s="34">
        <v>-86.457807000000003</v>
      </c>
      <c r="H132" s="34"/>
      <c r="I132" s="105">
        <v>110006739789</v>
      </c>
      <c r="J132" s="33">
        <f>IF(OR($H132="",$H132="Yes"), VLOOKUP($I132, 'Processed Non-zero DMR Data'!$K:$V, 10, FALSE),"")</f>
        <v>2.6652456000000001E-2</v>
      </c>
      <c r="K132" s="33" t="str">
        <f>IFERROR(VLOOKUP($H132, 'Processed Non-zero TRI Data'!$I:$M, 5, 0), VLOOKUP($I132, 'Processed Non-zero DMR Data'!$K:$M, 3, FALSE))</f>
        <v>Nonclassifiable Establishments</v>
      </c>
      <c r="L132" s="33" t="str">
        <f>IFERROR(VLOOKUP($H132, 'Processed Non-zero TRI Data'!I:P, 8, 0), "Direct")</f>
        <v>Direct</v>
      </c>
      <c r="M132" s="33" t="str">
        <f>VLOOKUP($N132, 'COU.OES Summary'!C:D, 2, FALSE)</f>
        <v> </v>
      </c>
      <c r="N132" s="33" t="str">
        <f>IFERROR(VLOOKUP($H132, 'Processed Non-zero TRI Data'!$I:$O, 7, FALSE), VLOOKUP($I132, 'Processed Non-zero DMR Data'!$K:$R, 8, FALSE))</f>
        <v>Waste handling, treatment, and disposal - Remediation or Monitoring</v>
      </c>
      <c r="O132" s="33" t="s">
        <v>710</v>
      </c>
      <c r="P132" s="33">
        <f>VLOOKUP($N132, 'COU.OES Summary'!C:E, 3, FALSE)</f>
        <v>365</v>
      </c>
    </row>
    <row r="133" spans="1:16" ht="29" x14ac:dyDescent="0.35">
      <c r="A133" s="34">
        <v>132</v>
      </c>
      <c r="B133" s="33" t="str">
        <f>IF(AND(ISNUMBER(MATCH(H133, 'Processed Non-zero TRI Data'!$I$2:$I$23, FALSE)),ISNUMBER(MATCH(I133, 'Processed Non-zero DMR Data'!$K:$K, FALSE))),"Both TRI Form "&amp; VLOOKUP(H133, 'Processed Non-zero TRI Data'!$I$2:$K$23, 3, FALSE)&amp; " &amp; DMR", IFERROR("Only TRI Form "&amp; VLOOKUP(H133, 'Processed Non-zero TRI Data'!$I$2:$K$23, 3, FALSE), "Only DMR"))</f>
        <v>Only DMR</v>
      </c>
      <c r="C133" s="34" t="s">
        <v>186</v>
      </c>
      <c r="D133" s="34" t="s">
        <v>187</v>
      </c>
      <c r="E133" s="34" t="s">
        <v>181</v>
      </c>
      <c r="F133" s="34">
        <v>43.064709999999998</v>
      </c>
      <c r="G133" s="34">
        <v>-86.233519999999999</v>
      </c>
      <c r="H133" s="34"/>
      <c r="I133" s="105">
        <v>110006739832</v>
      </c>
      <c r="J133" s="33">
        <f>IF(OR($H133="",$H133="Yes"), VLOOKUP($I133, 'Processed Non-zero DMR Data'!$K:$V, 10, FALSE),"")</f>
        <v>3.5550234E-2</v>
      </c>
      <c r="K133" s="33" t="str">
        <f>IFERROR(VLOOKUP($H133, 'Processed Non-zero TRI Data'!$I:$M, 5, 0), VLOOKUP($I133, 'Processed Non-zero DMR Data'!$K:$M, 3, FALSE))</f>
        <v>Eating Places</v>
      </c>
      <c r="L133" s="33" t="str">
        <f>IFERROR(VLOOKUP($H133, 'Processed Non-zero TRI Data'!I:P, 8, 0), "Direct")</f>
        <v>Direct</v>
      </c>
      <c r="M133" s="33" t="str">
        <f>VLOOKUP($N133, 'COU.OES Summary'!C:D, 2, FALSE)</f>
        <v> </v>
      </c>
      <c r="N133" s="33" t="str">
        <f>IFERROR(VLOOKUP($H133, 'Processed Non-zero TRI Data'!$I:$O, 7, FALSE), VLOOKUP($I133, 'Processed Non-zero DMR Data'!$K:$R, 8, FALSE))</f>
        <v>Waste handling, treatment, and disposal - Remediation or Monitoring</v>
      </c>
      <c r="O133" s="33" t="s">
        <v>710</v>
      </c>
      <c r="P133" s="33">
        <f>VLOOKUP($N133, 'COU.OES Summary'!C:E, 3, FALSE)</f>
        <v>365</v>
      </c>
    </row>
    <row r="134" spans="1:16" ht="29" x14ac:dyDescent="0.35">
      <c r="A134" s="34">
        <v>133</v>
      </c>
      <c r="B134" s="33" t="str">
        <f>IF(AND(ISNUMBER(MATCH(H134, 'Processed Non-zero TRI Data'!$I$2:$I$23, FALSE)),ISNUMBER(MATCH(I134, 'Processed Non-zero DMR Data'!$K:$K, FALSE))),"Both TRI Form "&amp; VLOOKUP(H134, 'Processed Non-zero TRI Data'!$I$2:$K$23, 3, FALSE)&amp; " &amp; DMR", IFERROR("Only TRI Form "&amp; VLOOKUP(H134, 'Processed Non-zero TRI Data'!$I$2:$K$23, 3, FALSE), "Only DMR"))</f>
        <v>Only DMR</v>
      </c>
      <c r="C134" s="34" t="s">
        <v>356</v>
      </c>
      <c r="D134" s="34" t="s">
        <v>357</v>
      </c>
      <c r="E134" s="34" t="s">
        <v>181</v>
      </c>
      <c r="F134" s="34">
        <v>44.250408</v>
      </c>
      <c r="G134" s="34">
        <v>-85.402265</v>
      </c>
      <c r="H134" s="34"/>
      <c r="I134" s="105">
        <v>110006739878</v>
      </c>
      <c r="J134" s="33">
        <f>IF(OR($H134="",$H134="Yes"), VLOOKUP($I134, 'Processed Non-zero DMR Data'!$K:$V, 10, FALSE),"")</f>
        <v>0.22743126320000001</v>
      </c>
      <c r="K134" s="33" t="str">
        <f>IFERROR(VLOOKUP($H134, 'Processed Non-zero TRI Data'!$I:$M, 5, 0), VLOOKUP($I134, 'Processed Non-zero DMR Data'!$K:$M, 3, FALSE))</f>
        <v>Nonclassifiable Establishments</v>
      </c>
      <c r="L134" s="33" t="str">
        <f>IFERROR(VLOOKUP($H134, 'Processed Non-zero TRI Data'!I:P, 8, 0), "Direct")</f>
        <v>Direct</v>
      </c>
      <c r="M134" s="33" t="str">
        <f>VLOOKUP($N134, 'COU.OES Summary'!C:D, 2, FALSE)</f>
        <v> </v>
      </c>
      <c r="N134" s="33" t="str">
        <f>IFERROR(VLOOKUP($H134, 'Processed Non-zero TRI Data'!$I:$O, 7, FALSE), VLOOKUP($I134, 'Processed Non-zero DMR Data'!$K:$R, 8, FALSE))</f>
        <v>Waste handling, treatment, and disposal - Remediation or Monitoring</v>
      </c>
      <c r="O134" s="33" t="s">
        <v>710</v>
      </c>
      <c r="P134" s="33">
        <f>VLOOKUP($N134, 'COU.OES Summary'!C:E, 3, FALSE)</f>
        <v>365</v>
      </c>
    </row>
    <row r="135" spans="1:16" ht="29" x14ac:dyDescent="0.35">
      <c r="A135" s="34">
        <v>134</v>
      </c>
      <c r="B135" s="33" t="str">
        <f>IF(AND(ISNUMBER(MATCH(H135, 'Processed Non-zero TRI Data'!$I$2:$I$23, FALSE)),ISNUMBER(MATCH(I135, 'Processed Non-zero DMR Data'!$K:$K, FALSE))),"Both TRI Form "&amp; VLOOKUP(H135, 'Processed Non-zero TRI Data'!$I$2:$K$23, 3, FALSE)&amp; " &amp; DMR", IFERROR("Only TRI Form "&amp; VLOOKUP(H135, 'Processed Non-zero TRI Data'!$I$2:$K$23, 3, FALSE), "Only DMR"))</f>
        <v>Only DMR</v>
      </c>
      <c r="C135" s="34" t="s">
        <v>344</v>
      </c>
      <c r="D135" s="34" t="s">
        <v>345</v>
      </c>
      <c r="E135" s="34" t="s">
        <v>108</v>
      </c>
      <c r="F135" s="34">
        <v>37.700833000000003</v>
      </c>
      <c r="G135" s="34">
        <v>-83.984443999999996</v>
      </c>
      <c r="H135" s="34"/>
      <c r="I135" s="105">
        <v>110006749162</v>
      </c>
      <c r="J135" s="33">
        <f>IF(OR($H135="",$H135="Yes"), VLOOKUP($I135, 'Processed Non-zero DMR Data'!$K:$V, 10, FALSE),"")</f>
        <v>0.63481073750000006</v>
      </c>
      <c r="K135" s="33" t="str">
        <f>IFERROR(VLOOKUP($H135, 'Processed Non-zero TRI Data'!$I:$M, 5, 0), VLOOKUP($I135, 'Processed Non-zero DMR Data'!$K:$M, 3, FALSE))</f>
        <v>Engineering Services</v>
      </c>
      <c r="L135" s="33" t="str">
        <f>IFERROR(VLOOKUP($H135, 'Processed Non-zero TRI Data'!I:P, 8, 0), "Direct")</f>
        <v>Direct</v>
      </c>
      <c r="M135" s="33" t="str">
        <f>VLOOKUP($N135, 'COU.OES Summary'!C:D, 2, FALSE)</f>
        <v> </v>
      </c>
      <c r="N135" s="33" t="str">
        <f>IFERROR(VLOOKUP($H135, 'Processed Non-zero TRI Data'!$I:$O, 7, FALSE), VLOOKUP($I135, 'Processed Non-zero DMR Data'!$K:$R, 8, FALSE))</f>
        <v>Waste handling, treatment, and disposal - POTW</v>
      </c>
      <c r="O135" s="33" t="s">
        <v>710</v>
      </c>
      <c r="P135" s="33">
        <f>VLOOKUP($N135, 'COU.OES Summary'!C:E, 3, FALSE)</f>
        <v>365</v>
      </c>
    </row>
    <row r="136" spans="1:16" ht="29" x14ac:dyDescent="0.35">
      <c r="A136" s="34">
        <v>135</v>
      </c>
      <c r="B136" s="33" t="str">
        <f>IF(AND(ISNUMBER(MATCH(H136, 'Processed Non-zero TRI Data'!$I$2:$I$23, FALSE)),ISNUMBER(MATCH(I136, 'Processed Non-zero DMR Data'!$K:$K, FALSE))),"Both TRI Form "&amp; VLOOKUP(H136, 'Processed Non-zero TRI Data'!$I$2:$K$23, 3, FALSE)&amp; " &amp; DMR", IFERROR("Only TRI Form "&amp; VLOOKUP(H136, 'Processed Non-zero TRI Data'!$I$2:$K$23, 3, FALSE), "Only DMR"))</f>
        <v>Only DMR</v>
      </c>
      <c r="C136" s="34" t="s">
        <v>188</v>
      </c>
      <c r="D136" s="34" t="s">
        <v>189</v>
      </c>
      <c r="E136" s="34" t="s">
        <v>108</v>
      </c>
      <c r="F136" s="34">
        <v>36.747222000000001</v>
      </c>
      <c r="G136" s="34">
        <v>-84.171943999999996</v>
      </c>
      <c r="H136" s="34"/>
      <c r="I136" s="105">
        <v>110006751737</v>
      </c>
      <c r="J136" s="33">
        <f>IF(OR($H136="",$H136="Yes"), VLOOKUP($I136, 'Processed Non-zero DMR Data'!$K:$V, 10, FALSE),"")</f>
        <v>5.1530882499999997</v>
      </c>
      <c r="K136" s="33" t="str">
        <f>IFERROR(VLOOKUP($H136, 'Processed Non-zero TRI Data'!$I:$M, 5, 0), VLOOKUP($I136, 'Processed Non-zero DMR Data'!$K:$M, 3, FALSE))</f>
        <v>Sewerage Systems</v>
      </c>
      <c r="L136" s="33" t="str">
        <f>IFERROR(VLOOKUP($H136, 'Processed Non-zero TRI Data'!I:P, 8, 0), "Direct")</f>
        <v>Direct</v>
      </c>
      <c r="M136" s="33" t="str">
        <f>VLOOKUP($N136, 'COU.OES Summary'!C:D, 2, FALSE)</f>
        <v> </v>
      </c>
      <c r="N136" s="33" t="str">
        <f>IFERROR(VLOOKUP($H136, 'Processed Non-zero TRI Data'!$I:$O, 7, FALSE), VLOOKUP($I136, 'Processed Non-zero DMR Data'!$K:$R, 8, FALSE))</f>
        <v>Waste handling, treatment, and disposal - POTW</v>
      </c>
      <c r="O136" s="33" t="s">
        <v>710</v>
      </c>
      <c r="P136" s="33">
        <f>VLOOKUP($N136, 'COU.OES Summary'!C:E, 3, FALSE)</f>
        <v>365</v>
      </c>
    </row>
    <row r="137" spans="1:16" ht="29" x14ac:dyDescent="0.35">
      <c r="A137" s="34">
        <v>136</v>
      </c>
      <c r="B137" s="33" t="str">
        <f>IF(AND(ISNUMBER(MATCH(H137, 'Processed Non-zero TRI Data'!$I$2:$I$23, FALSE)),ISNUMBER(MATCH(I137, 'Processed Non-zero DMR Data'!$K:$K, FALSE))),"Both TRI Form "&amp; VLOOKUP(H137, 'Processed Non-zero TRI Data'!$I$2:$K$23, 3, FALSE)&amp; " &amp; DMR", IFERROR("Only TRI Form "&amp; VLOOKUP(H137, 'Processed Non-zero TRI Data'!$I$2:$K$23, 3, FALSE), "Only DMR"))</f>
        <v>Only DMR</v>
      </c>
      <c r="C137" s="34" t="s">
        <v>174</v>
      </c>
      <c r="D137" s="34" t="s">
        <v>155</v>
      </c>
      <c r="E137" s="34" t="s">
        <v>156</v>
      </c>
      <c r="F137" s="34">
        <v>21.27167</v>
      </c>
      <c r="G137" s="34">
        <v>-157.77395999999999</v>
      </c>
      <c r="H137" s="34"/>
      <c r="I137" s="105">
        <v>110006777210</v>
      </c>
      <c r="J137" s="33">
        <f>IF(OR($H137="",$H137="Yes"), VLOOKUP($I137, 'Processed Non-zero DMR Data'!$K:$V, 10, FALSE),"")</f>
        <v>6.7440745444000001</v>
      </c>
      <c r="K137" s="33" t="e">
        <f>IFERROR(VLOOKUP($H137, 'Processed Non-zero TRI Data'!$I:$M, 5, 0), VLOOKUP($I137, 'Processed Non-zero DMR Data'!$K:$M, 3, FALSE))</f>
        <v>#N/A</v>
      </c>
      <c r="L137" s="33" t="str">
        <f>IFERROR(VLOOKUP($H137, 'Processed Non-zero TRI Data'!I:P, 8, 0), "Direct")</f>
        <v>Direct</v>
      </c>
      <c r="M137" s="33" t="str">
        <f>VLOOKUP($N137, 'COU.OES Summary'!C:D, 2, FALSE)</f>
        <v> </v>
      </c>
      <c r="N137" s="33" t="str">
        <f>IFERROR(VLOOKUP($H137, 'Processed Non-zero TRI Data'!$I:$O, 7, FALSE), VLOOKUP($I137, 'Processed Non-zero DMR Data'!$K:$R, 8, FALSE))</f>
        <v>Waste handling, treatment, and disposal - Remediation or Monitoring</v>
      </c>
      <c r="O137" s="33" t="s">
        <v>710</v>
      </c>
      <c r="P137" s="33">
        <f>VLOOKUP($N137, 'COU.OES Summary'!C:E, 3, FALSE)</f>
        <v>365</v>
      </c>
    </row>
    <row r="138" spans="1:16" ht="29" x14ac:dyDescent="0.35">
      <c r="A138" s="34">
        <v>137</v>
      </c>
      <c r="B138" s="33" t="str">
        <f>IF(AND(ISNUMBER(MATCH(H138, 'Processed Non-zero TRI Data'!$I$2:$I$23, FALSE)),ISNUMBER(MATCH(I138, 'Processed Non-zero DMR Data'!$K:$K, FALSE))),"Both TRI Form "&amp; VLOOKUP(H138, 'Processed Non-zero TRI Data'!$I$2:$K$23, 3, FALSE)&amp; " &amp; DMR", IFERROR("Only TRI Form "&amp; VLOOKUP(H138, 'Processed Non-zero TRI Data'!$I$2:$K$23, 3, FALSE), "Only DMR"))</f>
        <v>Only DMR</v>
      </c>
      <c r="C138" s="34" t="s">
        <v>230</v>
      </c>
      <c r="D138" s="34" t="s">
        <v>231</v>
      </c>
      <c r="E138" s="34" t="s">
        <v>156</v>
      </c>
      <c r="F138" s="34">
        <v>21.994944</v>
      </c>
      <c r="G138" s="34">
        <v>-159.75363899999999</v>
      </c>
      <c r="H138" s="34"/>
      <c r="I138" s="105">
        <v>110006777247</v>
      </c>
      <c r="J138" s="33">
        <f>IF(OR($H138="",$H138="Yes"), VLOOKUP($I138, 'Processed Non-zero DMR Data'!$K:$V, 10, FALSE),"")</f>
        <v>0.48491527499999998</v>
      </c>
      <c r="K138" s="33" t="str">
        <f>IFERROR(VLOOKUP($H138, 'Processed Non-zero TRI Data'!$I:$M, 5, 0), VLOOKUP($I138, 'Processed Non-zero DMR Data'!$K:$M, 3, FALSE))</f>
        <v>Shellfish</v>
      </c>
      <c r="L138" s="33" t="str">
        <f>IFERROR(VLOOKUP($H138, 'Processed Non-zero TRI Data'!I:P, 8, 0), "Direct")</f>
        <v>Direct</v>
      </c>
      <c r="M138" s="33" t="str">
        <f>VLOOKUP($N138, 'COU.OES Summary'!C:D, 2, FALSE)</f>
        <v> </v>
      </c>
      <c r="N138" s="33" t="str">
        <f>IFERROR(VLOOKUP($H138, 'Processed Non-zero TRI Data'!$I:$O, 7, FALSE), VLOOKUP($I138, 'Processed Non-zero DMR Data'!$K:$R, 8, FALSE))</f>
        <v>Waste handling, treatment, and disposal - non-POTW WWT</v>
      </c>
      <c r="O138" s="33" t="s">
        <v>710</v>
      </c>
      <c r="P138" s="33">
        <f>VLOOKUP($N138, 'COU.OES Summary'!C:E, 3, FALSE)</f>
        <v>365</v>
      </c>
    </row>
    <row r="139" spans="1:16" ht="29" x14ac:dyDescent="0.35">
      <c r="A139" s="34">
        <v>138</v>
      </c>
      <c r="B139" s="33" t="str">
        <f>IF(AND(ISNUMBER(MATCH(H139, 'Processed Non-zero TRI Data'!$I$2:$I$23, FALSE)),ISNUMBER(MATCH(I139, 'Processed Non-zero DMR Data'!$K:$K, FALSE))),"Both TRI Form "&amp; VLOOKUP(H139, 'Processed Non-zero TRI Data'!$I$2:$K$23, 3, FALSE)&amp; " &amp; DMR", IFERROR("Only TRI Form "&amp; VLOOKUP(H139, 'Processed Non-zero TRI Data'!$I$2:$K$23, 3, FALSE), "Only DMR"))</f>
        <v>Only DMR</v>
      </c>
      <c r="C139" s="34" t="s">
        <v>418</v>
      </c>
      <c r="D139" s="34" t="s">
        <v>419</v>
      </c>
      <c r="E139" s="34" t="s">
        <v>91</v>
      </c>
      <c r="F139" s="34">
        <v>30.048590999999998</v>
      </c>
      <c r="G139" s="34">
        <v>-90.630941000000007</v>
      </c>
      <c r="H139" s="34"/>
      <c r="I139" s="105">
        <v>110007015871</v>
      </c>
      <c r="J139" s="33">
        <f>IF(OR($H139="",$H139="Yes"), VLOOKUP($I139, 'Processed Non-zero DMR Data'!$K:$V, 10, FALSE),"")</f>
        <v>8.2854999999999998E-2</v>
      </c>
      <c r="K139" s="33" t="str">
        <f>IFERROR(VLOOKUP($H139, 'Processed Non-zero TRI Data'!$I:$M, 5, 0), VLOOKUP($I139, 'Processed Non-zero DMR Data'!$K:$M, 3, FALSE))</f>
        <v>Industrial Organic Chemicals, Nec</v>
      </c>
      <c r="L139" s="33" t="str">
        <f>IFERROR(VLOOKUP($H139, 'Processed Non-zero TRI Data'!I:P, 8, 0), "Direct")</f>
        <v>Direct</v>
      </c>
      <c r="M139" s="33" t="str">
        <f>VLOOKUP($N139, 'COU.OES Summary'!C:D, 2, FALSE)</f>
        <v> </v>
      </c>
      <c r="N139" s="33" t="str">
        <f>IFERROR(VLOOKUP($H139, 'Processed Non-zero TRI Data'!$I:$O, 7, FALSE), VLOOKUP($I139, 'Processed Non-zero DMR Data'!$K:$R, 8, FALSE))</f>
        <v>Waste handling, treatment, and disposal - Remediation or Monitoring</v>
      </c>
      <c r="O139" s="33" t="s">
        <v>710</v>
      </c>
      <c r="P139" s="33">
        <f>VLOOKUP($N139, 'COU.OES Summary'!C:E, 3, FALSE)</f>
        <v>365</v>
      </c>
    </row>
    <row r="140" spans="1:16" ht="29" x14ac:dyDescent="0.35">
      <c r="A140" s="34">
        <v>139</v>
      </c>
      <c r="B140" s="33" t="str">
        <f>IF(AND(ISNUMBER(MATCH(H140, 'Processed Non-zero TRI Data'!$I$2:$I$23, FALSE)),ISNUMBER(MATCH(I140, 'Processed Non-zero DMR Data'!$K:$K, FALSE))),"Both TRI Form "&amp; VLOOKUP(H140, 'Processed Non-zero TRI Data'!$I$2:$K$23, 3, FALSE)&amp; " &amp; DMR", IFERROR("Only TRI Form "&amp; VLOOKUP(H140, 'Processed Non-zero TRI Data'!$I$2:$K$23, 3, FALSE), "Only DMR"))</f>
        <v>Only DMR</v>
      </c>
      <c r="C140" s="34" t="s">
        <v>682</v>
      </c>
      <c r="D140" s="34" t="s">
        <v>683</v>
      </c>
      <c r="E140" s="34" t="s">
        <v>91</v>
      </c>
      <c r="F140" s="34">
        <v>31.415772</v>
      </c>
      <c r="G140" s="34">
        <v>-92.477244999999996</v>
      </c>
      <c r="H140" s="34"/>
      <c r="I140" s="105">
        <v>110007300330</v>
      </c>
      <c r="J140" s="33">
        <f>IF(OR($H140="",$H140="Yes"), VLOOKUP($I140, 'Processed Non-zero DMR Data'!$K:$V, 10, FALSE),"")</f>
        <v>6.0908220000000001E-4</v>
      </c>
      <c r="K140" s="33" t="str">
        <f>IFERROR(VLOOKUP($H140, 'Processed Non-zero TRI Data'!$I:$M, 5, 0), VLOOKUP($I140, 'Processed Non-zero DMR Data'!$K:$M, 3, FALSE))</f>
        <v>Industrial Valves</v>
      </c>
      <c r="L140" s="33" t="str">
        <f>IFERROR(VLOOKUP($H140, 'Processed Non-zero TRI Data'!I:P, 8, 0), "Direct")</f>
        <v>Direct</v>
      </c>
      <c r="M140" s="33" t="str">
        <f>VLOOKUP($N140, 'COU.OES Summary'!C:D, 2, FALSE)</f>
        <v> </v>
      </c>
      <c r="N140" s="33" t="str">
        <f>IFERROR(VLOOKUP($H140, 'Processed Non-zero TRI Data'!$I:$O, 7, FALSE), VLOOKUP($I140, 'Processed Non-zero DMR Data'!$K:$R, 8, FALSE))</f>
        <v>Waste handling, treatment, and disposal - Remediation or Monitoring</v>
      </c>
      <c r="O140" s="33" t="s">
        <v>710</v>
      </c>
      <c r="P140" s="33">
        <f>VLOOKUP($N140, 'COU.OES Summary'!C:E, 3, FALSE)</f>
        <v>365</v>
      </c>
    </row>
    <row r="141" spans="1:16" ht="29" x14ac:dyDescent="0.35">
      <c r="A141" s="34">
        <v>140</v>
      </c>
      <c r="B141" s="33" t="str">
        <f>IF(AND(ISNUMBER(MATCH(H141, 'Processed Non-zero TRI Data'!$I$2:$I$23, FALSE)),ISNUMBER(MATCH(I141, 'Processed Non-zero DMR Data'!$K:$K, FALSE))),"Both TRI Form "&amp; VLOOKUP(H141, 'Processed Non-zero TRI Data'!$I$2:$K$23, 3, FALSE)&amp; " &amp; DMR", IFERROR("Only TRI Form "&amp; VLOOKUP(H141, 'Processed Non-zero TRI Data'!$I$2:$K$23, 3, FALSE), "Only DMR"))</f>
        <v>Only DMR</v>
      </c>
      <c r="C141" s="34" t="s">
        <v>543</v>
      </c>
      <c r="D141" s="34" t="s">
        <v>544</v>
      </c>
      <c r="E141" s="34" t="s">
        <v>545</v>
      </c>
      <c r="F141" s="34">
        <v>33.917197000000002</v>
      </c>
      <c r="G141" s="34">
        <v>-88.101809000000003</v>
      </c>
      <c r="H141" s="34"/>
      <c r="I141" s="105">
        <v>110007915505</v>
      </c>
      <c r="J141" s="33">
        <f>IF(OR($H141="",$H141="Yes"), VLOOKUP($I141, 'Processed Non-zero DMR Data'!$K:$V, 10, FALSE),"")</f>
        <v>4.1544159999999998E-5</v>
      </c>
      <c r="K141" s="33" t="str">
        <f>IFERROR(VLOOKUP($H141, 'Processed Non-zero TRI Data'!$I:$M, 5, 0), VLOOKUP($I141, 'Processed Non-zero DMR Data'!$K:$M, 3, FALSE))</f>
        <v>Industrial Trucks and Tractors</v>
      </c>
      <c r="L141" s="33" t="str">
        <f>IFERROR(VLOOKUP($H141, 'Processed Non-zero TRI Data'!I:P, 8, 0), "Direct")</f>
        <v>Direct</v>
      </c>
      <c r="M141" s="33" t="str">
        <f>VLOOKUP($N141, 'COU.OES Summary'!C:D, 2, FALSE)</f>
        <v> </v>
      </c>
      <c r="N141" s="33" t="str">
        <f>IFERROR(VLOOKUP($H141, 'Processed Non-zero TRI Data'!$I:$O, 7, FALSE), VLOOKUP($I141, 'Processed Non-zero DMR Data'!$K:$R, 8, FALSE))</f>
        <v>Waste handling, treatment, and disposal - Remediation or Monitoring</v>
      </c>
      <c r="O141" s="33" t="s">
        <v>710</v>
      </c>
      <c r="P141" s="33">
        <f>VLOOKUP($N141, 'COU.OES Summary'!C:E, 3, FALSE)</f>
        <v>365</v>
      </c>
    </row>
    <row r="142" spans="1:16" ht="29" x14ac:dyDescent="0.35">
      <c r="A142" s="34">
        <v>141</v>
      </c>
      <c r="B142" s="33" t="str">
        <f>IF(AND(ISNUMBER(MATCH(H142, 'Processed Non-zero TRI Data'!$I$2:$I$23, FALSE)),ISNUMBER(MATCH(I142, 'Processed Non-zero DMR Data'!$K:$K, FALSE))),"Both TRI Form "&amp; VLOOKUP(H142, 'Processed Non-zero TRI Data'!$I$2:$K$23, 3, FALSE)&amp; " &amp; DMR", IFERROR("Only TRI Form "&amp; VLOOKUP(H142, 'Processed Non-zero TRI Data'!$I$2:$K$23, 3, FALSE), "Only DMR"))</f>
        <v>Only DMR</v>
      </c>
      <c r="C142" s="34" t="s">
        <v>293</v>
      </c>
      <c r="D142" s="34" t="s">
        <v>294</v>
      </c>
      <c r="E142" s="34" t="s">
        <v>254</v>
      </c>
      <c r="F142" s="34">
        <v>39.698279999999997</v>
      </c>
      <c r="G142" s="34">
        <v>-75.503974999999997</v>
      </c>
      <c r="H142" s="34"/>
      <c r="I142" s="105">
        <v>110007970142</v>
      </c>
      <c r="J142" s="33">
        <f>IF(OR($H142="",$H142="Yes"), VLOOKUP($I142, 'Processed Non-zero DMR Data'!$K:$V, 10, FALSE),"")</f>
        <v>0.41249999999999998</v>
      </c>
      <c r="K142" s="33" t="str">
        <f>IFERROR(VLOOKUP($H142, 'Processed Non-zero TRI Data'!$I:$M, 5, 0), VLOOKUP($I142, 'Processed Non-zero DMR Data'!$K:$M, 3, FALSE))</f>
        <v>Industrial Organic Chemicals, Nec</v>
      </c>
      <c r="L142" s="33" t="str">
        <f>IFERROR(VLOOKUP($H142, 'Processed Non-zero TRI Data'!I:P, 8, 0), "Direct")</f>
        <v>Direct</v>
      </c>
      <c r="M142" s="33" t="str">
        <f>VLOOKUP($N142, 'COU.OES Summary'!C:D, 2, FALSE)</f>
        <v> </v>
      </c>
      <c r="N142" s="33" t="str">
        <f>IFERROR(VLOOKUP($H142, 'Processed Non-zero TRI Data'!$I:$O, 7, FALSE), VLOOKUP($I142, 'Processed Non-zero DMR Data'!$K:$R, 8, FALSE))</f>
        <v>Waste handling, treatment, and disposal - Remediation or Monitoring</v>
      </c>
      <c r="O142" s="33" t="s">
        <v>710</v>
      </c>
      <c r="P142" s="33">
        <f>VLOOKUP($N142, 'COU.OES Summary'!C:E, 3, FALSE)</f>
        <v>365</v>
      </c>
    </row>
    <row r="143" spans="1:16" ht="29" x14ac:dyDescent="0.35">
      <c r="A143" s="34">
        <v>142</v>
      </c>
      <c r="B143" s="33" t="str">
        <f>IF(AND(ISNUMBER(MATCH(H143, 'Processed Non-zero TRI Data'!$I$2:$I$23, FALSE)),ISNUMBER(MATCH(I143, 'Processed Non-zero DMR Data'!$K:$K, FALSE))),"Both TRI Form "&amp; VLOOKUP(H143, 'Processed Non-zero TRI Data'!$I$2:$K$23, 3, FALSE)&amp; " &amp; DMR", IFERROR("Only TRI Form "&amp; VLOOKUP(H143, 'Processed Non-zero TRI Data'!$I$2:$K$23, 3, FALSE), "Only DMR"))</f>
        <v>Only DMR</v>
      </c>
      <c r="C143" s="34" t="s">
        <v>445</v>
      </c>
      <c r="D143" s="34" t="s">
        <v>446</v>
      </c>
      <c r="E143" s="34" t="s">
        <v>126</v>
      </c>
      <c r="F143" s="34">
        <v>42.805160000000001</v>
      </c>
      <c r="G143" s="34">
        <v>-78.64658</v>
      </c>
      <c r="H143" s="34"/>
      <c r="I143" s="105">
        <v>110008011490</v>
      </c>
      <c r="J143" s="33">
        <f>IF(OR($H143="",$H143="Yes"), VLOOKUP($I143, 'Processed Non-zero DMR Data'!$K:$V, 10, FALSE),"")</f>
        <v>0.15570028990000001</v>
      </c>
      <c r="K143" s="33" t="str">
        <f>IFERROR(VLOOKUP($H143, 'Processed Non-zero TRI Data'!$I:$M, 5, 0), VLOOKUP($I143, 'Processed Non-zero DMR Data'!$K:$M, 3, FALSE))</f>
        <v>Fluid Power Valves and Hose Fittings</v>
      </c>
      <c r="L143" s="33" t="str">
        <f>IFERROR(VLOOKUP($H143, 'Processed Non-zero TRI Data'!I:P, 8, 0), "Direct")</f>
        <v>Direct</v>
      </c>
      <c r="M143" s="33" t="str">
        <f>VLOOKUP($N143, 'COU.OES Summary'!C:D, 2, FALSE)</f>
        <v> </v>
      </c>
      <c r="N143" s="33" t="str">
        <f>IFERROR(VLOOKUP($H143, 'Processed Non-zero TRI Data'!$I:$O, 7, FALSE), VLOOKUP($I143, 'Processed Non-zero DMR Data'!$K:$R, 8, FALSE))</f>
        <v>Waste handling, treatment, and disposal - Remediation or Monitoring</v>
      </c>
      <c r="O143" s="33" t="s">
        <v>710</v>
      </c>
      <c r="P143" s="33">
        <f>VLOOKUP($N143, 'COU.OES Summary'!C:E, 3, FALSE)</f>
        <v>365</v>
      </c>
    </row>
    <row r="144" spans="1:16" ht="29" x14ac:dyDescent="0.35">
      <c r="A144" s="34">
        <v>143</v>
      </c>
      <c r="B144" s="33" t="str">
        <f>IF(AND(ISNUMBER(MATCH(H144, 'Processed Non-zero TRI Data'!$I$2:$I$23, FALSE)),ISNUMBER(MATCH(I144, 'Processed Non-zero DMR Data'!$K:$K, FALSE))),"Both TRI Form "&amp; VLOOKUP(H144, 'Processed Non-zero TRI Data'!$I$2:$K$23, 3, FALSE)&amp; " &amp; DMR", IFERROR("Only TRI Form "&amp; VLOOKUP(H144, 'Processed Non-zero TRI Data'!$I$2:$K$23, 3, FALSE), "Only DMR"))</f>
        <v>Only DMR</v>
      </c>
      <c r="C144" s="34" t="s">
        <v>609</v>
      </c>
      <c r="D144" s="34" t="s">
        <v>610</v>
      </c>
      <c r="E144" s="34" t="s">
        <v>340</v>
      </c>
      <c r="F144" s="34">
        <v>41.452778000000002</v>
      </c>
      <c r="G144" s="34">
        <v>-79.690278000000006</v>
      </c>
      <c r="H144" s="34"/>
      <c r="I144" s="105">
        <v>110008476327</v>
      </c>
      <c r="J144" s="33">
        <f>IF(OR($H144="",$H144="Yes"), VLOOKUP($I144, 'Processed Non-zero DMR Data'!$K:$V, 10, FALSE),"")</f>
        <v>8.2854999999999995E-3</v>
      </c>
      <c r="K144" s="33" t="str">
        <f>IFERROR(VLOOKUP($H144, 'Processed Non-zero TRI Data'!$I:$M, 5, 0), VLOOKUP($I144, 'Processed Non-zero DMR Data'!$K:$M, 3, FALSE))</f>
        <v>Cyclic Crudes and Intermediates</v>
      </c>
      <c r="L144" s="33" t="str">
        <f>IFERROR(VLOOKUP($H144, 'Processed Non-zero TRI Data'!I:P, 8, 0), "Direct")</f>
        <v>Direct</v>
      </c>
      <c r="M144" s="33" t="str">
        <f>VLOOKUP($N144, 'COU.OES Summary'!C:D, 2, FALSE)</f>
        <v> </v>
      </c>
      <c r="N144" s="33" t="str">
        <f>IFERROR(VLOOKUP($H144, 'Processed Non-zero TRI Data'!$I:$O, 7, FALSE), VLOOKUP($I144, 'Processed Non-zero DMR Data'!$K:$R, 8, FALSE))</f>
        <v>Waste handling, treatment, and disposal - Remediation or Monitoring</v>
      </c>
      <c r="O144" s="33" t="s">
        <v>710</v>
      </c>
      <c r="P144" s="33">
        <f>VLOOKUP($N144, 'COU.OES Summary'!C:E, 3, FALSE)</f>
        <v>365</v>
      </c>
    </row>
    <row r="145" spans="1:16" ht="29" x14ac:dyDescent="0.35">
      <c r="A145" s="34">
        <v>144</v>
      </c>
      <c r="B145" s="33" t="str">
        <f>IF(AND(ISNUMBER(MATCH(H145, 'Processed Non-zero TRI Data'!$I$2:$I$23, FALSE)),ISNUMBER(MATCH(I145, 'Processed Non-zero DMR Data'!$K:$K, FALSE))),"Both TRI Form "&amp; VLOOKUP(H145, 'Processed Non-zero TRI Data'!$I$2:$K$23, 3, FALSE)&amp; " &amp; DMR", IFERROR("Only TRI Form "&amp; VLOOKUP(H145, 'Processed Non-zero TRI Data'!$I$2:$K$23, 3, FALSE), "Only DMR"))</f>
        <v>Only DMR</v>
      </c>
      <c r="C145" s="34" t="s">
        <v>394</v>
      </c>
      <c r="D145" s="34" t="s">
        <v>337</v>
      </c>
      <c r="E145" s="34" t="s">
        <v>221</v>
      </c>
      <c r="F145" s="34">
        <v>36.176639999999999</v>
      </c>
      <c r="G145" s="34">
        <v>-115.12891999999999</v>
      </c>
      <c r="H145" s="34"/>
      <c r="I145" s="105">
        <v>110008995490</v>
      </c>
      <c r="J145" s="33">
        <f>IF(OR($H145="",$H145="Yes"), VLOOKUP($I145, 'Processed Non-zero DMR Data'!$K:$V, 10, FALSE),"")</f>
        <v>5.9291599187500002E-2</v>
      </c>
      <c r="K145" s="33" t="str">
        <f>IFERROR(VLOOKUP($H145, 'Processed Non-zero TRI Data'!$I:$M, 5, 0), VLOOKUP($I145, 'Processed Non-zero DMR Data'!$K:$M, 3, FALSE))</f>
        <v>Apartment Building Operators</v>
      </c>
      <c r="L145" s="33" t="str">
        <f>IFERROR(VLOOKUP($H145, 'Processed Non-zero TRI Data'!I:P, 8, 0), "Direct")</f>
        <v>Direct</v>
      </c>
      <c r="M145" s="33" t="str">
        <f>VLOOKUP($N145, 'COU.OES Summary'!C:D, 2, FALSE)</f>
        <v> </v>
      </c>
      <c r="N145" s="33" t="str">
        <f>IFERROR(VLOOKUP($H145, 'Processed Non-zero TRI Data'!$I:$O, 7, FALSE), VLOOKUP($I145, 'Processed Non-zero DMR Data'!$K:$R, 8, FALSE))</f>
        <v>Waste handling, treatment, and disposal - Remediation or Monitoring</v>
      </c>
      <c r="O145" s="33" t="s">
        <v>710</v>
      </c>
      <c r="P145" s="33">
        <f>VLOOKUP($N145, 'COU.OES Summary'!C:E, 3, FALSE)</f>
        <v>365</v>
      </c>
    </row>
    <row r="146" spans="1:16" ht="29" x14ac:dyDescent="0.35">
      <c r="A146" s="34">
        <v>145</v>
      </c>
      <c r="B146" s="33" t="str">
        <f>IF(AND(ISNUMBER(MATCH(H146, 'Processed Non-zero TRI Data'!$I$2:$I$23, FALSE)),ISNUMBER(MATCH(I146, 'Processed Non-zero DMR Data'!$K:$K, FALSE))),"Both TRI Form "&amp; VLOOKUP(H146, 'Processed Non-zero TRI Data'!$I$2:$K$23, 3, FALSE)&amp; " &amp; DMR", IFERROR("Only TRI Form "&amp; VLOOKUP(H146, 'Processed Non-zero TRI Data'!$I$2:$K$23, 3, FALSE), "Only DMR"))</f>
        <v>Only DMR</v>
      </c>
      <c r="C146" s="34" t="s">
        <v>377</v>
      </c>
      <c r="D146" s="34" t="s">
        <v>378</v>
      </c>
      <c r="E146" s="34" t="s">
        <v>181</v>
      </c>
      <c r="F146" s="34">
        <v>42.758879999999998</v>
      </c>
      <c r="G146" s="34">
        <v>-84.537170000000003</v>
      </c>
      <c r="H146" s="34"/>
      <c r="I146" s="105">
        <v>110009162903</v>
      </c>
      <c r="J146" s="33">
        <f>IF(OR($H146="",$H146="Yes"), VLOOKUP($I146, 'Processed Non-zero DMR Data'!$K:$V, 10, FALSE),"")</f>
        <v>0.57974617900000003</v>
      </c>
      <c r="K146" s="33" t="str">
        <f>IFERROR(VLOOKUP($H146, 'Processed Non-zero TRI Data'!$I:$M, 5, 0), VLOOKUP($I146, 'Processed Non-zero DMR Data'!$K:$M, 3, FALSE))</f>
        <v>Special Trade Contractors, Nec</v>
      </c>
      <c r="L146" s="33" t="str">
        <f>IFERROR(VLOOKUP($H146, 'Processed Non-zero TRI Data'!I:P, 8, 0), "Direct")</f>
        <v>Direct</v>
      </c>
      <c r="M146" s="33" t="str">
        <f>VLOOKUP($N146, 'COU.OES Summary'!C:D, 2, FALSE)</f>
        <v> </v>
      </c>
      <c r="N146" s="33" t="str">
        <f>IFERROR(VLOOKUP($H146, 'Processed Non-zero TRI Data'!$I:$O, 7, FALSE), VLOOKUP($I146, 'Processed Non-zero DMR Data'!$K:$R, 8, FALSE))</f>
        <v>Waste handling, treatment, and disposal - Remediation or Monitoring</v>
      </c>
      <c r="O146" s="33" t="s">
        <v>710</v>
      </c>
      <c r="P146" s="33">
        <f>VLOOKUP($N146, 'COU.OES Summary'!C:E, 3, FALSE)</f>
        <v>365</v>
      </c>
    </row>
    <row r="147" spans="1:16" ht="29" x14ac:dyDescent="0.35">
      <c r="A147" s="34">
        <v>146</v>
      </c>
      <c r="B147" s="33" t="str">
        <f>IF(AND(ISNUMBER(MATCH(H147, 'Processed Non-zero TRI Data'!$I$2:$I$23, FALSE)),ISNUMBER(MATCH(I147, 'Processed Non-zero DMR Data'!$K:$K, FALSE))),"Both TRI Form "&amp; VLOOKUP(H147, 'Processed Non-zero TRI Data'!$I$2:$K$23, 3, FALSE)&amp; " &amp; DMR", IFERROR("Only TRI Form "&amp; VLOOKUP(H147, 'Processed Non-zero TRI Data'!$I$2:$K$23, 3, FALSE), "Only DMR"))</f>
        <v>Only DMR</v>
      </c>
      <c r="C147" s="34" t="s">
        <v>428</v>
      </c>
      <c r="D147" s="34" t="s">
        <v>429</v>
      </c>
      <c r="E147" s="34" t="s">
        <v>181</v>
      </c>
      <c r="F147" s="34">
        <v>43.394015000000003</v>
      </c>
      <c r="G147" s="34">
        <v>-86.397982999999996</v>
      </c>
      <c r="H147" s="34"/>
      <c r="I147" s="105">
        <v>110009291872</v>
      </c>
      <c r="J147" s="33">
        <f>IF(OR($H147="",$H147="Yes"), VLOOKUP($I147, 'Processed Non-zero DMR Data'!$K:$V, 10, FALSE),"")</f>
        <v>4.0745506075E-2</v>
      </c>
      <c r="K147" s="33" t="str">
        <f>IFERROR(VLOOKUP($H147, 'Processed Non-zero TRI Data'!$I:$M, 5, 0), VLOOKUP($I147, 'Processed Non-zero DMR Data'!$K:$M, 3, FALSE))</f>
        <v>Industrial Organic Chemicals, Nec</v>
      </c>
      <c r="L147" s="33" t="str">
        <f>IFERROR(VLOOKUP($H147, 'Processed Non-zero TRI Data'!I:P, 8, 0), "Direct")</f>
        <v>Direct</v>
      </c>
      <c r="M147" s="33" t="str">
        <f>VLOOKUP($N147, 'COU.OES Summary'!C:D, 2, FALSE)</f>
        <v> </v>
      </c>
      <c r="N147" s="33" t="str">
        <f>IFERROR(VLOOKUP($H147, 'Processed Non-zero TRI Data'!$I:$O, 7, FALSE), VLOOKUP($I147, 'Processed Non-zero DMR Data'!$K:$R, 8, FALSE))</f>
        <v>Waste handling, treatment, and disposal - Remediation or Monitoring</v>
      </c>
      <c r="O147" s="33" t="s">
        <v>710</v>
      </c>
      <c r="P147" s="33">
        <f>VLOOKUP($N147, 'COU.OES Summary'!C:E, 3, FALSE)</f>
        <v>365</v>
      </c>
    </row>
    <row r="148" spans="1:16" ht="29" x14ac:dyDescent="0.35">
      <c r="A148" s="34">
        <v>147</v>
      </c>
      <c r="B148" s="33" t="str">
        <f>IF(AND(ISNUMBER(MATCH(H148, 'Processed Non-zero TRI Data'!$I$2:$I$23, FALSE)),ISNUMBER(MATCH(I148, 'Processed Non-zero DMR Data'!$K:$K, FALSE))),"Both TRI Form "&amp; VLOOKUP(H148, 'Processed Non-zero TRI Data'!$I$2:$K$23, 3, FALSE)&amp; " &amp; DMR", IFERROR("Only TRI Form "&amp; VLOOKUP(H148, 'Processed Non-zero TRI Data'!$I$2:$K$23, 3, FALSE), "Only DMR"))</f>
        <v>Only DMR</v>
      </c>
      <c r="C148" s="34" t="s">
        <v>255</v>
      </c>
      <c r="D148" s="34" t="s">
        <v>256</v>
      </c>
      <c r="E148" s="34" t="s">
        <v>102</v>
      </c>
      <c r="F148" s="34">
        <v>34.661079999999998</v>
      </c>
      <c r="G148" s="34">
        <v>-120.48135000000001</v>
      </c>
      <c r="H148" s="34"/>
      <c r="I148" s="105">
        <v>110009547222</v>
      </c>
      <c r="J148" s="33">
        <f>IF(OR($H148="",$H148="Yes"), VLOOKUP($I148, 'Processed Non-zero DMR Data'!$K:$V, 10, FALSE),"")</f>
        <v>2.1206408749999999</v>
      </c>
      <c r="K148" s="33" t="str">
        <f>IFERROR(VLOOKUP($H148, 'Processed Non-zero TRI Data'!$I:$M, 5, 0), VLOOKUP($I148, 'Processed Non-zero DMR Data'!$K:$M, 3, FALSE))</f>
        <v>Sewerage Systems</v>
      </c>
      <c r="L148" s="33" t="str">
        <f>IFERROR(VLOOKUP($H148, 'Processed Non-zero TRI Data'!I:P, 8, 0), "Direct")</f>
        <v>Direct</v>
      </c>
      <c r="M148" s="33" t="str">
        <f>VLOOKUP($N148, 'COU.OES Summary'!C:D, 2, FALSE)</f>
        <v> </v>
      </c>
      <c r="N148" s="33" t="str">
        <f>IFERROR(VLOOKUP($H148, 'Processed Non-zero TRI Data'!$I:$O, 7, FALSE), VLOOKUP($I148, 'Processed Non-zero DMR Data'!$K:$R, 8, FALSE))</f>
        <v>Waste handling, treatment, and disposal - POTW</v>
      </c>
      <c r="O148" s="33" t="s">
        <v>710</v>
      </c>
      <c r="P148" s="33">
        <f>VLOOKUP($N148, 'COU.OES Summary'!C:E, 3, FALSE)</f>
        <v>365</v>
      </c>
    </row>
    <row r="149" spans="1:16" ht="29" x14ac:dyDescent="0.35">
      <c r="A149" s="34">
        <v>148</v>
      </c>
      <c r="B149" s="33" t="str">
        <f>IF(AND(ISNUMBER(MATCH(H149, 'Processed Non-zero TRI Data'!$I$2:$I$23, FALSE)),ISNUMBER(MATCH(I149, 'Processed Non-zero DMR Data'!$K:$K, FALSE))),"Both TRI Form "&amp; VLOOKUP(H149, 'Processed Non-zero TRI Data'!$I$2:$K$23, 3, FALSE)&amp; " &amp; DMR", IFERROR("Only TRI Form "&amp; VLOOKUP(H149, 'Processed Non-zero TRI Data'!$I$2:$K$23, 3, FALSE), "Only DMR"))</f>
        <v>Only DMR</v>
      </c>
      <c r="C149" s="34" t="s">
        <v>196</v>
      </c>
      <c r="D149" s="34" t="s">
        <v>197</v>
      </c>
      <c r="E149" s="34" t="s">
        <v>108</v>
      </c>
      <c r="F149" s="34">
        <v>37.108094000000001</v>
      </c>
      <c r="G149" s="34">
        <v>-85.303033999999997</v>
      </c>
      <c r="H149" s="34"/>
      <c r="I149" s="105">
        <v>110009696356</v>
      </c>
      <c r="J149" s="33">
        <f>IF(OR($H149="",$H149="Yes"), VLOOKUP($I149, 'Processed Non-zero DMR Data'!$K:$V, 10, FALSE),"")</f>
        <v>4.6419240000000004</v>
      </c>
      <c r="K149" s="33" t="str">
        <f>IFERROR(VLOOKUP($H149, 'Processed Non-zero TRI Data'!$I:$M, 5, 0), VLOOKUP($I149, 'Processed Non-zero DMR Data'!$K:$M, 3, FALSE))</f>
        <v>Sewerage Systems</v>
      </c>
      <c r="L149" s="33" t="str">
        <f>IFERROR(VLOOKUP($H149, 'Processed Non-zero TRI Data'!I:P, 8, 0), "Direct")</f>
        <v>Direct</v>
      </c>
      <c r="M149" s="33" t="str">
        <f>VLOOKUP($N149, 'COU.OES Summary'!C:D, 2, FALSE)</f>
        <v> </v>
      </c>
      <c r="N149" s="33" t="str">
        <f>IFERROR(VLOOKUP($H149, 'Processed Non-zero TRI Data'!$I:$O, 7, FALSE), VLOOKUP($I149, 'Processed Non-zero DMR Data'!$K:$R, 8, FALSE))</f>
        <v>Waste handling, treatment, and disposal - POTW</v>
      </c>
      <c r="O149" s="33" t="s">
        <v>710</v>
      </c>
      <c r="P149" s="33">
        <f>VLOOKUP($N149, 'COU.OES Summary'!C:E, 3, FALSE)</f>
        <v>365</v>
      </c>
    </row>
    <row r="150" spans="1:16" ht="29" x14ac:dyDescent="0.35">
      <c r="A150" s="34">
        <v>149</v>
      </c>
      <c r="B150" s="33" t="str">
        <f>IF(AND(ISNUMBER(MATCH(H150, 'Processed Non-zero TRI Data'!$I$2:$I$23, FALSE)),ISNUMBER(MATCH(I150, 'Processed Non-zero DMR Data'!$K:$K, FALSE))),"Both TRI Form "&amp; VLOOKUP(H150, 'Processed Non-zero TRI Data'!$I$2:$K$23, 3, FALSE)&amp; " &amp; DMR", IFERROR("Only TRI Form "&amp; VLOOKUP(H150, 'Processed Non-zero TRI Data'!$I$2:$K$23, 3, FALSE), "Only DMR"))</f>
        <v>Only DMR</v>
      </c>
      <c r="C150" s="34" t="s">
        <v>568</v>
      </c>
      <c r="D150" s="34" t="s">
        <v>300</v>
      </c>
      <c r="E150" s="34" t="s">
        <v>254</v>
      </c>
      <c r="F150" s="34">
        <v>39.799250000000001</v>
      </c>
      <c r="G150" s="34">
        <v>-75.33296</v>
      </c>
      <c r="H150" s="34"/>
      <c r="I150" s="105">
        <v>110009721836</v>
      </c>
      <c r="J150" s="33">
        <f>IF(OR($H150="",$H150="Yes"), VLOOKUP($I150, 'Processed Non-zero DMR Data'!$K:$V, 10, FALSE),"")</f>
        <v>2.0696048263675E-2</v>
      </c>
      <c r="K150" s="33" t="str">
        <f>IFERROR(VLOOKUP($H150, 'Processed Non-zero TRI Data'!$I:$M, 5, 0), VLOOKUP($I150, 'Processed Non-zero DMR Data'!$K:$M, 3, FALSE))</f>
        <v>Trucking, Except Local</v>
      </c>
      <c r="L150" s="33" t="str">
        <f>IFERROR(VLOOKUP($H150, 'Processed Non-zero TRI Data'!I:P, 8, 0), "Direct")</f>
        <v>Direct</v>
      </c>
      <c r="M150" s="33" t="str">
        <f>VLOOKUP($N150, 'COU.OES Summary'!C:D, 2, FALSE)</f>
        <v> </v>
      </c>
      <c r="N150" s="33" t="str">
        <f>IFERROR(VLOOKUP($H150, 'Processed Non-zero TRI Data'!$I:$O, 7, FALSE), VLOOKUP($I150, 'Processed Non-zero DMR Data'!$K:$R, 8, FALSE))</f>
        <v>Waste handling, treatment, and disposal - Remediation or Monitoring</v>
      </c>
      <c r="O150" s="33" t="s">
        <v>710</v>
      </c>
      <c r="P150" s="33">
        <f>VLOOKUP($N150, 'COU.OES Summary'!C:E, 3, FALSE)</f>
        <v>365</v>
      </c>
    </row>
    <row r="151" spans="1:16" ht="29" x14ac:dyDescent="0.35">
      <c r="A151" s="34">
        <v>150</v>
      </c>
      <c r="B151" s="33" t="str">
        <f>IF(AND(ISNUMBER(MATCH(H151, 'Processed Non-zero TRI Data'!$I$2:$I$23, FALSE)),ISNUMBER(MATCH(I151, 'Processed Non-zero DMR Data'!$K:$K, FALSE))),"Both TRI Form "&amp; VLOOKUP(H151, 'Processed Non-zero TRI Data'!$I$2:$K$23, 3, FALSE)&amp; " &amp; DMR", IFERROR("Only TRI Form "&amp; VLOOKUP(H151, 'Processed Non-zero TRI Data'!$I$2:$K$23, 3, FALSE), "Only DMR"))</f>
        <v>Only DMR</v>
      </c>
      <c r="C151" s="34" t="s">
        <v>310</v>
      </c>
      <c r="D151" s="34" t="s">
        <v>311</v>
      </c>
      <c r="E151" s="34" t="s">
        <v>126</v>
      </c>
      <c r="F151" s="34">
        <v>42.593527999999999</v>
      </c>
      <c r="G151" s="34">
        <v>-76.155360999999999</v>
      </c>
      <c r="H151" s="34"/>
      <c r="I151" s="105">
        <v>110009827143</v>
      </c>
      <c r="J151" s="33">
        <f>IF(OR($H151="",$H151="Yes"), VLOOKUP($I151, 'Processed Non-zero DMR Data'!$K:$V, 10, FALSE),"")</f>
        <v>0.63469200000000003</v>
      </c>
      <c r="K151" s="33" t="str">
        <f>IFERROR(VLOOKUP($H151, 'Processed Non-zero TRI Data'!$I:$M, 5, 0), VLOOKUP($I151, 'Processed Non-zero DMR Data'!$K:$M, 3, FALSE))</f>
        <v>Nonclassifiable Establishments</v>
      </c>
      <c r="L151" s="33" t="str">
        <f>IFERROR(VLOOKUP($H151, 'Processed Non-zero TRI Data'!I:P, 8, 0), "Direct")</f>
        <v>Direct</v>
      </c>
      <c r="M151" s="33" t="str">
        <f>VLOOKUP($N151, 'COU.OES Summary'!C:D, 2, FALSE)</f>
        <v> </v>
      </c>
      <c r="N151" s="33" t="str">
        <f>IFERROR(VLOOKUP($H151, 'Processed Non-zero TRI Data'!$I:$O, 7, FALSE), VLOOKUP($I151, 'Processed Non-zero DMR Data'!$K:$R, 8, FALSE))</f>
        <v>Waste handling, treatment, and disposal - Remediation or Monitoring</v>
      </c>
      <c r="O151" s="33" t="s">
        <v>710</v>
      </c>
      <c r="P151" s="33">
        <f>VLOOKUP($N151, 'COU.OES Summary'!C:E, 3, FALSE)</f>
        <v>365</v>
      </c>
    </row>
    <row r="152" spans="1:16" ht="29" x14ac:dyDescent="0.35">
      <c r="A152" s="34">
        <v>151</v>
      </c>
      <c r="B152" s="33" t="str">
        <f>IF(AND(ISNUMBER(MATCH(H152, 'Processed Non-zero TRI Data'!$I$2:$I$23, FALSE)),ISNUMBER(MATCH(I152, 'Processed Non-zero DMR Data'!$K:$K, FALSE))),"Both TRI Form "&amp; VLOOKUP(H152, 'Processed Non-zero TRI Data'!$I$2:$K$23, 3, FALSE)&amp; " &amp; DMR", IFERROR("Only TRI Form "&amp; VLOOKUP(H152, 'Processed Non-zero TRI Data'!$I$2:$K$23, 3, FALSE), "Only DMR"))</f>
        <v>Only DMR</v>
      </c>
      <c r="C152" s="34" t="s">
        <v>526</v>
      </c>
      <c r="D152" s="34" t="s">
        <v>527</v>
      </c>
      <c r="E152" s="34" t="s">
        <v>181</v>
      </c>
      <c r="F152" s="34">
        <v>43.905769999999997</v>
      </c>
      <c r="G152" s="34">
        <v>-85.801850000000002</v>
      </c>
      <c r="H152" s="34"/>
      <c r="I152" s="105">
        <v>110009899967</v>
      </c>
      <c r="J152" s="33">
        <f>IF(OR($H152="",$H152="Yes"), VLOOKUP($I152, 'Processed Non-zero DMR Data'!$K:$V, 10, FALSE),"")</f>
        <v>3.5863631999999999E-2</v>
      </c>
      <c r="K152" s="33" t="str">
        <f>IFERROR(VLOOKUP($H152, 'Processed Non-zero TRI Data'!$I:$M, 5, 0), VLOOKUP($I152, 'Processed Non-zero DMR Data'!$K:$M, 3, FALSE))</f>
        <v>Steel Pipe and Tubes</v>
      </c>
      <c r="L152" s="33" t="str">
        <f>IFERROR(VLOOKUP($H152, 'Processed Non-zero TRI Data'!I:P, 8, 0), "Direct")</f>
        <v>Direct</v>
      </c>
      <c r="M152" s="33" t="str">
        <f>VLOOKUP($N152, 'COU.OES Summary'!C:D, 2, FALSE)</f>
        <v> </v>
      </c>
      <c r="N152" s="33" t="str">
        <f>IFERROR(VLOOKUP($H152, 'Processed Non-zero TRI Data'!$I:$O, 7, FALSE), VLOOKUP($I152, 'Processed Non-zero DMR Data'!$K:$R, 8, FALSE))</f>
        <v>Waste handling, treatment, and disposal - Remediation or Monitoring</v>
      </c>
      <c r="O152" s="33" t="s">
        <v>710</v>
      </c>
      <c r="P152" s="33">
        <f>VLOOKUP($N152, 'COU.OES Summary'!C:E, 3, FALSE)</f>
        <v>365</v>
      </c>
    </row>
    <row r="153" spans="1:16" ht="29" x14ac:dyDescent="0.35">
      <c r="A153" s="34">
        <v>152</v>
      </c>
      <c r="B153" s="33" t="str">
        <f>IF(AND(ISNUMBER(MATCH(H153, 'Processed Non-zero TRI Data'!$I$2:$I$23, FALSE)),ISNUMBER(MATCH(I153, 'Processed Non-zero DMR Data'!$K:$K, FALSE))),"Both TRI Form "&amp; VLOOKUP(H153, 'Processed Non-zero TRI Data'!$I$2:$K$23, 3, FALSE)&amp; " &amp; DMR", IFERROR("Only TRI Form "&amp; VLOOKUP(H153, 'Processed Non-zero TRI Data'!$I$2:$K$23, 3, FALSE), "Only DMR"))</f>
        <v>Only DMR</v>
      </c>
      <c r="C153" s="34" t="s">
        <v>408</v>
      </c>
      <c r="D153" s="34" t="s">
        <v>409</v>
      </c>
      <c r="E153" s="34" t="s">
        <v>181</v>
      </c>
      <c r="F153" s="34">
        <v>41.804830000000003</v>
      </c>
      <c r="G153" s="34">
        <v>-85.413839999999993</v>
      </c>
      <c r="H153" s="34"/>
      <c r="I153" s="105">
        <v>110009900116</v>
      </c>
      <c r="J153" s="33">
        <f>IF(OR($H153="",$H153="Yes"), VLOOKUP($I153, 'Processed Non-zero DMR Data'!$K:$V, 10, FALSE),"")</f>
        <v>0.19716822000000001</v>
      </c>
      <c r="K153" s="33" t="str">
        <f>IFERROR(VLOOKUP($H153, 'Processed Non-zero TRI Data'!$I:$M, 5, 0), VLOOKUP($I153, 'Processed Non-zero DMR Data'!$K:$M, 3, FALSE))</f>
        <v>Drapery Hardware and Blinds and Shades</v>
      </c>
      <c r="L153" s="33" t="str">
        <f>IFERROR(VLOOKUP($H153, 'Processed Non-zero TRI Data'!I:P, 8, 0), "Direct")</f>
        <v>Direct</v>
      </c>
      <c r="M153" s="33" t="str">
        <f>VLOOKUP($N153, 'COU.OES Summary'!C:D, 2, FALSE)</f>
        <v> </v>
      </c>
      <c r="N153" s="33" t="str">
        <f>IFERROR(VLOOKUP($H153, 'Processed Non-zero TRI Data'!$I:$O, 7, FALSE), VLOOKUP($I153, 'Processed Non-zero DMR Data'!$K:$R, 8, FALSE))</f>
        <v>Waste handling, treatment, and disposal - Remediation or Monitoring</v>
      </c>
      <c r="O153" s="33" t="s">
        <v>710</v>
      </c>
      <c r="P153" s="33">
        <f>VLOOKUP($N153, 'COU.OES Summary'!C:E, 3, FALSE)</f>
        <v>365</v>
      </c>
    </row>
    <row r="154" spans="1:16" ht="29" x14ac:dyDescent="0.35">
      <c r="A154" s="34">
        <v>153</v>
      </c>
      <c r="B154" s="33" t="str">
        <f>IF(AND(ISNUMBER(MATCH(H154, 'Processed Non-zero TRI Data'!$I$2:$I$23, FALSE)),ISNUMBER(MATCH(I154, 'Processed Non-zero DMR Data'!$K:$K, FALSE))),"Both TRI Form "&amp; VLOOKUP(H154, 'Processed Non-zero TRI Data'!$I$2:$K$23, 3, FALSE)&amp; " &amp; DMR", IFERROR("Only TRI Form "&amp; VLOOKUP(H154, 'Processed Non-zero TRI Data'!$I$2:$K$23, 3, FALSE), "Only DMR"))</f>
        <v>Only DMR</v>
      </c>
      <c r="C154" s="34" t="s">
        <v>648</v>
      </c>
      <c r="D154" s="34" t="s">
        <v>378</v>
      </c>
      <c r="E154" s="34" t="s">
        <v>181</v>
      </c>
      <c r="F154" s="34">
        <v>42.672580000000004</v>
      </c>
      <c r="G154" s="34">
        <v>-84.663955999999999</v>
      </c>
      <c r="H154" s="34"/>
      <c r="I154" s="105">
        <v>110009900312</v>
      </c>
      <c r="J154" s="33">
        <f>IF(OR($H154="",$H154="Yes"), VLOOKUP($I154, 'Processed Non-zero DMR Data'!$K:$V, 10, FALSE),"")</f>
        <v>2.999991E-3</v>
      </c>
      <c r="K154" s="33" t="str">
        <f>IFERROR(VLOOKUP($H154, 'Processed Non-zero TRI Data'!$I:$M, 5, 0), VLOOKUP($I154, 'Processed Non-zero DMR Data'!$K:$M, 3, FALSE))</f>
        <v>General Government, Nec</v>
      </c>
      <c r="L154" s="33" t="str">
        <f>IFERROR(VLOOKUP($H154, 'Processed Non-zero TRI Data'!I:P, 8, 0), "Direct")</f>
        <v>Direct</v>
      </c>
      <c r="M154" s="33" t="str">
        <f>VLOOKUP($N154, 'COU.OES Summary'!C:D, 2, FALSE)</f>
        <v> </v>
      </c>
      <c r="N154" s="33" t="str">
        <f>IFERROR(VLOOKUP($H154, 'Processed Non-zero TRI Data'!$I:$O, 7, FALSE), VLOOKUP($I154, 'Processed Non-zero DMR Data'!$K:$R, 8, FALSE))</f>
        <v>Waste handling, treatment, and disposal - Remediation or Monitoring</v>
      </c>
      <c r="O154" s="33" t="s">
        <v>710</v>
      </c>
      <c r="P154" s="33">
        <f>VLOOKUP($N154, 'COU.OES Summary'!C:E, 3, FALSE)</f>
        <v>365</v>
      </c>
    </row>
    <row r="155" spans="1:16" ht="29" x14ac:dyDescent="0.35">
      <c r="A155" s="34">
        <v>154</v>
      </c>
      <c r="B155" s="33" t="str">
        <f>IF(AND(ISNUMBER(MATCH(H155, 'Processed Non-zero TRI Data'!$I$2:$I$23, FALSE)),ISNUMBER(MATCH(I155, 'Processed Non-zero DMR Data'!$K:$K, FALSE))),"Both TRI Form "&amp; VLOOKUP(H155, 'Processed Non-zero TRI Data'!$I$2:$K$23, 3, FALSE)&amp; " &amp; DMR", IFERROR("Only TRI Form "&amp; VLOOKUP(H155, 'Processed Non-zero TRI Data'!$I$2:$K$23, 3, FALSE), "Only DMR"))</f>
        <v>Only DMR</v>
      </c>
      <c r="C155" s="34" t="s">
        <v>505</v>
      </c>
      <c r="D155" s="34" t="s">
        <v>409</v>
      </c>
      <c r="E155" s="34" t="s">
        <v>181</v>
      </c>
      <c r="F155" s="34">
        <v>41.802622</v>
      </c>
      <c r="G155" s="34">
        <v>-85.388092</v>
      </c>
      <c r="H155" s="34"/>
      <c r="I155" s="105">
        <v>110009900330</v>
      </c>
      <c r="J155" s="33">
        <f>IF(OR($H155="",$H155="Yes"), VLOOKUP($I155, 'Processed Non-zero DMR Data'!$K:$V, 10, FALSE),"")</f>
        <v>5.0407116000000002E-2</v>
      </c>
      <c r="K155" s="33" t="str">
        <f>IFERROR(VLOOKUP($H155, 'Processed Non-zero TRI Data'!$I:$M, 5, 0), VLOOKUP($I155, 'Processed Non-zero DMR Data'!$K:$M, 3, FALSE))</f>
        <v>Refuse Systems</v>
      </c>
      <c r="L155" s="33" t="str">
        <f>IFERROR(VLOOKUP($H155, 'Processed Non-zero TRI Data'!I:P, 8, 0), "Direct")</f>
        <v>Direct</v>
      </c>
      <c r="M155" s="33" t="str">
        <f>VLOOKUP($N155, 'COU.OES Summary'!C:D, 2, FALSE)</f>
        <v> </v>
      </c>
      <c r="N155" s="33" t="str">
        <f>IFERROR(VLOOKUP($H155, 'Processed Non-zero TRI Data'!$I:$O, 7, FALSE), VLOOKUP($I155, 'Processed Non-zero DMR Data'!$K:$R, 8, FALSE))</f>
        <v>Waste handling, treatment, and disposal - non-POTW WWT</v>
      </c>
      <c r="O155" s="33" t="s">
        <v>710</v>
      </c>
      <c r="P155" s="33">
        <f>VLOOKUP($N155, 'COU.OES Summary'!C:E, 3, FALSE)</f>
        <v>365</v>
      </c>
    </row>
    <row r="156" spans="1:16" ht="29" x14ac:dyDescent="0.35">
      <c r="A156" s="34">
        <v>155</v>
      </c>
      <c r="B156" s="33" t="str">
        <f>IF(AND(ISNUMBER(MATCH(H156, 'Processed Non-zero TRI Data'!$I$2:$I$23, FALSE)),ISNUMBER(MATCH(I156, 'Processed Non-zero DMR Data'!$K:$K, FALSE))),"Both TRI Form "&amp; VLOOKUP(H156, 'Processed Non-zero TRI Data'!$I$2:$K$23, 3, FALSE)&amp; " &amp; DMR", IFERROR("Only TRI Form "&amp; VLOOKUP(H156, 'Processed Non-zero TRI Data'!$I$2:$K$23, 3, FALSE), "Only DMR"))</f>
        <v>Only DMR</v>
      </c>
      <c r="C156" s="34" t="s">
        <v>475</v>
      </c>
      <c r="D156" s="34" t="s">
        <v>476</v>
      </c>
      <c r="E156" s="34" t="s">
        <v>181</v>
      </c>
      <c r="F156" s="34">
        <v>42.250990000000002</v>
      </c>
      <c r="G156" s="34">
        <v>-84.736580000000004</v>
      </c>
      <c r="H156" s="34"/>
      <c r="I156" s="105">
        <v>110009900679</v>
      </c>
      <c r="J156" s="33">
        <f>IF(OR($H156="",$H156="Yes"), VLOOKUP($I156, 'Processed Non-zero DMR Data'!$K:$V, 10, FALSE),"")</f>
        <v>7.4280625000000003E-2</v>
      </c>
      <c r="K156" s="33" t="str">
        <f>IFERROR(VLOOKUP($H156, 'Processed Non-zero TRI Data'!$I:$M, 5, 0), VLOOKUP($I156, 'Processed Non-zero DMR Data'!$K:$M, 3, FALSE))</f>
        <v>Special Trade Contractors, Nec</v>
      </c>
      <c r="L156" s="33" t="str">
        <f>IFERROR(VLOOKUP($H156, 'Processed Non-zero TRI Data'!I:P, 8, 0), "Direct")</f>
        <v>Direct</v>
      </c>
      <c r="M156" s="33" t="str">
        <f>VLOOKUP($N156, 'COU.OES Summary'!C:D, 2, FALSE)</f>
        <v> </v>
      </c>
      <c r="N156" s="33" t="str">
        <f>IFERROR(VLOOKUP($H156, 'Processed Non-zero TRI Data'!$I:$O, 7, FALSE), VLOOKUP($I156, 'Processed Non-zero DMR Data'!$K:$R, 8, FALSE))</f>
        <v>Waste handling, treatment, and disposal - Remediation or Monitoring</v>
      </c>
      <c r="O156" s="33" t="s">
        <v>710</v>
      </c>
      <c r="P156" s="33">
        <f>VLOOKUP($N156, 'COU.OES Summary'!C:E, 3, FALSE)</f>
        <v>365</v>
      </c>
    </row>
    <row r="157" spans="1:16" ht="29" x14ac:dyDescent="0.35">
      <c r="A157" s="34">
        <v>156</v>
      </c>
      <c r="B157" s="33" t="str">
        <f>IF(AND(ISNUMBER(MATCH(H157, 'Processed Non-zero TRI Data'!$I$2:$I$23, FALSE)),ISNUMBER(MATCH(I157, 'Processed Non-zero DMR Data'!$K:$K, FALSE))),"Both TRI Form "&amp; VLOOKUP(H157, 'Processed Non-zero TRI Data'!$I$2:$K$23, 3, FALSE)&amp; " &amp; DMR", IFERROR("Only TRI Form "&amp; VLOOKUP(H157, 'Processed Non-zero TRI Data'!$I$2:$K$23, 3, FALSE), "Only DMR"))</f>
        <v>Only DMR</v>
      </c>
      <c r="C157" s="34" t="s">
        <v>467</v>
      </c>
      <c r="D157" s="34" t="s">
        <v>308</v>
      </c>
      <c r="E157" s="34" t="s">
        <v>181</v>
      </c>
      <c r="F157" s="34">
        <v>42.293660000000003</v>
      </c>
      <c r="G157" s="34">
        <v>-85.223643999999993</v>
      </c>
      <c r="H157" s="34"/>
      <c r="I157" s="105">
        <v>110009900884</v>
      </c>
      <c r="J157" s="33">
        <f>IF(OR($H157="",$H157="Yes"), VLOOKUP($I157, 'Processed Non-zero DMR Data'!$K:$V, 10, FALSE),"")</f>
        <v>8.6169915599999994E-2</v>
      </c>
      <c r="K157" s="33" t="str">
        <f>IFERROR(VLOOKUP($H157, 'Processed Non-zero TRI Data'!$I:$M, 5, 0), VLOOKUP($I157, 'Processed Non-zero DMR Data'!$K:$M, 3, FALSE))</f>
        <v>Nonclassifiable Establishments</v>
      </c>
      <c r="L157" s="33" t="str">
        <f>IFERROR(VLOOKUP($H157, 'Processed Non-zero TRI Data'!I:P, 8, 0), "Direct")</f>
        <v>Direct</v>
      </c>
      <c r="M157" s="33" t="str">
        <f>VLOOKUP($N157, 'COU.OES Summary'!C:D, 2, FALSE)</f>
        <v> </v>
      </c>
      <c r="N157" s="33" t="str">
        <f>IFERROR(VLOOKUP($H157, 'Processed Non-zero TRI Data'!$I:$O, 7, FALSE), VLOOKUP($I157, 'Processed Non-zero DMR Data'!$K:$R, 8, FALSE))</f>
        <v>Waste handling, treatment, and disposal - Remediation or Monitoring</v>
      </c>
      <c r="O157" s="33" t="s">
        <v>710</v>
      </c>
      <c r="P157" s="33">
        <f>VLOOKUP($N157, 'COU.OES Summary'!C:E, 3, FALSE)</f>
        <v>365</v>
      </c>
    </row>
    <row r="158" spans="1:16" ht="29" x14ac:dyDescent="0.35">
      <c r="A158" s="34">
        <v>157</v>
      </c>
      <c r="B158" s="33" t="str">
        <f>IF(AND(ISNUMBER(MATCH(H158, 'Processed Non-zero TRI Data'!$I$2:$I$23, FALSE)),ISNUMBER(MATCH(I158, 'Processed Non-zero DMR Data'!$K:$K, FALSE))),"Both TRI Form "&amp; VLOOKUP(H158, 'Processed Non-zero TRI Data'!$I$2:$K$23, 3, FALSE)&amp; " &amp; DMR", IFERROR("Only TRI Form "&amp; VLOOKUP(H158, 'Processed Non-zero TRI Data'!$I$2:$K$23, 3, FALSE), "Only DMR"))</f>
        <v>Only DMR</v>
      </c>
      <c r="C158" s="34" t="s">
        <v>269</v>
      </c>
      <c r="D158" s="34" t="s">
        <v>270</v>
      </c>
      <c r="E158" s="34" t="s">
        <v>108</v>
      </c>
      <c r="F158" s="34">
        <v>37.780760000000001</v>
      </c>
      <c r="G158" s="34">
        <v>-85.510740999999996</v>
      </c>
      <c r="H158" s="34"/>
      <c r="I158" s="105">
        <v>110009933402</v>
      </c>
      <c r="J158" s="33">
        <f>IF(OR($H158="",$H158="Yes"), VLOOKUP($I158, 'Processed Non-zero DMR Data'!$K:$V, 10, FALSE),"")</f>
        <v>1.2212681000000001</v>
      </c>
      <c r="K158" s="33" t="str">
        <f>IFERROR(VLOOKUP($H158, 'Processed Non-zero TRI Data'!$I:$M, 5, 0), VLOOKUP($I158, 'Processed Non-zero DMR Data'!$K:$M, 3, FALSE))</f>
        <v>Sewerage Systems</v>
      </c>
      <c r="L158" s="33" t="str">
        <f>IFERROR(VLOOKUP($H158, 'Processed Non-zero TRI Data'!I:P, 8, 0), "Direct")</f>
        <v>Direct</v>
      </c>
      <c r="M158" s="33" t="str">
        <f>VLOOKUP($N158, 'COU.OES Summary'!C:D, 2, FALSE)</f>
        <v> </v>
      </c>
      <c r="N158" s="33" t="str">
        <f>IFERROR(VLOOKUP($H158, 'Processed Non-zero TRI Data'!$I:$O, 7, FALSE), VLOOKUP($I158, 'Processed Non-zero DMR Data'!$K:$R, 8, FALSE))</f>
        <v>Waste handling, treatment, and disposal - POTW</v>
      </c>
      <c r="O158" s="33" t="s">
        <v>710</v>
      </c>
      <c r="P158" s="33">
        <f>VLOOKUP($N158, 'COU.OES Summary'!C:E, 3, FALSE)</f>
        <v>365</v>
      </c>
    </row>
    <row r="159" spans="1:16" ht="29" x14ac:dyDescent="0.35">
      <c r="A159" s="34">
        <v>158</v>
      </c>
      <c r="B159" s="33" t="str">
        <f>IF(AND(ISNUMBER(MATCH(H159, 'Processed Non-zero TRI Data'!$I$2:$I$23, FALSE)),ISNUMBER(MATCH(I159, 'Processed Non-zero DMR Data'!$K:$K, FALSE))),"Both TRI Form "&amp; VLOOKUP(H159, 'Processed Non-zero TRI Data'!$I$2:$K$23, 3, FALSE)&amp; " &amp; DMR", IFERROR("Only TRI Form "&amp; VLOOKUP(H159, 'Processed Non-zero TRI Data'!$I$2:$K$23, 3, FALSE), "Only DMR"))</f>
        <v>Only DMR</v>
      </c>
      <c r="C159" s="34" t="s">
        <v>226</v>
      </c>
      <c r="D159" s="34" t="s">
        <v>227</v>
      </c>
      <c r="E159" s="34" t="s">
        <v>108</v>
      </c>
      <c r="F159" s="34">
        <v>37.640973000000002</v>
      </c>
      <c r="G159" s="34">
        <v>-84.312661000000006</v>
      </c>
      <c r="H159" s="34"/>
      <c r="I159" s="105">
        <v>110009933484</v>
      </c>
      <c r="J159" s="33">
        <f>IF(OR($H159="",$H159="Yes"), VLOOKUP($I159, 'Processed Non-zero DMR Data'!$K:$V, 10, FALSE),"")</f>
        <v>3.2327685000000002</v>
      </c>
      <c r="K159" s="33" t="str">
        <f>IFERROR(VLOOKUP($H159, 'Processed Non-zero TRI Data'!$I:$M, 5, 0), VLOOKUP($I159, 'Processed Non-zero DMR Data'!$K:$M, 3, FALSE))</f>
        <v>Sewerage Systems</v>
      </c>
      <c r="L159" s="33" t="str">
        <f>IFERROR(VLOOKUP($H159, 'Processed Non-zero TRI Data'!I:P, 8, 0), "Direct")</f>
        <v>Direct</v>
      </c>
      <c r="M159" s="33" t="str">
        <f>VLOOKUP($N159, 'COU.OES Summary'!C:D, 2, FALSE)</f>
        <v> </v>
      </c>
      <c r="N159" s="33" t="str">
        <f>IFERROR(VLOOKUP($H159, 'Processed Non-zero TRI Data'!$I:$O, 7, FALSE), VLOOKUP($I159, 'Processed Non-zero DMR Data'!$K:$R, 8, FALSE))</f>
        <v>Waste handling, treatment, and disposal - POTW</v>
      </c>
      <c r="O159" s="33" t="s">
        <v>710</v>
      </c>
      <c r="P159" s="33">
        <f>VLOOKUP($N159, 'COU.OES Summary'!C:E, 3, FALSE)</f>
        <v>365</v>
      </c>
    </row>
    <row r="160" spans="1:16" ht="29" x14ac:dyDescent="0.35">
      <c r="A160" s="34">
        <v>159</v>
      </c>
      <c r="B160" s="33" t="str">
        <f>IF(AND(ISNUMBER(MATCH(H160, 'Processed Non-zero TRI Data'!$I$2:$I$23, FALSE)),ISNUMBER(MATCH(I160, 'Processed Non-zero DMR Data'!$K:$K, FALSE))),"Both TRI Form "&amp; VLOOKUP(H160, 'Processed Non-zero TRI Data'!$I$2:$K$23, 3, FALSE)&amp; " &amp; DMR", IFERROR("Only TRI Form "&amp; VLOOKUP(H160, 'Processed Non-zero TRI Data'!$I$2:$K$23, 3, FALSE), "Only DMR"))</f>
        <v>Only DMR</v>
      </c>
      <c r="C160" s="34" t="s">
        <v>297</v>
      </c>
      <c r="D160" s="34" t="s">
        <v>298</v>
      </c>
      <c r="E160" s="34" t="s">
        <v>108</v>
      </c>
      <c r="F160" s="34">
        <v>36.644849999999998</v>
      </c>
      <c r="G160" s="34">
        <v>-87.187950000000001</v>
      </c>
      <c r="H160" s="34"/>
      <c r="I160" s="105">
        <v>110009937499</v>
      </c>
      <c r="J160" s="33">
        <f>IF(OR($H160="",$H160="Yes"), VLOOKUP($I160, 'Processed Non-zero DMR Data'!$K:$V, 10, FALSE),"")</f>
        <v>1.0534128125</v>
      </c>
      <c r="K160" s="33" t="str">
        <f>IFERROR(VLOOKUP($H160, 'Processed Non-zero TRI Data'!$I:$M, 5, 0), VLOOKUP($I160, 'Processed Non-zero DMR Data'!$K:$M, 3, FALSE))</f>
        <v>Sewerage Systems</v>
      </c>
      <c r="L160" s="33" t="str">
        <f>IFERROR(VLOOKUP($H160, 'Processed Non-zero TRI Data'!I:P, 8, 0), "Direct")</f>
        <v>Direct</v>
      </c>
      <c r="M160" s="33" t="str">
        <f>VLOOKUP($N160, 'COU.OES Summary'!C:D, 2, FALSE)</f>
        <v> </v>
      </c>
      <c r="N160" s="33" t="str">
        <f>IFERROR(VLOOKUP($H160, 'Processed Non-zero TRI Data'!$I:$O, 7, FALSE), VLOOKUP($I160, 'Processed Non-zero DMR Data'!$K:$R, 8, FALSE))</f>
        <v>Waste handling, treatment, and disposal - POTW</v>
      </c>
      <c r="O160" s="33" t="s">
        <v>710</v>
      </c>
      <c r="P160" s="33">
        <f>VLOOKUP($N160, 'COU.OES Summary'!C:E, 3, FALSE)</f>
        <v>365</v>
      </c>
    </row>
    <row r="161" spans="1:16" ht="29" x14ac:dyDescent="0.35">
      <c r="A161" s="34">
        <v>160</v>
      </c>
      <c r="B161" s="33" t="str">
        <f>IF(AND(ISNUMBER(MATCH(H161, 'Processed Non-zero TRI Data'!$I$2:$I$23, FALSE)),ISNUMBER(MATCH(I161, 'Processed Non-zero DMR Data'!$K:$K, FALSE))),"Both TRI Form "&amp; VLOOKUP(H161, 'Processed Non-zero TRI Data'!$I$2:$K$23, 3, FALSE)&amp; " &amp; DMR", IFERROR("Only TRI Form "&amp; VLOOKUP(H161, 'Processed Non-zero TRI Data'!$I$2:$K$23, 3, FALSE), "Only DMR"))</f>
        <v>Only DMR</v>
      </c>
      <c r="C161" s="34" t="s">
        <v>379</v>
      </c>
      <c r="D161" s="34" t="s">
        <v>380</v>
      </c>
      <c r="E161" s="34" t="s">
        <v>108</v>
      </c>
      <c r="F161" s="34">
        <v>36.787260000000003</v>
      </c>
      <c r="G161" s="34">
        <v>-85.369240000000005</v>
      </c>
      <c r="H161" s="34"/>
      <c r="I161" s="105">
        <v>110009938265</v>
      </c>
      <c r="J161" s="33">
        <f>IF(OR($H161="",$H161="Yes"), VLOOKUP($I161, 'Processed Non-zero DMR Data'!$K:$V, 10, FALSE),"")</f>
        <v>0.3134680225</v>
      </c>
      <c r="K161" s="33" t="str">
        <f>IFERROR(VLOOKUP($H161, 'Processed Non-zero TRI Data'!$I:$M, 5, 0), VLOOKUP($I161, 'Processed Non-zero DMR Data'!$K:$M, 3, FALSE))</f>
        <v>Sewerage Systems</v>
      </c>
      <c r="L161" s="33" t="str">
        <f>IFERROR(VLOOKUP($H161, 'Processed Non-zero TRI Data'!I:P, 8, 0), "Direct")</f>
        <v>Direct</v>
      </c>
      <c r="M161" s="33" t="str">
        <f>VLOOKUP($N161, 'COU.OES Summary'!C:D, 2, FALSE)</f>
        <v> </v>
      </c>
      <c r="N161" s="33" t="str">
        <f>IFERROR(VLOOKUP($H161, 'Processed Non-zero TRI Data'!$I:$O, 7, FALSE), VLOOKUP($I161, 'Processed Non-zero DMR Data'!$K:$R, 8, FALSE))</f>
        <v>Waste handling, treatment, and disposal - POTW</v>
      </c>
      <c r="O161" s="33" t="s">
        <v>710</v>
      </c>
      <c r="P161" s="33">
        <f>VLOOKUP($N161, 'COU.OES Summary'!C:E, 3, FALSE)</f>
        <v>365</v>
      </c>
    </row>
    <row r="162" spans="1:16" ht="29" x14ac:dyDescent="0.35">
      <c r="A162" s="34">
        <v>161</v>
      </c>
      <c r="B162" s="33" t="str">
        <f>IF(AND(ISNUMBER(MATCH(H162, 'Processed Non-zero TRI Data'!$I$2:$I$23, FALSE)),ISNUMBER(MATCH(I162, 'Processed Non-zero DMR Data'!$K:$K, FALSE))),"Both TRI Form "&amp; VLOOKUP(H162, 'Processed Non-zero TRI Data'!$I$2:$K$23, 3, FALSE)&amp; " &amp; DMR", IFERROR("Only TRI Form "&amp; VLOOKUP(H162, 'Processed Non-zero TRI Data'!$I$2:$K$23, 3, FALSE), "Only DMR"))</f>
        <v>Only DMR</v>
      </c>
      <c r="C162" s="34" t="s">
        <v>210</v>
      </c>
      <c r="D162" s="34" t="s">
        <v>211</v>
      </c>
      <c r="E162" s="34" t="s">
        <v>108</v>
      </c>
      <c r="F162" s="34">
        <v>37.857500000000002</v>
      </c>
      <c r="G162" s="34">
        <v>-83.865278000000004</v>
      </c>
      <c r="H162" s="34"/>
      <c r="I162" s="105">
        <v>110009938470</v>
      </c>
      <c r="J162" s="33">
        <f>IF(OR($H162="",$H162="Yes"), VLOOKUP($I162, 'Processed Non-zero DMR Data'!$K:$V, 10, FALSE),"")</f>
        <v>3.9718843750000001</v>
      </c>
      <c r="K162" s="33" t="str">
        <f>IFERROR(VLOOKUP($H162, 'Processed Non-zero TRI Data'!$I:$M, 5, 0), VLOOKUP($I162, 'Processed Non-zero DMR Data'!$K:$M, 3, FALSE))</f>
        <v>Sewerage Systems</v>
      </c>
      <c r="L162" s="33" t="str">
        <f>IFERROR(VLOOKUP($H162, 'Processed Non-zero TRI Data'!I:P, 8, 0), "Direct")</f>
        <v>Direct</v>
      </c>
      <c r="M162" s="33" t="str">
        <f>VLOOKUP($N162, 'COU.OES Summary'!C:D, 2, FALSE)</f>
        <v> </v>
      </c>
      <c r="N162" s="33" t="str">
        <f>IFERROR(VLOOKUP($H162, 'Processed Non-zero TRI Data'!$I:$O, 7, FALSE), VLOOKUP($I162, 'Processed Non-zero DMR Data'!$K:$R, 8, FALSE))</f>
        <v>Waste handling, treatment, and disposal - POTW</v>
      </c>
      <c r="O162" s="33" t="s">
        <v>710</v>
      </c>
      <c r="P162" s="33">
        <f>VLOOKUP($N162, 'COU.OES Summary'!C:E, 3, FALSE)</f>
        <v>365</v>
      </c>
    </row>
    <row r="163" spans="1:16" ht="29" x14ac:dyDescent="0.35">
      <c r="A163" s="34">
        <v>162</v>
      </c>
      <c r="B163" s="33" t="str">
        <f>IF(AND(ISNUMBER(MATCH(H163, 'Processed Non-zero TRI Data'!$I$2:$I$23, FALSE)),ISNUMBER(MATCH(I163, 'Processed Non-zero DMR Data'!$K:$K, FALSE))),"Both TRI Form "&amp; VLOOKUP(H163, 'Processed Non-zero TRI Data'!$I$2:$K$23, 3, FALSE)&amp; " &amp; DMR", IFERROR("Only TRI Form "&amp; VLOOKUP(H163, 'Processed Non-zero TRI Data'!$I$2:$K$23, 3, FALSE), "Only DMR"))</f>
        <v>Only DMR</v>
      </c>
      <c r="C163" s="34" t="s">
        <v>263</v>
      </c>
      <c r="D163" s="34" t="s">
        <v>264</v>
      </c>
      <c r="E163" s="34" t="s">
        <v>108</v>
      </c>
      <c r="F163" s="34">
        <v>37.075277999999997</v>
      </c>
      <c r="G163" s="34">
        <v>-88.09</v>
      </c>
      <c r="H163" s="34"/>
      <c r="I163" s="105">
        <v>110009938719</v>
      </c>
      <c r="J163" s="33">
        <f>IF(OR($H163="",$H163="Yes"), VLOOKUP($I163, 'Processed Non-zero DMR Data'!$K:$V, 10, FALSE),"")</f>
        <v>1.8616049374999999</v>
      </c>
      <c r="K163" s="33" t="str">
        <f>IFERROR(VLOOKUP($H163, 'Processed Non-zero TRI Data'!$I:$M, 5, 0), VLOOKUP($I163, 'Processed Non-zero DMR Data'!$K:$M, 3, FALSE))</f>
        <v>Sewerage Systems</v>
      </c>
      <c r="L163" s="33" t="str">
        <f>IFERROR(VLOOKUP($H163, 'Processed Non-zero TRI Data'!I:P, 8, 0), "Direct")</f>
        <v>Direct</v>
      </c>
      <c r="M163" s="33" t="str">
        <f>VLOOKUP($N163, 'COU.OES Summary'!C:D, 2, FALSE)</f>
        <v> </v>
      </c>
      <c r="N163" s="33" t="str">
        <f>IFERROR(VLOOKUP($H163, 'Processed Non-zero TRI Data'!$I:$O, 7, FALSE), VLOOKUP($I163, 'Processed Non-zero DMR Data'!$K:$R, 8, FALSE))</f>
        <v>Waste handling, treatment, and disposal - POTW</v>
      </c>
      <c r="O163" s="33" t="s">
        <v>710</v>
      </c>
      <c r="P163" s="33">
        <f>VLOOKUP($N163, 'COU.OES Summary'!C:E, 3, FALSE)</f>
        <v>365</v>
      </c>
    </row>
    <row r="164" spans="1:16" ht="29" x14ac:dyDescent="0.35">
      <c r="A164" s="34">
        <v>163</v>
      </c>
      <c r="B164" s="33" t="str">
        <f>IF(AND(ISNUMBER(MATCH(H164, 'Processed Non-zero TRI Data'!$I$2:$I$23, FALSE)),ISNUMBER(MATCH(I164, 'Processed Non-zero DMR Data'!$K:$K, FALSE))),"Both TRI Form "&amp; VLOOKUP(H164, 'Processed Non-zero TRI Data'!$I$2:$K$23, 3, FALSE)&amp; " &amp; DMR", IFERROR("Only TRI Form "&amp; VLOOKUP(H164, 'Processed Non-zero TRI Data'!$I$2:$K$23, 3, FALSE), "Only DMR"))</f>
        <v>Only DMR</v>
      </c>
      <c r="C164" s="34" t="s">
        <v>341</v>
      </c>
      <c r="D164" s="34" t="s">
        <v>342</v>
      </c>
      <c r="E164" s="34" t="s">
        <v>108</v>
      </c>
      <c r="F164" s="34">
        <v>38.542222000000002</v>
      </c>
      <c r="G164" s="34">
        <v>-84.831943999999993</v>
      </c>
      <c r="H164" s="34"/>
      <c r="I164" s="105">
        <v>110009938737</v>
      </c>
      <c r="J164" s="33">
        <f>IF(OR($H164="",$H164="Yes"), VLOOKUP($I164, 'Processed Non-zero DMR Data'!$K:$V, 10, FALSE),"")</f>
        <v>0.65795128125000002</v>
      </c>
      <c r="K164" s="33" t="str">
        <f>IFERROR(VLOOKUP($H164, 'Processed Non-zero TRI Data'!$I:$M, 5, 0), VLOOKUP($I164, 'Processed Non-zero DMR Data'!$K:$M, 3, FALSE))</f>
        <v>Sewerage Systems</v>
      </c>
      <c r="L164" s="33" t="str">
        <f>IFERROR(VLOOKUP($H164, 'Processed Non-zero TRI Data'!I:P, 8, 0), "Direct")</f>
        <v>Direct</v>
      </c>
      <c r="M164" s="33" t="str">
        <f>VLOOKUP($N164, 'COU.OES Summary'!C:D, 2, FALSE)</f>
        <v> </v>
      </c>
      <c r="N164" s="33" t="str">
        <f>IFERROR(VLOOKUP($H164, 'Processed Non-zero TRI Data'!$I:$O, 7, FALSE), VLOOKUP($I164, 'Processed Non-zero DMR Data'!$K:$R, 8, FALSE))</f>
        <v>Waste handling, treatment, and disposal - POTW</v>
      </c>
      <c r="O164" s="33" t="s">
        <v>710</v>
      </c>
      <c r="P164" s="33">
        <f>VLOOKUP($N164, 'COU.OES Summary'!C:E, 3, FALSE)</f>
        <v>365</v>
      </c>
    </row>
    <row r="165" spans="1:16" ht="29" x14ac:dyDescent="0.35">
      <c r="A165" s="34">
        <v>164</v>
      </c>
      <c r="B165" s="33" t="str">
        <f>IF(AND(ISNUMBER(MATCH(H165, 'Processed Non-zero TRI Data'!$I$2:$I$23, FALSE)),ISNUMBER(MATCH(I165, 'Processed Non-zero DMR Data'!$K:$K, FALSE))),"Both TRI Form "&amp; VLOOKUP(H165, 'Processed Non-zero TRI Data'!$I$2:$K$23, 3, FALSE)&amp; " &amp; DMR", IFERROR("Only TRI Form "&amp; VLOOKUP(H165, 'Processed Non-zero TRI Data'!$I$2:$K$23, 3, FALSE), "Only DMR"))</f>
        <v>Only DMR</v>
      </c>
      <c r="C165" s="34" t="s">
        <v>222</v>
      </c>
      <c r="D165" s="34" t="s">
        <v>223</v>
      </c>
      <c r="E165" s="34" t="s">
        <v>108</v>
      </c>
      <c r="F165" s="34">
        <v>37.177222</v>
      </c>
      <c r="G165" s="34">
        <v>-83.761388999999994</v>
      </c>
      <c r="H165" s="34"/>
      <c r="I165" s="105">
        <v>110009938808</v>
      </c>
      <c r="J165" s="33">
        <f>IF(OR($H165="",$H165="Yes"), VLOOKUP($I165, 'Processed Non-zero DMR Data'!$K:$V, 10, FALSE),"")</f>
        <v>3.446904875</v>
      </c>
      <c r="K165" s="33" t="str">
        <f>IFERROR(VLOOKUP($H165, 'Processed Non-zero TRI Data'!$I:$M, 5, 0), VLOOKUP($I165, 'Processed Non-zero DMR Data'!$K:$M, 3, FALSE))</f>
        <v>Sewerage Systems</v>
      </c>
      <c r="L165" s="33" t="str">
        <f>IFERROR(VLOOKUP($H165, 'Processed Non-zero TRI Data'!I:P, 8, 0), "Direct")</f>
        <v>Direct</v>
      </c>
      <c r="M165" s="33" t="str">
        <f>VLOOKUP($N165, 'COU.OES Summary'!C:D, 2, FALSE)</f>
        <v> </v>
      </c>
      <c r="N165" s="33" t="str">
        <f>IFERROR(VLOOKUP($H165, 'Processed Non-zero TRI Data'!$I:$O, 7, FALSE), VLOOKUP($I165, 'Processed Non-zero DMR Data'!$K:$R, 8, FALSE))</f>
        <v>Waste handling, treatment, and disposal - POTW</v>
      </c>
      <c r="O165" s="33" t="s">
        <v>710</v>
      </c>
      <c r="P165" s="33">
        <f>VLOOKUP($N165, 'COU.OES Summary'!C:E, 3, FALSE)</f>
        <v>365</v>
      </c>
    </row>
    <row r="166" spans="1:16" ht="29" x14ac:dyDescent="0.35">
      <c r="A166" s="34">
        <v>165</v>
      </c>
      <c r="B166" s="33" t="str">
        <f>IF(AND(ISNUMBER(MATCH(H166, 'Processed Non-zero TRI Data'!$I$2:$I$23, FALSE)),ISNUMBER(MATCH(I166, 'Processed Non-zero DMR Data'!$K:$K, FALSE))),"Both TRI Form "&amp; VLOOKUP(H166, 'Processed Non-zero TRI Data'!$I$2:$K$23, 3, FALSE)&amp; " &amp; DMR", IFERROR("Only TRI Form "&amp; VLOOKUP(H166, 'Processed Non-zero TRI Data'!$I$2:$K$23, 3, FALSE), "Only DMR"))</f>
        <v>Only DMR</v>
      </c>
      <c r="C166" s="34" t="s">
        <v>652</v>
      </c>
      <c r="D166" s="34" t="s">
        <v>201</v>
      </c>
      <c r="E166" s="34" t="s">
        <v>151</v>
      </c>
      <c r="F166" s="34">
        <v>39.264667000000003</v>
      </c>
      <c r="G166" s="34">
        <v>-85.231278000000003</v>
      </c>
      <c r="H166" s="34"/>
      <c r="I166" s="105">
        <v>110009974117</v>
      </c>
      <c r="J166" s="33">
        <f>IF(OR($H166="",$H166="Yes"), VLOOKUP($I166, 'Processed Non-zero DMR Data'!$K:$V, 10, FALSE),"")</f>
        <v>3.372435E-3</v>
      </c>
      <c r="K166" s="33" t="str">
        <f>IFERROR(VLOOKUP($H166, 'Processed Non-zero TRI Data'!$I:$M, 5, 0), VLOOKUP($I166, 'Processed Non-zero DMR Data'!$K:$M, 3, FALSE))</f>
        <v>Refuse Systems</v>
      </c>
      <c r="L166" s="33" t="str">
        <f>IFERROR(VLOOKUP($H166, 'Processed Non-zero TRI Data'!I:P, 8, 0), "Direct")</f>
        <v>Direct</v>
      </c>
      <c r="M166" s="33" t="str">
        <f>VLOOKUP($N166, 'COU.OES Summary'!C:D, 2, FALSE)</f>
        <v> </v>
      </c>
      <c r="N166" s="33" t="str">
        <f>IFERROR(VLOOKUP($H166, 'Processed Non-zero TRI Data'!$I:$O, 7, FALSE), VLOOKUP($I166, 'Processed Non-zero DMR Data'!$K:$R, 8, FALSE))</f>
        <v>Waste handling, treatment, and disposal - Remediation or Monitoring</v>
      </c>
      <c r="O166" s="33" t="s">
        <v>710</v>
      </c>
      <c r="P166" s="33">
        <f>VLOOKUP($N166, 'COU.OES Summary'!C:E, 3, FALSE)</f>
        <v>365</v>
      </c>
    </row>
    <row r="167" spans="1:16" ht="29" x14ac:dyDescent="0.35">
      <c r="A167" s="34">
        <v>166</v>
      </c>
      <c r="B167" s="33" t="str">
        <f>IF(AND(ISNUMBER(MATCH(H167, 'Processed Non-zero TRI Data'!$I$2:$I$23, FALSE)),ISNUMBER(MATCH(I167, 'Processed Non-zero DMR Data'!$K:$K, FALSE))),"Both TRI Form "&amp; VLOOKUP(H167, 'Processed Non-zero TRI Data'!$I$2:$K$23, 3, FALSE)&amp; " &amp; DMR", IFERROR("Only TRI Form "&amp; VLOOKUP(H167, 'Processed Non-zero TRI Data'!$I$2:$K$23, 3, FALSE), "Only DMR"))</f>
        <v>Only DMR</v>
      </c>
      <c r="C167" s="34" t="s">
        <v>484</v>
      </c>
      <c r="D167" s="34" t="s">
        <v>485</v>
      </c>
      <c r="E167" s="34" t="s">
        <v>102</v>
      </c>
      <c r="F167" s="34">
        <v>40.638300000000001</v>
      </c>
      <c r="G167" s="34">
        <v>-124.22553000000001</v>
      </c>
      <c r="H167" s="34"/>
      <c r="I167" s="105">
        <v>110010059649</v>
      </c>
      <c r="J167" s="33">
        <f>IF(OR($H167="",$H167="Yes"), VLOOKUP($I167, 'Processed Non-zero DMR Data'!$K:$V, 10, FALSE),"")</f>
        <v>6.8385487499999995E-2</v>
      </c>
      <c r="K167" s="33" t="str">
        <f>IFERROR(VLOOKUP($H167, 'Processed Non-zero TRI Data'!$I:$M, 5, 0), VLOOKUP($I167, 'Processed Non-zero DMR Data'!$K:$M, 3, FALSE))</f>
        <v>Sewerage Systems</v>
      </c>
      <c r="L167" s="33" t="str">
        <f>IFERROR(VLOOKUP($H167, 'Processed Non-zero TRI Data'!I:P, 8, 0), "Direct")</f>
        <v>Direct</v>
      </c>
      <c r="M167" s="33" t="str">
        <f>VLOOKUP($N167, 'COU.OES Summary'!C:D, 2, FALSE)</f>
        <v> </v>
      </c>
      <c r="N167" s="33" t="str">
        <f>IFERROR(VLOOKUP($H167, 'Processed Non-zero TRI Data'!$I:$O, 7, FALSE), VLOOKUP($I167, 'Processed Non-zero DMR Data'!$K:$R, 8, FALSE))</f>
        <v>Waste handling, treatment, and disposal - POTW</v>
      </c>
      <c r="O167" s="33" t="s">
        <v>710</v>
      </c>
      <c r="P167" s="33">
        <f>VLOOKUP($N167, 'COU.OES Summary'!C:E, 3, FALSE)</f>
        <v>365</v>
      </c>
    </row>
    <row r="168" spans="1:16" ht="29" x14ac:dyDescent="0.35">
      <c r="A168" s="34">
        <v>167</v>
      </c>
      <c r="B168" s="33" t="str">
        <f>IF(AND(ISNUMBER(MATCH(H168, 'Processed Non-zero TRI Data'!$I$2:$I$23, FALSE)),ISNUMBER(MATCH(I168, 'Processed Non-zero DMR Data'!$K:$K, FALSE))),"Both TRI Form "&amp; VLOOKUP(H168, 'Processed Non-zero TRI Data'!$I$2:$K$23, 3, FALSE)&amp; " &amp; DMR", IFERROR("Only TRI Form "&amp; VLOOKUP(H168, 'Processed Non-zero TRI Data'!$I$2:$K$23, 3, FALSE), "Only DMR"))</f>
        <v>Only DMR</v>
      </c>
      <c r="C168" s="34" t="s">
        <v>668</v>
      </c>
      <c r="D168" s="34" t="s">
        <v>669</v>
      </c>
      <c r="E168" s="34" t="s">
        <v>670</v>
      </c>
      <c r="F168" s="34">
        <v>37.041677</v>
      </c>
      <c r="G168" s="34">
        <v>-109.500685</v>
      </c>
      <c r="H168" s="34"/>
      <c r="I168" s="105">
        <v>110010134185</v>
      </c>
      <c r="J168" s="33">
        <f>IF(OR($H168="",$H168="Yes"), VLOOKUP($I168, 'Processed Non-zero DMR Data'!$K:$V, 10, FALSE),"")</f>
        <v>1.124145E-3</v>
      </c>
      <c r="K168" s="33" t="str">
        <f>IFERROR(VLOOKUP($H168, 'Processed Non-zero TRI Data'!$I:$M, 5, 0), VLOOKUP($I168, 'Processed Non-zero DMR Data'!$K:$M, 3, FALSE))</f>
        <v>Crude Petroleum and Natural Gas</v>
      </c>
      <c r="L168" s="33" t="str">
        <f>IFERROR(VLOOKUP($H168, 'Processed Non-zero TRI Data'!I:P, 8, 0), "Direct")</f>
        <v>Direct</v>
      </c>
      <c r="M168" s="33" t="str">
        <f>VLOOKUP($N168, 'COU.OES Summary'!C:D, 2, FALSE)</f>
        <v> </v>
      </c>
      <c r="N168" s="33" t="str">
        <f>IFERROR(VLOOKUP($H168, 'Processed Non-zero TRI Data'!$I:$O, 7, FALSE), VLOOKUP($I168, 'Processed Non-zero DMR Data'!$K:$R, 8, FALSE))</f>
        <v>Waste handling, treatment, and disposal - Remediation or Monitoring</v>
      </c>
      <c r="O168" s="33" t="s">
        <v>710</v>
      </c>
      <c r="P168" s="33">
        <f>VLOOKUP($N168, 'COU.OES Summary'!C:E, 3, FALSE)</f>
        <v>365</v>
      </c>
    </row>
    <row r="169" spans="1:16" ht="29" x14ac:dyDescent="0.35">
      <c r="A169" s="34">
        <v>168</v>
      </c>
      <c r="B169" s="33" t="str">
        <f>IF(AND(ISNUMBER(MATCH(H169, 'Processed Non-zero TRI Data'!$I$2:$I$23, FALSE)),ISNUMBER(MATCH(I169, 'Processed Non-zero DMR Data'!$K:$K, FALSE))),"Both TRI Form "&amp; VLOOKUP(H169, 'Processed Non-zero TRI Data'!$I$2:$K$23, 3, FALSE)&amp; " &amp; DMR", IFERROR("Only TRI Form "&amp; VLOOKUP(H169, 'Processed Non-zero TRI Data'!$I$2:$K$23, 3, FALSE), "Only DMR"))</f>
        <v>Only DMR</v>
      </c>
      <c r="C169" s="34" t="s">
        <v>365</v>
      </c>
      <c r="D169" s="34" t="s">
        <v>366</v>
      </c>
      <c r="E169" s="34" t="s">
        <v>156</v>
      </c>
      <c r="F169" s="34">
        <v>22.079093</v>
      </c>
      <c r="G169" s="34">
        <v>-159.35138900000001</v>
      </c>
      <c r="H169" s="34"/>
      <c r="I169" s="105">
        <v>110010731262</v>
      </c>
      <c r="J169" s="33">
        <f>IF(OR($H169="",$H169="Yes"), VLOOKUP($I169, 'Processed Non-zero DMR Data'!$K:$V, 10, FALSE),"")</f>
        <v>0.1692368125</v>
      </c>
      <c r="K169" s="33" t="str">
        <f>IFERROR(VLOOKUP($H169, 'Processed Non-zero TRI Data'!$I:$M, 5, 0), VLOOKUP($I169, 'Processed Non-zero DMR Data'!$K:$M, 3, FALSE))</f>
        <v>Sewerage Systems</v>
      </c>
      <c r="L169" s="33" t="str">
        <f>IFERROR(VLOOKUP($H169, 'Processed Non-zero TRI Data'!I:P, 8, 0), "Direct")</f>
        <v>Direct</v>
      </c>
      <c r="M169" s="33" t="str">
        <f>VLOOKUP($N169, 'COU.OES Summary'!C:D, 2, FALSE)</f>
        <v> </v>
      </c>
      <c r="N169" s="33" t="str">
        <f>IFERROR(VLOOKUP($H169, 'Processed Non-zero TRI Data'!$I:$O, 7, FALSE), VLOOKUP($I169, 'Processed Non-zero DMR Data'!$K:$R, 8, FALSE))</f>
        <v>Waste handling, treatment, and disposal - POTW</v>
      </c>
      <c r="O169" s="33" t="s">
        <v>710</v>
      </c>
      <c r="P169" s="33">
        <f>VLOOKUP($N169, 'COU.OES Summary'!C:E, 3, FALSE)</f>
        <v>365</v>
      </c>
    </row>
    <row r="170" spans="1:16" ht="29" x14ac:dyDescent="0.35">
      <c r="A170" s="34">
        <v>169</v>
      </c>
      <c r="B170" s="33" t="str">
        <f>IF(AND(ISNUMBER(MATCH(H170, 'Processed Non-zero TRI Data'!$I$2:$I$23, FALSE)),ISNUMBER(MATCH(I170, 'Processed Non-zero DMR Data'!$K:$K, FALSE))),"Both TRI Form "&amp; VLOOKUP(H170, 'Processed Non-zero TRI Data'!$I$2:$K$23, 3, FALSE)&amp; " &amp; DMR", IFERROR("Only TRI Form "&amp; VLOOKUP(H170, 'Processed Non-zero TRI Data'!$I$2:$K$23, 3, FALSE), "Only DMR"))</f>
        <v>Only DMR</v>
      </c>
      <c r="C170" s="34" t="s">
        <v>696</v>
      </c>
      <c r="D170" s="34" t="s">
        <v>275</v>
      </c>
      <c r="E170" s="34" t="s">
        <v>276</v>
      </c>
      <c r="F170" s="34">
        <v>38.88223</v>
      </c>
      <c r="G170" s="34">
        <v>-77.112300000000005</v>
      </c>
      <c r="H170" s="34"/>
      <c r="I170" s="105">
        <v>110010844426</v>
      </c>
      <c r="J170" s="33">
        <f>IF(OR($H170="",$H170="Yes"), VLOOKUP($I170, 'Processed Non-zero DMR Data'!$K:$V, 10, FALSE),"")</f>
        <v>1.114304E-4</v>
      </c>
      <c r="K170" s="33" t="str">
        <f>IFERROR(VLOOKUP($H170, 'Processed Non-zero TRI Data'!$I:$M, 5, 0), VLOOKUP($I170, 'Processed Non-zero DMR Data'!$K:$M, 3, FALSE))</f>
        <v>Sanitary Services, Nec</v>
      </c>
      <c r="L170" s="33" t="str">
        <f>IFERROR(VLOOKUP($H170, 'Processed Non-zero TRI Data'!I:P, 8, 0), "Direct")</f>
        <v>Direct</v>
      </c>
      <c r="M170" s="33" t="str">
        <f>VLOOKUP($N170, 'COU.OES Summary'!C:D, 2, FALSE)</f>
        <v> </v>
      </c>
      <c r="N170" s="33" t="str">
        <f>IFERROR(VLOOKUP($H170, 'Processed Non-zero TRI Data'!$I:$O, 7, FALSE), VLOOKUP($I170, 'Processed Non-zero DMR Data'!$K:$R, 8, FALSE))</f>
        <v>Waste handling, treatment, and disposal - non-POTW WWT</v>
      </c>
      <c r="O170" s="33" t="s">
        <v>710</v>
      </c>
      <c r="P170" s="33">
        <f>VLOOKUP($N170, 'COU.OES Summary'!C:E, 3, FALSE)</f>
        <v>365</v>
      </c>
    </row>
    <row r="171" spans="1:16" ht="29" x14ac:dyDescent="0.35">
      <c r="A171" s="34">
        <v>170</v>
      </c>
      <c r="B171" s="33" t="str">
        <f>IF(AND(ISNUMBER(MATCH(H171, 'Processed Non-zero TRI Data'!$I$2:$I$23, FALSE)),ISNUMBER(MATCH(I171, 'Processed Non-zero DMR Data'!$K:$K, FALSE))),"Both TRI Form "&amp; VLOOKUP(H171, 'Processed Non-zero TRI Data'!$I$2:$K$23, 3, FALSE)&amp; " &amp; DMR", IFERROR("Only TRI Form "&amp; VLOOKUP(H171, 'Processed Non-zero TRI Data'!$I$2:$K$23, 3, FALSE), "Only DMR"))</f>
        <v>Only DMR</v>
      </c>
      <c r="C171" s="34" t="s">
        <v>329</v>
      </c>
      <c r="D171" s="34" t="s">
        <v>330</v>
      </c>
      <c r="E171" s="34" t="s">
        <v>331</v>
      </c>
      <c r="F171" s="34">
        <v>44.548050000000003</v>
      </c>
      <c r="G171" s="34">
        <v>-71.990520000000004</v>
      </c>
      <c r="H171" s="34"/>
      <c r="I171" s="105">
        <v>110010910700</v>
      </c>
      <c r="J171" s="33">
        <f>IF(OR($H171="",$H171="Yes"), VLOOKUP($I171, 'Processed Non-zero DMR Data'!$K:$V, 10, FALSE),"")</f>
        <v>0.70401000000000002</v>
      </c>
      <c r="K171" s="33" t="e">
        <f>IFERROR(VLOOKUP($H171, 'Processed Non-zero TRI Data'!$I:$M, 5, 0), VLOOKUP($I171, 'Processed Non-zero DMR Data'!$K:$M, 3, FALSE))</f>
        <v>#N/A</v>
      </c>
      <c r="L171" s="33" t="str">
        <f>IFERROR(VLOOKUP($H171, 'Processed Non-zero TRI Data'!I:P, 8, 0), "Direct")</f>
        <v>Direct</v>
      </c>
      <c r="M171" s="33" t="str">
        <f>VLOOKUP($N171, 'COU.OES Summary'!C:D, 2, FALSE)</f>
        <v> </v>
      </c>
      <c r="N171" s="33" t="str">
        <f>IFERROR(VLOOKUP($H171, 'Processed Non-zero TRI Data'!$I:$O, 7, FALSE), VLOOKUP($I171, 'Processed Non-zero DMR Data'!$K:$R, 8, FALSE))</f>
        <v>Waste handling, treatment, and disposal - POTW</v>
      </c>
      <c r="O171" s="33" t="s">
        <v>710</v>
      </c>
      <c r="P171" s="33">
        <f>VLOOKUP($N171, 'COU.OES Summary'!C:E, 3, FALSE)</f>
        <v>365</v>
      </c>
    </row>
    <row r="172" spans="1:16" ht="29" x14ac:dyDescent="0.35">
      <c r="A172" s="34">
        <v>171</v>
      </c>
      <c r="B172" s="33" t="str">
        <f>IF(AND(ISNUMBER(MATCH(H172, 'Processed Non-zero TRI Data'!$I$2:$I$23, FALSE)),ISNUMBER(MATCH(I172, 'Processed Non-zero DMR Data'!$K:$K, FALSE))),"Both TRI Form "&amp; VLOOKUP(H172, 'Processed Non-zero TRI Data'!$I$2:$K$23, 3, FALSE)&amp; " &amp; DMR", IFERROR("Only TRI Form "&amp; VLOOKUP(H172, 'Processed Non-zero TRI Data'!$I$2:$K$23, 3, FALSE), "Only DMR"))</f>
        <v>Only DMR</v>
      </c>
      <c r="C172" s="34" t="s">
        <v>701</v>
      </c>
      <c r="D172" s="34" t="s">
        <v>702</v>
      </c>
      <c r="E172" s="34" t="s">
        <v>276</v>
      </c>
      <c r="F172" s="34">
        <v>38.92286</v>
      </c>
      <c r="G172" s="34">
        <v>-77.23057</v>
      </c>
      <c r="H172" s="34"/>
      <c r="I172" s="105">
        <v>110010912281</v>
      </c>
      <c r="J172" s="33">
        <f>IF(OR($H172="",$H172="Yes"), VLOOKUP($I172, 'Processed Non-zero DMR Data'!$K:$V, 10, FALSE),"")</f>
        <v>1.0446599999999999E-5</v>
      </c>
      <c r="K172" s="33" t="str">
        <f>IFERROR(VLOOKUP($H172, 'Processed Non-zero TRI Data'!$I:$M, 5, 0), VLOOKUP($I172, 'Processed Non-zero DMR Data'!$K:$M, 3, FALSE))</f>
        <v>Nonresidential Building Operators</v>
      </c>
      <c r="L172" s="33" t="str">
        <f>IFERROR(VLOOKUP($H172, 'Processed Non-zero TRI Data'!I:P, 8, 0), "Direct")</f>
        <v>Direct</v>
      </c>
      <c r="M172" s="33" t="str">
        <f>VLOOKUP($N172, 'COU.OES Summary'!C:D, 2, FALSE)</f>
        <v> </v>
      </c>
      <c r="N172" s="33" t="str">
        <f>IFERROR(VLOOKUP($H172, 'Processed Non-zero TRI Data'!$I:$O, 7, FALSE), VLOOKUP($I172, 'Processed Non-zero DMR Data'!$K:$R, 8, FALSE))</f>
        <v>Waste handling, treatment, and disposal - Remediation or Monitoring</v>
      </c>
      <c r="O172" s="33" t="s">
        <v>710</v>
      </c>
      <c r="P172" s="33">
        <f>VLOOKUP($N172, 'COU.OES Summary'!C:E, 3, FALSE)</f>
        <v>365</v>
      </c>
    </row>
    <row r="173" spans="1:16" ht="29" x14ac:dyDescent="0.35">
      <c r="A173" s="34">
        <v>172</v>
      </c>
      <c r="B173" s="33" t="str">
        <f>IF(AND(ISNUMBER(MATCH(H173, 'Processed Non-zero TRI Data'!$I$2:$I$23, FALSE)),ISNUMBER(MATCH(I173, 'Processed Non-zero DMR Data'!$K:$K, FALSE))),"Both TRI Form "&amp; VLOOKUP(H173, 'Processed Non-zero TRI Data'!$I$2:$K$23, 3, FALSE)&amp; " &amp; DMR", IFERROR("Only TRI Form "&amp; VLOOKUP(H173, 'Processed Non-zero TRI Data'!$I$2:$K$23, 3, FALSE), "Only DMR"))</f>
        <v>Only DMR</v>
      </c>
      <c r="C173" s="34" t="s">
        <v>433</v>
      </c>
      <c r="D173" s="34" t="s">
        <v>434</v>
      </c>
      <c r="E173" s="34" t="s">
        <v>102</v>
      </c>
      <c r="F173" s="34">
        <v>38.333300000000001</v>
      </c>
      <c r="G173" s="34">
        <v>-120.7833</v>
      </c>
      <c r="H173" s="34"/>
      <c r="I173" s="105">
        <v>110011373637</v>
      </c>
      <c r="J173" s="33">
        <f>IF(OR($H173="",$H173="Yes"), VLOOKUP($I173, 'Processed Non-zero DMR Data'!$K:$V, 10, FALSE),"")</f>
        <v>0.15199045999999999</v>
      </c>
      <c r="K173" s="33" t="str">
        <f>IFERROR(VLOOKUP($H173, 'Processed Non-zero TRI Data'!$I:$M, 5, 0), VLOOKUP($I173, 'Processed Non-zero DMR Data'!$K:$M, 3, FALSE))</f>
        <v>Sewerage Systems</v>
      </c>
      <c r="L173" s="33" t="str">
        <f>IFERROR(VLOOKUP($H173, 'Processed Non-zero TRI Data'!I:P, 8, 0), "Direct")</f>
        <v>Direct</v>
      </c>
      <c r="M173" s="33" t="str">
        <f>VLOOKUP($N173, 'COU.OES Summary'!C:D, 2, FALSE)</f>
        <v> </v>
      </c>
      <c r="N173" s="33" t="str">
        <f>IFERROR(VLOOKUP($H173, 'Processed Non-zero TRI Data'!$I:$O, 7, FALSE), VLOOKUP($I173, 'Processed Non-zero DMR Data'!$K:$R, 8, FALSE))</f>
        <v>Waste handling, treatment, and disposal - POTW</v>
      </c>
      <c r="O173" s="33" t="s">
        <v>710</v>
      </c>
      <c r="P173" s="33">
        <f>VLOOKUP($N173, 'COU.OES Summary'!C:E, 3, FALSE)</f>
        <v>365</v>
      </c>
    </row>
    <row r="174" spans="1:16" ht="29" x14ac:dyDescent="0.35">
      <c r="A174" s="34">
        <v>173</v>
      </c>
      <c r="B174" s="33" t="str">
        <f>IF(AND(ISNUMBER(MATCH(H174, 'Processed Non-zero TRI Data'!$I$2:$I$23, FALSE)),ISNUMBER(MATCH(I174, 'Processed Non-zero DMR Data'!$K:$K, FALSE))),"Both TRI Form "&amp; VLOOKUP(H174, 'Processed Non-zero TRI Data'!$I$2:$K$23, 3, FALSE)&amp; " &amp; DMR", IFERROR("Only TRI Form "&amp; VLOOKUP(H174, 'Processed Non-zero TRI Data'!$I$2:$K$23, 3, FALSE), "Only DMR"))</f>
        <v>Only DMR</v>
      </c>
      <c r="C174" s="34" t="s">
        <v>172</v>
      </c>
      <c r="D174" s="34" t="s">
        <v>173</v>
      </c>
      <c r="E174" s="34" t="s">
        <v>126</v>
      </c>
      <c r="F174" s="34">
        <v>43.075907999999998</v>
      </c>
      <c r="G174" s="34">
        <v>-76.089072000000002</v>
      </c>
      <c r="H174" s="34"/>
      <c r="I174" s="105">
        <v>110011779147</v>
      </c>
      <c r="J174" s="33">
        <f>IF(OR($H174="",$H174="Yes"), VLOOKUP($I174, 'Processed Non-zero DMR Data'!$K:$V, 10, FALSE),"")</f>
        <v>3.3056770625</v>
      </c>
      <c r="K174" s="33" t="str">
        <f>IFERROR(VLOOKUP($H174, 'Processed Non-zero TRI Data'!$I:$M, 5, 0), VLOOKUP($I174, 'Processed Non-zero DMR Data'!$K:$M, 3, FALSE))</f>
        <v>Refrigeration and Heating Equipment</v>
      </c>
      <c r="L174" s="33" t="str">
        <f>IFERROR(VLOOKUP($H174, 'Processed Non-zero TRI Data'!I:P, 8, 0), "Direct")</f>
        <v>Direct</v>
      </c>
      <c r="M174" s="33" t="str">
        <f>VLOOKUP($N174, 'COU.OES Summary'!C:D, 2, FALSE)</f>
        <v> </v>
      </c>
      <c r="N174" s="33" t="str">
        <f>IFERROR(VLOOKUP($H174, 'Processed Non-zero TRI Data'!$I:$O, 7, FALSE), VLOOKUP($I174, 'Processed Non-zero DMR Data'!$K:$R, 8, FALSE))</f>
        <v>Waste handling, treatment, and disposal - Remediation or Monitoring</v>
      </c>
      <c r="O174" s="33" t="s">
        <v>710</v>
      </c>
      <c r="P174" s="33">
        <f>VLOOKUP($N174, 'COU.OES Summary'!C:E, 3, FALSE)</f>
        <v>365</v>
      </c>
    </row>
    <row r="175" spans="1:16" ht="29" x14ac:dyDescent="0.35">
      <c r="A175" s="34">
        <v>174</v>
      </c>
      <c r="B175" s="33" t="str">
        <f>IF(AND(ISNUMBER(MATCH(H175, 'Processed Non-zero TRI Data'!$I$2:$I$23, FALSE)),ISNUMBER(MATCH(I175, 'Processed Non-zero DMR Data'!$K:$K, FALSE))),"Both TRI Form "&amp; VLOOKUP(H175, 'Processed Non-zero TRI Data'!$I$2:$K$23, 3, FALSE)&amp; " &amp; DMR", IFERROR("Only TRI Form "&amp; VLOOKUP(H175, 'Processed Non-zero TRI Data'!$I$2:$K$23, 3, FALSE), "Only DMR"))</f>
        <v>Only DMR</v>
      </c>
      <c r="C175" s="34" t="s">
        <v>663</v>
      </c>
      <c r="D175" s="34" t="s">
        <v>664</v>
      </c>
      <c r="E175" s="34" t="s">
        <v>492</v>
      </c>
      <c r="F175" s="34">
        <v>40.49682</v>
      </c>
      <c r="G175" s="34">
        <v>-105.11552</v>
      </c>
      <c r="H175" s="34"/>
      <c r="I175" s="105">
        <v>110012150858</v>
      </c>
      <c r="J175" s="33">
        <f>IF(OR($H175="",$H175="Yes"), VLOOKUP($I175, 'Processed Non-zero DMR Data'!$K:$V, 10, FALSE),"")</f>
        <v>1.7898783272727199E-3</v>
      </c>
      <c r="K175" s="33" t="str">
        <f>IFERROR(VLOOKUP($H175, 'Processed Non-zero TRI Data'!$I:$M, 5, 0), VLOOKUP($I175, 'Processed Non-zero DMR Data'!$K:$M, 3, FALSE))</f>
        <v>Refuse Systems</v>
      </c>
      <c r="L175" s="33" t="str">
        <f>IFERROR(VLOOKUP($H175, 'Processed Non-zero TRI Data'!I:P, 8, 0), "Direct")</f>
        <v>Direct</v>
      </c>
      <c r="M175" s="33" t="str">
        <f>VLOOKUP($N175, 'COU.OES Summary'!C:D, 2, FALSE)</f>
        <v> </v>
      </c>
      <c r="N175" s="33" t="str">
        <f>IFERROR(VLOOKUP($H175, 'Processed Non-zero TRI Data'!$I:$O, 7, FALSE), VLOOKUP($I175, 'Processed Non-zero DMR Data'!$K:$R, 8, FALSE))</f>
        <v>Waste handling, treatment, and disposal - non-POTW WWT</v>
      </c>
      <c r="O175" s="33" t="s">
        <v>710</v>
      </c>
      <c r="P175" s="33">
        <f>VLOOKUP($N175, 'COU.OES Summary'!C:E, 3, FALSE)</f>
        <v>365</v>
      </c>
    </row>
    <row r="176" spans="1:16" ht="29" x14ac:dyDescent="0.35">
      <c r="A176" s="34">
        <v>175</v>
      </c>
      <c r="B176" s="33" t="str">
        <f>IF(AND(ISNUMBER(MATCH(H176, 'Processed Non-zero TRI Data'!$I$2:$I$23, FALSE)),ISNUMBER(MATCH(I176, 'Processed Non-zero DMR Data'!$K:$K, FALSE))),"Both TRI Form "&amp; VLOOKUP(H176, 'Processed Non-zero TRI Data'!$I$2:$K$23, 3, FALSE)&amp; " &amp; DMR", IFERROR("Only TRI Form "&amp; VLOOKUP(H176, 'Processed Non-zero TRI Data'!$I$2:$K$23, 3, FALSE), "Only DMR"))</f>
        <v>Only DMR</v>
      </c>
      <c r="C176" s="34" t="s">
        <v>686</v>
      </c>
      <c r="D176" s="34" t="s">
        <v>304</v>
      </c>
      <c r="E176" s="34" t="s">
        <v>91</v>
      </c>
      <c r="F176" s="34">
        <v>30.563776000000001</v>
      </c>
      <c r="G176" s="34">
        <v>-91.212565999999995</v>
      </c>
      <c r="H176" s="34"/>
      <c r="I176" s="105">
        <v>110012254363</v>
      </c>
      <c r="J176" s="33">
        <f>IF(OR($H176="",$H176="Yes"), VLOOKUP($I176, 'Processed Non-zero DMR Data'!$K:$V, 10, FALSE),"")</f>
        <v>5.8632488750000002E-5</v>
      </c>
      <c r="K176" s="33" t="str">
        <f>IFERROR(VLOOKUP($H176, 'Processed Non-zero TRI Data'!$I:$M, 5, 0), VLOOKUP($I176, 'Processed Non-zero DMR Data'!$K:$M, 3, FALSE))</f>
        <v>Marine Cargo Handling</v>
      </c>
      <c r="L176" s="33" t="str">
        <f>IFERROR(VLOOKUP($H176, 'Processed Non-zero TRI Data'!I:P, 8, 0), "Direct")</f>
        <v>Direct</v>
      </c>
      <c r="M176" s="33" t="str">
        <f>VLOOKUP($N176, 'COU.OES Summary'!C:D, 2, FALSE)</f>
        <v> </v>
      </c>
      <c r="N176" s="33" t="str">
        <f>IFERROR(VLOOKUP($H176, 'Processed Non-zero TRI Data'!$I:$O, 7, FALSE), VLOOKUP($I176, 'Processed Non-zero DMR Data'!$K:$R, 8, FALSE))</f>
        <v>Waste handling, treatment, and disposal - Remediation or Monitoring</v>
      </c>
      <c r="O176" s="33" t="s">
        <v>710</v>
      </c>
      <c r="P176" s="33">
        <f>VLOOKUP($N176, 'COU.OES Summary'!C:E, 3, FALSE)</f>
        <v>365</v>
      </c>
    </row>
    <row r="177" spans="1:16" ht="29" x14ac:dyDescent="0.35">
      <c r="A177" s="34">
        <v>176</v>
      </c>
      <c r="B177" s="33" t="str">
        <f>IF(AND(ISNUMBER(MATCH(H177, 'Processed Non-zero TRI Data'!$I$2:$I$23, FALSE)),ISNUMBER(MATCH(I177, 'Processed Non-zero DMR Data'!$K:$K, FALSE))),"Both TRI Form "&amp; VLOOKUP(H177, 'Processed Non-zero TRI Data'!$I$2:$K$23, 3, FALSE)&amp; " &amp; DMR", IFERROR("Only TRI Form "&amp; VLOOKUP(H177, 'Processed Non-zero TRI Data'!$I$2:$K$23, 3, FALSE), "Only DMR"))</f>
        <v>Only DMR</v>
      </c>
      <c r="C177" s="34" t="s">
        <v>384</v>
      </c>
      <c r="D177" s="34" t="s">
        <v>385</v>
      </c>
      <c r="E177" s="34" t="s">
        <v>288</v>
      </c>
      <c r="F177" s="34">
        <v>32.802</v>
      </c>
      <c r="G177" s="34">
        <v>-109.711</v>
      </c>
      <c r="H177" s="34"/>
      <c r="I177" s="105">
        <v>110012330520</v>
      </c>
      <c r="J177" s="33">
        <f>IF(OR($H177="",$H177="Yes"), VLOOKUP($I177, 'Processed Non-zero DMR Data'!$K:$V, 10, FALSE),"")</f>
        <v>0.283212625</v>
      </c>
      <c r="K177" s="33" t="e">
        <f>IFERROR(VLOOKUP($H177, 'Processed Non-zero TRI Data'!$I:$M, 5, 0), VLOOKUP($I177, 'Processed Non-zero DMR Data'!$K:$M, 3, FALSE))</f>
        <v>#N/A</v>
      </c>
      <c r="L177" s="33" t="str">
        <f>IFERROR(VLOOKUP($H177, 'Processed Non-zero TRI Data'!I:P, 8, 0), "Direct")</f>
        <v>Direct</v>
      </c>
      <c r="M177" s="33" t="str">
        <f>VLOOKUP($N177, 'COU.OES Summary'!C:D, 2, FALSE)</f>
        <v> </v>
      </c>
      <c r="N177" s="33" t="str">
        <f>IFERROR(VLOOKUP($H177, 'Processed Non-zero TRI Data'!$I:$O, 7, FALSE), VLOOKUP($I177, 'Processed Non-zero DMR Data'!$K:$R, 8, FALSE))</f>
        <v>Waste handling, treatment, and disposal - POTW</v>
      </c>
      <c r="O177" s="33" t="s">
        <v>710</v>
      </c>
      <c r="P177" s="33">
        <f>VLOOKUP($N177, 'COU.OES Summary'!C:E, 3, FALSE)</f>
        <v>365</v>
      </c>
    </row>
    <row r="178" spans="1:16" ht="29" x14ac:dyDescent="0.35">
      <c r="A178" s="34">
        <v>177</v>
      </c>
      <c r="B178" s="33" t="str">
        <f>IF(AND(ISNUMBER(MATCH(H178, 'Processed Non-zero TRI Data'!$I$2:$I$23, FALSE)),ISNUMBER(MATCH(I178, 'Processed Non-zero DMR Data'!$K:$K, FALSE))),"Both TRI Form "&amp; VLOOKUP(H178, 'Processed Non-zero TRI Data'!$I$2:$K$23, 3, FALSE)&amp; " &amp; DMR", IFERROR("Only TRI Form "&amp; VLOOKUP(H178, 'Processed Non-zero TRI Data'!$I$2:$K$23, 3, FALSE), "Only DMR"))</f>
        <v>Only DMR</v>
      </c>
      <c r="C178" s="34" t="s">
        <v>621</v>
      </c>
      <c r="D178" s="34" t="s">
        <v>504</v>
      </c>
      <c r="E178" s="34" t="s">
        <v>102</v>
      </c>
      <c r="F178" s="34">
        <v>32.781489999999998</v>
      </c>
      <c r="G178" s="34">
        <v>-115.5035</v>
      </c>
      <c r="H178" s="34"/>
      <c r="I178" s="105">
        <v>110012876557</v>
      </c>
      <c r="J178" s="33">
        <f>IF(OR($H178="",$H178="Yes"), VLOOKUP($I178, 'Processed Non-zero DMR Data'!$K:$V, 10, FALSE),"")</f>
        <v>7.94376875E-3</v>
      </c>
      <c r="K178" s="33" t="str">
        <f>IFERROR(VLOOKUP($H178, 'Processed Non-zero TRI Data'!$I:$M, 5, 0), VLOOKUP($I178, 'Processed Non-zero DMR Data'!$K:$M, 3, FALSE))</f>
        <v>Mobile Home Site Operators</v>
      </c>
      <c r="L178" s="33" t="str">
        <f>IFERROR(VLOOKUP($H178, 'Processed Non-zero TRI Data'!I:P, 8, 0), "Direct")</f>
        <v>Direct</v>
      </c>
      <c r="M178" s="33" t="str">
        <f>VLOOKUP($N178, 'COU.OES Summary'!C:D, 2, FALSE)</f>
        <v> </v>
      </c>
      <c r="N178" s="33" t="str">
        <f>IFERROR(VLOOKUP($H178, 'Processed Non-zero TRI Data'!$I:$O, 7, FALSE), VLOOKUP($I178, 'Processed Non-zero DMR Data'!$K:$R, 8, FALSE))</f>
        <v>Waste handling, treatment, and disposal - non-POTW WWT</v>
      </c>
      <c r="O178" s="33" t="s">
        <v>710</v>
      </c>
      <c r="P178" s="33">
        <f>VLOOKUP($N178, 'COU.OES Summary'!C:E, 3, FALSE)</f>
        <v>365</v>
      </c>
    </row>
    <row r="179" spans="1:16" ht="29" x14ac:dyDescent="0.35">
      <c r="A179" s="34">
        <v>178</v>
      </c>
      <c r="B179" s="33" t="str">
        <f>IF(AND(ISNUMBER(MATCH(H179, 'Processed Non-zero TRI Data'!$I$2:$I$23, FALSE)),ISNUMBER(MATCH(I179, 'Processed Non-zero DMR Data'!$K:$K, FALSE))),"Both TRI Form "&amp; VLOOKUP(H179, 'Processed Non-zero TRI Data'!$I$2:$K$23, 3, FALSE)&amp; " &amp; DMR", IFERROR("Only TRI Form "&amp; VLOOKUP(H179, 'Processed Non-zero TRI Data'!$I$2:$K$23, 3, FALSE), "Only DMR"))</f>
        <v>Only DMR</v>
      </c>
      <c r="C179" s="34" t="s">
        <v>661</v>
      </c>
      <c r="D179" s="34" t="s">
        <v>504</v>
      </c>
      <c r="E179" s="34" t="s">
        <v>102</v>
      </c>
      <c r="F179" s="34">
        <v>32.796432000000003</v>
      </c>
      <c r="G179" s="34">
        <v>-115.667761</v>
      </c>
      <c r="H179" s="34"/>
      <c r="I179" s="105">
        <v>110013128169</v>
      </c>
      <c r="J179" s="33">
        <f>IF(OR($H179="",$H179="Yes"), VLOOKUP($I179, 'Processed Non-zero DMR Data'!$K:$V, 10, FALSE),"")</f>
        <v>2.0722875000000001E-3</v>
      </c>
      <c r="K179" s="33" t="str">
        <f>IFERROR(VLOOKUP($H179, 'Processed Non-zero TRI Data'!$I:$M, 5, 0), VLOOKUP($I179, 'Processed Non-zero DMR Data'!$K:$M, 3, FALSE))</f>
        <v>Sewerage Systems</v>
      </c>
      <c r="L179" s="33" t="str">
        <f>IFERROR(VLOOKUP($H179, 'Processed Non-zero TRI Data'!I:P, 8, 0), "Direct")</f>
        <v>Direct</v>
      </c>
      <c r="M179" s="33" t="str">
        <f>VLOOKUP($N179, 'COU.OES Summary'!C:D, 2, FALSE)</f>
        <v> </v>
      </c>
      <c r="N179" s="33" t="str">
        <f>IFERROR(VLOOKUP($H179, 'Processed Non-zero TRI Data'!$I:$O, 7, FALSE), VLOOKUP($I179, 'Processed Non-zero DMR Data'!$K:$R, 8, FALSE))</f>
        <v>Waste handling, treatment, and disposal - POTW</v>
      </c>
      <c r="O179" s="33" t="s">
        <v>710</v>
      </c>
      <c r="P179" s="33">
        <f>VLOOKUP($N179, 'COU.OES Summary'!C:E, 3, FALSE)</f>
        <v>365</v>
      </c>
    </row>
    <row r="180" spans="1:16" ht="29" x14ac:dyDescent="0.35">
      <c r="A180" s="34">
        <v>179</v>
      </c>
      <c r="B180" s="33" t="str">
        <f>IF(AND(ISNUMBER(MATCH(H180, 'Processed Non-zero TRI Data'!$I$2:$I$23, FALSE)),ISNUMBER(MATCH(I180, 'Processed Non-zero DMR Data'!$K:$K, FALSE))),"Both TRI Form "&amp; VLOOKUP(H180, 'Processed Non-zero TRI Data'!$I$2:$K$23, 3, FALSE)&amp; " &amp; DMR", IFERROR("Only TRI Form "&amp; VLOOKUP(H180, 'Processed Non-zero TRI Data'!$I$2:$K$23, 3, FALSE), "Only DMR"))</f>
        <v>Only DMR</v>
      </c>
      <c r="C180" s="34" t="s">
        <v>561</v>
      </c>
      <c r="D180" s="34" t="s">
        <v>562</v>
      </c>
      <c r="E180" s="34" t="s">
        <v>254</v>
      </c>
      <c r="F180" s="34">
        <v>39.845474000000003</v>
      </c>
      <c r="G180" s="34">
        <v>-75.209485999999998</v>
      </c>
      <c r="H180" s="34"/>
      <c r="I180" s="105">
        <v>110013317614</v>
      </c>
      <c r="J180" s="33">
        <f>IF(OR($H180="",$H180="Yes"), VLOOKUP($I180, 'Processed Non-zero DMR Data'!$K:$V, 10, FALSE),"")</f>
        <v>4.5000000000000003E-5</v>
      </c>
      <c r="K180" s="33" t="str">
        <f>IFERROR(VLOOKUP($H180, 'Processed Non-zero TRI Data'!$I:$M, 5, 0), VLOOKUP($I180, 'Processed Non-zero DMR Data'!$K:$M, 3, FALSE))</f>
        <v>Plastics Materials and Resins</v>
      </c>
      <c r="L180" s="33" t="str">
        <f>IFERROR(VLOOKUP($H180, 'Processed Non-zero TRI Data'!I:P, 8, 0), "Direct")</f>
        <v>Direct</v>
      </c>
      <c r="M180" s="33" t="str">
        <f>VLOOKUP($N180, 'COU.OES Summary'!C:D, 2, FALSE)</f>
        <v> </v>
      </c>
      <c r="N180" s="33" t="str">
        <f>IFERROR(VLOOKUP($H180, 'Processed Non-zero TRI Data'!$I:$O, 7, FALSE), VLOOKUP($I180, 'Processed Non-zero DMR Data'!$K:$R, 8, FALSE))</f>
        <v>Waste handling, treatment, and disposal - Remediation or Monitoring</v>
      </c>
      <c r="O180" s="33" t="s">
        <v>710</v>
      </c>
      <c r="P180" s="33">
        <f>VLOOKUP($N180, 'COU.OES Summary'!C:E, 3, FALSE)</f>
        <v>365</v>
      </c>
    </row>
    <row r="181" spans="1:16" ht="29" x14ac:dyDescent="0.35">
      <c r="A181" s="34">
        <v>180</v>
      </c>
      <c r="B181" s="33" t="str">
        <f>IF(AND(ISNUMBER(MATCH(H181, 'Processed Non-zero TRI Data'!$I$2:$I$23, FALSE)),ISNUMBER(MATCH(I181, 'Processed Non-zero DMR Data'!$K:$K, FALSE))),"Both TRI Form "&amp; VLOOKUP(H181, 'Processed Non-zero TRI Data'!$I$2:$K$23, 3, FALSE)&amp; " &amp; DMR", IFERROR("Only TRI Form "&amp; VLOOKUP(H181, 'Processed Non-zero TRI Data'!$I$2:$K$23, 3, FALSE), "Only DMR"))</f>
        <v>Only DMR</v>
      </c>
      <c r="C181" s="34" t="s">
        <v>678</v>
      </c>
      <c r="D181" s="34" t="s">
        <v>396</v>
      </c>
      <c r="E181" s="34" t="s">
        <v>108</v>
      </c>
      <c r="F181" s="34">
        <v>38.947301000000003</v>
      </c>
      <c r="G181" s="34">
        <v>-84.370062000000004</v>
      </c>
      <c r="H181" s="34"/>
      <c r="I181" s="105">
        <v>110013680837</v>
      </c>
      <c r="J181" s="33">
        <f>IF(OR($H181="",$H181="Yes"), VLOOKUP($I181, 'Processed Non-zero DMR Data'!$K:$V, 10, FALSE),"")</f>
        <v>7.5293112500000002E-4</v>
      </c>
      <c r="K181" s="33" t="str">
        <f>IFERROR(VLOOKUP($H181, 'Processed Non-zero TRI Data'!$I:$M, 5, 0), VLOOKUP($I181, 'Processed Non-zero DMR Data'!$K:$M, 3, FALSE))</f>
        <v>Sewerage Systems</v>
      </c>
      <c r="L181" s="33" t="str">
        <f>IFERROR(VLOOKUP($H181, 'Processed Non-zero TRI Data'!I:P, 8, 0), "Direct")</f>
        <v>Direct</v>
      </c>
      <c r="M181" s="33" t="str">
        <f>VLOOKUP($N181, 'COU.OES Summary'!C:D, 2, FALSE)</f>
        <v> </v>
      </c>
      <c r="N181" s="33" t="str">
        <f>IFERROR(VLOOKUP($H181, 'Processed Non-zero TRI Data'!$I:$O, 7, FALSE), VLOOKUP($I181, 'Processed Non-zero DMR Data'!$K:$R, 8, FALSE))</f>
        <v>Waste handling, treatment, and disposal - POTW</v>
      </c>
      <c r="O181" s="33" t="s">
        <v>710</v>
      </c>
      <c r="P181" s="33">
        <f>VLOOKUP($N181, 'COU.OES Summary'!C:E, 3, FALSE)</f>
        <v>365</v>
      </c>
    </row>
    <row r="182" spans="1:16" ht="29" x14ac:dyDescent="0.35">
      <c r="A182" s="34">
        <v>181</v>
      </c>
      <c r="B182" s="33" t="str">
        <f>IF(AND(ISNUMBER(MATCH(H182, 'Processed Non-zero TRI Data'!$I$2:$I$23, FALSE)),ISNUMBER(MATCH(I182, 'Processed Non-zero DMR Data'!$K:$K, FALSE))),"Both TRI Form "&amp; VLOOKUP(H182, 'Processed Non-zero TRI Data'!$I$2:$K$23, 3, FALSE)&amp; " &amp; DMR", IFERROR("Only TRI Form "&amp; VLOOKUP(H182, 'Processed Non-zero TRI Data'!$I$2:$K$23, 3, FALSE), "Only DMR"))</f>
        <v>Only DMR</v>
      </c>
      <c r="C182" s="34" t="s">
        <v>510</v>
      </c>
      <c r="D182" s="34" t="s">
        <v>511</v>
      </c>
      <c r="E182" s="34" t="s">
        <v>400</v>
      </c>
      <c r="F182" s="34">
        <v>41.711390000000002</v>
      </c>
      <c r="G182" s="34">
        <v>-71.426670000000001</v>
      </c>
      <c r="H182" s="34"/>
      <c r="I182" s="105">
        <v>110013738045</v>
      </c>
      <c r="J182" s="33">
        <f>IF(OR($H182="",$H182="Yes"), VLOOKUP($I182, 'Processed Non-zero DMR Data'!$K:$V, 10, FALSE),"")</f>
        <v>4.7236572900000003E-2</v>
      </c>
      <c r="K182" s="33" t="str">
        <f>IFERROR(VLOOKUP($H182, 'Processed Non-zero TRI Data'!$I:$M, 5, 0), VLOOKUP($I182, 'Processed Non-zero DMR Data'!$K:$M, 3, FALSE))</f>
        <v>Air, Water, and Solid Waste Management</v>
      </c>
      <c r="L182" s="33" t="str">
        <f>IFERROR(VLOOKUP($H182, 'Processed Non-zero TRI Data'!I:P, 8, 0), "Direct")</f>
        <v>Direct</v>
      </c>
      <c r="M182" s="33" t="str">
        <f>VLOOKUP($N182, 'COU.OES Summary'!C:D, 2, FALSE)</f>
        <v> </v>
      </c>
      <c r="N182" s="33" t="str">
        <f>IFERROR(VLOOKUP($H182, 'Processed Non-zero TRI Data'!$I:$O, 7, FALSE), VLOOKUP($I182, 'Processed Non-zero DMR Data'!$K:$R, 8, FALSE))</f>
        <v>Waste handling, treatment, and disposal - Remediation or Monitoring</v>
      </c>
      <c r="O182" s="33" t="s">
        <v>710</v>
      </c>
      <c r="P182" s="33">
        <f>VLOOKUP($N182, 'COU.OES Summary'!C:E, 3, FALSE)</f>
        <v>365</v>
      </c>
    </row>
    <row r="183" spans="1:16" ht="29" x14ac:dyDescent="0.35">
      <c r="A183" s="34">
        <v>182</v>
      </c>
      <c r="B183" s="33" t="str">
        <f>IF(AND(ISNUMBER(MATCH(H183, 'Processed Non-zero TRI Data'!$I$2:$I$23, FALSE)),ISNUMBER(MATCH(I183, 'Processed Non-zero DMR Data'!$K:$K, FALSE))),"Both TRI Form "&amp; VLOOKUP(H183, 'Processed Non-zero TRI Data'!$I$2:$K$23, 3, FALSE)&amp; " &amp; DMR", IFERROR("Only TRI Form "&amp; VLOOKUP(H183, 'Processed Non-zero TRI Data'!$I$2:$K$23, 3, FALSE), "Only DMR"))</f>
        <v>Only DMR</v>
      </c>
      <c r="C183" s="34" t="s">
        <v>250</v>
      </c>
      <c r="D183" s="34" t="s">
        <v>251</v>
      </c>
      <c r="E183" s="34" t="s">
        <v>156</v>
      </c>
      <c r="F183" s="34">
        <v>19.713750000000001</v>
      </c>
      <c r="G183" s="34">
        <v>-155.01927800000001</v>
      </c>
      <c r="H183" s="34"/>
      <c r="I183" s="105">
        <v>110013786698</v>
      </c>
      <c r="J183" s="33">
        <f>IF(OR($H183="",$H183="Yes"), VLOOKUP($I183, 'Processed Non-zero DMR Data'!$K:$V, 10, FALSE),"")</f>
        <v>2.305765225</v>
      </c>
      <c r="K183" s="33" t="str">
        <f>IFERROR(VLOOKUP($H183, 'Processed Non-zero TRI Data'!$I:$M, 5, 0), VLOOKUP($I183, 'Processed Non-zero DMR Data'!$K:$M, 3, FALSE))</f>
        <v>Sewerage Systems</v>
      </c>
      <c r="L183" s="33" t="str">
        <f>IFERROR(VLOOKUP($H183, 'Processed Non-zero TRI Data'!I:P, 8, 0), "Direct")</f>
        <v>Direct</v>
      </c>
      <c r="M183" s="33" t="str">
        <f>VLOOKUP($N183, 'COU.OES Summary'!C:D, 2, FALSE)</f>
        <v> </v>
      </c>
      <c r="N183" s="33" t="str">
        <f>IFERROR(VLOOKUP($H183, 'Processed Non-zero TRI Data'!$I:$O, 7, FALSE), VLOOKUP($I183, 'Processed Non-zero DMR Data'!$K:$R, 8, FALSE))</f>
        <v>Waste handling, treatment, and disposal - POTW</v>
      </c>
      <c r="O183" s="33" t="s">
        <v>710</v>
      </c>
      <c r="P183" s="33">
        <f>VLOOKUP($N183, 'COU.OES Summary'!C:E, 3, FALSE)</f>
        <v>365</v>
      </c>
    </row>
    <row r="184" spans="1:16" ht="29" x14ac:dyDescent="0.35">
      <c r="A184" s="34">
        <v>183</v>
      </c>
      <c r="B184" s="33" t="str">
        <f>IF(AND(ISNUMBER(MATCH(H184, 'Processed Non-zero TRI Data'!$I$2:$I$23, FALSE)),ISNUMBER(MATCH(I184, 'Processed Non-zero DMR Data'!$K:$K, FALSE))),"Both TRI Form "&amp; VLOOKUP(H184, 'Processed Non-zero TRI Data'!$I$2:$K$23, 3, FALSE)&amp; " &amp; DMR", IFERROR("Only TRI Form "&amp; VLOOKUP(H184, 'Processed Non-zero TRI Data'!$I$2:$K$23, 3, FALSE), "Only DMR"))</f>
        <v>Only DMR</v>
      </c>
      <c r="C184" s="34" t="s">
        <v>239</v>
      </c>
      <c r="D184" s="34" t="s">
        <v>240</v>
      </c>
      <c r="E184" s="34" t="s">
        <v>102</v>
      </c>
      <c r="F184" s="34">
        <v>36.963245999999998</v>
      </c>
      <c r="G184" s="34">
        <v>-122.034009</v>
      </c>
      <c r="H184" s="34"/>
      <c r="I184" s="105">
        <v>110013848453</v>
      </c>
      <c r="J184" s="33">
        <f>IF(OR($H184="",$H184="Yes"), VLOOKUP($I184, 'Processed Non-zero DMR Data'!$K:$V, 10, FALSE),"")</f>
        <v>1.503912975</v>
      </c>
      <c r="K184" s="33" t="str">
        <f>IFERROR(VLOOKUP($H184, 'Processed Non-zero TRI Data'!$I:$M, 5, 0), VLOOKUP($I184, 'Processed Non-zero DMR Data'!$K:$M, 3, FALSE))</f>
        <v>Sewerage Systems</v>
      </c>
      <c r="L184" s="33" t="str">
        <f>IFERROR(VLOOKUP($H184, 'Processed Non-zero TRI Data'!I:P, 8, 0), "Direct")</f>
        <v>Direct</v>
      </c>
      <c r="M184" s="33" t="str">
        <f>VLOOKUP($N184, 'COU.OES Summary'!C:D, 2, FALSE)</f>
        <v> </v>
      </c>
      <c r="N184" s="33" t="str">
        <f>IFERROR(VLOOKUP($H184, 'Processed Non-zero TRI Data'!$I:$O, 7, FALSE), VLOOKUP($I184, 'Processed Non-zero DMR Data'!$K:$R, 8, FALSE))</f>
        <v>Waste handling, treatment, and disposal - POTW</v>
      </c>
      <c r="O184" s="33" t="s">
        <v>710</v>
      </c>
      <c r="P184" s="33">
        <f>VLOOKUP($N184, 'COU.OES Summary'!C:E, 3, FALSE)</f>
        <v>365</v>
      </c>
    </row>
    <row r="185" spans="1:16" ht="29" x14ac:dyDescent="0.35">
      <c r="A185" s="34">
        <v>184</v>
      </c>
      <c r="B185" s="33" t="str">
        <f>IF(AND(ISNUMBER(MATCH(H185, 'Processed Non-zero TRI Data'!$I$2:$I$23, FALSE)),ISNUMBER(MATCH(I185, 'Processed Non-zero DMR Data'!$K:$K, FALSE))),"Both TRI Form "&amp; VLOOKUP(H185, 'Processed Non-zero TRI Data'!$I$2:$K$23, 3, FALSE)&amp; " &amp; DMR", IFERROR("Only TRI Form "&amp; VLOOKUP(H185, 'Processed Non-zero TRI Data'!$I$2:$K$23, 3, FALSE), "Only DMR"))</f>
        <v>Only DMR</v>
      </c>
      <c r="C185" s="34" t="s">
        <v>175</v>
      </c>
      <c r="D185" s="34" t="s">
        <v>176</v>
      </c>
      <c r="E185" s="34" t="s">
        <v>108</v>
      </c>
      <c r="F185" s="34">
        <v>38.628056000000001</v>
      </c>
      <c r="G185" s="34">
        <v>-85.109722000000005</v>
      </c>
      <c r="H185" s="34"/>
      <c r="I185" s="105">
        <v>110015632216</v>
      </c>
      <c r="J185" s="33">
        <f>IF(OR($H185="",$H185="Yes"), VLOOKUP($I185, 'Processed Non-zero DMR Data'!$K:$V, 10, FALSE),"")</f>
        <v>5.8714812500000004</v>
      </c>
      <c r="K185" s="33" t="str">
        <f>IFERROR(VLOOKUP($H185, 'Processed Non-zero TRI Data'!$I:$M, 5, 0), VLOOKUP($I185, 'Processed Non-zero DMR Data'!$K:$M, 3, FALSE))</f>
        <v>Sewerage Systems</v>
      </c>
      <c r="L185" s="33" t="str">
        <f>IFERROR(VLOOKUP($H185, 'Processed Non-zero TRI Data'!I:P, 8, 0), "Direct")</f>
        <v>Direct</v>
      </c>
      <c r="M185" s="33" t="str">
        <f>VLOOKUP($N185, 'COU.OES Summary'!C:D, 2, FALSE)</f>
        <v> </v>
      </c>
      <c r="N185" s="33" t="str">
        <f>IFERROR(VLOOKUP($H185, 'Processed Non-zero TRI Data'!$I:$O, 7, FALSE), VLOOKUP($I185, 'Processed Non-zero DMR Data'!$K:$R, 8, FALSE))</f>
        <v>Waste handling, treatment, and disposal - POTW</v>
      </c>
      <c r="O185" s="33" t="s">
        <v>710</v>
      </c>
      <c r="P185" s="33">
        <f>VLOOKUP($N185, 'COU.OES Summary'!C:E, 3, FALSE)</f>
        <v>365</v>
      </c>
    </row>
    <row r="186" spans="1:16" ht="29" x14ac:dyDescent="0.35">
      <c r="A186" s="34">
        <v>185</v>
      </c>
      <c r="B186" s="33" t="str">
        <f>IF(AND(ISNUMBER(MATCH(H186, 'Processed Non-zero TRI Data'!$I$2:$I$23, FALSE)),ISNUMBER(MATCH(I186, 'Processed Non-zero DMR Data'!$K:$K, FALSE))),"Both TRI Form "&amp; VLOOKUP(H186, 'Processed Non-zero TRI Data'!$I$2:$K$23, 3, FALSE)&amp; " &amp; DMR", IFERROR("Only TRI Form "&amp; VLOOKUP(H186, 'Processed Non-zero TRI Data'!$I$2:$K$23, 3, FALSE), "Only DMR"))</f>
        <v>Only DMR</v>
      </c>
      <c r="C186" s="34" t="s">
        <v>469</v>
      </c>
      <c r="D186" s="34" t="s">
        <v>470</v>
      </c>
      <c r="E186" s="34" t="s">
        <v>126</v>
      </c>
      <c r="F186" s="34">
        <v>42.025620000000004</v>
      </c>
      <c r="G186" s="34">
        <v>-74.099329999999995</v>
      </c>
      <c r="H186" s="34"/>
      <c r="I186" s="105">
        <v>110015744024</v>
      </c>
      <c r="J186" s="33">
        <f>IF(OR($H186="",$H186="Yes"), VLOOKUP($I186, 'Processed Non-zero DMR Data'!$K:$V, 10, FALSE),"")</f>
        <v>8.32701419375E-2</v>
      </c>
      <c r="K186" s="33" t="str">
        <f>IFERROR(VLOOKUP($H186, 'Processed Non-zero TRI Data'!$I:$M, 5, 0), VLOOKUP($I186, 'Processed Non-zero DMR Data'!$K:$M, 3, FALSE))</f>
        <v>Air, Water, and Solid Waste Management</v>
      </c>
      <c r="L186" s="33" t="str">
        <f>IFERROR(VLOOKUP($H186, 'Processed Non-zero TRI Data'!I:P, 8, 0), "Direct")</f>
        <v>Direct</v>
      </c>
      <c r="M186" s="33" t="str">
        <f>VLOOKUP($N186, 'COU.OES Summary'!C:D, 2, FALSE)</f>
        <v> </v>
      </c>
      <c r="N186" s="33" t="str">
        <f>IFERROR(VLOOKUP($H186, 'Processed Non-zero TRI Data'!$I:$O, 7, FALSE), VLOOKUP($I186, 'Processed Non-zero DMR Data'!$K:$R, 8, FALSE))</f>
        <v>Waste handling, treatment, and disposal - Remediation or Monitoring</v>
      </c>
      <c r="O186" s="33" t="s">
        <v>710</v>
      </c>
      <c r="P186" s="33">
        <f>VLOOKUP($N186, 'COU.OES Summary'!C:E, 3, FALSE)</f>
        <v>365</v>
      </c>
    </row>
    <row r="187" spans="1:16" ht="29" x14ac:dyDescent="0.35">
      <c r="A187" s="34">
        <v>186</v>
      </c>
      <c r="B187" s="33" t="str">
        <f>IF(AND(ISNUMBER(MATCH(H187, 'Processed Non-zero TRI Data'!$I$2:$I$23, FALSE)),ISNUMBER(MATCH(I187, 'Processed Non-zero DMR Data'!$K:$K, FALSE))),"Both TRI Form "&amp; VLOOKUP(H187, 'Processed Non-zero TRI Data'!$I$2:$K$23, 3, FALSE)&amp; " &amp; DMR", IFERROR("Only TRI Form "&amp; VLOOKUP(H187, 'Processed Non-zero TRI Data'!$I$2:$K$23, 3, FALSE), "Only DMR"))</f>
        <v>Only DMR</v>
      </c>
      <c r="C187" s="34" t="s">
        <v>381</v>
      </c>
      <c r="D187" s="34" t="s">
        <v>337</v>
      </c>
      <c r="E187" s="34" t="s">
        <v>221</v>
      </c>
      <c r="F187" s="34">
        <v>36.116160999999998</v>
      </c>
      <c r="G187" s="34">
        <v>-115.172741</v>
      </c>
      <c r="H187" s="34"/>
      <c r="I187" s="105">
        <v>110015972562</v>
      </c>
      <c r="J187" s="33">
        <f>IF(OR($H187="",$H187="Yes"), VLOOKUP($I187, 'Processed Non-zero DMR Data'!$K:$V, 10, FALSE),"")</f>
        <v>0.31148866621250004</v>
      </c>
      <c r="K187" s="33" t="str">
        <f>IFERROR(VLOOKUP($H187, 'Processed Non-zero TRI Data'!$I:$M, 5, 0), VLOOKUP($I187, 'Processed Non-zero DMR Data'!$K:$M, 3, FALSE))</f>
        <v>Hotels and Motels</v>
      </c>
      <c r="L187" s="33" t="str">
        <f>IFERROR(VLOOKUP($H187, 'Processed Non-zero TRI Data'!I:P, 8, 0), "Direct")</f>
        <v>Direct</v>
      </c>
      <c r="M187" s="33" t="str">
        <f>VLOOKUP($N187, 'COU.OES Summary'!C:D, 2, FALSE)</f>
        <v> </v>
      </c>
      <c r="N187" s="33" t="str">
        <f>IFERROR(VLOOKUP($H187, 'Processed Non-zero TRI Data'!$I:$O, 7, FALSE), VLOOKUP($I187, 'Processed Non-zero DMR Data'!$K:$R, 8, FALSE))</f>
        <v>Waste handling, treatment, and disposal - Remediation or Monitoring</v>
      </c>
      <c r="O187" s="33" t="s">
        <v>710</v>
      </c>
      <c r="P187" s="33">
        <f>VLOOKUP($N187, 'COU.OES Summary'!C:E, 3, FALSE)</f>
        <v>365</v>
      </c>
    </row>
    <row r="188" spans="1:16" ht="29" x14ac:dyDescent="0.35">
      <c r="A188" s="34">
        <v>187</v>
      </c>
      <c r="B188" s="33" t="str">
        <f>IF(AND(ISNUMBER(MATCH(H188, 'Processed Non-zero TRI Data'!$I$2:$I$23, FALSE)),ISNUMBER(MATCH(I188, 'Processed Non-zero DMR Data'!$K:$K, FALSE))),"Both TRI Form "&amp; VLOOKUP(H188, 'Processed Non-zero TRI Data'!$I$2:$K$23, 3, FALSE)&amp; " &amp; DMR", IFERROR("Only TRI Form "&amp; VLOOKUP(H188, 'Processed Non-zero TRI Data'!$I$2:$K$23, 3, FALSE), "Only DMR"))</f>
        <v>Only DMR</v>
      </c>
      <c r="C188" s="34" t="s">
        <v>597</v>
      </c>
      <c r="D188" s="34" t="s">
        <v>598</v>
      </c>
      <c r="E188" s="34" t="s">
        <v>181</v>
      </c>
      <c r="F188" s="34">
        <v>42.456085000000002</v>
      </c>
      <c r="G188" s="34">
        <v>-84.084230000000005</v>
      </c>
      <c r="H188" s="34"/>
      <c r="I188" s="105">
        <v>110016695272</v>
      </c>
      <c r="J188" s="33">
        <f>IF(OR($H188="",$H188="Yes"), VLOOKUP($I188, 'Processed Non-zero DMR Data'!$K:$V, 10, FALSE),"")</f>
        <v>1.312770475E-2</v>
      </c>
      <c r="K188" s="33" t="str">
        <f>IFERROR(VLOOKUP($H188, 'Processed Non-zero TRI Data'!$I:$M, 5, 0), VLOOKUP($I188, 'Processed Non-zero DMR Data'!$K:$M, 3, FALSE))</f>
        <v>Air, Water, and Solid Waste Management</v>
      </c>
      <c r="L188" s="33" t="str">
        <f>IFERROR(VLOOKUP($H188, 'Processed Non-zero TRI Data'!I:P, 8, 0), "Direct")</f>
        <v>Direct</v>
      </c>
      <c r="M188" s="33" t="str">
        <f>VLOOKUP($N188, 'COU.OES Summary'!C:D, 2, FALSE)</f>
        <v> </v>
      </c>
      <c r="N188" s="33" t="str">
        <f>IFERROR(VLOOKUP($H188, 'Processed Non-zero TRI Data'!$I:$O, 7, FALSE), VLOOKUP($I188, 'Processed Non-zero DMR Data'!$K:$R, 8, FALSE))</f>
        <v>Waste handling, treatment, and disposal - Remediation or Monitoring</v>
      </c>
      <c r="O188" s="33" t="s">
        <v>710</v>
      </c>
      <c r="P188" s="33">
        <f>VLOOKUP($N188, 'COU.OES Summary'!C:E, 3, FALSE)</f>
        <v>365</v>
      </c>
    </row>
    <row r="189" spans="1:16" ht="29" x14ac:dyDescent="0.35">
      <c r="A189" s="34">
        <v>188</v>
      </c>
      <c r="B189" s="33" t="str">
        <f>IF(AND(ISNUMBER(MATCH(H189, 'Processed Non-zero TRI Data'!$I$2:$I$23, FALSE)),ISNUMBER(MATCH(I189, 'Processed Non-zero DMR Data'!$K:$K, FALSE))),"Both TRI Form "&amp; VLOOKUP(H189, 'Processed Non-zero TRI Data'!$I$2:$K$23, 3, FALSE)&amp; " &amp; DMR", IFERROR("Only TRI Form "&amp; VLOOKUP(H189, 'Processed Non-zero TRI Data'!$I$2:$K$23, 3, FALSE), "Only DMR"))</f>
        <v>Only DMR</v>
      </c>
      <c r="C189" s="34" t="s">
        <v>305</v>
      </c>
      <c r="D189" s="34" t="s">
        <v>119</v>
      </c>
      <c r="E189" s="34" t="s">
        <v>108</v>
      </c>
      <c r="F189" s="34">
        <v>37.852220000000003</v>
      </c>
      <c r="G189" s="34">
        <v>-84.363079999999997</v>
      </c>
      <c r="H189" s="34"/>
      <c r="I189" s="105">
        <v>110016759444</v>
      </c>
      <c r="J189" s="33">
        <f>IF(OR($H189="",$H189="Yes"), VLOOKUP($I189, 'Processed Non-zero DMR Data'!$K:$V, 10, FALSE),"")</f>
        <v>0.97397512500000005</v>
      </c>
      <c r="K189" s="33" t="str">
        <f>IFERROR(VLOOKUP($H189, 'Processed Non-zero TRI Data'!$I:$M, 5, 0), VLOOKUP($I189, 'Processed Non-zero DMR Data'!$K:$M, 3, FALSE))</f>
        <v>Sewerage Systems</v>
      </c>
      <c r="L189" s="33" t="str">
        <f>IFERROR(VLOOKUP($H189, 'Processed Non-zero TRI Data'!I:P, 8, 0), "Direct")</f>
        <v>Direct</v>
      </c>
      <c r="M189" s="33" t="str">
        <f>VLOOKUP($N189, 'COU.OES Summary'!C:D, 2, FALSE)</f>
        <v> </v>
      </c>
      <c r="N189" s="33" t="str">
        <f>IFERROR(VLOOKUP($H189, 'Processed Non-zero TRI Data'!$I:$O, 7, FALSE), VLOOKUP($I189, 'Processed Non-zero DMR Data'!$K:$R, 8, FALSE))</f>
        <v>Waste handling, treatment, and disposal - POTW</v>
      </c>
      <c r="O189" s="33" t="s">
        <v>710</v>
      </c>
      <c r="P189" s="33">
        <f>VLOOKUP($N189, 'COU.OES Summary'!C:E, 3, FALSE)</f>
        <v>365</v>
      </c>
    </row>
    <row r="190" spans="1:16" ht="29" x14ac:dyDescent="0.35">
      <c r="A190" s="34">
        <v>189</v>
      </c>
      <c r="B190" s="33" t="str">
        <f>IF(AND(ISNUMBER(MATCH(H190, 'Processed Non-zero TRI Data'!$I$2:$I$23, FALSE)),ISNUMBER(MATCH(I190, 'Processed Non-zero DMR Data'!$K:$K, FALSE))),"Both TRI Form "&amp; VLOOKUP(H190, 'Processed Non-zero TRI Data'!$I$2:$K$23, 3, FALSE)&amp; " &amp; DMR", IFERROR("Only TRI Form "&amp; VLOOKUP(H190, 'Processed Non-zero TRI Data'!$I$2:$K$23, 3, FALSE), "Only DMR"))</f>
        <v>Only DMR</v>
      </c>
      <c r="C190" s="34" t="s">
        <v>617</v>
      </c>
      <c r="D190" s="34" t="s">
        <v>618</v>
      </c>
      <c r="E190" s="34" t="s">
        <v>102</v>
      </c>
      <c r="F190" s="34">
        <v>33.762349999999998</v>
      </c>
      <c r="G190" s="34">
        <v>-118.241775</v>
      </c>
      <c r="H190" s="34"/>
      <c r="I190" s="105">
        <v>110017217545</v>
      </c>
      <c r="J190" s="33">
        <f>IF(OR($H190="",$H190="Yes"), VLOOKUP($I190, 'Processed Non-zero DMR Data'!$K:$V, 10, FALSE),"")</f>
        <v>8.5171016250000006E-3</v>
      </c>
      <c r="K190" s="33" t="str">
        <f>IFERROR(VLOOKUP($H190, 'Processed Non-zero TRI Data'!$I:$M, 5, 0), VLOOKUP($I190, 'Processed Non-zero DMR Data'!$K:$M, 3, FALSE))</f>
        <v>Petroleum Bulk Stations and Terminals</v>
      </c>
      <c r="L190" s="33" t="str">
        <f>IFERROR(VLOOKUP($H190, 'Processed Non-zero TRI Data'!I:P, 8, 0), "Direct")</f>
        <v>Direct</v>
      </c>
      <c r="M190" s="33" t="str">
        <f>VLOOKUP($N190, 'COU.OES Summary'!C:D, 2, FALSE)</f>
        <v> </v>
      </c>
      <c r="N190" s="33" t="str">
        <f>IFERROR(VLOOKUP($H190, 'Processed Non-zero TRI Data'!$I:$O, 7, FALSE), VLOOKUP($I190, 'Processed Non-zero DMR Data'!$K:$R, 8, FALSE))</f>
        <v>Waste handling, treatment, and disposal - Remediation or Monitoring</v>
      </c>
      <c r="O190" s="33" t="s">
        <v>710</v>
      </c>
      <c r="P190" s="33">
        <f>VLOOKUP($N190, 'COU.OES Summary'!C:E, 3, FALSE)</f>
        <v>365</v>
      </c>
    </row>
    <row r="191" spans="1:16" ht="29" x14ac:dyDescent="0.35">
      <c r="A191" s="34">
        <v>190</v>
      </c>
      <c r="B191" s="33" t="str">
        <f>IF(AND(ISNUMBER(MATCH(H191, 'Processed Non-zero TRI Data'!$I$2:$I$23, FALSE)),ISNUMBER(MATCH(I191, 'Processed Non-zero DMR Data'!$K:$K, FALSE))),"Both TRI Form "&amp; VLOOKUP(H191, 'Processed Non-zero TRI Data'!$I$2:$K$23, 3, FALSE)&amp; " &amp; DMR", IFERROR("Only TRI Form "&amp; VLOOKUP(H191, 'Processed Non-zero TRI Data'!$I$2:$K$23, 3, FALSE), "Only DMR"))</f>
        <v>Only DMR</v>
      </c>
      <c r="C191" s="34" t="s">
        <v>653</v>
      </c>
      <c r="D191" s="34" t="s">
        <v>337</v>
      </c>
      <c r="E191" s="34" t="s">
        <v>221</v>
      </c>
      <c r="F191" s="34">
        <v>36.16478</v>
      </c>
      <c r="G191" s="34">
        <v>-115.14067</v>
      </c>
      <c r="H191" s="34"/>
      <c r="I191" s="105">
        <v>110017237373</v>
      </c>
      <c r="J191" s="33">
        <f>IF(OR($H191="",$H191="Yes"), VLOOKUP($I191, 'Processed Non-zero DMR Data'!$K:$V, 10, FALSE),"")</f>
        <v>5.1807187500000002E-4</v>
      </c>
      <c r="K191" s="33" t="str">
        <f>IFERROR(VLOOKUP($H191, 'Processed Non-zero TRI Data'!$I:$M, 5, 0), VLOOKUP($I191, 'Processed Non-zero DMR Data'!$K:$M, 3, FALSE))</f>
        <v>Elementary and Secondary Schools</v>
      </c>
      <c r="L191" s="33" t="str">
        <f>IFERROR(VLOOKUP($H191, 'Processed Non-zero TRI Data'!I:P, 8, 0), "Direct")</f>
        <v>Direct</v>
      </c>
      <c r="M191" s="33" t="str">
        <f>VLOOKUP($N191, 'COU.OES Summary'!C:D, 2, FALSE)</f>
        <v> </v>
      </c>
      <c r="N191" s="33" t="str">
        <f>IFERROR(VLOOKUP($H191, 'Processed Non-zero TRI Data'!$I:$O, 7, FALSE), VLOOKUP($I191, 'Processed Non-zero DMR Data'!$K:$R, 8, FALSE))</f>
        <v>Waste handling, treatment, and disposal - Remediation or Monitoring</v>
      </c>
      <c r="O191" s="33" t="s">
        <v>710</v>
      </c>
      <c r="P191" s="33">
        <f>VLOOKUP($N191, 'COU.OES Summary'!C:E, 3, FALSE)</f>
        <v>365</v>
      </c>
    </row>
    <row r="192" spans="1:16" ht="29" x14ac:dyDescent="0.35">
      <c r="A192" s="34">
        <v>191</v>
      </c>
      <c r="B192" s="33" t="str">
        <f>IF(AND(ISNUMBER(MATCH(H192, 'Processed Non-zero TRI Data'!$I$2:$I$23, FALSE)),ISNUMBER(MATCH(I192, 'Processed Non-zero DMR Data'!$K:$K, FALSE))),"Both TRI Form "&amp; VLOOKUP(H192, 'Processed Non-zero TRI Data'!$I$2:$K$23, 3, FALSE)&amp; " &amp; DMR", IFERROR("Only TRI Form "&amp; VLOOKUP(H192, 'Processed Non-zero TRI Data'!$I$2:$K$23, 3, FALSE), "Only DMR"))</f>
        <v>Only DMR</v>
      </c>
      <c r="C192" s="34" t="s">
        <v>200</v>
      </c>
      <c r="D192" s="34" t="s">
        <v>201</v>
      </c>
      <c r="E192" s="34" t="s">
        <v>202</v>
      </c>
      <c r="F192" s="34">
        <v>35.722341999999998</v>
      </c>
      <c r="G192" s="34">
        <v>-91.524983000000006</v>
      </c>
      <c r="H192" s="34"/>
      <c r="I192" s="105">
        <v>110017432937</v>
      </c>
      <c r="J192" s="33">
        <f>IF(OR($H192="",$H192="Yes"), VLOOKUP($I192, 'Processed Non-zero DMR Data'!$K:$V, 10, FALSE),"")</f>
        <v>4.5740499999999997</v>
      </c>
      <c r="K192" s="33" t="str">
        <f>IFERROR(VLOOKUP($H192, 'Processed Non-zero TRI Data'!$I:$M, 5, 0), VLOOKUP($I192, 'Processed Non-zero DMR Data'!$K:$M, 3, FALSE))</f>
        <v>Cyclic Crudes and Intermediates</v>
      </c>
      <c r="L192" s="33" t="str">
        <f>IFERROR(VLOOKUP($H192, 'Processed Non-zero TRI Data'!I:P, 8, 0), "Direct")</f>
        <v>Direct</v>
      </c>
      <c r="M192" s="33" t="str">
        <f>VLOOKUP($N192, 'COU.OES Summary'!C:D, 2, FALSE)</f>
        <v> </v>
      </c>
      <c r="N192" s="33" t="str">
        <f>IFERROR(VLOOKUP($H192, 'Processed Non-zero TRI Data'!$I:$O, 7, FALSE), VLOOKUP($I192, 'Processed Non-zero DMR Data'!$K:$R, 8, FALSE))</f>
        <v>Waste handling, treatment, and disposal - Remediation or Monitoring</v>
      </c>
      <c r="O192" s="33" t="s">
        <v>710</v>
      </c>
      <c r="P192" s="33">
        <f>VLOOKUP($N192, 'COU.OES Summary'!C:E, 3, FALSE)</f>
        <v>365</v>
      </c>
    </row>
    <row r="193" spans="1:16" ht="29" x14ac:dyDescent="0.35">
      <c r="A193" s="34">
        <v>192</v>
      </c>
      <c r="B193" s="33" t="str">
        <f>IF(AND(ISNUMBER(MATCH(H193, 'Processed Non-zero TRI Data'!$I$2:$I$23, FALSE)),ISNUMBER(MATCH(I193, 'Processed Non-zero DMR Data'!$K:$K, FALSE))),"Both TRI Form "&amp; VLOOKUP(H193, 'Processed Non-zero TRI Data'!$I$2:$K$23, 3, FALSE)&amp; " &amp; DMR", IFERROR("Only TRI Form "&amp; VLOOKUP(H193, 'Processed Non-zero TRI Data'!$I$2:$K$23, 3, FALSE), "Only DMR"))</f>
        <v>Only DMR</v>
      </c>
      <c r="C193" s="34" t="s">
        <v>642</v>
      </c>
      <c r="D193" s="34" t="s">
        <v>643</v>
      </c>
      <c r="E193" s="34" t="s">
        <v>340</v>
      </c>
      <c r="F193" s="34">
        <v>40.725278000000003</v>
      </c>
      <c r="G193" s="34">
        <v>-77.056944000000001</v>
      </c>
      <c r="H193" s="34"/>
      <c r="I193" s="105">
        <v>110017796330</v>
      </c>
      <c r="J193" s="33">
        <f>IF(OR($H193="",$H193="Yes"), VLOOKUP($I193, 'Processed Non-zero DMR Data'!$K:$V, 10, FALSE),"")</f>
        <v>4.3566038181818102E-3</v>
      </c>
      <c r="K193" s="33" t="str">
        <f>IFERROR(VLOOKUP($H193, 'Processed Non-zero TRI Data'!$I:$M, 5, 0), VLOOKUP($I193, 'Processed Non-zero DMR Data'!$K:$M, 3, FALSE))</f>
        <v>Residential Lighting Fixtures</v>
      </c>
      <c r="L193" s="33" t="str">
        <f>IFERROR(VLOOKUP($H193, 'Processed Non-zero TRI Data'!I:P, 8, 0), "Direct")</f>
        <v>Direct</v>
      </c>
      <c r="M193" s="33" t="str">
        <f>VLOOKUP($N193, 'COU.OES Summary'!C:D, 2, FALSE)</f>
        <v> </v>
      </c>
      <c r="N193" s="33" t="str">
        <f>IFERROR(VLOOKUP($H193, 'Processed Non-zero TRI Data'!$I:$O, 7, FALSE), VLOOKUP($I193, 'Processed Non-zero DMR Data'!$K:$R, 8, FALSE))</f>
        <v>Waste handling, treatment, and disposal - Remediation or Monitoring</v>
      </c>
      <c r="O193" s="33" t="s">
        <v>710</v>
      </c>
      <c r="P193" s="33">
        <f>VLOOKUP($N193, 'COU.OES Summary'!C:E, 3, FALSE)</f>
        <v>365</v>
      </c>
    </row>
    <row r="194" spans="1:16" ht="29" x14ac:dyDescent="0.35">
      <c r="A194" s="34">
        <v>193</v>
      </c>
      <c r="B194" s="33" t="str">
        <f>IF(AND(ISNUMBER(MATCH(H194, 'Processed Non-zero TRI Data'!$I$2:$I$23, FALSE)),ISNUMBER(MATCH(I194, 'Processed Non-zero DMR Data'!$K:$K, FALSE))),"Both TRI Form "&amp; VLOOKUP(H194, 'Processed Non-zero TRI Data'!$I$2:$K$23, 3, FALSE)&amp; " &amp; DMR", IFERROR("Only TRI Form "&amp; VLOOKUP(H194, 'Processed Non-zero TRI Data'!$I$2:$K$23, 3, FALSE), "Only DMR"))</f>
        <v>Only DMR</v>
      </c>
      <c r="C194" s="34" t="s">
        <v>309</v>
      </c>
      <c r="D194" s="34" t="s">
        <v>158</v>
      </c>
      <c r="E194" s="34" t="s">
        <v>129</v>
      </c>
      <c r="F194" s="34">
        <v>38.959018999999998</v>
      </c>
      <c r="G194" s="34">
        <v>-94.576569000000006</v>
      </c>
      <c r="H194" s="34"/>
      <c r="I194" s="105">
        <v>110017979810</v>
      </c>
      <c r="J194" s="33">
        <f>IF(OR($H194="",$H194="Yes"), VLOOKUP($I194, 'Processed Non-zero DMR Data'!$K:$V, 10, FALSE),"")</f>
        <v>0.10679756000000001</v>
      </c>
      <c r="K194" s="33" t="str">
        <f>IFERROR(VLOOKUP($H194, 'Processed Non-zero TRI Data'!$I:$M, 5, 0), VLOOKUP($I194, 'Processed Non-zero DMR Data'!$K:$M, 3, FALSE))</f>
        <v>Subdividers and Developers, Nec</v>
      </c>
      <c r="L194" s="33" t="str">
        <f>IFERROR(VLOOKUP($H194, 'Processed Non-zero TRI Data'!I:P, 8, 0), "Direct")</f>
        <v>Direct</v>
      </c>
      <c r="M194" s="33" t="str">
        <f>VLOOKUP($N194, 'COU.OES Summary'!C:D, 2, FALSE)</f>
        <v> </v>
      </c>
      <c r="N194" s="33" t="str">
        <f>IFERROR(VLOOKUP($H194, 'Processed Non-zero TRI Data'!$I:$O, 7, FALSE), VLOOKUP($I194, 'Processed Non-zero DMR Data'!$K:$R, 8, FALSE))</f>
        <v>Waste handling, treatment, and disposal - Remediation or Monitoring</v>
      </c>
      <c r="O194" s="33" t="s">
        <v>710</v>
      </c>
      <c r="P194" s="33">
        <f>VLOOKUP($N194, 'COU.OES Summary'!C:E, 3, FALSE)</f>
        <v>365</v>
      </c>
    </row>
    <row r="195" spans="1:16" ht="29" x14ac:dyDescent="0.35">
      <c r="A195" s="34">
        <v>194</v>
      </c>
      <c r="B195" s="33" t="str">
        <f>IF(AND(ISNUMBER(MATCH(H195, 'Processed Non-zero TRI Data'!$I$2:$I$23, FALSE)),ISNUMBER(MATCH(I195, 'Processed Non-zero DMR Data'!$K:$K, FALSE))),"Both TRI Form "&amp; VLOOKUP(H195, 'Processed Non-zero TRI Data'!$I$2:$K$23, 3, FALSE)&amp; " &amp; DMR", IFERROR("Only TRI Form "&amp; VLOOKUP(H195, 'Processed Non-zero TRI Data'!$I$2:$K$23, 3, FALSE), "Only DMR"))</f>
        <v>Only DMR</v>
      </c>
      <c r="C195" s="34" t="s">
        <v>109</v>
      </c>
      <c r="D195" s="34" t="s">
        <v>110</v>
      </c>
      <c r="E195" s="34" t="s">
        <v>111</v>
      </c>
      <c r="F195" s="34">
        <v>41.692782000000001</v>
      </c>
      <c r="G195" s="34">
        <v>-87.951100999999994</v>
      </c>
      <c r="H195" s="34"/>
      <c r="I195" s="105">
        <v>110018199377</v>
      </c>
      <c r="J195" s="33">
        <f>IF(OR($H195="",$H195="Yes"), VLOOKUP($I195, 'Processed Non-zero DMR Data'!$K:$V, 10, FALSE),"")</f>
        <v>0.43551724000000003</v>
      </c>
      <c r="K195" s="33" t="str">
        <f>IFERROR(VLOOKUP($H195, 'Processed Non-zero TRI Data'!$I:$M, 5, 0), VLOOKUP($I195, 'Processed Non-zero DMR Data'!$K:$M, 3, FALSE))</f>
        <v>Special Warehousing and Storage, Nec</v>
      </c>
      <c r="L195" s="33" t="str">
        <f>IFERROR(VLOOKUP($H195, 'Processed Non-zero TRI Data'!I:P, 8, 0), "Direct")</f>
        <v>Direct</v>
      </c>
      <c r="M195" s="33" t="str">
        <f>VLOOKUP($N195, 'COU.OES Summary'!C:D, 2, FALSE)</f>
        <v> </v>
      </c>
      <c r="N195" s="33" t="str">
        <f>IFERROR(VLOOKUP($H195, 'Processed Non-zero TRI Data'!$I:$O, 7, FALSE), VLOOKUP($I195, 'Processed Non-zero DMR Data'!$K:$R, 8, FALSE))</f>
        <v>Waste handling, treatment, and disposal - Remediation or Monitoring</v>
      </c>
      <c r="O195" s="33" t="s">
        <v>710</v>
      </c>
      <c r="P195" s="33">
        <f>VLOOKUP($N195, 'COU.OES Summary'!C:E, 3, FALSE)</f>
        <v>365</v>
      </c>
    </row>
    <row r="196" spans="1:16" ht="29" x14ac:dyDescent="0.35">
      <c r="A196" s="34">
        <v>195</v>
      </c>
      <c r="B196" s="33" t="str">
        <f>IF(AND(ISNUMBER(MATCH(H196, 'Processed Non-zero TRI Data'!$I$2:$I$23, FALSE)),ISNUMBER(MATCH(I196, 'Processed Non-zero DMR Data'!$K:$K, FALSE))),"Both TRI Form "&amp; VLOOKUP(H196, 'Processed Non-zero TRI Data'!$I$2:$K$23, 3, FALSE)&amp; " &amp; DMR", IFERROR("Only TRI Form "&amp; VLOOKUP(H196, 'Processed Non-zero TRI Data'!$I$2:$K$23, 3, FALSE), "Only DMR"))</f>
        <v>Only DMR</v>
      </c>
      <c r="C196" s="34" t="s">
        <v>528</v>
      </c>
      <c r="D196" s="34" t="s">
        <v>143</v>
      </c>
      <c r="E196" s="34" t="s">
        <v>126</v>
      </c>
      <c r="F196" s="34">
        <v>43.087819000000003</v>
      </c>
      <c r="G196" s="34">
        <v>-75.182382000000004</v>
      </c>
      <c r="H196" s="34"/>
      <c r="I196" s="105">
        <v>110019560722</v>
      </c>
      <c r="J196" s="33">
        <f>IF(OR($H196="",$H196="Yes"), VLOOKUP($I196, 'Processed Non-zero DMR Data'!$K:$V, 10, FALSE),"")</f>
        <v>2.5043140237500001E-2</v>
      </c>
      <c r="K196" s="33" t="str">
        <f>IFERROR(VLOOKUP($H196, 'Processed Non-zero TRI Data'!$I:$M, 5, 0), VLOOKUP($I196, 'Processed Non-zero DMR Data'!$K:$M, 3, FALSE))</f>
        <v>Air, Water, and Solid Waste Management</v>
      </c>
      <c r="L196" s="33" t="str">
        <f>IFERROR(VLOOKUP($H196, 'Processed Non-zero TRI Data'!I:P, 8, 0), "Direct")</f>
        <v>Direct</v>
      </c>
      <c r="M196" s="33" t="str">
        <f>VLOOKUP($N196, 'COU.OES Summary'!C:D, 2, FALSE)</f>
        <v> </v>
      </c>
      <c r="N196" s="33" t="str">
        <f>IFERROR(VLOOKUP($H196, 'Processed Non-zero TRI Data'!$I:$O, 7, FALSE), VLOOKUP($I196, 'Processed Non-zero DMR Data'!$K:$R, 8, FALSE))</f>
        <v>Waste handling, treatment, and disposal - Remediation or Monitoring</v>
      </c>
      <c r="O196" s="33" t="s">
        <v>710</v>
      </c>
      <c r="P196" s="33">
        <f>VLOOKUP($N196, 'COU.OES Summary'!C:E, 3, FALSE)</f>
        <v>365</v>
      </c>
    </row>
    <row r="197" spans="1:16" ht="29" x14ac:dyDescent="0.35">
      <c r="A197" s="34">
        <v>196</v>
      </c>
      <c r="B197" s="33" t="str">
        <f>IF(AND(ISNUMBER(MATCH(H197, 'Processed Non-zero TRI Data'!$I$2:$I$23, FALSE)),ISNUMBER(MATCH(I197, 'Processed Non-zero DMR Data'!$K:$K, FALSE))),"Both TRI Form "&amp; VLOOKUP(H197, 'Processed Non-zero TRI Data'!$I$2:$K$23, 3, FALSE)&amp; " &amp; DMR", IFERROR("Only TRI Form "&amp; VLOOKUP(H197, 'Processed Non-zero TRI Data'!$I$2:$K$23, 3, FALSE), "Only DMR"))</f>
        <v>Only DMR</v>
      </c>
      <c r="C197" s="34" t="s">
        <v>563</v>
      </c>
      <c r="D197" s="34" t="s">
        <v>564</v>
      </c>
      <c r="E197" s="34" t="s">
        <v>340</v>
      </c>
      <c r="F197" s="34">
        <v>41.795278000000003</v>
      </c>
      <c r="G197" s="34">
        <v>-77.299722000000003</v>
      </c>
      <c r="H197" s="34"/>
      <c r="I197" s="105">
        <v>110020036209</v>
      </c>
      <c r="J197" s="33">
        <f>IF(OR($H197="",$H197="Yes"), VLOOKUP($I197, 'Processed Non-zero DMR Data'!$K:$V, 10, FALSE),"")</f>
        <v>2.15573034833333E-2</v>
      </c>
      <c r="K197" s="33" t="str">
        <f>IFERROR(VLOOKUP($H197, 'Processed Non-zero TRI Data'!$I:$M, 5, 0), VLOOKUP($I197, 'Processed Non-zero DMR Data'!$K:$M, 3, FALSE))</f>
        <v>Nonclassifiable Establishments</v>
      </c>
      <c r="L197" s="33" t="str">
        <f>IFERROR(VLOOKUP($H197, 'Processed Non-zero TRI Data'!I:P, 8, 0), "Direct")</f>
        <v>Direct</v>
      </c>
      <c r="M197" s="33" t="str">
        <f>VLOOKUP($N197, 'COU.OES Summary'!C:D, 2, FALSE)</f>
        <v> </v>
      </c>
      <c r="N197" s="33" t="str">
        <f>IFERROR(VLOOKUP($H197, 'Processed Non-zero TRI Data'!$I:$O, 7, FALSE), VLOOKUP($I197, 'Processed Non-zero DMR Data'!$K:$R, 8, FALSE))</f>
        <v>Waste handling, treatment, and disposal - Remediation or Monitoring</v>
      </c>
      <c r="O197" s="33" t="s">
        <v>710</v>
      </c>
      <c r="P197" s="33">
        <f>VLOOKUP($N197, 'COU.OES Summary'!C:E, 3, FALSE)</f>
        <v>365</v>
      </c>
    </row>
    <row r="198" spans="1:16" ht="29" x14ac:dyDescent="0.35">
      <c r="A198" s="34">
        <v>197</v>
      </c>
      <c r="B198" s="33" t="str">
        <f>IF(AND(ISNUMBER(MATCH(H198, 'Processed Non-zero TRI Data'!$I$2:$I$23, FALSE)),ISNUMBER(MATCH(I198, 'Processed Non-zero DMR Data'!$K:$K, FALSE))),"Both TRI Form "&amp; VLOOKUP(H198, 'Processed Non-zero TRI Data'!$I$2:$K$23, 3, FALSE)&amp; " &amp; DMR", IFERROR("Only TRI Form "&amp; VLOOKUP(H198, 'Processed Non-zero TRI Data'!$I$2:$K$23, 3, FALSE), "Only DMR"))</f>
        <v>Only DMR</v>
      </c>
      <c r="C198" s="34" t="s">
        <v>654</v>
      </c>
      <c r="D198" s="34" t="s">
        <v>337</v>
      </c>
      <c r="E198" s="34" t="s">
        <v>221</v>
      </c>
      <c r="F198" s="34">
        <v>36.137529999999998</v>
      </c>
      <c r="G198" s="34">
        <v>-115.15479000000001</v>
      </c>
      <c r="H198" s="34"/>
      <c r="I198" s="105">
        <v>110020039402</v>
      </c>
      <c r="J198" s="33">
        <f>IF(OR($H198="",$H198="Yes"), VLOOKUP($I198, 'Processed Non-zero DMR Data'!$K:$V, 10, FALSE),"")</f>
        <v>1.8135196666666601E-8</v>
      </c>
      <c r="K198" s="33" t="str">
        <f>IFERROR(VLOOKUP($H198, 'Processed Non-zero TRI Data'!$I:$M, 5, 0), VLOOKUP($I198, 'Processed Non-zero DMR Data'!$K:$M, 3, FALSE))</f>
        <v>Hotels and Motels</v>
      </c>
      <c r="L198" s="33" t="str">
        <f>IFERROR(VLOOKUP($H198, 'Processed Non-zero TRI Data'!I:P, 8, 0), "Direct")</f>
        <v>Direct</v>
      </c>
      <c r="M198" s="33" t="str">
        <f>VLOOKUP($N198, 'COU.OES Summary'!C:D, 2, FALSE)</f>
        <v> </v>
      </c>
      <c r="N198" s="33" t="str">
        <f>IFERROR(VLOOKUP($H198, 'Processed Non-zero TRI Data'!$I:$O, 7, FALSE), VLOOKUP($I198, 'Processed Non-zero DMR Data'!$K:$R, 8, FALSE))</f>
        <v>Waste handling, treatment, and disposal - Remediation or Monitoring</v>
      </c>
      <c r="O198" s="33" t="s">
        <v>710</v>
      </c>
      <c r="P198" s="33">
        <f>VLOOKUP($N198, 'COU.OES Summary'!C:E, 3, FALSE)</f>
        <v>365</v>
      </c>
    </row>
    <row r="199" spans="1:16" ht="29" x14ac:dyDescent="0.35">
      <c r="A199" s="34">
        <v>198</v>
      </c>
      <c r="B199" s="33" t="str">
        <f>IF(AND(ISNUMBER(MATCH(H199, 'Processed Non-zero TRI Data'!$I$2:$I$23, FALSE)),ISNUMBER(MATCH(I199, 'Processed Non-zero DMR Data'!$K:$K, FALSE))),"Both TRI Form "&amp; VLOOKUP(H199, 'Processed Non-zero TRI Data'!$I$2:$K$23, 3, FALSE)&amp; " &amp; DMR", IFERROR("Only TRI Form "&amp; VLOOKUP(H199, 'Processed Non-zero TRI Data'!$I$2:$K$23, 3, FALSE), "Only DMR"))</f>
        <v>Only DMR</v>
      </c>
      <c r="C199" s="34" t="s">
        <v>392</v>
      </c>
      <c r="D199" s="34" t="s">
        <v>393</v>
      </c>
      <c r="E199" s="34" t="s">
        <v>156</v>
      </c>
      <c r="F199" s="34">
        <v>21.329699999999999</v>
      </c>
      <c r="G199" s="34">
        <v>-158.03559999999999</v>
      </c>
      <c r="H199" s="34"/>
      <c r="I199" s="105">
        <v>110020728943</v>
      </c>
      <c r="J199" s="33">
        <f>IF(OR($H199="",$H199="Yes"), VLOOKUP($I199, 'Processed Non-zero DMR Data'!$K:$V, 10, FALSE),"")</f>
        <v>0.25944340032000002</v>
      </c>
      <c r="K199" s="33" t="str">
        <f>IFERROR(VLOOKUP($H199, 'Processed Non-zero TRI Data'!$I:$M, 5, 0), VLOOKUP($I199, 'Processed Non-zero DMR Data'!$K:$M, 3, FALSE))</f>
        <v>Sewerage Systems</v>
      </c>
      <c r="L199" s="33" t="str">
        <f>IFERROR(VLOOKUP($H199, 'Processed Non-zero TRI Data'!I:P, 8, 0), "Direct")</f>
        <v>Direct</v>
      </c>
      <c r="M199" s="33" t="str">
        <f>VLOOKUP($N199, 'COU.OES Summary'!C:D, 2, FALSE)</f>
        <v> </v>
      </c>
      <c r="N199" s="33" t="str">
        <f>IFERROR(VLOOKUP($H199, 'Processed Non-zero TRI Data'!$I:$O, 7, FALSE), VLOOKUP($I199, 'Processed Non-zero DMR Data'!$K:$R, 8, FALSE))</f>
        <v>Waste handling, treatment, and disposal - POTW</v>
      </c>
      <c r="O199" s="33" t="s">
        <v>710</v>
      </c>
      <c r="P199" s="33">
        <f>VLOOKUP($N199, 'COU.OES Summary'!C:E, 3, FALSE)</f>
        <v>365</v>
      </c>
    </row>
    <row r="200" spans="1:16" ht="29" x14ac:dyDescent="0.35">
      <c r="A200" s="34">
        <v>199</v>
      </c>
      <c r="B200" s="33" t="str">
        <f>IF(AND(ISNUMBER(MATCH(H200, 'Processed Non-zero TRI Data'!$I$2:$I$23, FALSE)),ISNUMBER(MATCH(I200, 'Processed Non-zero DMR Data'!$K:$K, FALSE))),"Both TRI Form "&amp; VLOOKUP(H200, 'Processed Non-zero TRI Data'!$I$2:$K$23, 3, FALSE)&amp; " &amp; DMR", IFERROR("Only TRI Form "&amp; VLOOKUP(H200, 'Processed Non-zero TRI Data'!$I$2:$K$23, 3, FALSE), "Only DMR"))</f>
        <v>Only DMR</v>
      </c>
      <c r="C200" s="34" t="s">
        <v>228</v>
      </c>
      <c r="D200" s="34" t="s">
        <v>229</v>
      </c>
      <c r="E200" s="34" t="s">
        <v>108</v>
      </c>
      <c r="F200" s="34">
        <v>38.395000000000003</v>
      </c>
      <c r="G200" s="34">
        <v>-84.302222</v>
      </c>
      <c r="H200" s="34"/>
      <c r="I200" s="105">
        <v>110020737540</v>
      </c>
      <c r="J200" s="33">
        <f>IF(OR($H200="",$H200="Yes"), VLOOKUP($I200, 'Processed Non-zero DMR Data'!$K:$V, 10, FALSE),"")</f>
        <v>2.9222707562500001</v>
      </c>
      <c r="K200" s="33" t="str">
        <f>IFERROR(VLOOKUP($H200, 'Processed Non-zero TRI Data'!$I:$M, 5, 0), VLOOKUP($I200, 'Processed Non-zero DMR Data'!$K:$M, 3, FALSE))</f>
        <v>Sewerage Systems</v>
      </c>
      <c r="L200" s="33" t="str">
        <f>IFERROR(VLOOKUP($H200, 'Processed Non-zero TRI Data'!I:P, 8, 0), "Direct")</f>
        <v>Direct</v>
      </c>
      <c r="M200" s="33" t="str">
        <f>VLOOKUP($N200, 'COU.OES Summary'!C:D, 2, FALSE)</f>
        <v> </v>
      </c>
      <c r="N200" s="33" t="str">
        <f>IFERROR(VLOOKUP($H200, 'Processed Non-zero TRI Data'!$I:$O, 7, FALSE), VLOOKUP($I200, 'Processed Non-zero DMR Data'!$K:$R, 8, FALSE))</f>
        <v>Waste handling, treatment, and disposal - POTW</v>
      </c>
      <c r="O200" s="33" t="s">
        <v>710</v>
      </c>
      <c r="P200" s="33">
        <f>VLOOKUP($N200, 'COU.OES Summary'!C:E, 3, FALSE)</f>
        <v>365</v>
      </c>
    </row>
    <row r="201" spans="1:16" ht="29" x14ac:dyDescent="0.35">
      <c r="A201" s="34">
        <v>200</v>
      </c>
      <c r="B201" s="33" t="str">
        <f>IF(AND(ISNUMBER(MATCH(H201, 'Processed Non-zero TRI Data'!$I$2:$I$23, FALSE)),ISNUMBER(MATCH(I201, 'Processed Non-zero DMR Data'!$K:$K, FALSE))),"Both TRI Form "&amp; VLOOKUP(H201, 'Processed Non-zero TRI Data'!$I$2:$K$23, 3, FALSE)&amp; " &amp; DMR", IFERROR("Only TRI Form "&amp; VLOOKUP(H201, 'Processed Non-zero TRI Data'!$I$2:$K$23, 3, FALSE), "Only DMR"))</f>
        <v>Only DMR</v>
      </c>
      <c r="C201" s="34" t="s">
        <v>248</v>
      </c>
      <c r="D201" s="34" t="s">
        <v>249</v>
      </c>
      <c r="E201" s="34" t="s">
        <v>108</v>
      </c>
      <c r="F201" s="34">
        <v>37.983888999999998</v>
      </c>
      <c r="G201" s="34">
        <v>-85.722778000000005</v>
      </c>
      <c r="H201" s="34"/>
      <c r="I201" s="105">
        <v>110020941383</v>
      </c>
      <c r="J201" s="33">
        <f>IF(OR($H201="",$H201="Yes"), VLOOKUP($I201, 'Processed Non-zero DMR Data'!$K:$V, 10, FALSE),"")</f>
        <v>2.3485925000000001</v>
      </c>
      <c r="K201" s="33" t="str">
        <f>IFERROR(VLOOKUP($H201, 'Processed Non-zero TRI Data'!$I:$M, 5, 0), VLOOKUP($I201, 'Processed Non-zero DMR Data'!$K:$M, 3, FALSE))</f>
        <v>Sewerage Systems</v>
      </c>
      <c r="L201" s="33" t="str">
        <f>IFERROR(VLOOKUP($H201, 'Processed Non-zero TRI Data'!I:P, 8, 0), "Direct")</f>
        <v>Direct</v>
      </c>
      <c r="M201" s="33" t="str">
        <f>VLOOKUP($N201, 'COU.OES Summary'!C:D, 2, FALSE)</f>
        <v> </v>
      </c>
      <c r="N201" s="33" t="str">
        <f>IFERROR(VLOOKUP($H201, 'Processed Non-zero TRI Data'!$I:$O, 7, FALSE), VLOOKUP($I201, 'Processed Non-zero DMR Data'!$K:$R, 8, FALSE))</f>
        <v>Waste handling, treatment, and disposal - POTW</v>
      </c>
      <c r="O201" s="33" t="s">
        <v>710</v>
      </c>
      <c r="P201" s="33">
        <f>VLOOKUP($N201, 'COU.OES Summary'!C:E, 3, FALSE)</f>
        <v>365</v>
      </c>
    </row>
    <row r="202" spans="1:16" ht="29" x14ac:dyDescent="0.35">
      <c r="A202" s="34">
        <v>201</v>
      </c>
      <c r="B202" s="33" t="str">
        <f>IF(AND(ISNUMBER(MATCH(H202, 'Processed Non-zero TRI Data'!$I$2:$I$23, FALSE)),ISNUMBER(MATCH(I202, 'Processed Non-zero DMR Data'!$K:$K, FALSE))),"Both TRI Form "&amp; VLOOKUP(H202, 'Processed Non-zero TRI Data'!$I$2:$K$23, 3, FALSE)&amp; " &amp; DMR", IFERROR("Only TRI Form "&amp; VLOOKUP(H202, 'Processed Non-zero TRI Data'!$I$2:$K$23, 3, FALSE), "Only DMR"))</f>
        <v>Only DMR</v>
      </c>
      <c r="C202" s="34" t="s">
        <v>214</v>
      </c>
      <c r="D202" s="34" t="s">
        <v>215</v>
      </c>
      <c r="E202" s="34" t="s">
        <v>156</v>
      </c>
      <c r="F202" s="34">
        <v>21.348472000000001</v>
      </c>
      <c r="G202" s="34">
        <v>-157.94414699999999</v>
      </c>
      <c r="H202" s="34"/>
      <c r="I202" s="105">
        <v>110022302417</v>
      </c>
      <c r="J202" s="33">
        <f>IF(OR($H202="",$H202="Yes"), VLOOKUP($I202, 'Processed Non-zero DMR Data'!$K:$V, 10, FALSE),"")</f>
        <v>3.8682699999999999</v>
      </c>
      <c r="K202" s="33" t="str">
        <f>IFERROR(VLOOKUP($H202, 'Processed Non-zero TRI Data'!$I:$M, 5, 0), VLOOKUP($I202, 'Processed Non-zero DMR Data'!$K:$M, 3, FALSE))</f>
        <v>Sewerage Systems</v>
      </c>
      <c r="L202" s="33" t="str">
        <f>IFERROR(VLOOKUP($H202, 'Processed Non-zero TRI Data'!I:P, 8, 0), "Direct")</f>
        <v>Direct</v>
      </c>
      <c r="M202" s="33" t="str">
        <f>VLOOKUP($N202, 'COU.OES Summary'!C:D, 2, FALSE)</f>
        <v> </v>
      </c>
      <c r="N202" s="33" t="str">
        <f>IFERROR(VLOOKUP($H202, 'Processed Non-zero TRI Data'!$I:$O, 7, FALSE), VLOOKUP($I202, 'Processed Non-zero DMR Data'!$K:$R, 8, FALSE))</f>
        <v>Waste handling, treatment, and disposal - POTW</v>
      </c>
      <c r="O202" s="33" t="s">
        <v>710</v>
      </c>
      <c r="P202" s="33">
        <f>VLOOKUP($N202, 'COU.OES Summary'!C:E, 3, FALSE)</f>
        <v>365</v>
      </c>
    </row>
    <row r="203" spans="1:16" ht="29" x14ac:dyDescent="0.35">
      <c r="A203" s="34">
        <v>202</v>
      </c>
      <c r="B203" s="33" t="str">
        <f>IF(AND(ISNUMBER(MATCH(H203, 'Processed Non-zero TRI Data'!$I$2:$I$23, FALSE)),ISNUMBER(MATCH(I203, 'Processed Non-zero DMR Data'!$K:$K, FALSE))),"Both TRI Form "&amp; VLOOKUP(H203, 'Processed Non-zero TRI Data'!$I$2:$K$23, 3, FALSE)&amp; " &amp; DMR", IFERROR("Only TRI Form "&amp; VLOOKUP(H203, 'Processed Non-zero TRI Data'!$I$2:$K$23, 3, FALSE), "Only DMR"))</f>
        <v>Only DMR</v>
      </c>
      <c r="C203" s="34" t="s">
        <v>235</v>
      </c>
      <c r="D203" s="34" t="s">
        <v>236</v>
      </c>
      <c r="E203" s="34" t="s">
        <v>108</v>
      </c>
      <c r="F203" s="34">
        <v>38.417499999999997</v>
      </c>
      <c r="G203" s="34">
        <v>-85.611109999999996</v>
      </c>
      <c r="H203" s="34"/>
      <c r="I203" s="105">
        <v>110022905588</v>
      </c>
      <c r="J203" s="33">
        <f>IF(OR($H203="",$H203="Yes"), VLOOKUP($I203, 'Processed Non-zero DMR Data'!$K:$V, 10, FALSE),"")</f>
        <v>2.1310023125000002</v>
      </c>
      <c r="K203" s="33" t="str">
        <f>IFERROR(VLOOKUP($H203, 'Processed Non-zero TRI Data'!$I:$M, 5, 0), VLOOKUP($I203, 'Processed Non-zero DMR Data'!$K:$M, 3, FALSE))</f>
        <v>Sewerage Systems</v>
      </c>
      <c r="L203" s="33" t="str">
        <f>IFERROR(VLOOKUP($H203, 'Processed Non-zero TRI Data'!I:P, 8, 0), "Direct")</f>
        <v>Direct</v>
      </c>
      <c r="M203" s="33" t="str">
        <f>VLOOKUP($N203, 'COU.OES Summary'!C:D, 2, FALSE)</f>
        <v> </v>
      </c>
      <c r="N203" s="33" t="str">
        <f>IFERROR(VLOOKUP($H203, 'Processed Non-zero TRI Data'!$I:$O, 7, FALSE), VLOOKUP($I203, 'Processed Non-zero DMR Data'!$K:$R, 8, FALSE))</f>
        <v>Waste handling, treatment, and disposal - POTW</v>
      </c>
      <c r="O203" s="33" t="s">
        <v>710</v>
      </c>
      <c r="P203" s="33">
        <f>VLOOKUP($N203, 'COU.OES Summary'!C:E, 3, FALSE)</f>
        <v>365</v>
      </c>
    </row>
    <row r="204" spans="1:16" ht="29" x14ac:dyDescent="0.35">
      <c r="A204" s="34">
        <v>203</v>
      </c>
      <c r="B204" s="33" t="str">
        <f>IF(AND(ISNUMBER(MATCH(H204, 'Processed Non-zero TRI Data'!$I$2:$I$23, FALSE)),ISNUMBER(MATCH(I204, 'Processed Non-zero DMR Data'!$K:$K, FALSE))),"Both TRI Form "&amp; VLOOKUP(H204, 'Processed Non-zero TRI Data'!$I$2:$K$23, 3, FALSE)&amp; " &amp; DMR", IFERROR("Only TRI Form "&amp; VLOOKUP(H204, 'Processed Non-zero TRI Data'!$I$2:$K$23, 3, FALSE), "Only DMR"))</f>
        <v>Only DMR</v>
      </c>
      <c r="C204" s="34" t="s">
        <v>279</v>
      </c>
      <c r="D204" s="34" t="s">
        <v>280</v>
      </c>
      <c r="E204" s="34" t="s">
        <v>108</v>
      </c>
      <c r="F204" s="34">
        <v>38.691943999999999</v>
      </c>
      <c r="G204" s="34">
        <v>-84.325000000000003</v>
      </c>
      <c r="H204" s="34"/>
      <c r="I204" s="105">
        <v>110023140420</v>
      </c>
      <c r="J204" s="33">
        <f>IF(OR($H204="",$H204="Yes"), VLOOKUP($I204, 'Processed Non-zero DMR Data'!$K:$V, 10, FALSE),"")</f>
        <v>1.4194029616874999</v>
      </c>
      <c r="K204" s="33" t="str">
        <f>IFERROR(VLOOKUP($H204, 'Processed Non-zero TRI Data'!$I:$M, 5, 0), VLOOKUP($I204, 'Processed Non-zero DMR Data'!$K:$M, 3, FALSE))</f>
        <v>Sewerage Systems</v>
      </c>
      <c r="L204" s="33" t="str">
        <f>IFERROR(VLOOKUP($H204, 'Processed Non-zero TRI Data'!I:P, 8, 0), "Direct")</f>
        <v>Direct</v>
      </c>
      <c r="M204" s="33" t="str">
        <f>VLOOKUP($N204, 'COU.OES Summary'!C:D, 2, FALSE)</f>
        <v> </v>
      </c>
      <c r="N204" s="33" t="str">
        <f>IFERROR(VLOOKUP($H204, 'Processed Non-zero TRI Data'!$I:$O, 7, FALSE), VLOOKUP($I204, 'Processed Non-zero DMR Data'!$K:$R, 8, FALSE))</f>
        <v>Waste handling, treatment, and disposal - POTW</v>
      </c>
      <c r="O204" s="33" t="s">
        <v>710</v>
      </c>
      <c r="P204" s="33">
        <f>VLOOKUP($N204, 'COU.OES Summary'!C:E, 3, FALSE)</f>
        <v>365</v>
      </c>
    </row>
    <row r="205" spans="1:16" ht="29" x14ac:dyDescent="0.35">
      <c r="A205" s="34">
        <v>204</v>
      </c>
      <c r="B205" s="33" t="str">
        <f>IF(AND(ISNUMBER(MATCH(H205, 'Processed Non-zero TRI Data'!$I$2:$I$23, FALSE)),ISNUMBER(MATCH(I205, 'Processed Non-zero DMR Data'!$K:$K, FALSE))),"Both TRI Form "&amp; VLOOKUP(H205, 'Processed Non-zero TRI Data'!$I$2:$K$23, 3, FALSE)&amp; " &amp; DMR", IFERROR("Only TRI Form "&amp; VLOOKUP(H205, 'Processed Non-zero TRI Data'!$I$2:$K$23, 3, FALSE), "Only DMR"))</f>
        <v>Only DMR</v>
      </c>
      <c r="C205" s="34" t="s">
        <v>286</v>
      </c>
      <c r="D205" s="34" t="s">
        <v>287</v>
      </c>
      <c r="E205" s="34" t="s">
        <v>288</v>
      </c>
      <c r="F205" s="34">
        <v>36.091380999999998</v>
      </c>
      <c r="G205" s="34">
        <v>-111.289585</v>
      </c>
      <c r="H205" s="34"/>
      <c r="I205" s="105">
        <v>110024409344</v>
      </c>
      <c r="J205" s="33">
        <f>IF(OR($H205="",$H205="Yes"), VLOOKUP($I205, 'Processed Non-zero DMR Data'!$K:$V, 10, FALSE),"")</f>
        <v>0.75772671999999996</v>
      </c>
      <c r="K205" s="33" t="str">
        <f>IFERROR(VLOOKUP($H205, 'Processed Non-zero TRI Data'!$I:$M, 5, 0), VLOOKUP($I205, 'Processed Non-zero DMR Data'!$K:$M, 3, FALSE))</f>
        <v>Sewerage Systems</v>
      </c>
      <c r="L205" s="33" t="str">
        <f>IFERROR(VLOOKUP($H205, 'Processed Non-zero TRI Data'!I:P, 8, 0), "Direct")</f>
        <v>Direct</v>
      </c>
      <c r="M205" s="33" t="str">
        <f>VLOOKUP($N205, 'COU.OES Summary'!C:D, 2, FALSE)</f>
        <v> </v>
      </c>
      <c r="N205" s="33" t="str">
        <f>IFERROR(VLOOKUP($H205, 'Processed Non-zero TRI Data'!$I:$O, 7, FALSE), VLOOKUP($I205, 'Processed Non-zero DMR Data'!$K:$R, 8, FALSE))</f>
        <v>Waste handling, treatment, and disposal - POTW</v>
      </c>
      <c r="O205" s="33" t="s">
        <v>710</v>
      </c>
      <c r="P205" s="33">
        <f>VLOOKUP($N205, 'COU.OES Summary'!C:E, 3, FALSE)</f>
        <v>365</v>
      </c>
    </row>
    <row r="206" spans="1:16" ht="29" x14ac:dyDescent="0.35">
      <c r="A206" s="34">
        <v>205</v>
      </c>
      <c r="B206" s="33" t="str">
        <f>IF(AND(ISNUMBER(MATCH(H206, 'Processed Non-zero TRI Data'!$I$2:$I$23, FALSE)),ISNUMBER(MATCH(I206, 'Processed Non-zero DMR Data'!$K:$K, FALSE))),"Both TRI Form "&amp; VLOOKUP(H206, 'Processed Non-zero TRI Data'!$I$2:$K$23, 3, FALSE)&amp; " &amp; DMR", IFERROR("Only TRI Form "&amp; VLOOKUP(H206, 'Processed Non-zero TRI Data'!$I$2:$K$23, 3, FALSE), "Only DMR"))</f>
        <v>Only DMR</v>
      </c>
      <c r="C206" s="34" t="s">
        <v>322</v>
      </c>
      <c r="D206" s="34" t="s">
        <v>323</v>
      </c>
      <c r="E206" s="34" t="s">
        <v>273</v>
      </c>
      <c r="F206" s="34">
        <v>36.786963999999998</v>
      </c>
      <c r="G206" s="34">
        <v>-108.711493</v>
      </c>
      <c r="H206" s="34"/>
      <c r="I206" s="105">
        <v>110024409362</v>
      </c>
      <c r="J206" s="33">
        <f>IF(OR($H206="",$H206="Yes"), VLOOKUP($I206, 'Processed Non-zero DMR Data'!$K:$V, 10, FALSE),"")</f>
        <v>0.80347979999999997</v>
      </c>
      <c r="K206" s="33" t="str">
        <f>IFERROR(VLOOKUP($H206, 'Processed Non-zero TRI Data'!$I:$M, 5, 0), VLOOKUP($I206, 'Processed Non-zero DMR Data'!$K:$M, 3, FALSE))</f>
        <v>Sewerage Systems</v>
      </c>
      <c r="L206" s="33" t="str">
        <f>IFERROR(VLOOKUP($H206, 'Processed Non-zero TRI Data'!I:P, 8, 0), "Direct")</f>
        <v>Direct</v>
      </c>
      <c r="M206" s="33" t="str">
        <f>VLOOKUP($N206, 'COU.OES Summary'!C:D, 2, FALSE)</f>
        <v> </v>
      </c>
      <c r="N206" s="33" t="str">
        <f>IFERROR(VLOOKUP($H206, 'Processed Non-zero TRI Data'!$I:$O, 7, FALSE), VLOOKUP($I206, 'Processed Non-zero DMR Data'!$K:$R, 8, FALSE))</f>
        <v>Waste handling, treatment, and disposal - POTW</v>
      </c>
      <c r="O206" s="33" t="s">
        <v>710</v>
      </c>
      <c r="P206" s="33">
        <f>VLOOKUP($N206, 'COU.OES Summary'!C:E, 3, FALSE)</f>
        <v>365</v>
      </c>
    </row>
    <row r="207" spans="1:16" ht="29" x14ac:dyDescent="0.35">
      <c r="A207" s="34">
        <v>206</v>
      </c>
      <c r="B207" s="33" t="str">
        <f>IF(AND(ISNUMBER(MATCH(H207, 'Processed Non-zero TRI Data'!$I$2:$I$23, FALSE)),ISNUMBER(MATCH(I207, 'Processed Non-zero DMR Data'!$K:$K, FALSE))),"Both TRI Form "&amp; VLOOKUP(H207, 'Processed Non-zero TRI Data'!$I$2:$K$23, 3, FALSE)&amp; " &amp; DMR", IFERROR("Only TRI Form "&amp; VLOOKUP(H207, 'Processed Non-zero TRI Data'!$I$2:$K$23, 3, FALSE), "Only DMR"))</f>
        <v>Only DMR</v>
      </c>
      <c r="C207" s="34" t="s">
        <v>295</v>
      </c>
      <c r="D207" s="34" t="s">
        <v>296</v>
      </c>
      <c r="E207" s="34" t="s">
        <v>288</v>
      </c>
      <c r="F207" s="34">
        <v>35.639485000000001</v>
      </c>
      <c r="G207" s="34">
        <v>-109.080939</v>
      </c>
      <c r="H207" s="34"/>
      <c r="I207" s="105">
        <v>110024409433</v>
      </c>
      <c r="J207" s="33">
        <f>IF(OR($H207="",$H207="Yes"), VLOOKUP($I207, 'Processed Non-zero DMR Data'!$K:$V, 10, FALSE),"")</f>
        <v>0.899316</v>
      </c>
      <c r="K207" s="33" t="str">
        <f>IFERROR(VLOOKUP($H207, 'Processed Non-zero TRI Data'!$I:$M, 5, 0), VLOOKUP($I207, 'Processed Non-zero DMR Data'!$K:$M, 3, FALSE))</f>
        <v>Sewerage Systems</v>
      </c>
      <c r="L207" s="33" t="str">
        <f>IFERROR(VLOOKUP($H207, 'Processed Non-zero TRI Data'!I:P, 8, 0), "Direct")</f>
        <v>Direct</v>
      </c>
      <c r="M207" s="33" t="str">
        <f>VLOOKUP($N207, 'COU.OES Summary'!C:D, 2, FALSE)</f>
        <v> </v>
      </c>
      <c r="N207" s="33" t="str">
        <f>IFERROR(VLOOKUP($H207, 'Processed Non-zero TRI Data'!$I:$O, 7, FALSE), VLOOKUP($I207, 'Processed Non-zero DMR Data'!$K:$R, 8, FALSE))</f>
        <v>Waste handling, treatment, and disposal - POTW</v>
      </c>
      <c r="O207" s="33" t="s">
        <v>710</v>
      </c>
      <c r="P207" s="33">
        <f>VLOOKUP($N207, 'COU.OES Summary'!C:E, 3, FALSE)</f>
        <v>365</v>
      </c>
    </row>
    <row r="208" spans="1:16" ht="29" x14ac:dyDescent="0.35">
      <c r="A208" s="34">
        <v>207</v>
      </c>
      <c r="B208" s="33" t="str">
        <f>IF(AND(ISNUMBER(MATCH(H208, 'Processed Non-zero TRI Data'!$I$2:$I$23, FALSE)),ISNUMBER(MATCH(I208, 'Processed Non-zero DMR Data'!$K:$K, FALSE))),"Both TRI Form "&amp; VLOOKUP(H208, 'Processed Non-zero TRI Data'!$I$2:$K$23, 3, FALSE)&amp; " &amp; DMR", IFERROR("Only TRI Form "&amp; VLOOKUP(H208, 'Processed Non-zero TRI Data'!$I$2:$K$23, 3, FALSE), "Only DMR"))</f>
        <v>Only DMR</v>
      </c>
      <c r="C208" s="34" t="s">
        <v>372</v>
      </c>
      <c r="D208" s="34" t="s">
        <v>373</v>
      </c>
      <c r="E208" s="34" t="s">
        <v>102</v>
      </c>
      <c r="F208" s="34">
        <v>37.908380000000001</v>
      </c>
      <c r="G208" s="34">
        <v>-120.61605</v>
      </c>
      <c r="H208" s="34"/>
      <c r="I208" s="105">
        <v>110027858432</v>
      </c>
      <c r="J208" s="33">
        <f>IF(OR($H208="",$H208="Yes"), VLOOKUP($I208, 'Processed Non-zero DMR Data'!$K:$V, 10, FALSE),"")</f>
        <v>0.33640133750000001</v>
      </c>
      <c r="K208" s="33" t="str">
        <f>IFERROR(VLOOKUP($H208, 'Processed Non-zero TRI Data'!$I:$M, 5, 0), VLOOKUP($I208, 'Processed Non-zero DMR Data'!$K:$M, 3, FALSE))</f>
        <v>Sewerage Systems</v>
      </c>
      <c r="L208" s="33" t="str">
        <f>IFERROR(VLOOKUP($H208, 'Processed Non-zero TRI Data'!I:P, 8, 0), "Direct")</f>
        <v>Direct</v>
      </c>
      <c r="M208" s="33" t="str">
        <f>VLOOKUP($N208, 'COU.OES Summary'!C:D, 2, FALSE)</f>
        <v> </v>
      </c>
      <c r="N208" s="33" t="str">
        <f>IFERROR(VLOOKUP($H208, 'Processed Non-zero TRI Data'!$I:$O, 7, FALSE), VLOOKUP($I208, 'Processed Non-zero DMR Data'!$K:$R, 8, FALSE))</f>
        <v>Waste handling, treatment, and disposal - POTW</v>
      </c>
      <c r="O208" s="33" t="s">
        <v>710</v>
      </c>
      <c r="P208" s="33">
        <f>VLOOKUP($N208, 'COU.OES Summary'!C:E, 3, FALSE)</f>
        <v>365</v>
      </c>
    </row>
    <row r="209" spans="1:16" ht="29" x14ac:dyDescent="0.35">
      <c r="A209" s="34">
        <v>208</v>
      </c>
      <c r="B209" s="33" t="str">
        <f>IF(AND(ISNUMBER(MATCH(H209, 'Processed Non-zero TRI Data'!$I$2:$I$23, FALSE)),ISNUMBER(MATCH(I209, 'Processed Non-zero DMR Data'!$K:$K, FALSE))),"Both TRI Form "&amp; VLOOKUP(H209, 'Processed Non-zero TRI Data'!$I$2:$K$23, 3, FALSE)&amp; " &amp; DMR", IFERROR("Only TRI Form "&amp; VLOOKUP(H209, 'Processed Non-zero TRI Data'!$I$2:$K$23, 3, FALSE), "Only DMR"))</f>
        <v>Only DMR</v>
      </c>
      <c r="C209" s="34" t="s">
        <v>569</v>
      </c>
      <c r="D209" s="34" t="s">
        <v>570</v>
      </c>
      <c r="E209" s="34" t="s">
        <v>102</v>
      </c>
      <c r="F209" s="34">
        <v>33.791108999999999</v>
      </c>
      <c r="G209" s="34">
        <v>-118.244609</v>
      </c>
      <c r="H209" s="34"/>
      <c r="I209" s="105">
        <v>110028243791</v>
      </c>
      <c r="J209" s="33">
        <f>IF(OR($H209="",$H209="Yes"), VLOOKUP($I209, 'Processed Non-zero DMR Data'!$K:$V, 10, FALSE),"")</f>
        <v>2.02980560625E-2</v>
      </c>
      <c r="K209" s="33" t="str">
        <f>IFERROR(VLOOKUP($H209, 'Processed Non-zero TRI Data'!$I:$M, 5, 0), VLOOKUP($I209, 'Processed Non-zero DMR Data'!$K:$M, 3, FALSE))</f>
        <v>Petroleum Bulk Stations and Terminals</v>
      </c>
      <c r="L209" s="33" t="str">
        <f>IFERROR(VLOOKUP($H209, 'Processed Non-zero TRI Data'!I:P, 8, 0), "Direct")</f>
        <v>Direct</v>
      </c>
      <c r="M209" s="33" t="str">
        <f>VLOOKUP($N209, 'COU.OES Summary'!C:D, 2, FALSE)</f>
        <v> </v>
      </c>
      <c r="N209" s="33" t="str">
        <f>IFERROR(VLOOKUP($H209, 'Processed Non-zero TRI Data'!$I:$O, 7, FALSE), VLOOKUP($I209, 'Processed Non-zero DMR Data'!$K:$R, 8, FALSE))</f>
        <v>Waste handling, treatment, and disposal - Remediation or Monitoring</v>
      </c>
      <c r="O209" s="33" t="s">
        <v>710</v>
      </c>
      <c r="P209" s="33">
        <f>VLOOKUP($N209, 'COU.OES Summary'!C:E, 3, FALSE)</f>
        <v>365</v>
      </c>
    </row>
    <row r="210" spans="1:16" ht="29" x14ac:dyDescent="0.35">
      <c r="A210" s="34">
        <v>209</v>
      </c>
      <c r="B210" s="33" t="str">
        <f>IF(AND(ISNUMBER(MATCH(H210, 'Processed Non-zero TRI Data'!$I$2:$I$23, FALSE)),ISNUMBER(MATCH(I210, 'Processed Non-zero DMR Data'!$K:$K, FALSE))),"Both TRI Form "&amp; VLOOKUP(H210, 'Processed Non-zero TRI Data'!$I$2:$K$23, 3, FALSE)&amp; " &amp; DMR", IFERROR("Only TRI Form "&amp; VLOOKUP(H210, 'Processed Non-zero TRI Data'!$I$2:$K$23, 3, FALSE), "Only DMR"))</f>
        <v>Only DMR</v>
      </c>
      <c r="C210" s="34" t="s">
        <v>535</v>
      </c>
      <c r="D210" s="34" t="s">
        <v>536</v>
      </c>
      <c r="E210" s="34" t="s">
        <v>102</v>
      </c>
      <c r="F210" s="34">
        <v>38.060360000000003</v>
      </c>
      <c r="G210" s="34">
        <v>-120.53995999999999</v>
      </c>
      <c r="H210" s="34"/>
      <c r="I210" s="105">
        <v>110030437524</v>
      </c>
      <c r="J210" s="33">
        <f>IF(OR($H210="",$H210="Yes"), VLOOKUP($I210, 'Processed Non-zero DMR Data'!$K:$V, 10, FALSE),"")</f>
        <v>3.3018447499999999E-2</v>
      </c>
      <c r="K210" s="33" t="str">
        <f>IFERROR(VLOOKUP($H210, 'Processed Non-zero TRI Data'!$I:$M, 5, 0), VLOOKUP($I210, 'Processed Non-zero DMR Data'!$K:$M, 3, FALSE))</f>
        <v>Sewerage Systems</v>
      </c>
      <c r="L210" s="33" t="str">
        <f>IFERROR(VLOOKUP($H210, 'Processed Non-zero TRI Data'!I:P, 8, 0), "Direct")</f>
        <v>Direct</v>
      </c>
      <c r="M210" s="33" t="str">
        <f>VLOOKUP($N210, 'COU.OES Summary'!C:D, 2, FALSE)</f>
        <v> </v>
      </c>
      <c r="N210" s="33" t="str">
        <f>IFERROR(VLOOKUP($H210, 'Processed Non-zero TRI Data'!$I:$O, 7, FALSE), VLOOKUP($I210, 'Processed Non-zero DMR Data'!$K:$R, 8, FALSE))</f>
        <v>Waste handling, treatment, and disposal - non-POTW WWT</v>
      </c>
      <c r="O210" s="33" t="s">
        <v>710</v>
      </c>
      <c r="P210" s="33">
        <f>VLOOKUP($N210, 'COU.OES Summary'!C:E, 3, FALSE)</f>
        <v>365</v>
      </c>
    </row>
    <row r="211" spans="1:16" ht="29" x14ac:dyDescent="0.35">
      <c r="A211" s="34">
        <v>210</v>
      </c>
      <c r="B211" s="33" t="str">
        <f>IF(AND(ISNUMBER(MATCH(H211, 'Processed Non-zero TRI Data'!$I$2:$I$23, FALSE)),ISNUMBER(MATCH(I211, 'Processed Non-zero DMR Data'!$K:$K, FALSE))),"Both TRI Form "&amp; VLOOKUP(H211, 'Processed Non-zero TRI Data'!$I$2:$K$23, 3, FALSE)&amp; " &amp; DMR", IFERROR("Only TRI Form "&amp; VLOOKUP(H211, 'Processed Non-zero TRI Data'!$I$2:$K$23, 3, FALSE), "Only DMR"))</f>
        <v>Only DMR</v>
      </c>
      <c r="C211" s="34" t="s">
        <v>473</v>
      </c>
      <c r="D211" s="34" t="s">
        <v>474</v>
      </c>
      <c r="E211" s="34" t="s">
        <v>108</v>
      </c>
      <c r="F211" s="34">
        <v>38.127222000000003</v>
      </c>
      <c r="G211" s="34">
        <v>-83.769443999999993</v>
      </c>
      <c r="H211" s="34"/>
      <c r="I211" s="105">
        <v>110030443544</v>
      </c>
      <c r="J211" s="33">
        <f>IF(OR($H211="",$H211="Yes"), VLOOKUP($I211, 'Processed Non-zero DMR Data'!$K:$V, 10, FALSE),"")</f>
        <v>8.6345312499999993E-2</v>
      </c>
      <c r="K211" s="33" t="str">
        <f>IFERROR(VLOOKUP($H211, 'Processed Non-zero TRI Data'!$I:$M, 5, 0), VLOOKUP($I211, 'Processed Non-zero DMR Data'!$K:$M, 3, FALSE))</f>
        <v>Sewerage Systems</v>
      </c>
      <c r="L211" s="33" t="str">
        <f>IFERROR(VLOOKUP($H211, 'Processed Non-zero TRI Data'!I:P, 8, 0), "Direct")</f>
        <v>Direct</v>
      </c>
      <c r="M211" s="33" t="str">
        <f>VLOOKUP($N211, 'COU.OES Summary'!C:D, 2, FALSE)</f>
        <v> </v>
      </c>
      <c r="N211" s="33" t="str">
        <f>IFERROR(VLOOKUP($H211, 'Processed Non-zero TRI Data'!$I:$O, 7, FALSE), VLOOKUP($I211, 'Processed Non-zero DMR Data'!$K:$R, 8, FALSE))</f>
        <v>Waste handling, treatment, and disposal - POTW</v>
      </c>
      <c r="O211" s="33" t="s">
        <v>710</v>
      </c>
      <c r="P211" s="33">
        <f>VLOOKUP($N211, 'COU.OES Summary'!C:E, 3, FALSE)</f>
        <v>365</v>
      </c>
    </row>
    <row r="212" spans="1:16" ht="29" x14ac:dyDescent="0.35">
      <c r="A212" s="34">
        <v>211</v>
      </c>
      <c r="B212" s="33" t="str">
        <f>IF(AND(ISNUMBER(MATCH(H212, 'Processed Non-zero TRI Data'!$I$2:$I$23, FALSE)),ISNUMBER(MATCH(I212, 'Processed Non-zero DMR Data'!$K:$K, FALSE))),"Both TRI Form "&amp; VLOOKUP(H212, 'Processed Non-zero TRI Data'!$I$2:$K$23, 3, FALSE)&amp; " &amp; DMR", IFERROR("Only TRI Form "&amp; VLOOKUP(H212, 'Processed Non-zero TRI Data'!$I$2:$K$23, 3, FALSE), "Only DMR"))</f>
        <v>Only DMR</v>
      </c>
      <c r="C212" s="34" t="s">
        <v>518</v>
      </c>
      <c r="D212" s="34" t="s">
        <v>519</v>
      </c>
      <c r="E212" s="34" t="s">
        <v>102</v>
      </c>
      <c r="F212" s="34">
        <v>33.017359999999996</v>
      </c>
      <c r="G212" s="34">
        <v>-115.50923</v>
      </c>
      <c r="H212" s="34"/>
      <c r="I212" s="105">
        <v>110030476465</v>
      </c>
      <c r="J212" s="33">
        <f>IF(OR($H212="",$H212="Yes"), VLOOKUP($I212, 'Processed Non-zero DMR Data'!$K:$V, 10, FALSE),"")</f>
        <v>4.1860207500000003E-2</v>
      </c>
      <c r="K212" s="33" t="str">
        <f>IFERROR(VLOOKUP($H212, 'Processed Non-zero TRI Data'!$I:$M, 5, 0), VLOOKUP($I212, 'Processed Non-zero DMR Data'!$K:$M, 3, FALSE))</f>
        <v>Sewerage Systems</v>
      </c>
      <c r="L212" s="33" t="str">
        <f>IFERROR(VLOOKUP($H212, 'Processed Non-zero TRI Data'!I:P, 8, 0), "Direct")</f>
        <v>Direct</v>
      </c>
      <c r="M212" s="33" t="str">
        <f>VLOOKUP($N212, 'COU.OES Summary'!C:D, 2, FALSE)</f>
        <v> </v>
      </c>
      <c r="N212" s="33" t="str">
        <f>IFERROR(VLOOKUP($H212, 'Processed Non-zero TRI Data'!$I:$O, 7, FALSE), VLOOKUP($I212, 'Processed Non-zero DMR Data'!$K:$R, 8, FALSE))</f>
        <v>Waste handling, treatment, and disposal - POTW</v>
      </c>
      <c r="O212" s="33" t="s">
        <v>710</v>
      </c>
      <c r="P212" s="33">
        <f>VLOOKUP($N212, 'COU.OES Summary'!C:E, 3, FALSE)</f>
        <v>365</v>
      </c>
    </row>
    <row r="213" spans="1:16" ht="29" x14ac:dyDescent="0.35">
      <c r="A213" s="34">
        <v>212</v>
      </c>
      <c r="B213" s="33" t="str">
        <f>IF(AND(ISNUMBER(MATCH(H213, 'Processed Non-zero TRI Data'!$I$2:$I$23, FALSE)),ISNUMBER(MATCH(I213, 'Processed Non-zero DMR Data'!$K:$K, FALSE))),"Both TRI Form "&amp; VLOOKUP(H213, 'Processed Non-zero TRI Data'!$I$2:$K$23, 3, FALSE)&amp; " &amp; DMR", IFERROR("Only TRI Form "&amp; VLOOKUP(H213, 'Processed Non-zero TRI Data'!$I$2:$K$23, 3, FALSE), "Only DMR"))</f>
        <v>Only DMR</v>
      </c>
      <c r="C213" s="34" t="s">
        <v>118</v>
      </c>
      <c r="D213" s="34" t="s">
        <v>119</v>
      </c>
      <c r="E213" s="34" t="s">
        <v>108</v>
      </c>
      <c r="F213" s="34">
        <v>37.801943999999999</v>
      </c>
      <c r="G213" s="34">
        <v>-84.261111</v>
      </c>
      <c r="H213" s="34"/>
      <c r="I213" s="105">
        <v>110031112659</v>
      </c>
      <c r="J213" s="33">
        <f>IF(OR($H213="",$H213="Yes"), VLOOKUP($I213, 'Processed Non-zero DMR Data'!$K:$V, 10, FALSE),"")</f>
        <v>34.448325875000002</v>
      </c>
      <c r="K213" s="33" t="str">
        <f>IFERROR(VLOOKUP($H213, 'Processed Non-zero TRI Data'!$I:$M, 5, 0), VLOOKUP($I213, 'Processed Non-zero DMR Data'!$K:$M, 3, FALSE))</f>
        <v>Sewerage Systems</v>
      </c>
      <c r="L213" s="33" t="str">
        <f>IFERROR(VLOOKUP($H213, 'Processed Non-zero TRI Data'!I:P, 8, 0), "Direct")</f>
        <v>Direct</v>
      </c>
      <c r="M213" s="33" t="str">
        <f>VLOOKUP($N213, 'COU.OES Summary'!C:D, 2, FALSE)</f>
        <v> </v>
      </c>
      <c r="N213" s="33" t="str">
        <f>IFERROR(VLOOKUP($H213, 'Processed Non-zero TRI Data'!$I:$O, 7, FALSE), VLOOKUP($I213, 'Processed Non-zero DMR Data'!$K:$R, 8, FALSE))</f>
        <v>Waste handling, treatment, and disposal - POTW</v>
      </c>
      <c r="O213" s="33" t="s">
        <v>710</v>
      </c>
      <c r="P213" s="33">
        <f>VLOOKUP($N213, 'COU.OES Summary'!C:E, 3, FALSE)</f>
        <v>365</v>
      </c>
    </row>
    <row r="214" spans="1:16" ht="29" x14ac:dyDescent="0.35">
      <c r="A214" s="34">
        <v>213</v>
      </c>
      <c r="B214" s="33" t="str">
        <f>IF(AND(ISNUMBER(MATCH(H214, 'Processed Non-zero TRI Data'!$I$2:$I$23, FALSE)),ISNUMBER(MATCH(I214, 'Processed Non-zero DMR Data'!$K:$K, FALSE))),"Both TRI Form "&amp; VLOOKUP(H214, 'Processed Non-zero TRI Data'!$I$2:$K$23, 3, FALSE)&amp; " &amp; DMR", IFERROR("Only TRI Form "&amp; VLOOKUP(H214, 'Processed Non-zero TRI Data'!$I$2:$K$23, 3, FALSE), "Only DMR"))</f>
        <v>Only DMR</v>
      </c>
      <c r="C214" s="34" t="s">
        <v>632</v>
      </c>
      <c r="D214" s="34" t="s">
        <v>623</v>
      </c>
      <c r="E214" s="34" t="s">
        <v>492</v>
      </c>
      <c r="F214" s="34">
        <v>39.751111000000002</v>
      </c>
      <c r="G214" s="34">
        <v>-105.00194399999999</v>
      </c>
      <c r="H214" s="34"/>
      <c r="I214" s="105">
        <v>110031267304</v>
      </c>
      <c r="J214" s="33">
        <f>IF(OR($H214="",$H214="Yes"), VLOOKUP($I214, 'Processed Non-zero DMR Data'!$K:$V, 10, FALSE),"")</f>
        <v>5.9681880000000001E-3</v>
      </c>
      <c r="K214" s="33" t="str">
        <f>IFERROR(VLOOKUP($H214, 'Processed Non-zero TRI Data'!$I:$M, 5, 0), VLOOKUP($I214, 'Processed Non-zero DMR Data'!$K:$M, 3, FALSE))</f>
        <v>Special Trade Contractors, Nec</v>
      </c>
      <c r="L214" s="33" t="str">
        <f>IFERROR(VLOOKUP($H214, 'Processed Non-zero TRI Data'!I:P, 8, 0), "Direct")</f>
        <v>Direct</v>
      </c>
      <c r="M214" s="33" t="str">
        <f>VLOOKUP($N214, 'COU.OES Summary'!C:D, 2, FALSE)</f>
        <v> </v>
      </c>
      <c r="N214" s="33" t="str">
        <f>IFERROR(VLOOKUP($H214, 'Processed Non-zero TRI Data'!$I:$O, 7, FALSE), VLOOKUP($I214, 'Processed Non-zero DMR Data'!$K:$R, 8, FALSE))</f>
        <v>Waste handling, treatment, and disposal - Remediation or Monitoring</v>
      </c>
      <c r="O214" s="33" t="s">
        <v>710</v>
      </c>
      <c r="P214" s="33">
        <f>VLOOKUP($N214, 'COU.OES Summary'!C:E, 3, FALSE)</f>
        <v>365</v>
      </c>
    </row>
    <row r="215" spans="1:16" ht="29" x14ac:dyDescent="0.35">
      <c r="A215" s="34">
        <v>214</v>
      </c>
      <c r="B215" s="33" t="str">
        <f>IF(AND(ISNUMBER(MATCH(H215, 'Processed Non-zero TRI Data'!$I$2:$I$23, FALSE)),ISNUMBER(MATCH(I215, 'Processed Non-zero DMR Data'!$K:$K, FALSE))),"Both TRI Form "&amp; VLOOKUP(H215, 'Processed Non-zero TRI Data'!$I$2:$K$23, 3, FALSE)&amp; " &amp; DMR", IFERROR("Only TRI Form "&amp; VLOOKUP(H215, 'Processed Non-zero TRI Data'!$I$2:$K$23, 3, FALSE), "Only DMR"))</f>
        <v>Only DMR</v>
      </c>
      <c r="C215" s="34" t="s">
        <v>410</v>
      </c>
      <c r="D215" s="34" t="s">
        <v>411</v>
      </c>
      <c r="E215" s="34" t="s">
        <v>102</v>
      </c>
      <c r="F215" s="34">
        <v>38.074433999999997</v>
      </c>
      <c r="G215" s="34">
        <v>-122.144397</v>
      </c>
      <c r="H215" s="34"/>
      <c r="I215" s="105">
        <v>110033145353</v>
      </c>
      <c r="J215" s="33">
        <f>IF(OR($H215="",$H215="Yes"), VLOOKUP($I215, 'Processed Non-zero DMR Data'!$K:$V, 10, FALSE),"")</f>
        <v>0.18497295</v>
      </c>
      <c r="K215" s="33" t="str">
        <f>IFERROR(VLOOKUP($H215, 'Processed Non-zero TRI Data'!$I:$M, 5, 0), VLOOKUP($I215, 'Processed Non-zero DMR Data'!$K:$M, 3, FALSE))</f>
        <v>Petroleum Refining</v>
      </c>
      <c r="L215" s="33" t="str">
        <f>IFERROR(VLOOKUP($H215, 'Processed Non-zero TRI Data'!I:P, 8, 0), "Direct")</f>
        <v>Direct</v>
      </c>
      <c r="M215" s="33" t="str">
        <f>VLOOKUP($N215, 'COU.OES Summary'!C:D, 2, FALSE)</f>
        <v> </v>
      </c>
      <c r="N215" s="33" t="str">
        <f>IFERROR(VLOOKUP($H215, 'Processed Non-zero TRI Data'!$I:$O, 7, FALSE), VLOOKUP($I215, 'Processed Non-zero DMR Data'!$K:$R, 8, FALSE))</f>
        <v>Waste handling, treatment, and disposal - Remediation or Monitoring</v>
      </c>
      <c r="O215" s="33" t="s">
        <v>710</v>
      </c>
      <c r="P215" s="33">
        <f>VLOOKUP($N215, 'COU.OES Summary'!C:E, 3, FALSE)</f>
        <v>365</v>
      </c>
    </row>
    <row r="216" spans="1:16" ht="29" x14ac:dyDescent="0.35">
      <c r="A216" s="34">
        <v>215</v>
      </c>
      <c r="B216" s="33" t="str">
        <f>IF(AND(ISNUMBER(MATCH(H216, 'Processed Non-zero TRI Data'!$I$2:$I$23, FALSE)),ISNUMBER(MATCH(I216, 'Processed Non-zero DMR Data'!$K:$K, FALSE))),"Both TRI Form "&amp; VLOOKUP(H216, 'Processed Non-zero TRI Data'!$I$2:$K$23, 3, FALSE)&amp; " &amp; DMR", IFERROR("Only TRI Form "&amp; VLOOKUP(H216, 'Processed Non-zero TRI Data'!$I$2:$K$23, 3, FALSE), "Only DMR"))</f>
        <v>Only DMR</v>
      </c>
      <c r="C216" s="34" t="s">
        <v>208</v>
      </c>
      <c r="D216" s="34" t="s">
        <v>209</v>
      </c>
      <c r="E216" s="34" t="s">
        <v>91</v>
      </c>
      <c r="F216" s="34">
        <v>30.221900000000002</v>
      </c>
      <c r="G216" s="34">
        <v>-91.051500000000004</v>
      </c>
      <c r="H216" s="34"/>
      <c r="I216" s="105">
        <v>110033659878</v>
      </c>
      <c r="J216" s="33">
        <f>IF(OR($H216="",$H216="Yes"), VLOOKUP($I216, 'Processed Non-zero DMR Data'!$K:$V, 10, FALSE),"")</f>
        <v>3.4799099999999998</v>
      </c>
      <c r="K216" s="33" t="str">
        <f>IFERROR(VLOOKUP($H216, 'Processed Non-zero TRI Data'!$I:$M, 5, 0), VLOOKUP($I216, 'Processed Non-zero DMR Data'!$K:$M, 3, FALSE))</f>
        <v>Industrial Organic Chemicals, Nec</v>
      </c>
      <c r="L216" s="33" t="str">
        <f>IFERROR(VLOOKUP($H216, 'Processed Non-zero TRI Data'!I:P, 8, 0), "Direct")</f>
        <v>Direct</v>
      </c>
      <c r="M216" s="33" t="str">
        <f>VLOOKUP($N216, 'COU.OES Summary'!C:D, 2, FALSE)</f>
        <v> </v>
      </c>
      <c r="N216" s="33" t="str">
        <f>IFERROR(VLOOKUP($H216, 'Processed Non-zero TRI Data'!$I:$O, 7, FALSE), VLOOKUP($I216, 'Processed Non-zero DMR Data'!$K:$R, 8, FALSE))</f>
        <v>Waste handling, treatment, and disposal - Remediation or Monitoring</v>
      </c>
      <c r="O216" s="33" t="s">
        <v>710</v>
      </c>
      <c r="P216" s="33">
        <f>VLOOKUP($N216, 'COU.OES Summary'!C:E, 3, FALSE)</f>
        <v>365</v>
      </c>
    </row>
    <row r="217" spans="1:16" ht="29" x14ac:dyDescent="0.35">
      <c r="A217" s="34">
        <v>216</v>
      </c>
      <c r="B217" s="33" t="str">
        <f>IF(AND(ISNUMBER(MATCH(H217, 'Processed Non-zero TRI Data'!$I$2:$I$23, FALSE)),ISNUMBER(MATCH(I217, 'Processed Non-zero DMR Data'!$K:$K, FALSE))),"Both TRI Form "&amp; VLOOKUP(H217, 'Processed Non-zero TRI Data'!$I$2:$K$23, 3, FALSE)&amp; " &amp; DMR", IFERROR("Only TRI Form "&amp; VLOOKUP(H217, 'Processed Non-zero TRI Data'!$I$2:$K$23, 3, FALSE), "Only DMR"))</f>
        <v>Only DMR</v>
      </c>
      <c r="C217" s="34" t="s">
        <v>584</v>
      </c>
      <c r="D217" s="34" t="s">
        <v>585</v>
      </c>
      <c r="E217" s="34" t="s">
        <v>181</v>
      </c>
      <c r="F217" s="34">
        <v>42.665671000000003</v>
      </c>
      <c r="G217" s="34">
        <v>-85.290707999999995</v>
      </c>
      <c r="H217" s="34"/>
      <c r="I217" s="105">
        <v>110034151450</v>
      </c>
      <c r="J217" s="33">
        <f>IF(OR($H217="",$H217="Yes"), VLOOKUP($I217, 'Processed Non-zero DMR Data'!$K:$V, 10, FALSE),"")</f>
        <v>1.3692237499999999E-2</v>
      </c>
      <c r="K217" s="33" t="str">
        <f>IFERROR(VLOOKUP($H217, 'Processed Non-zero TRI Data'!$I:$M, 5, 0), VLOOKUP($I217, 'Processed Non-zero DMR Data'!$K:$M, 3, FALSE))</f>
        <v>Refuse Systems</v>
      </c>
      <c r="L217" s="33" t="str">
        <f>IFERROR(VLOOKUP($H217, 'Processed Non-zero TRI Data'!I:P, 8, 0), "Direct")</f>
        <v>Direct</v>
      </c>
      <c r="M217" s="33" t="str">
        <f>VLOOKUP($N217, 'COU.OES Summary'!C:D, 2, FALSE)</f>
        <v> </v>
      </c>
      <c r="N217" s="33" t="str">
        <f>IFERROR(VLOOKUP($H217, 'Processed Non-zero TRI Data'!$I:$O, 7, FALSE), VLOOKUP($I217, 'Processed Non-zero DMR Data'!$K:$R, 8, FALSE))</f>
        <v>Waste handling, treatment, and disposal - non-POTW WWT</v>
      </c>
      <c r="O217" s="33" t="s">
        <v>710</v>
      </c>
      <c r="P217" s="33">
        <f>VLOOKUP($N217, 'COU.OES Summary'!C:E, 3, FALSE)</f>
        <v>365</v>
      </c>
    </row>
    <row r="218" spans="1:16" ht="29" x14ac:dyDescent="0.35">
      <c r="A218" s="34">
        <v>217</v>
      </c>
      <c r="B218" s="33" t="str">
        <f>IF(AND(ISNUMBER(MATCH(H218, 'Processed Non-zero TRI Data'!$I$2:$I$23, FALSE)),ISNUMBER(MATCH(I218, 'Processed Non-zero DMR Data'!$K:$K, FALSE))),"Both TRI Form "&amp; VLOOKUP(H218, 'Processed Non-zero TRI Data'!$I$2:$K$23, 3, FALSE)&amp; " &amp; DMR", IFERROR("Only TRI Form "&amp; VLOOKUP(H218, 'Processed Non-zero TRI Data'!$I$2:$K$23, 3, FALSE), "Only DMR"))</f>
        <v>Only DMR</v>
      </c>
      <c r="C218" s="124" t="s">
        <v>104</v>
      </c>
      <c r="D218" s="124" t="s">
        <v>105</v>
      </c>
      <c r="E218" s="124" t="s">
        <v>95</v>
      </c>
      <c r="F218" s="124">
        <v>27.523085999999999</v>
      </c>
      <c r="G218" s="124">
        <v>-97.832245</v>
      </c>
      <c r="H218" s="124"/>
      <c r="I218" s="125">
        <v>110034247580</v>
      </c>
      <c r="J218" s="33">
        <f>IF(OR($H218="",$H218="Yes"), VLOOKUP($I218, 'Processed Non-zero DMR Data'!$K:$V, 10, FALSE),"")</f>
        <v>0.36670749504</v>
      </c>
      <c r="K218" s="33" t="str">
        <f>IFERROR(VLOOKUP($H218, 'Processed Non-zero TRI Data'!$I:$M, 5, 0), VLOOKUP($I218, 'Processed Non-zero DMR Data'!$K:$M, 3, FALSE))</f>
        <v>Sewerage Systems</v>
      </c>
      <c r="L218" s="33" t="str">
        <f>IFERROR(VLOOKUP($H218, 'Processed Non-zero TRI Data'!I:P, 8, 0), "Direct")</f>
        <v>Direct</v>
      </c>
      <c r="M218" s="33" t="str">
        <f>VLOOKUP($N218, 'COU.OES Summary'!C:D, 2, FALSE)</f>
        <v> </v>
      </c>
      <c r="N218" s="33" t="str">
        <f>IFERROR(VLOOKUP($H218, 'Processed Non-zero TRI Data'!$I:$O, 7, FALSE), VLOOKUP($I218, 'Processed Non-zero DMR Data'!$K:$R, 8, FALSE))</f>
        <v>Waste handling, treatment, and disposal - POTW</v>
      </c>
      <c r="O218" s="33" t="s">
        <v>710</v>
      </c>
      <c r="P218" s="33">
        <f>VLOOKUP($N218, 'COU.OES Summary'!C:E, 3, FALSE)</f>
        <v>365</v>
      </c>
    </row>
    <row r="219" spans="1:16" ht="29" x14ac:dyDescent="0.35">
      <c r="A219" s="34">
        <v>218</v>
      </c>
      <c r="B219" s="33" t="str">
        <f>IF(AND(ISNUMBER(MATCH(H219, 'Processed Non-zero TRI Data'!$I$2:$I$23, FALSE)),ISNUMBER(MATCH(I219, 'Processed Non-zero DMR Data'!$K:$K, FALSE))),"Both TRI Form "&amp; VLOOKUP(H219, 'Processed Non-zero TRI Data'!$I$2:$K$23, 3, FALSE)&amp; " &amp; DMR", IFERROR("Only TRI Form "&amp; VLOOKUP(H219, 'Processed Non-zero TRI Data'!$I$2:$K$23, 3, FALSE), "Only DMR"))</f>
        <v>Only DMR</v>
      </c>
      <c r="C219" s="34" t="s">
        <v>206</v>
      </c>
      <c r="D219" s="34" t="s">
        <v>207</v>
      </c>
      <c r="E219" s="34" t="s">
        <v>95</v>
      </c>
      <c r="F219" s="34">
        <v>29.717471</v>
      </c>
      <c r="G219" s="34">
        <v>-95.068008000000006</v>
      </c>
      <c r="H219" s="34"/>
      <c r="I219" s="105">
        <v>110034641635</v>
      </c>
      <c r="J219" s="33">
        <f>IF(OR($H219="",$H219="Yes"), VLOOKUP($I219, 'Processed Non-zero DMR Data'!$K:$V, 10, FALSE),"")</f>
        <v>8.8950500000000012</v>
      </c>
      <c r="K219" s="33" t="str">
        <f>IFERROR(VLOOKUP($H219, 'Processed Non-zero TRI Data'!$I:$M, 5, 0), VLOOKUP($I219, 'Processed Non-zero DMR Data'!$K:$M, 3, FALSE))</f>
        <v>Industrial Organic Chemicals, Nec</v>
      </c>
      <c r="L219" s="33" t="str">
        <f>IFERROR(VLOOKUP($H219, 'Processed Non-zero TRI Data'!I:P, 8, 0), "Direct")</f>
        <v>Direct</v>
      </c>
      <c r="M219" s="33" t="str">
        <f>VLOOKUP($N219, 'COU.OES Summary'!C:D, 2, FALSE)</f>
        <v> </v>
      </c>
      <c r="N219" s="33" t="str">
        <f>IFERROR(VLOOKUP($H219, 'Processed Non-zero TRI Data'!$I:$O, 7, FALSE), VLOOKUP($I219, 'Processed Non-zero DMR Data'!$K:$R, 8, FALSE))</f>
        <v>Waste handling, treatment, and disposal - Remediation or Monitoring</v>
      </c>
      <c r="O219" s="33" t="s">
        <v>710</v>
      </c>
      <c r="P219" s="33">
        <f>VLOOKUP($N219, 'COU.OES Summary'!C:E, 3, FALSE)</f>
        <v>365</v>
      </c>
    </row>
    <row r="220" spans="1:16" ht="29" x14ac:dyDescent="0.35">
      <c r="A220" s="34">
        <v>219</v>
      </c>
      <c r="B220" s="33" t="str">
        <f>IF(AND(ISNUMBER(MATCH(H220, 'Processed Non-zero TRI Data'!$I$2:$I$23, FALSE)),ISNUMBER(MATCH(I220, 'Processed Non-zero DMR Data'!$K:$K, FALSE))),"Both TRI Form "&amp; VLOOKUP(H220, 'Processed Non-zero TRI Data'!$I$2:$K$23, 3, FALSE)&amp; " &amp; DMR", IFERROR("Only TRI Form "&amp; VLOOKUP(H220, 'Processed Non-zero TRI Data'!$I$2:$K$23, 3, FALSE), "Only DMR"))</f>
        <v>Only DMR</v>
      </c>
      <c r="C220" s="34" t="s">
        <v>577</v>
      </c>
      <c r="D220" s="34" t="s">
        <v>578</v>
      </c>
      <c r="E220" s="34" t="s">
        <v>95</v>
      </c>
      <c r="F220" s="34">
        <v>30.265280000000001</v>
      </c>
      <c r="G220" s="34">
        <v>-97.746499999999997</v>
      </c>
      <c r="H220" s="34"/>
      <c r="I220" s="105">
        <v>110035762822</v>
      </c>
      <c r="J220" s="33">
        <f>IF(OR($H220="",$H220="Yes"), VLOOKUP($I220, 'Processed Non-zero DMR Data'!$K:$V, 10, FALSE),"")</f>
        <v>4.8803840466666599E-3</v>
      </c>
      <c r="K220" s="33" t="str">
        <f>IFERROR(VLOOKUP($H220, 'Processed Non-zero TRI Data'!$I:$M, 5, 0), VLOOKUP($I220, 'Processed Non-zero DMR Data'!$K:$M, 3, FALSE))</f>
        <v>Apartment Building Operators</v>
      </c>
      <c r="L220" s="33" t="str">
        <f>IFERROR(VLOOKUP($H220, 'Processed Non-zero TRI Data'!I:P, 8, 0), "Direct")</f>
        <v>Direct</v>
      </c>
      <c r="M220" s="33" t="str">
        <f>VLOOKUP($N220, 'COU.OES Summary'!C:D, 2, FALSE)</f>
        <v> </v>
      </c>
      <c r="N220" s="33" t="str">
        <f>IFERROR(VLOOKUP($H220, 'Processed Non-zero TRI Data'!$I:$O, 7, FALSE), VLOOKUP($I220, 'Processed Non-zero DMR Data'!$K:$R, 8, FALSE))</f>
        <v>Waste handling, treatment, and disposal - Remediation or Monitoring</v>
      </c>
      <c r="O220" s="33" t="s">
        <v>710</v>
      </c>
      <c r="P220" s="33">
        <f>VLOOKUP($N220, 'COU.OES Summary'!C:E, 3, FALSE)</f>
        <v>365</v>
      </c>
    </row>
    <row r="221" spans="1:16" ht="29" x14ac:dyDescent="0.35">
      <c r="A221" s="34">
        <v>220</v>
      </c>
      <c r="B221" s="33" t="str">
        <f>IF(AND(ISNUMBER(MATCH(H221, 'Processed Non-zero TRI Data'!$I$2:$I$23, FALSE)),ISNUMBER(MATCH(I221, 'Processed Non-zero DMR Data'!$K:$K, FALSE))),"Both TRI Form "&amp; VLOOKUP(H221, 'Processed Non-zero TRI Data'!$I$2:$K$23, 3, FALSE)&amp; " &amp; DMR", IFERROR("Only TRI Form "&amp; VLOOKUP(H221, 'Processed Non-zero TRI Data'!$I$2:$K$23, 3, FALSE), "Only DMR"))</f>
        <v>Only DMR</v>
      </c>
      <c r="C221" s="34" t="s">
        <v>633</v>
      </c>
      <c r="D221" s="34" t="s">
        <v>634</v>
      </c>
      <c r="E221" s="34" t="s">
        <v>328</v>
      </c>
      <c r="F221" s="34">
        <v>45.055509000000001</v>
      </c>
      <c r="G221" s="34">
        <v>-93.279771999999994</v>
      </c>
      <c r="H221" s="34"/>
      <c r="I221" s="105">
        <v>110035765794</v>
      </c>
      <c r="J221" s="33">
        <f>IF(OR($H221="",$H221="Yes"), VLOOKUP($I221, 'Processed Non-zero DMR Data'!$K:$V, 10, FALSE),"")</f>
        <v>5.9161707450000002E-3</v>
      </c>
      <c r="K221" s="33" t="str">
        <f>IFERROR(VLOOKUP($H221, 'Processed Non-zero TRI Data'!$I:$M, 5, 0), VLOOKUP($I221, 'Processed Non-zero DMR Data'!$K:$M, 3, FALSE))</f>
        <v>Ordnance and Accessories, Nec</v>
      </c>
      <c r="L221" s="33" t="str">
        <f>IFERROR(VLOOKUP($H221, 'Processed Non-zero TRI Data'!I:P, 8, 0), "Direct")</f>
        <v>Direct</v>
      </c>
      <c r="M221" s="33" t="str">
        <f>VLOOKUP($N221, 'COU.OES Summary'!C:D, 2, FALSE)</f>
        <v> </v>
      </c>
      <c r="N221" s="33" t="str">
        <f>IFERROR(VLOOKUP($H221, 'Processed Non-zero TRI Data'!$I:$O, 7, FALSE), VLOOKUP($I221, 'Processed Non-zero DMR Data'!$K:$R, 8, FALSE))</f>
        <v>Waste handling, treatment, and disposal - Remediation or Monitoring</v>
      </c>
      <c r="O221" s="33" t="s">
        <v>710</v>
      </c>
      <c r="P221" s="33">
        <f>VLOOKUP($N221, 'COU.OES Summary'!C:E, 3, FALSE)</f>
        <v>365</v>
      </c>
    </row>
    <row r="222" spans="1:16" ht="29" x14ac:dyDescent="0.35">
      <c r="A222" s="34">
        <v>221</v>
      </c>
      <c r="B222" s="33" t="str">
        <f>IF(AND(ISNUMBER(MATCH(H222, 'Processed Non-zero TRI Data'!$I$2:$I$23, FALSE)),ISNUMBER(MATCH(I222, 'Processed Non-zero DMR Data'!$K:$K, FALSE))),"Both TRI Form "&amp; VLOOKUP(H222, 'Processed Non-zero TRI Data'!$I$2:$K$23, 3, FALSE)&amp; " &amp; DMR", IFERROR("Only TRI Form "&amp; VLOOKUP(H222, 'Processed Non-zero TRI Data'!$I$2:$K$23, 3, FALSE), "Only DMR"))</f>
        <v>Only DMR</v>
      </c>
      <c r="C222" s="34" t="s">
        <v>479</v>
      </c>
      <c r="D222" s="34" t="s">
        <v>480</v>
      </c>
      <c r="E222" s="34" t="s">
        <v>481</v>
      </c>
      <c r="F222" s="34">
        <v>38.987340000000003</v>
      </c>
      <c r="G222" s="34">
        <v>-77.026660000000007</v>
      </c>
      <c r="H222" s="34"/>
      <c r="I222" s="105">
        <v>110037096674</v>
      </c>
      <c r="J222" s="33">
        <f>IF(OR($H222="",$H222="Yes"), VLOOKUP($I222, 'Processed Non-zero DMR Data'!$K:$V, 10, FALSE),"")</f>
        <v>2.7311939260000001E-2</v>
      </c>
      <c r="K222" s="33" t="str">
        <f>IFERROR(VLOOKUP($H222, 'Processed Non-zero TRI Data'!$I:$M, 5, 0), VLOOKUP($I222, 'Processed Non-zero DMR Data'!$K:$M, 3, FALSE))</f>
        <v>Residential Construction, Nec</v>
      </c>
      <c r="L222" s="33" t="str">
        <f>IFERROR(VLOOKUP($H222, 'Processed Non-zero TRI Data'!I:P, 8, 0), "Direct")</f>
        <v>Direct</v>
      </c>
      <c r="M222" s="33" t="str">
        <f>VLOOKUP($N222, 'COU.OES Summary'!C:D, 2, FALSE)</f>
        <v> </v>
      </c>
      <c r="N222" s="33" t="str">
        <f>IFERROR(VLOOKUP($H222, 'Processed Non-zero TRI Data'!$I:$O, 7, FALSE), VLOOKUP($I222, 'Processed Non-zero DMR Data'!$K:$R, 8, FALSE))</f>
        <v>Waste handling, treatment, and disposal - Remediation or Monitoring</v>
      </c>
      <c r="O222" s="33" t="s">
        <v>710</v>
      </c>
      <c r="P222" s="33">
        <f>VLOOKUP($N222, 'COU.OES Summary'!C:E, 3, FALSE)</f>
        <v>365</v>
      </c>
    </row>
    <row r="223" spans="1:16" ht="29" x14ac:dyDescent="0.35">
      <c r="A223" s="34">
        <v>222</v>
      </c>
      <c r="B223" s="33" t="str">
        <f>IF(AND(ISNUMBER(MATCH(H223, 'Processed Non-zero TRI Data'!$I$2:$I$23, FALSE)),ISNUMBER(MATCH(I223, 'Processed Non-zero DMR Data'!$K:$K, FALSE))),"Both TRI Form "&amp; VLOOKUP(H223, 'Processed Non-zero TRI Data'!$I$2:$K$23, 3, FALSE)&amp; " &amp; DMR", IFERROR("Only TRI Form "&amp; VLOOKUP(H223, 'Processed Non-zero TRI Data'!$I$2:$K$23, 3, FALSE), "Only DMR"))</f>
        <v>Only DMR</v>
      </c>
      <c r="C223" s="34" t="s">
        <v>424</v>
      </c>
      <c r="D223" s="34" t="s">
        <v>425</v>
      </c>
      <c r="E223" s="34" t="s">
        <v>102</v>
      </c>
      <c r="F223" s="34">
        <v>35.178620000000002</v>
      </c>
      <c r="G223" s="34">
        <v>-120.62067500000001</v>
      </c>
      <c r="H223" s="34"/>
      <c r="I223" s="105">
        <v>110037256867</v>
      </c>
      <c r="J223" s="33">
        <f>IF(OR($H223="",$H223="Yes"), VLOOKUP($I223, 'Processed Non-zero DMR Data'!$K:$V, 10, FALSE),"")</f>
        <v>2.5636959425000001E-2</v>
      </c>
      <c r="K223" s="33" t="str">
        <f>IFERROR(VLOOKUP($H223, 'Processed Non-zero TRI Data'!$I:$M, 5, 0), VLOOKUP($I223, 'Processed Non-zero DMR Data'!$K:$M, 3, FALSE))</f>
        <v>Petroleum Refining</v>
      </c>
      <c r="L223" s="33" t="str">
        <f>IFERROR(VLOOKUP($H223, 'Processed Non-zero TRI Data'!I:P, 8, 0), "Direct")</f>
        <v>Direct</v>
      </c>
      <c r="M223" s="33" t="str">
        <f>VLOOKUP($N223, 'COU.OES Summary'!C:D, 2, FALSE)</f>
        <v> </v>
      </c>
      <c r="N223" s="33" t="str">
        <f>IFERROR(VLOOKUP($H223, 'Processed Non-zero TRI Data'!$I:$O, 7, FALSE), VLOOKUP($I223, 'Processed Non-zero DMR Data'!$K:$R, 8, FALSE))</f>
        <v>Waste handling, treatment, and disposal - Remediation or Monitoring</v>
      </c>
      <c r="O223" s="33" t="s">
        <v>710</v>
      </c>
      <c r="P223" s="33">
        <f>VLOOKUP($N223, 'COU.OES Summary'!C:E, 3, FALSE)</f>
        <v>365</v>
      </c>
    </row>
    <row r="224" spans="1:16" ht="29" x14ac:dyDescent="0.35">
      <c r="A224" s="34">
        <v>223</v>
      </c>
      <c r="B224" s="33" t="str">
        <f>IF(AND(ISNUMBER(MATCH(H224, 'Processed Non-zero TRI Data'!$I$2:$I$23, FALSE)),ISNUMBER(MATCH(I224, 'Processed Non-zero DMR Data'!$K:$K, FALSE))),"Both TRI Form "&amp; VLOOKUP(H224, 'Processed Non-zero TRI Data'!$I$2:$K$23, 3, FALSE)&amp; " &amp; DMR", IFERROR("Only TRI Form "&amp; VLOOKUP(H224, 'Processed Non-zero TRI Data'!$I$2:$K$23, 3, FALSE), "Only DMR"))</f>
        <v>Only DMR</v>
      </c>
      <c r="C224" s="34" t="s">
        <v>657</v>
      </c>
      <c r="D224" s="34" t="s">
        <v>337</v>
      </c>
      <c r="E224" s="34" t="s">
        <v>221</v>
      </c>
      <c r="F224" s="34">
        <v>36.119079999999997</v>
      </c>
      <c r="G224" s="34">
        <v>-115.15727</v>
      </c>
      <c r="H224" s="34"/>
      <c r="I224" s="105">
        <v>110037274133</v>
      </c>
      <c r="J224" s="33">
        <f>IF(OR($H224="",$H224="Yes"), VLOOKUP($I224, 'Processed Non-zero DMR Data'!$K:$V, 10, FALSE),"")</f>
        <v>2.3036929374999999E-3</v>
      </c>
      <c r="K224" s="33" t="str">
        <f>IFERROR(VLOOKUP($H224, 'Processed Non-zero TRI Data'!$I:$M, 5, 0), VLOOKUP($I224, 'Processed Non-zero DMR Data'!$K:$M, 3, FALSE))</f>
        <v>Nonresidential Building Operators</v>
      </c>
      <c r="L224" s="33" t="str">
        <f>IFERROR(VLOOKUP($H224, 'Processed Non-zero TRI Data'!I:P, 8, 0), "Direct")</f>
        <v>Direct</v>
      </c>
      <c r="M224" s="33" t="str">
        <f>VLOOKUP($N224, 'COU.OES Summary'!C:D, 2, FALSE)</f>
        <v> </v>
      </c>
      <c r="N224" s="33" t="str">
        <f>IFERROR(VLOOKUP($H224, 'Processed Non-zero TRI Data'!$I:$O, 7, FALSE), VLOOKUP($I224, 'Processed Non-zero DMR Data'!$K:$R, 8, FALSE))</f>
        <v>Waste handling, treatment, and disposal - Remediation or Monitoring</v>
      </c>
      <c r="O224" s="33" t="s">
        <v>710</v>
      </c>
      <c r="P224" s="33">
        <f>VLOOKUP($N224, 'COU.OES Summary'!C:E, 3, FALSE)</f>
        <v>365</v>
      </c>
    </row>
    <row r="225" spans="1:16" ht="29" x14ac:dyDescent="0.35">
      <c r="A225" s="34">
        <v>224</v>
      </c>
      <c r="B225" s="33" t="str">
        <f>IF(AND(ISNUMBER(MATCH(H225, 'Processed Non-zero TRI Data'!$I$2:$I$23, FALSE)),ISNUMBER(MATCH(I225, 'Processed Non-zero DMR Data'!$K:$K, FALSE))),"Both TRI Form "&amp; VLOOKUP(H225, 'Processed Non-zero TRI Data'!$I$2:$K$23, 3, FALSE)&amp; " &amp; DMR", IFERROR("Only TRI Form "&amp; VLOOKUP(H225, 'Processed Non-zero TRI Data'!$I$2:$K$23, 3, FALSE), "Only DMR"))</f>
        <v>Only DMR</v>
      </c>
      <c r="C225" s="34" t="s">
        <v>134</v>
      </c>
      <c r="D225" s="34" t="s">
        <v>135</v>
      </c>
      <c r="E225" s="34" t="s">
        <v>108</v>
      </c>
      <c r="F225" s="34">
        <v>39.058610999999999</v>
      </c>
      <c r="G225" s="34">
        <v>-84.618055999999996</v>
      </c>
      <c r="H225" s="34"/>
      <c r="I225" s="105">
        <v>110039639736</v>
      </c>
      <c r="J225" s="33">
        <f>IF(OR($H225="",$H225="Yes"), VLOOKUP($I225, 'Processed Non-zero DMR Data'!$K:$V, 10, FALSE),"")</f>
        <v>1.6944404125E-2</v>
      </c>
      <c r="K225" s="33" t="str">
        <f>IFERROR(VLOOKUP($H225, 'Processed Non-zero TRI Data'!$I:$M, 5, 0), VLOOKUP($I225, 'Processed Non-zero DMR Data'!$K:$M, 3, FALSE))</f>
        <v>Sewerage Systems</v>
      </c>
      <c r="L225" s="33" t="str">
        <f>IFERROR(VLOOKUP($H225, 'Processed Non-zero TRI Data'!I:P, 8, 0), "Direct")</f>
        <v>Direct</v>
      </c>
      <c r="M225" s="33" t="str">
        <f>VLOOKUP($N225, 'COU.OES Summary'!C:D, 2, FALSE)</f>
        <v> </v>
      </c>
      <c r="N225" s="33" t="str">
        <f>IFERROR(VLOOKUP($H225, 'Processed Non-zero TRI Data'!$I:$O, 7, FALSE), VLOOKUP($I225, 'Processed Non-zero DMR Data'!$K:$R, 8, FALSE))</f>
        <v>Waste handling, treatment, and disposal - POTW</v>
      </c>
      <c r="O225" s="33" t="s">
        <v>710</v>
      </c>
      <c r="P225" s="33">
        <f>VLOOKUP($N225, 'COU.OES Summary'!C:E, 3, FALSE)</f>
        <v>365</v>
      </c>
    </row>
    <row r="226" spans="1:16" ht="29" x14ac:dyDescent="0.35">
      <c r="A226" s="34">
        <v>225</v>
      </c>
      <c r="B226" s="33" t="str">
        <f>IF(AND(ISNUMBER(MATCH(H226, 'Processed Non-zero TRI Data'!$I$2:$I$23, FALSE)),ISNUMBER(MATCH(I226, 'Processed Non-zero DMR Data'!$K:$K, FALSE))),"Both TRI Form "&amp; VLOOKUP(H226, 'Processed Non-zero TRI Data'!$I$2:$K$23, 3, FALSE)&amp; " &amp; DMR", IFERROR("Only TRI Form "&amp; VLOOKUP(H226, 'Processed Non-zero TRI Data'!$I$2:$K$23, 3, FALSE), "Only DMR"))</f>
        <v>Only DMR</v>
      </c>
      <c r="C226" s="34" t="s">
        <v>224</v>
      </c>
      <c r="D226" s="34" t="s">
        <v>225</v>
      </c>
      <c r="E226" s="34" t="s">
        <v>108</v>
      </c>
      <c r="F226" s="34">
        <v>37.616959999999999</v>
      </c>
      <c r="G226" s="34">
        <v>-84.585099999999997</v>
      </c>
      <c r="H226" s="34"/>
      <c r="I226" s="105">
        <v>110039705049</v>
      </c>
      <c r="J226" s="33">
        <f>IF(OR($H226="",$H226="Yes"), VLOOKUP($I226, 'Processed Non-zero DMR Data'!$K:$V, 10, FALSE),"")</f>
        <v>3.2700696749999998</v>
      </c>
      <c r="K226" s="33" t="str">
        <f>IFERROR(VLOOKUP($H226, 'Processed Non-zero TRI Data'!$I:$M, 5, 0), VLOOKUP($I226, 'Processed Non-zero DMR Data'!$K:$M, 3, FALSE))</f>
        <v>Sewerage Systems</v>
      </c>
      <c r="L226" s="33" t="str">
        <f>IFERROR(VLOOKUP($H226, 'Processed Non-zero TRI Data'!I:P, 8, 0), "Direct")</f>
        <v>Direct</v>
      </c>
      <c r="M226" s="33" t="str">
        <f>VLOOKUP($N226, 'COU.OES Summary'!C:D, 2, FALSE)</f>
        <v> </v>
      </c>
      <c r="N226" s="33" t="str">
        <f>IFERROR(VLOOKUP($H226, 'Processed Non-zero TRI Data'!$I:$O, 7, FALSE), VLOOKUP($I226, 'Processed Non-zero DMR Data'!$K:$R, 8, FALSE))</f>
        <v>Waste handling, treatment, and disposal - POTW</v>
      </c>
      <c r="O226" s="33" t="s">
        <v>710</v>
      </c>
      <c r="P226" s="33">
        <f>VLOOKUP($N226, 'COU.OES Summary'!C:E, 3, FALSE)</f>
        <v>365</v>
      </c>
    </row>
    <row r="227" spans="1:16" ht="29" x14ac:dyDescent="0.35">
      <c r="A227" s="34">
        <v>226</v>
      </c>
      <c r="B227" s="33" t="str">
        <f>IF(AND(ISNUMBER(MATCH(H227, 'Processed Non-zero TRI Data'!$I$2:$I$23, FALSE)),ISNUMBER(MATCH(I227, 'Processed Non-zero DMR Data'!$K:$K, FALSE))),"Both TRI Form "&amp; VLOOKUP(H227, 'Processed Non-zero TRI Data'!$I$2:$K$23, 3, FALSE)&amp; " &amp; DMR", IFERROR("Only TRI Form "&amp; VLOOKUP(H227, 'Processed Non-zero TRI Data'!$I$2:$K$23, 3, FALSE), "Only DMR"))</f>
        <v>Only DMR</v>
      </c>
      <c r="C227" s="34" t="s">
        <v>147</v>
      </c>
      <c r="D227" s="34" t="s">
        <v>148</v>
      </c>
      <c r="E227" s="34" t="s">
        <v>108</v>
      </c>
      <c r="F227" s="34">
        <v>38.101582000000001</v>
      </c>
      <c r="G227" s="34">
        <v>-83.919770999999997</v>
      </c>
      <c r="H227" s="34"/>
      <c r="I227" s="105">
        <v>110039705361</v>
      </c>
      <c r="J227" s="33">
        <f>IF(OR($H227="",$H227="Yes"), VLOOKUP($I227, 'Processed Non-zero DMR Data'!$K:$V, 10, FALSE),"")</f>
        <v>11.086738125</v>
      </c>
      <c r="K227" s="33" t="str">
        <f>IFERROR(VLOOKUP($H227, 'Processed Non-zero TRI Data'!$I:$M, 5, 0), VLOOKUP($I227, 'Processed Non-zero DMR Data'!$K:$M, 3, FALSE))</f>
        <v>Sewerage Systems</v>
      </c>
      <c r="L227" s="33" t="str">
        <f>IFERROR(VLOOKUP($H227, 'Processed Non-zero TRI Data'!I:P, 8, 0), "Direct")</f>
        <v>Direct</v>
      </c>
      <c r="M227" s="33" t="str">
        <f>VLOOKUP($N227, 'COU.OES Summary'!C:D, 2, FALSE)</f>
        <v> </v>
      </c>
      <c r="N227" s="33" t="str">
        <f>IFERROR(VLOOKUP($H227, 'Processed Non-zero TRI Data'!$I:$O, 7, FALSE), VLOOKUP($I227, 'Processed Non-zero DMR Data'!$K:$R, 8, FALSE))</f>
        <v>Waste handling, treatment, and disposal - POTW</v>
      </c>
      <c r="O227" s="33" t="s">
        <v>710</v>
      </c>
      <c r="P227" s="33">
        <f>VLOOKUP($N227, 'COU.OES Summary'!C:E, 3, FALSE)</f>
        <v>365</v>
      </c>
    </row>
    <row r="228" spans="1:16" ht="29" x14ac:dyDescent="0.35">
      <c r="A228" s="34">
        <v>227</v>
      </c>
      <c r="B228" s="33" t="str">
        <f>IF(AND(ISNUMBER(MATCH(H228, 'Processed Non-zero TRI Data'!$I$2:$I$23, FALSE)),ISNUMBER(MATCH(I228, 'Processed Non-zero DMR Data'!$K:$K, FALSE))),"Both TRI Form "&amp; VLOOKUP(H228, 'Processed Non-zero TRI Data'!$I$2:$K$23, 3, FALSE)&amp; " &amp; DMR", IFERROR("Only TRI Form "&amp; VLOOKUP(H228, 'Processed Non-zero TRI Data'!$I$2:$K$23, 3, FALSE), "Only DMR"))</f>
        <v>Only DMR</v>
      </c>
      <c r="C228" s="34" t="s">
        <v>447</v>
      </c>
      <c r="D228" s="34" t="s">
        <v>448</v>
      </c>
      <c r="E228" s="34" t="s">
        <v>102</v>
      </c>
      <c r="F228" s="34">
        <v>38.730832999999997</v>
      </c>
      <c r="G228" s="34">
        <v>-120.846667</v>
      </c>
      <c r="H228" s="34"/>
      <c r="I228" s="105">
        <v>110039757992</v>
      </c>
      <c r="J228" s="33">
        <f>IF(OR($H228="",$H228="Yes"), VLOOKUP($I228, 'Processed Non-zero DMR Data'!$K:$V, 10, FALSE),"")</f>
        <v>0.119509104</v>
      </c>
      <c r="K228" s="33" t="str">
        <f>IFERROR(VLOOKUP($H228, 'Processed Non-zero TRI Data'!$I:$M, 5, 0), VLOOKUP($I228, 'Processed Non-zero DMR Data'!$K:$M, 3, FALSE))</f>
        <v>Sewerage Systems</v>
      </c>
      <c r="L228" s="33" t="str">
        <f>IFERROR(VLOOKUP($H228, 'Processed Non-zero TRI Data'!I:P, 8, 0), "Direct")</f>
        <v>Direct</v>
      </c>
      <c r="M228" s="33" t="str">
        <f>VLOOKUP($N228, 'COU.OES Summary'!C:D, 2, FALSE)</f>
        <v> </v>
      </c>
      <c r="N228" s="33" t="str">
        <f>IFERROR(VLOOKUP($H228, 'Processed Non-zero TRI Data'!$I:$O, 7, FALSE), VLOOKUP($I228, 'Processed Non-zero DMR Data'!$K:$R, 8, FALSE))</f>
        <v>Waste handling, treatment, and disposal - POTW</v>
      </c>
      <c r="O228" s="33" t="s">
        <v>710</v>
      </c>
      <c r="P228" s="33">
        <f>VLOOKUP($N228, 'COU.OES Summary'!C:E, 3, FALSE)</f>
        <v>365</v>
      </c>
    </row>
    <row r="229" spans="1:16" ht="29" x14ac:dyDescent="0.35">
      <c r="A229" s="34">
        <v>228</v>
      </c>
      <c r="B229" s="33" t="str">
        <f>IF(AND(ISNUMBER(MATCH(H229, 'Processed Non-zero TRI Data'!$I$2:$I$23, FALSE)),ISNUMBER(MATCH(I229, 'Processed Non-zero DMR Data'!$K:$K, FALSE))),"Both TRI Form "&amp; VLOOKUP(H229, 'Processed Non-zero TRI Data'!$I$2:$K$23, 3, FALSE)&amp; " &amp; DMR", IFERROR("Only TRI Form "&amp; VLOOKUP(H229, 'Processed Non-zero TRI Data'!$I$2:$K$23, 3, FALSE), "Only DMR"))</f>
        <v>Only DMR</v>
      </c>
      <c r="C229" s="34" t="s">
        <v>370</v>
      </c>
      <c r="D229" s="34" t="s">
        <v>371</v>
      </c>
      <c r="E229" s="34" t="s">
        <v>102</v>
      </c>
      <c r="F229" s="34">
        <v>38.662149999999997</v>
      </c>
      <c r="G229" s="34">
        <v>-121.71407000000001</v>
      </c>
      <c r="H229" s="34"/>
      <c r="I229" s="105">
        <v>110039782349</v>
      </c>
      <c r="J229" s="33">
        <f>IF(OR($H229="",$H229="Yes"), VLOOKUP($I229, 'Processed Non-zero DMR Data'!$K:$V, 10, FALSE),"")</f>
        <v>0.36660601599999998</v>
      </c>
      <c r="K229" s="33" t="str">
        <f>IFERROR(VLOOKUP($H229, 'Processed Non-zero TRI Data'!$I:$M, 5, 0), VLOOKUP($I229, 'Processed Non-zero DMR Data'!$K:$M, 3, FALSE))</f>
        <v>Sewerage Systems</v>
      </c>
      <c r="L229" s="33" t="str">
        <f>IFERROR(VLOOKUP($H229, 'Processed Non-zero TRI Data'!I:P, 8, 0), "Direct")</f>
        <v>Direct</v>
      </c>
      <c r="M229" s="33" t="str">
        <f>VLOOKUP($N229, 'COU.OES Summary'!C:D, 2, FALSE)</f>
        <v> </v>
      </c>
      <c r="N229" s="33" t="str">
        <f>IFERROR(VLOOKUP($H229, 'Processed Non-zero TRI Data'!$I:$O, 7, FALSE), VLOOKUP($I229, 'Processed Non-zero DMR Data'!$K:$R, 8, FALSE))</f>
        <v>Waste handling, treatment, and disposal - POTW</v>
      </c>
      <c r="O229" s="33" t="s">
        <v>710</v>
      </c>
      <c r="P229" s="33">
        <f>VLOOKUP($N229, 'COU.OES Summary'!C:E, 3, FALSE)</f>
        <v>365</v>
      </c>
    </row>
    <row r="230" spans="1:16" ht="29" x14ac:dyDescent="0.35">
      <c r="A230" s="34">
        <v>229</v>
      </c>
      <c r="B230" s="33" t="str">
        <f>IF(AND(ISNUMBER(MATCH(H230, 'Processed Non-zero TRI Data'!$I$2:$I$23, FALSE)),ISNUMBER(MATCH(I230, 'Processed Non-zero DMR Data'!$K:$K, FALSE))),"Both TRI Form "&amp; VLOOKUP(H230, 'Processed Non-zero TRI Data'!$I$2:$K$23, 3, FALSE)&amp; " &amp; DMR", IFERROR("Only TRI Form "&amp; VLOOKUP(H230, 'Processed Non-zero TRI Data'!$I$2:$K$23, 3, FALSE), "Only DMR"))</f>
        <v>Only DMR</v>
      </c>
      <c r="C230" s="34" t="s">
        <v>388</v>
      </c>
      <c r="D230" s="34" t="s">
        <v>389</v>
      </c>
      <c r="E230" s="34" t="s">
        <v>102</v>
      </c>
      <c r="F230" s="34">
        <v>37.795589999999997</v>
      </c>
      <c r="G230" s="34">
        <v>-121.26000999999999</v>
      </c>
      <c r="H230" s="34"/>
      <c r="I230" s="105">
        <v>110039801462</v>
      </c>
      <c r="J230" s="33">
        <f>IF(OR($H230="",$H230="Yes"), VLOOKUP($I230, 'Processed Non-zero DMR Data'!$K:$V, 10, FALSE),"")</f>
        <v>0.27096562666666602</v>
      </c>
      <c r="K230" s="33" t="str">
        <f>IFERROR(VLOOKUP($H230, 'Processed Non-zero TRI Data'!$I:$M, 5, 0), VLOOKUP($I230, 'Processed Non-zero DMR Data'!$K:$M, 3, FALSE))</f>
        <v>Sewerage Systems</v>
      </c>
      <c r="L230" s="33" t="str">
        <f>IFERROR(VLOOKUP($H230, 'Processed Non-zero TRI Data'!I:P, 8, 0), "Direct")</f>
        <v>Direct</v>
      </c>
      <c r="M230" s="33" t="str">
        <f>VLOOKUP($N230, 'COU.OES Summary'!C:D, 2, FALSE)</f>
        <v> </v>
      </c>
      <c r="N230" s="33" t="str">
        <f>IFERROR(VLOOKUP($H230, 'Processed Non-zero TRI Data'!$I:$O, 7, FALSE), VLOOKUP($I230, 'Processed Non-zero DMR Data'!$K:$R, 8, FALSE))</f>
        <v>Waste handling, treatment, and disposal - POTW</v>
      </c>
      <c r="O230" s="33" t="s">
        <v>710</v>
      </c>
      <c r="P230" s="33">
        <f>VLOOKUP($N230, 'COU.OES Summary'!C:E, 3, FALSE)</f>
        <v>365</v>
      </c>
    </row>
    <row r="231" spans="1:16" ht="29" x14ac:dyDescent="0.35">
      <c r="A231" s="34">
        <v>230</v>
      </c>
      <c r="B231" s="33" t="str">
        <f>IF(AND(ISNUMBER(MATCH(H231, 'Processed Non-zero TRI Data'!$I$2:$I$23, FALSE)),ISNUMBER(MATCH(I231, 'Processed Non-zero DMR Data'!$K:$K, FALSE))),"Both TRI Form "&amp; VLOOKUP(H231, 'Processed Non-zero TRI Data'!$I$2:$K$23, 3, FALSE)&amp; " &amp; DMR", IFERROR("Only TRI Form "&amp; VLOOKUP(H231, 'Processed Non-zero TRI Data'!$I$2:$K$23, 3, FALSE), "Only DMR"))</f>
        <v>Only DMR</v>
      </c>
      <c r="C231" s="34" t="s">
        <v>144</v>
      </c>
      <c r="D231" s="34" t="s">
        <v>145</v>
      </c>
      <c r="E231" s="34" t="s">
        <v>108</v>
      </c>
      <c r="F231" s="34">
        <v>36.803610999999997</v>
      </c>
      <c r="G231" s="34">
        <v>-87.516389000000004</v>
      </c>
      <c r="H231" s="34"/>
      <c r="I231" s="105">
        <v>110039994897</v>
      </c>
      <c r="J231" s="33">
        <f>IF(OR($H231="",$H231="Yes"), VLOOKUP($I231, 'Processed Non-zero DMR Data'!$K:$V, 10, FALSE),"")</f>
        <v>5.709842825</v>
      </c>
      <c r="K231" s="33" t="str">
        <f>IFERROR(VLOOKUP($H231, 'Processed Non-zero TRI Data'!$I:$M, 5, 0), VLOOKUP($I231, 'Processed Non-zero DMR Data'!$K:$M, 3, FALSE))</f>
        <v>Sewerage Systems</v>
      </c>
      <c r="L231" s="33" t="str">
        <f>IFERROR(VLOOKUP($H231, 'Processed Non-zero TRI Data'!I:P, 8, 0), "Direct")</f>
        <v>Direct</v>
      </c>
      <c r="M231" s="33" t="str">
        <f>VLOOKUP($N231, 'COU.OES Summary'!C:D, 2, FALSE)</f>
        <v> </v>
      </c>
      <c r="N231" s="33" t="str">
        <f>IFERROR(VLOOKUP($H231, 'Processed Non-zero TRI Data'!$I:$O, 7, FALSE), VLOOKUP($I231, 'Processed Non-zero DMR Data'!$K:$R, 8, FALSE))</f>
        <v>Waste handling, treatment, and disposal - POTW</v>
      </c>
      <c r="O231" s="33" t="s">
        <v>710</v>
      </c>
      <c r="P231" s="33">
        <f>VLOOKUP($N231, 'COU.OES Summary'!C:E, 3, FALSE)</f>
        <v>365</v>
      </c>
    </row>
    <row r="232" spans="1:16" ht="29" x14ac:dyDescent="0.35">
      <c r="A232" s="34">
        <v>231</v>
      </c>
      <c r="B232" s="33" t="str">
        <f>IF(AND(ISNUMBER(MATCH(H232, 'Processed Non-zero TRI Data'!$I$2:$I$23, FALSE)),ISNUMBER(MATCH(I232, 'Processed Non-zero DMR Data'!$K:$K, FALSE))),"Both TRI Form "&amp; VLOOKUP(H232, 'Processed Non-zero TRI Data'!$I$2:$K$23, 3, FALSE)&amp; " &amp; DMR", IFERROR("Only TRI Form "&amp; VLOOKUP(H232, 'Processed Non-zero TRI Data'!$I$2:$K$23, 3, FALSE), "Only DMR"))</f>
        <v>Only DMR</v>
      </c>
      <c r="C232" s="34" t="s">
        <v>114</v>
      </c>
      <c r="D232" s="34" t="s">
        <v>115</v>
      </c>
      <c r="E232" s="34" t="s">
        <v>108</v>
      </c>
      <c r="F232" s="34">
        <v>37.790278000000001</v>
      </c>
      <c r="G232" s="34">
        <v>-87.140277999999995</v>
      </c>
      <c r="H232" s="34"/>
      <c r="I232" s="105">
        <v>110039998214</v>
      </c>
      <c r="J232" s="33">
        <f>IF(OR($H232="",$H232="Yes"), VLOOKUP($I232, 'Processed Non-zero DMR Data'!$K:$V, 10, FALSE),"")</f>
        <v>18.809462875000001</v>
      </c>
      <c r="K232" s="33" t="str">
        <f>IFERROR(VLOOKUP($H232, 'Processed Non-zero TRI Data'!$I:$M, 5, 0), VLOOKUP($I232, 'Processed Non-zero DMR Data'!$K:$M, 3, FALSE))</f>
        <v>Sewerage Systems</v>
      </c>
      <c r="L232" s="33" t="str">
        <f>IFERROR(VLOOKUP($H232, 'Processed Non-zero TRI Data'!I:P, 8, 0), "Direct")</f>
        <v>Direct</v>
      </c>
      <c r="M232" s="33" t="str">
        <f>VLOOKUP($N232, 'COU.OES Summary'!C:D, 2, FALSE)</f>
        <v> </v>
      </c>
      <c r="N232" s="33" t="str">
        <f>IFERROR(VLOOKUP($H232, 'Processed Non-zero TRI Data'!$I:$O, 7, FALSE), VLOOKUP($I232, 'Processed Non-zero DMR Data'!$K:$R, 8, FALSE))</f>
        <v>Waste handling, treatment, and disposal - POTW</v>
      </c>
      <c r="O232" s="33" t="s">
        <v>710</v>
      </c>
      <c r="P232" s="33">
        <f>VLOOKUP($N232, 'COU.OES Summary'!C:E, 3, FALSE)</f>
        <v>365</v>
      </c>
    </row>
    <row r="233" spans="1:16" ht="29" x14ac:dyDescent="0.35">
      <c r="A233" s="34">
        <v>232</v>
      </c>
      <c r="B233" s="33" t="str">
        <f>IF(AND(ISNUMBER(MATCH(H233, 'Processed Non-zero TRI Data'!$I$2:$I$23, FALSE)),ISNUMBER(MATCH(I233, 'Processed Non-zero DMR Data'!$K:$K, FALSE))),"Both TRI Form "&amp; VLOOKUP(H233, 'Processed Non-zero TRI Data'!$I$2:$K$23, 3, FALSE)&amp; " &amp; DMR", IFERROR("Only TRI Form "&amp; VLOOKUP(H233, 'Processed Non-zero TRI Data'!$I$2:$K$23, 3, FALSE), "Only DMR"))</f>
        <v>Only DMR</v>
      </c>
      <c r="C233" s="34" t="s">
        <v>232</v>
      </c>
      <c r="D233" s="34" t="s">
        <v>227</v>
      </c>
      <c r="E233" s="34" t="s">
        <v>108</v>
      </c>
      <c r="F233" s="34">
        <v>37.608496000000002</v>
      </c>
      <c r="G233" s="34">
        <v>-84.287074000000004</v>
      </c>
      <c r="H233" s="34"/>
      <c r="I233" s="105">
        <v>110040000398</v>
      </c>
      <c r="J233" s="33">
        <f>IF(OR($H233="",$H233="Yes"), VLOOKUP($I233, 'Processed Non-zero DMR Data'!$K:$V, 10, FALSE),"")</f>
        <v>2.8480137874999998</v>
      </c>
      <c r="K233" s="33" t="str">
        <f>IFERROR(VLOOKUP($H233, 'Processed Non-zero TRI Data'!$I:$M, 5, 0), VLOOKUP($I233, 'Processed Non-zero DMR Data'!$K:$M, 3, FALSE))</f>
        <v>Sewerage Systems</v>
      </c>
      <c r="L233" s="33" t="str">
        <f>IFERROR(VLOOKUP($H233, 'Processed Non-zero TRI Data'!I:P, 8, 0), "Direct")</f>
        <v>Direct</v>
      </c>
      <c r="M233" s="33" t="str">
        <f>VLOOKUP($N233, 'COU.OES Summary'!C:D, 2, FALSE)</f>
        <v> </v>
      </c>
      <c r="N233" s="33" t="str">
        <f>IFERROR(VLOOKUP($H233, 'Processed Non-zero TRI Data'!$I:$O, 7, FALSE), VLOOKUP($I233, 'Processed Non-zero DMR Data'!$K:$R, 8, FALSE))</f>
        <v>Waste handling, treatment, and disposal - POTW</v>
      </c>
      <c r="O233" s="33" t="s">
        <v>710</v>
      </c>
      <c r="P233" s="33">
        <f>VLOOKUP($N233, 'COU.OES Summary'!C:E, 3, FALSE)</f>
        <v>365</v>
      </c>
    </row>
    <row r="234" spans="1:16" ht="29" x14ac:dyDescent="0.35">
      <c r="A234" s="34">
        <v>233</v>
      </c>
      <c r="B234" s="33" t="str">
        <f>IF(AND(ISNUMBER(MATCH(H234, 'Processed Non-zero TRI Data'!$I$2:$I$23, FALSE)),ISNUMBER(MATCH(I234, 'Processed Non-zero DMR Data'!$K:$K, FALSE))),"Both TRI Form "&amp; VLOOKUP(H234, 'Processed Non-zero TRI Data'!$I$2:$K$23, 3, FALSE)&amp; " &amp; DMR", IFERROR("Only TRI Form "&amp; VLOOKUP(H234, 'Processed Non-zero TRI Data'!$I$2:$K$23, 3, FALSE), "Only DMR"))</f>
        <v>Only DMR</v>
      </c>
      <c r="C234" s="34" t="s">
        <v>699</v>
      </c>
      <c r="D234" s="34" t="s">
        <v>700</v>
      </c>
      <c r="E234" s="34" t="s">
        <v>254</v>
      </c>
      <c r="F234" s="34">
        <v>39.766944000000002</v>
      </c>
      <c r="G234" s="34">
        <v>-75.421361000000005</v>
      </c>
      <c r="H234" s="34"/>
      <c r="I234" s="105">
        <v>110041022274</v>
      </c>
      <c r="J234" s="33">
        <f>IF(OR($H234="",$H234="Yes"), VLOOKUP($I234, 'Processed Non-zero DMR Data'!$K:$V, 10, FALSE),"")</f>
        <v>2.0149999999999999E-5</v>
      </c>
      <c r="K234" s="33" t="str">
        <f>IFERROR(VLOOKUP($H234, 'Processed Non-zero TRI Data'!$I:$M, 5, 0), VLOOKUP($I234, 'Processed Non-zero DMR Data'!$K:$M, 3, FALSE))</f>
        <v>Plastics Materials and Resins</v>
      </c>
      <c r="L234" s="33" t="str">
        <f>IFERROR(VLOOKUP($H234, 'Processed Non-zero TRI Data'!I:P, 8, 0), "Direct")</f>
        <v>Direct</v>
      </c>
      <c r="M234" s="33" t="str">
        <f>VLOOKUP($N234, 'COU.OES Summary'!C:D, 2, FALSE)</f>
        <v> </v>
      </c>
      <c r="N234" s="33" t="str">
        <f>IFERROR(VLOOKUP($H234, 'Processed Non-zero TRI Data'!$I:$O, 7, FALSE), VLOOKUP($I234, 'Processed Non-zero DMR Data'!$K:$R, 8, FALSE))</f>
        <v>Waste handling, treatment, and disposal - Remediation or Monitoring</v>
      </c>
      <c r="O234" s="33" t="s">
        <v>710</v>
      </c>
      <c r="P234" s="33">
        <f>VLOOKUP($N234, 'COU.OES Summary'!C:E, 3, FALSE)</f>
        <v>365</v>
      </c>
    </row>
    <row r="235" spans="1:16" ht="29" x14ac:dyDescent="0.35">
      <c r="A235" s="34">
        <v>234</v>
      </c>
      <c r="B235" s="33" t="str">
        <f>IF(AND(ISNUMBER(MATCH(H235, 'Processed Non-zero TRI Data'!$I$2:$I$23, FALSE)),ISNUMBER(MATCH(I235, 'Processed Non-zero DMR Data'!$K:$K, FALSE))),"Both TRI Form "&amp; VLOOKUP(H235, 'Processed Non-zero TRI Data'!$I$2:$K$23, 3, FALSE)&amp; " &amp; DMR", IFERROR("Only TRI Form "&amp; VLOOKUP(H235, 'Processed Non-zero TRI Data'!$I$2:$K$23, 3, FALSE), "Only DMR"))</f>
        <v>Only DMR</v>
      </c>
      <c r="C235" s="34" t="s">
        <v>112</v>
      </c>
      <c r="D235" s="34" t="s">
        <v>113</v>
      </c>
      <c r="E235" s="34" t="s">
        <v>111</v>
      </c>
      <c r="F235" s="34">
        <v>42.437981999999998</v>
      </c>
      <c r="G235" s="34">
        <v>-88.253360999999998</v>
      </c>
      <c r="H235" s="34"/>
      <c r="I235" s="105">
        <v>110041049950</v>
      </c>
      <c r="J235" s="33">
        <f>IF(OR($H235="",$H235="Yes"), VLOOKUP($I235, 'Processed Non-zero DMR Data'!$K:$V, 10, FALSE),"")</f>
        <v>84.481200000000001</v>
      </c>
      <c r="K235" s="33" t="str">
        <f>IFERROR(VLOOKUP($H235, 'Processed Non-zero TRI Data'!$I:$M, 5, 0), VLOOKUP($I235, 'Processed Non-zero DMR Data'!$K:$M, 3, FALSE))</f>
        <v>Watches, Clocks, Watchcases, and Parts</v>
      </c>
      <c r="L235" s="33" t="str">
        <f>IFERROR(VLOOKUP($H235, 'Processed Non-zero TRI Data'!I:P, 8, 0), "Direct")</f>
        <v>Direct</v>
      </c>
      <c r="M235" s="33" t="str">
        <f>VLOOKUP($N235, 'COU.OES Summary'!C:D, 2, FALSE)</f>
        <v> </v>
      </c>
      <c r="N235" s="33" t="str">
        <f>IFERROR(VLOOKUP($H235, 'Processed Non-zero TRI Data'!$I:$O, 7, FALSE), VLOOKUP($I235, 'Processed Non-zero DMR Data'!$K:$R, 8, FALSE))</f>
        <v>Waste handling, treatment, and disposal - Remediation or Monitoring</v>
      </c>
      <c r="O235" s="33" t="s">
        <v>710</v>
      </c>
      <c r="P235" s="33">
        <f>VLOOKUP($N235, 'COU.OES Summary'!C:E, 3, FALSE)</f>
        <v>365</v>
      </c>
    </row>
    <row r="236" spans="1:16" ht="29" x14ac:dyDescent="0.35">
      <c r="A236" s="34">
        <v>235</v>
      </c>
      <c r="B236" s="33" t="str">
        <f>IF(AND(ISNUMBER(MATCH(H236, 'Processed Non-zero TRI Data'!$I$2:$I$23, FALSE)),ISNUMBER(MATCH(I236, 'Processed Non-zero DMR Data'!$K:$K, FALSE))),"Both TRI Form "&amp; VLOOKUP(H236, 'Processed Non-zero TRI Data'!$I$2:$K$23, 3, FALSE)&amp; " &amp; DMR", IFERROR("Only TRI Form "&amp; VLOOKUP(H236, 'Processed Non-zero TRI Data'!$I$2:$K$23, 3, FALSE), "Only DMR"))</f>
        <v>Only DMR</v>
      </c>
      <c r="C236" s="34" t="s">
        <v>252</v>
      </c>
      <c r="D236" s="34" t="s">
        <v>253</v>
      </c>
      <c r="E236" s="34" t="s">
        <v>254</v>
      </c>
      <c r="F236" s="34">
        <v>40.640135000000001</v>
      </c>
      <c r="G236" s="34">
        <v>-74.218879999999999</v>
      </c>
      <c r="H236" s="34"/>
      <c r="I236" s="105">
        <v>110041133163</v>
      </c>
      <c r="J236" s="33">
        <f>IF(OR($H236="",$H236="Yes"), VLOOKUP($I236, 'Processed Non-zero DMR Data'!$K:$V, 10, FALSE),"")</f>
        <v>2</v>
      </c>
      <c r="K236" s="33" t="str">
        <f>IFERROR(VLOOKUP($H236, 'Processed Non-zero TRI Data'!$I:$M, 5, 0), VLOOKUP($I236, 'Processed Non-zero DMR Data'!$K:$M, 3, FALSE))</f>
        <v>Petroleum Refining</v>
      </c>
      <c r="L236" s="33" t="str">
        <f>IFERROR(VLOOKUP($H236, 'Processed Non-zero TRI Data'!I:P, 8, 0), "Direct")</f>
        <v>Direct</v>
      </c>
      <c r="M236" s="33" t="str">
        <f>VLOOKUP($N236, 'COU.OES Summary'!C:D, 2, FALSE)</f>
        <v> </v>
      </c>
      <c r="N236" s="33" t="str">
        <f>IFERROR(VLOOKUP($H236, 'Processed Non-zero TRI Data'!$I:$O, 7, FALSE), VLOOKUP($I236, 'Processed Non-zero DMR Data'!$K:$R, 8, FALSE))</f>
        <v>Waste handling, treatment, and disposal - Remediation or Monitoring</v>
      </c>
      <c r="O236" s="33" t="s">
        <v>710</v>
      </c>
      <c r="P236" s="33">
        <f>VLOOKUP($N236, 'COU.OES Summary'!C:E, 3, FALSE)</f>
        <v>365</v>
      </c>
    </row>
    <row r="237" spans="1:16" ht="29" x14ac:dyDescent="0.35">
      <c r="A237" s="34">
        <v>236</v>
      </c>
      <c r="B237" s="33" t="str">
        <f>IF(AND(ISNUMBER(MATCH(H237, 'Processed Non-zero TRI Data'!$I$2:$I$23, FALSE)),ISNUMBER(MATCH(I237, 'Processed Non-zero DMR Data'!$K:$K, FALSE))),"Both TRI Form "&amp; VLOOKUP(H237, 'Processed Non-zero TRI Data'!$I$2:$K$23, 3, FALSE)&amp; " &amp; DMR", IFERROR("Only TRI Form "&amp; VLOOKUP(H237, 'Processed Non-zero TRI Data'!$I$2:$K$23, 3, FALSE), "Only DMR"))</f>
        <v>Only DMR</v>
      </c>
      <c r="C237" s="34" t="s">
        <v>673</v>
      </c>
      <c r="D237" s="34" t="s">
        <v>674</v>
      </c>
      <c r="E237" s="34" t="s">
        <v>481</v>
      </c>
      <c r="F237" s="34">
        <v>39.567390000000003</v>
      </c>
      <c r="G237" s="34">
        <v>-76.920410000000004</v>
      </c>
      <c r="H237" s="34"/>
      <c r="I237" s="105">
        <v>110041245015</v>
      </c>
      <c r="J237" s="33">
        <f>IF(OR($H237="",$H237="Yes"), VLOOKUP($I237, 'Processed Non-zero DMR Data'!$K:$V, 10, FALSE),"")</f>
        <v>6.9421631250000005E-4</v>
      </c>
      <c r="K237" s="33" t="e">
        <f>IFERROR(VLOOKUP($H237, 'Processed Non-zero TRI Data'!$I:$M, 5, 0), VLOOKUP($I237, 'Processed Non-zero DMR Data'!$K:$M, 3, FALSE))</f>
        <v>#N/A</v>
      </c>
      <c r="L237" s="33" t="str">
        <f>IFERROR(VLOOKUP($H237, 'Processed Non-zero TRI Data'!I:P, 8, 0), "Direct")</f>
        <v>Direct</v>
      </c>
      <c r="M237" s="33" t="str">
        <f>VLOOKUP($N237, 'COU.OES Summary'!C:D, 2, FALSE)</f>
        <v> </v>
      </c>
      <c r="N237" s="33" t="str">
        <f>IFERROR(VLOOKUP($H237, 'Processed Non-zero TRI Data'!$I:$O, 7, FALSE), VLOOKUP($I237, 'Processed Non-zero DMR Data'!$K:$R, 8, FALSE))</f>
        <v>Waste handling, treatment, and disposal - Remediation or Monitoring</v>
      </c>
      <c r="O237" s="33" t="s">
        <v>710</v>
      </c>
      <c r="P237" s="33">
        <f>VLOOKUP($N237, 'COU.OES Summary'!C:E, 3, FALSE)</f>
        <v>365</v>
      </c>
    </row>
    <row r="238" spans="1:16" ht="29" x14ac:dyDescent="0.35">
      <c r="A238" s="34">
        <v>237</v>
      </c>
      <c r="B238" s="33" t="str">
        <f>IF(AND(ISNUMBER(MATCH(H238, 'Processed Non-zero TRI Data'!$I$2:$I$23, FALSE)),ISNUMBER(MATCH(I238, 'Processed Non-zero DMR Data'!$K:$K, FALSE))),"Both TRI Form "&amp; VLOOKUP(H238, 'Processed Non-zero TRI Data'!$I$2:$K$23, 3, FALSE)&amp; " &amp; DMR", IFERROR("Only TRI Form "&amp; VLOOKUP(H238, 'Processed Non-zero TRI Data'!$I$2:$K$23, 3, FALSE), "Only DMR"))</f>
        <v>Only DMR</v>
      </c>
      <c r="C238" s="34" t="s">
        <v>444</v>
      </c>
      <c r="D238" s="34" t="s">
        <v>337</v>
      </c>
      <c r="E238" s="34" t="s">
        <v>221</v>
      </c>
      <c r="F238" s="34">
        <v>36.132570000000001</v>
      </c>
      <c r="G238" s="34">
        <v>-115.16477</v>
      </c>
      <c r="H238" s="34"/>
      <c r="I238" s="105">
        <v>110041253256</v>
      </c>
      <c r="J238" s="33">
        <f>IF(OR($H238="",$H238="Yes"), VLOOKUP($I238, 'Processed Non-zero DMR Data'!$K:$V, 10, FALSE),"")</f>
        <v>7.8746924999999995E-2</v>
      </c>
      <c r="K238" s="33" t="str">
        <f>IFERROR(VLOOKUP($H238, 'Processed Non-zero TRI Data'!$I:$M, 5, 0), VLOOKUP($I238, 'Processed Non-zero DMR Data'!$K:$M, 3, FALSE))</f>
        <v>Hotels and Motels</v>
      </c>
      <c r="L238" s="33" t="str">
        <f>IFERROR(VLOOKUP($H238, 'Processed Non-zero TRI Data'!I:P, 8, 0), "Direct")</f>
        <v>Direct</v>
      </c>
      <c r="M238" s="33" t="str">
        <f>VLOOKUP($N238, 'COU.OES Summary'!C:D, 2, FALSE)</f>
        <v> </v>
      </c>
      <c r="N238" s="33" t="str">
        <f>IFERROR(VLOOKUP($H238, 'Processed Non-zero TRI Data'!$I:$O, 7, FALSE), VLOOKUP($I238, 'Processed Non-zero DMR Data'!$K:$R, 8, FALSE))</f>
        <v>Waste handling, treatment, and disposal - Remediation or Monitoring</v>
      </c>
      <c r="O238" s="33" t="s">
        <v>710</v>
      </c>
      <c r="P238" s="33">
        <f>VLOOKUP($N238, 'COU.OES Summary'!C:E, 3, FALSE)</f>
        <v>365</v>
      </c>
    </row>
    <row r="239" spans="1:16" ht="29" x14ac:dyDescent="0.35">
      <c r="A239" s="34">
        <v>238</v>
      </c>
      <c r="B239" s="33" t="str">
        <f>IF(AND(ISNUMBER(MATCH(H239, 'Processed Non-zero TRI Data'!$I$2:$I$23, FALSE)),ISNUMBER(MATCH(I239, 'Processed Non-zero DMR Data'!$K:$K, FALSE))),"Both TRI Form "&amp; VLOOKUP(H239, 'Processed Non-zero TRI Data'!$I$2:$K$23, 3, FALSE)&amp; " &amp; DMR", IFERROR("Only TRI Form "&amp; VLOOKUP(H239, 'Processed Non-zero TRI Data'!$I$2:$K$23, 3, FALSE), "Only DMR"))</f>
        <v>Only DMR</v>
      </c>
      <c r="C239" s="34" t="s">
        <v>656</v>
      </c>
      <c r="D239" s="34" t="s">
        <v>337</v>
      </c>
      <c r="E239" s="34" t="s">
        <v>221</v>
      </c>
      <c r="F239" s="34">
        <v>36.074100000000001</v>
      </c>
      <c r="G239" s="34">
        <v>-115.17274</v>
      </c>
      <c r="H239" s="34"/>
      <c r="I239" s="105">
        <v>110041903223</v>
      </c>
      <c r="J239" s="33">
        <f>IF(OR($H239="",$H239="Yes"), VLOOKUP($I239, 'Processed Non-zero DMR Data'!$K:$V, 10, FALSE),"")</f>
        <v>2.39176515625E-3</v>
      </c>
      <c r="K239" s="33" t="str">
        <f>IFERROR(VLOOKUP($H239, 'Processed Non-zero TRI Data'!$I:$M, 5, 0), VLOOKUP($I239, 'Processed Non-zero DMR Data'!$K:$M, 3, FALSE))</f>
        <v>Gasoline Service Stations</v>
      </c>
      <c r="L239" s="33" t="str">
        <f>IFERROR(VLOOKUP($H239, 'Processed Non-zero TRI Data'!I:P, 8, 0), "Direct")</f>
        <v>Direct</v>
      </c>
      <c r="M239" s="33" t="str">
        <f>VLOOKUP($N239, 'COU.OES Summary'!C:D, 2, FALSE)</f>
        <v> </v>
      </c>
      <c r="N239" s="33" t="str">
        <f>IFERROR(VLOOKUP($H239, 'Processed Non-zero TRI Data'!$I:$O, 7, FALSE), VLOOKUP($I239, 'Processed Non-zero DMR Data'!$K:$R, 8, FALSE))</f>
        <v>Waste handling, treatment, and disposal - Remediation or Monitoring</v>
      </c>
      <c r="O239" s="33" t="s">
        <v>710</v>
      </c>
      <c r="P239" s="33">
        <f>VLOOKUP($N239, 'COU.OES Summary'!C:E, 3, FALSE)</f>
        <v>365</v>
      </c>
    </row>
    <row r="240" spans="1:16" ht="29" x14ac:dyDescent="0.35">
      <c r="A240" s="34">
        <v>239</v>
      </c>
      <c r="B240" s="33" t="str">
        <f>IF(AND(ISNUMBER(MATCH(H240, 'Processed Non-zero TRI Data'!$I$2:$I$23, FALSE)),ISNUMBER(MATCH(I240, 'Processed Non-zero DMR Data'!$K:$K, FALSE))),"Both TRI Form "&amp; VLOOKUP(H240, 'Processed Non-zero TRI Data'!$I$2:$K$23, 3, FALSE)&amp; " &amp; DMR", IFERROR("Only TRI Form "&amp; VLOOKUP(H240, 'Processed Non-zero TRI Data'!$I$2:$K$23, 3, FALSE), "Only DMR"))</f>
        <v>Only DMR</v>
      </c>
      <c r="C240" s="34" t="s">
        <v>267</v>
      </c>
      <c r="D240" s="34" t="s">
        <v>268</v>
      </c>
      <c r="E240" s="34" t="s">
        <v>156</v>
      </c>
      <c r="F240" s="34">
        <v>21.438638999999998</v>
      </c>
      <c r="G240" s="34">
        <v>-157.75847200000001</v>
      </c>
      <c r="H240" s="34"/>
      <c r="I240" s="105">
        <v>110041973460</v>
      </c>
      <c r="J240" s="33">
        <f>IF(OR($H240="",$H240="Yes"), VLOOKUP($I240, 'Processed Non-zero DMR Data'!$K:$V, 10, FALSE),"")</f>
        <v>0.99055342499999999</v>
      </c>
      <c r="K240" s="33" t="str">
        <f>IFERROR(VLOOKUP($H240, 'Processed Non-zero TRI Data'!$I:$M, 5, 0), VLOOKUP($I240, 'Processed Non-zero DMR Data'!$K:$M, 3, FALSE))</f>
        <v>Sewerage Systems</v>
      </c>
      <c r="L240" s="33" t="str">
        <f>IFERROR(VLOOKUP($H240, 'Processed Non-zero TRI Data'!I:P, 8, 0), "Direct")</f>
        <v>Direct</v>
      </c>
      <c r="M240" s="33" t="str">
        <f>VLOOKUP($N240, 'COU.OES Summary'!C:D, 2, FALSE)</f>
        <v> </v>
      </c>
      <c r="N240" s="33" t="str">
        <f>IFERROR(VLOOKUP($H240, 'Processed Non-zero TRI Data'!$I:$O, 7, FALSE), VLOOKUP($I240, 'Processed Non-zero DMR Data'!$K:$R, 8, FALSE))</f>
        <v>Waste handling, treatment, and disposal - POTW</v>
      </c>
      <c r="O240" s="33" t="s">
        <v>710</v>
      </c>
      <c r="P240" s="33">
        <f>VLOOKUP($N240, 'COU.OES Summary'!C:E, 3, FALSE)</f>
        <v>365</v>
      </c>
    </row>
    <row r="241" spans="1:16" ht="29" x14ac:dyDescent="0.35">
      <c r="A241" s="34">
        <v>240</v>
      </c>
      <c r="B241" s="33" t="str">
        <f>IF(AND(ISNUMBER(MATCH(H241, 'Processed Non-zero TRI Data'!$I$2:$I$23, FALSE)),ISNUMBER(MATCH(I241, 'Processed Non-zero DMR Data'!$K:$K, FALSE))),"Both TRI Form "&amp; VLOOKUP(H241, 'Processed Non-zero TRI Data'!$I$2:$K$23, 3, FALSE)&amp; " &amp; DMR", IFERROR("Only TRI Form "&amp; VLOOKUP(H241, 'Processed Non-zero TRI Data'!$I$2:$K$23, 3, FALSE), "Only DMR"))</f>
        <v>Only DMR</v>
      </c>
      <c r="C241" s="34" t="s">
        <v>271</v>
      </c>
      <c r="D241" s="34" t="s">
        <v>272</v>
      </c>
      <c r="E241" s="34" t="s">
        <v>273</v>
      </c>
      <c r="F241" s="34">
        <v>36.688809999999997</v>
      </c>
      <c r="G241" s="34">
        <v>-108.48036</v>
      </c>
      <c r="H241" s="34"/>
      <c r="I241" s="105">
        <v>110042068473</v>
      </c>
      <c r="J241" s="33">
        <f>IF(OR($H241="",$H241="Yes"), VLOOKUP($I241, 'Processed Non-zero DMR Data'!$K:$V, 10, FALSE),"")</f>
        <v>1.6192230000000001</v>
      </c>
      <c r="K241" s="33" t="str">
        <f>IFERROR(VLOOKUP($H241, 'Processed Non-zero TRI Data'!$I:$M, 5, 0), VLOOKUP($I241, 'Processed Non-zero DMR Data'!$K:$M, 3, FALSE))</f>
        <v>Electric Services</v>
      </c>
      <c r="L241" s="33" t="str">
        <f>IFERROR(VLOOKUP($H241, 'Processed Non-zero TRI Data'!I:P, 8, 0), "Direct")</f>
        <v>Direct</v>
      </c>
      <c r="M241" s="33" t="str">
        <f>VLOOKUP($N241, 'COU.OES Summary'!C:D, 2, FALSE)</f>
        <v> </v>
      </c>
      <c r="N241" s="33" t="str">
        <f>IFERROR(VLOOKUP($H241, 'Processed Non-zero TRI Data'!$I:$O, 7, FALSE), VLOOKUP($I241, 'Processed Non-zero DMR Data'!$K:$R, 8, FALSE))</f>
        <v>Waste handling, treatment, and disposal - Remediation or Monitoring</v>
      </c>
      <c r="O241" s="33" t="s">
        <v>710</v>
      </c>
      <c r="P241" s="33">
        <f>VLOOKUP($N241, 'COU.OES Summary'!C:E, 3, FALSE)</f>
        <v>365</v>
      </c>
    </row>
    <row r="242" spans="1:16" ht="29" x14ac:dyDescent="0.35">
      <c r="A242" s="34">
        <v>241</v>
      </c>
      <c r="B242" s="33" t="str">
        <f>IF(AND(ISNUMBER(MATCH(H242, 'Processed Non-zero TRI Data'!$I$2:$I$23, FALSE)),ISNUMBER(MATCH(I242, 'Processed Non-zero DMR Data'!$K:$K, FALSE))),"Both TRI Form "&amp; VLOOKUP(H242, 'Processed Non-zero TRI Data'!$I$2:$K$23, 3, FALSE)&amp; " &amp; DMR", IFERROR("Only TRI Form "&amp; VLOOKUP(H242, 'Processed Non-zero TRI Data'!$I$2:$K$23, 3, FALSE), "Only DMR"))</f>
        <v>Only DMR</v>
      </c>
      <c r="C242" s="34" t="s">
        <v>123</v>
      </c>
      <c r="D242" s="34" t="s">
        <v>107</v>
      </c>
      <c r="E242" s="34" t="s">
        <v>108</v>
      </c>
      <c r="F242" s="34">
        <v>38.122354000000001</v>
      </c>
      <c r="G242" s="34">
        <v>-85.587648000000002</v>
      </c>
      <c r="H242" s="34"/>
      <c r="I242" s="105">
        <v>110043485421</v>
      </c>
      <c r="J242" s="33">
        <f>IF(OR($H242="",$H242="Yes"), VLOOKUP($I242, 'Processed Non-zero DMR Data'!$K:$V, 10, FALSE),"")</f>
        <v>27.7651986875</v>
      </c>
      <c r="K242" s="33" t="str">
        <f>IFERROR(VLOOKUP($H242, 'Processed Non-zero TRI Data'!$I:$M, 5, 0), VLOOKUP($I242, 'Processed Non-zero DMR Data'!$K:$M, 3, FALSE))</f>
        <v>Sewerage Systems</v>
      </c>
      <c r="L242" s="33" t="str">
        <f>IFERROR(VLOOKUP($H242, 'Processed Non-zero TRI Data'!I:P, 8, 0), "Direct")</f>
        <v>Direct</v>
      </c>
      <c r="M242" s="33" t="str">
        <f>VLOOKUP($N242, 'COU.OES Summary'!C:D, 2, FALSE)</f>
        <v> </v>
      </c>
      <c r="N242" s="33" t="str">
        <f>IFERROR(VLOOKUP($H242, 'Processed Non-zero TRI Data'!$I:$O, 7, FALSE), VLOOKUP($I242, 'Processed Non-zero DMR Data'!$K:$R, 8, FALSE))</f>
        <v>Waste handling, treatment, and disposal - POTW</v>
      </c>
      <c r="O242" s="33" t="s">
        <v>710</v>
      </c>
      <c r="P242" s="33">
        <f>VLOOKUP($N242, 'COU.OES Summary'!C:E, 3, FALSE)</f>
        <v>365</v>
      </c>
    </row>
    <row r="243" spans="1:16" ht="29" x14ac:dyDescent="0.35">
      <c r="A243" s="34">
        <v>242</v>
      </c>
      <c r="B243" s="33" t="str">
        <f>IF(AND(ISNUMBER(MATCH(H243, 'Processed Non-zero TRI Data'!$I$2:$I$23, FALSE)),ISNUMBER(MATCH(I243, 'Processed Non-zero DMR Data'!$K:$K, FALSE))),"Both TRI Form "&amp; VLOOKUP(H243, 'Processed Non-zero TRI Data'!$I$2:$K$23, 3, FALSE)&amp; " &amp; DMR", IFERROR("Only TRI Form "&amp; VLOOKUP(H243, 'Processed Non-zero TRI Data'!$I$2:$K$23, 3, FALSE), "Only DMR"))</f>
        <v>Only DMR</v>
      </c>
      <c r="C243" s="34" t="s">
        <v>138</v>
      </c>
      <c r="D243" s="34" t="s">
        <v>107</v>
      </c>
      <c r="E243" s="34" t="s">
        <v>108</v>
      </c>
      <c r="F243" s="34">
        <v>38.236699999999999</v>
      </c>
      <c r="G243" s="34">
        <v>-85.466710000000006</v>
      </c>
      <c r="H243" s="34"/>
      <c r="I243" s="105">
        <v>110043486457</v>
      </c>
      <c r="J243" s="33">
        <f>IF(OR($H243="",$H243="Yes"), VLOOKUP($I243, 'Processed Non-zero DMR Data'!$K:$V, 10, FALSE),"")</f>
        <v>15.645770625000001</v>
      </c>
      <c r="K243" s="33" t="str">
        <f>IFERROR(VLOOKUP($H243, 'Processed Non-zero TRI Data'!$I:$M, 5, 0), VLOOKUP($I243, 'Processed Non-zero DMR Data'!$K:$M, 3, FALSE))</f>
        <v>Sewerage Systems</v>
      </c>
      <c r="L243" s="33" t="str">
        <f>IFERROR(VLOOKUP($H243, 'Processed Non-zero TRI Data'!I:P, 8, 0), "Direct")</f>
        <v>Direct</v>
      </c>
      <c r="M243" s="33" t="str">
        <f>VLOOKUP($N243, 'COU.OES Summary'!C:D, 2, FALSE)</f>
        <v> </v>
      </c>
      <c r="N243" s="33" t="str">
        <f>IFERROR(VLOOKUP($H243, 'Processed Non-zero TRI Data'!$I:$O, 7, FALSE), VLOOKUP($I243, 'Processed Non-zero DMR Data'!$K:$R, 8, FALSE))</f>
        <v>Waste handling, treatment, and disposal - POTW</v>
      </c>
      <c r="O243" s="33" t="s">
        <v>710</v>
      </c>
      <c r="P243" s="33">
        <f>VLOOKUP($N243, 'COU.OES Summary'!C:E, 3, FALSE)</f>
        <v>365</v>
      </c>
    </row>
    <row r="244" spans="1:16" ht="29" x14ac:dyDescent="0.35">
      <c r="A244" s="34">
        <v>243</v>
      </c>
      <c r="B244" s="33" t="str">
        <f>IF(AND(ISNUMBER(MATCH(H244, 'Processed Non-zero TRI Data'!$I$2:$I$23, FALSE)),ISNUMBER(MATCH(I244, 'Processed Non-zero DMR Data'!$K:$K, FALSE))),"Both TRI Form "&amp; VLOOKUP(H244, 'Processed Non-zero TRI Data'!$I$2:$K$23, 3, FALSE)&amp; " &amp; DMR", IFERROR("Only TRI Form "&amp; VLOOKUP(H244, 'Processed Non-zero TRI Data'!$I$2:$K$23, 3, FALSE), "Only DMR"))</f>
        <v>Only DMR</v>
      </c>
      <c r="C244" s="34" t="s">
        <v>586</v>
      </c>
      <c r="D244" s="34" t="s">
        <v>587</v>
      </c>
      <c r="E244" s="34" t="s">
        <v>108</v>
      </c>
      <c r="F244" s="34">
        <v>38.072870000000002</v>
      </c>
      <c r="G244" s="34">
        <v>-84.484369999999998</v>
      </c>
      <c r="H244" s="34"/>
      <c r="I244" s="105">
        <v>110043544144</v>
      </c>
      <c r="J244" s="33">
        <f>IF(OR($H244="",$H244="Yes"), VLOOKUP($I244, 'Processed Non-zero DMR Data'!$K:$V, 10, FALSE),"")</f>
        <v>4.7950272500000002E-3</v>
      </c>
      <c r="K244" s="33" t="str">
        <f>IFERROR(VLOOKUP($H244, 'Processed Non-zero TRI Data'!$I:$M, 5, 0), VLOOKUP($I244, 'Processed Non-zero DMR Data'!$K:$M, 3, FALSE))</f>
        <v>Office Machines, Nec</v>
      </c>
      <c r="L244" s="33" t="str">
        <f>IFERROR(VLOOKUP($H244, 'Processed Non-zero TRI Data'!I:P, 8, 0), "Direct")</f>
        <v>Direct</v>
      </c>
      <c r="M244" s="33" t="str">
        <f>VLOOKUP($N244, 'COU.OES Summary'!C:D, 2, FALSE)</f>
        <v> </v>
      </c>
      <c r="N244" s="33" t="str">
        <f>IFERROR(VLOOKUP($H244, 'Processed Non-zero TRI Data'!$I:$O, 7, FALSE), VLOOKUP($I244, 'Processed Non-zero DMR Data'!$K:$R, 8, FALSE))</f>
        <v>Waste handling, treatment, and disposal - Remediation or Monitoring</v>
      </c>
      <c r="O244" s="33" t="s">
        <v>710</v>
      </c>
      <c r="P244" s="33">
        <f>VLOOKUP($N244, 'COU.OES Summary'!C:E, 3, FALSE)</f>
        <v>365</v>
      </c>
    </row>
    <row r="245" spans="1:16" ht="29" x14ac:dyDescent="0.35">
      <c r="A245" s="34">
        <v>244</v>
      </c>
      <c r="B245" s="33" t="str">
        <f>IF(AND(ISNUMBER(MATCH(H245, 'Processed Non-zero TRI Data'!$I$2:$I$23, FALSE)),ISNUMBER(MATCH(I245, 'Processed Non-zero DMR Data'!$K:$K, FALSE))),"Both TRI Form "&amp; VLOOKUP(H245, 'Processed Non-zero TRI Data'!$I$2:$K$23, 3, FALSE)&amp; " &amp; DMR", IFERROR("Only TRI Form "&amp; VLOOKUP(H245, 'Processed Non-zero TRI Data'!$I$2:$K$23, 3, FALSE), "Only DMR"))</f>
        <v>Only DMR</v>
      </c>
      <c r="C245" s="34" t="s">
        <v>120</v>
      </c>
      <c r="D245" s="34" t="s">
        <v>115</v>
      </c>
      <c r="E245" s="34" t="s">
        <v>108</v>
      </c>
      <c r="F245" s="34">
        <v>37.770769999999999</v>
      </c>
      <c r="G245" s="34">
        <v>-87.065669999999997</v>
      </c>
      <c r="H245" s="34"/>
      <c r="I245" s="105">
        <v>110043734983</v>
      </c>
      <c r="J245" s="33">
        <f>IF(OR($H245="",$H245="Yes"), VLOOKUP($I245, 'Processed Non-zero DMR Data'!$K:$V, 10, FALSE),"")</f>
        <v>18.236129999999999</v>
      </c>
      <c r="K245" s="33" t="str">
        <f>IFERROR(VLOOKUP($H245, 'Processed Non-zero TRI Data'!$I:$M, 5, 0), VLOOKUP($I245, 'Processed Non-zero DMR Data'!$K:$M, 3, FALSE))</f>
        <v>Sewerage Systems</v>
      </c>
      <c r="L245" s="33" t="str">
        <f>IFERROR(VLOOKUP($H245, 'Processed Non-zero TRI Data'!I:P, 8, 0), "Direct")</f>
        <v>Direct</v>
      </c>
      <c r="M245" s="33" t="str">
        <f>VLOOKUP($N245, 'COU.OES Summary'!C:D, 2, FALSE)</f>
        <v> </v>
      </c>
      <c r="N245" s="33" t="str">
        <f>IFERROR(VLOOKUP($H245, 'Processed Non-zero TRI Data'!$I:$O, 7, FALSE), VLOOKUP($I245, 'Processed Non-zero DMR Data'!$K:$R, 8, FALSE))</f>
        <v>Waste handling, treatment, and disposal - POTW</v>
      </c>
      <c r="O245" s="33" t="s">
        <v>710</v>
      </c>
      <c r="P245" s="33">
        <f>VLOOKUP($N245, 'COU.OES Summary'!C:E, 3, FALSE)</f>
        <v>365</v>
      </c>
    </row>
    <row r="246" spans="1:16" ht="29" x14ac:dyDescent="0.35">
      <c r="A246" s="34">
        <v>245</v>
      </c>
      <c r="B246" s="33" t="str">
        <f>IF(AND(ISNUMBER(MATCH(H246, 'Processed Non-zero TRI Data'!$I$2:$I$23, FALSE)),ISNUMBER(MATCH(I246, 'Processed Non-zero DMR Data'!$K:$K, FALSE))),"Both TRI Form "&amp; VLOOKUP(H246, 'Processed Non-zero TRI Data'!$I$2:$K$23, 3, FALSE)&amp; " &amp; DMR", IFERROR("Only TRI Form "&amp; VLOOKUP(H246, 'Processed Non-zero TRI Data'!$I$2:$K$23, 3, FALSE), "Only DMR"))</f>
        <v>Only DMR</v>
      </c>
      <c r="C246" s="34" t="s">
        <v>346</v>
      </c>
      <c r="D246" s="34" t="s">
        <v>347</v>
      </c>
      <c r="E246" s="34" t="s">
        <v>221</v>
      </c>
      <c r="F246" s="34">
        <v>36.035440000000001</v>
      </c>
      <c r="G246" s="34">
        <v>-114.99994</v>
      </c>
      <c r="H246" s="34"/>
      <c r="I246" s="105">
        <v>110043808467</v>
      </c>
      <c r="J246" s="33">
        <f>IF(OR($H246="",$H246="Yes"), VLOOKUP($I246, 'Processed Non-zero DMR Data'!$K:$V, 10, FALSE),"")</f>
        <v>0.29663518124999999</v>
      </c>
      <c r="K246" s="33" t="str">
        <f>IFERROR(VLOOKUP($H246, 'Processed Non-zero TRI Data'!$I:$M, 5, 0), VLOOKUP($I246, 'Processed Non-zero DMR Data'!$K:$M, 3, FALSE))</f>
        <v>Special Trade Contractors, Nec</v>
      </c>
      <c r="L246" s="33" t="str">
        <f>IFERROR(VLOOKUP($H246, 'Processed Non-zero TRI Data'!I:P, 8, 0), "Direct")</f>
        <v>Direct</v>
      </c>
      <c r="M246" s="33" t="str">
        <f>VLOOKUP($N246, 'COU.OES Summary'!C:D, 2, FALSE)</f>
        <v> </v>
      </c>
      <c r="N246" s="33" t="str">
        <f>IFERROR(VLOOKUP($H246, 'Processed Non-zero TRI Data'!$I:$O, 7, FALSE), VLOOKUP($I246, 'Processed Non-zero DMR Data'!$K:$R, 8, FALSE))</f>
        <v>Waste handling, treatment, and disposal - Remediation or Monitoring</v>
      </c>
      <c r="O246" s="33" t="s">
        <v>710</v>
      </c>
      <c r="P246" s="33">
        <f>VLOOKUP($N246, 'COU.OES Summary'!C:E, 3, FALSE)</f>
        <v>365</v>
      </c>
    </row>
    <row r="247" spans="1:16" ht="29" x14ac:dyDescent="0.35">
      <c r="A247" s="34">
        <v>246</v>
      </c>
      <c r="B247" s="33" t="str">
        <f>IF(AND(ISNUMBER(MATCH(H247, 'Processed Non-zero TRI Data'!$I$2:$I$23, FALSE)),ISNUMBER(MATCH(I247, 'Processed Non-zero DMR Data'!$K:$K, FALSE))),"Both TRI Form "&amp; VLOOKUP(H247, 'Processed Non-zero TRI Data'!$I$2:$K$23, 3, FALSE)&amp; " &amp; DMR", IFERROR("Only TRI Form "&amp; VLOOKUP(H247, 'Processed Non-zero TRI Data'!$I$2:$K$23, 3, FALSE), "Only DMR"))</f>
        <v>Only DMR</v>
      </c>
      <c r="C247" s="34" t="s">
        <v>244</v>
      </c>
      <c r="D247" s="34" t="s">
        <v>245</v>
      </c>
      <c r="E247" s="34" t="s">
        <v>111</v>
      </c>
      <c r="F247" s="34">
        <v>38.2774</v>
      </c>
      <c r="G247" s="34">
        <v>-89.666899999999998</v>
      </c>
      <c r="H247" s="34"/>
      <c r="I247" s="105">
        <v>110044852068</v>
      </c>
      <c r="J247" s="33">
        <f>IF(OR($H247="",$H247="Yes"), VLOOKUP($I247, 'Processed Non-zero DMR Data'!$K:$V, 10, FALSE),"")</f>
        <v>2.0336048</v>
      </c>
      <c r="K247" s="33" t="str">
        <f>IFERROR(VLOOKUP($H247, 'Processed Non-zero TRI Data'!$I:$M, 5, 0), VLOOKUP($I247, 'Processed Non-zero DMR Data'!$K:$M, 3, FALSE))</f>
        <v>Electric Services</v>
      </c>
      <c r="L247" s="33" t="str">
        <f>IFERROR(VLOOKUP($H247, 'Processed Non-zero TRI Data'!I:P, 8, 0), "Direct")</f>
        <v>Direct</v>
      </c>
      <c r="M247" s="33" t="str">
        <f>VLOOKUP($N247, 'COU.OES Summary'!C:D, 2, FALSE)</f>
        <v> </v>
      </c>
      <c r="N247" s="33" t="str">
        <f>IFERROR(VLOOKUP($H247, 'Processed Non-zero TRI Data'!$I:$O, 7, FALSE), VLOOKUP($I247, 'Processed Non-zero DMR Data'!$K:$R, 8, FALSE))</f>
        <v>Waste handling, treatment, and disposal - Remediation or Monitoring</v>
      </c>
      <c r="O247" s="33" t="s">
        <v>710</v>
      </c>
      <c r="P247" s="33">
        <f>VLOOKUP($N247, 'COU.OES Summary'!C:E, 3, FALSE)</f>
        <v>365</v>
      </c>
    </row>
    <row r="248" spans="1:16" ht="29" x14ac:dyDescent="0.35">
      <c r="A248" s="34">
        <v>247</v>
      </c>
      <c r="B248" s="33" t="str">
        <f>IF(AND(ISNUMBER(MATCH(H248, 'Processed Non-zero TRI Data'!$I$2:$I$23, FALSE)),ISNUMBER(MATCH(I248, 'Processed Non-zero DMR Data'!$K:$K, FALSE))),"Both TRI Form "&amp; VLOOKUP(H248, 'Processed Non-zero TRI Data'!$I$2:$K$23, 3, FALSE)&amp; " &amp; DMR", IFERROR("Only TRI Form "&amp; VLOOKUP(H248, 'Processed Non-zero TRI Data'!$I$2:$K$23, 3, FALSE), "Only DMR"))</f>
        <v>Only DMR</v>
      </c>
      <c r="C248" s="34" t="s">
        <v>237</v>
      </c>
      <c r="D248" s="34" t="s">
        <v>238</v>
      </c>
      <c r="E248" s="34" t="s">
        <v>108</v>
      </c>
      <c r="F248" s="34">
        <v>38.151904999999999</v>
      </c>
      <c r="G248" s="34">
        <v>-83.513848999999993</v>
      </c>
      <c r="H248" s="34"/>
      <c r="I248" s="105">
        <v>110045085457</v>
      </c>
      <c r="J248" s="33">
        <f>IF(OR($H248="",$H248="Yes"), VLOOKUP($I248, 'Processed Non-zero DMR Data'!$K:$V, 10, FALSE),"")</f>
        <v>2.3914197750000001</v>
      </c>
      <c r="K248" s="33" t="str">
        <f>IFERROR(VLOOKUP($H248, 'Processed Non-zero TRI Data'!$I:$M, 5, 0), VLOOKUP($I248, 'Processed Non-zero DMR Data'!$K:$M, 3, FALSE))</f>
        <v>Sewerage Systems</v>
      </c>
      <c r="L248" s="33" t="str">
        <f>IFERROR(VLOOKUP($H248, 'Processed Non-zero TRI Data'!I:P, 8, 0), "Direct")</f>
        <v>Direct</v>
      </c>
      <c r="M248" s="33" t="str">
        <f>VLOOKUP($N248, 'COU.OES Summary'!C:D, 2, FALSE)</f>
        <v> </v>
      </c>
      <c r="N248" s="33" t="str">
        <f>IFERROR(VLOOKUP($H248, 'Processed Non-zero TRI Data'!$I:$O, 7, FALSE), VLOOKUP($I248, 'Processed Non-zero DMR Data'!$K:$R, 8, FALSE))</f>
        <v>Waste handling, treatment, and disposal - POTW</v>
      </c>
      <c r="O248" s="33" t="s">
        <v>710</v>
      </c>
      <c r="P248" s="33">
        <f>VLOOKUP($N248, 'COU.OES Summary'!C:E, 3, FALSE)</f>
        <v>365</v>
      </c>
    </row>
    <row r="249" spans="1:16" ht="29" x14ac:dyDescent="0.35">
      <c r="A249" s="34">
        <v>248</v>
      </c>
      <c r="B249" s="33" t="str">
        <f>IF(AND(ISNUMBER(MATCH(H249, 'Processed Non-zero TRI Data'!$I$2:$I$23, FALSE)),ISNUMBER(MATCH(I249, 'Processed Non-zero DMR Data'!$K:$K, FALSE))),"Both TRI Form "&amp; VLOOKUP(H249, 'Processed Non-zero TRI Data'!$I$2:$K$23, 3, FALSE)&amp; " &amp; DMR", IFERROR("Only TRI Form "&amp; VLOOKUP(H249, 'Processed Non-zero TRI Data'!$I$2:$K$23, 3, FALSE), "Only DMR"))</f>
        <v>Only DMR</v>
      </c>
      <c r="C249" s="34" t="s">
        <v>204</v>
      </c>
      <c r="D249" s="34" t="s">
        <v>205</v>
      </c>
      <c r="E249" s="34" t="s">
        <v>108</v>
      </c>
      <c r="F249" s="34">
        <v>38.631208000000001</v>
      </c>
      <c r="G249" s="34">
        <v>-84.618809999999996</v>
      </c>
      <c r="H249" s="34"/>
      <c r="I249" s="105">
        <v>110045091379</v>
      </c>
      <c r="J249" s="33">
        <f>IF(OR($H249="",$H249="Yes"), VLOOKUP($I249, 'Processed Non-zero DMR Data'!$K:$V, 10, FALSE),"")</f>
        <v>4.1445749999999997</v>
      </c>
      <c r="K249" s="33" t="str">
        <f>IFERROR(VLOOKUP($H249, 'Processed Non-zero TRI Data'!$I:$M, 5, 0), VLOOKUP($I249, 'Processed Non-zero DMR Data'!$K:$M, 3, FALSE))</f>
        <v>Sewerage Systems</v>
      </c>
      <c r="L249" s="33" t="str">
        <f>IFERROR(VLOOKUP($H249, 'Processed Non-zero TRI Data'!I:P, 8, 0), "Direct")</f>
        <v>Direct</v>
      </c>
      <c r="M249" s="33" t="str">
        <f>VLOOKUP($N249, 'COU.OES Summary'!C:D, 2, FALSE)</f>
        <v> </v>
      </c>
      <c r="N249" s="33" t="str">
        <f>IFERROR(VLOOKUP($H249, 'Processed Non-zero TRI Data'!$I:$O, 7, FALSE), VLOOKUP($I249, 'Processed Non-zero DMR Data'!$K:$R, 8, FALSE))</f>
        <v>Waste handling, treatment, and disposal - POTW</v>
      </c>
      <c r="O249" s="33" t="s">
        <v>710</v>
      </c>
      <c r="P249" s="33">
        <f>VLOOKUP($N249, 'COU.OES Summary'!C:E, 3, FALSE)</f>
        <v>365</v>
      </c>
    </row>
    <row r="250" spans="1:16" ht="29" x14ac:dyDescent="0.35">
      <c r="A250" s="34">
        <v>249</v>
      </c>
      <c r="B250" s="33" t="str">
        <f>IF(AND(ISNUMBER(MATCH(H250, 'Processed Non-zero TRI Data'!$I$2:$I$23, FALSE)),ISNUMBER(MATCH(I250, 'Processed Non-zero DMR Data'!$K:$K, FALSE))),"Both TRI Form "&amp; VLOOKUP(H250, 'Processed Non-zero TRI Data'!$I$2:$K$23, 3, FALSE)&amp; " &amp; DMR", IFERROR("Only TRI Form "&amp; VLOOKUP(H250, 'Processed Non-zero TRI Data'!$I$2:$K$23, 3, FALSE), "Only DMR"))</f>
        <v>Only DMR</v>
      </c>
      <c r="C250" s="34" t="s">
        <v>420</v>
      </c>
      <c r="D250" s="34" t="s">
        <v>421</v>
      </c>
      <c r="E250" s="34" t="s">
        <v>95</v>
      </c>
      <c r="F250" s="34">
        <v>29.726493000000001</v>
      </c>
      <c r="G250" s="34">
        <v>-95.089771999999996</v>
      </c>
      <c r="H250" s="34"/>
      <c r="I250" s="105">
        <v>110045651344</v>
      </c>
      <c r="J250" s="33">
        <f>IF(OR($H250="",$H250="Yes"), VLOOKUP($I250, 'Processed Non-zero DMR Data'!$K:$V, 10, FALSE),"")</f>
        <v>0.16571</v>
      </c>
      <c r="K250" s="33" t="str">
        <f>IFERROR(VLOOKUP($H250, 'Processed Non-zero TRI Data'!$I:$M, 5, 0), VLOOKUP($I250, 'Processed Non-zero DMR Data'!$K:$M, 3, FALSE))</f>
        <v>Plastics Materials and Resins</v>
      </c>
      <c r="L250" s="33" t="str">
        <f>IFERROR(VLOOKUP($H250, 'Processed Non-zero TRI Data'!I:P, 8, 0), "Direct")</f>
        <v>Direct</v>
      </c>
      <c r="M250" s="33" t="str">
        <f>VLOOKUP($N250, 'COU.OES Summary'!C:D, 2, FALSE)</f>
        <v> </v>
      </c>
      <c r="N250" s="33" t="str">
        <f>IFERROR(VLOOKUP($H250, 'Processed Non-zero TRI Data'!$I:$O, 7, FALSE), VLOOKUP($I250, 'Processed Non-zero DMR Data'!$K:$R, 8, FALSE))</f>
        <v>Waste handling, treatment, and disposal - Remediation or Monitoring</v>
      </c>
      <c r="O250" s="33" t="s">
        <v>710</v>
      </c>
      <c r="P250" s="33">
        <f>VLOOKUP($N250, 'COU.OES Summary'!C:E, 3, FALSE)</f>
        <v>365</v>
      </c>
    </row>
    <row r="251" spans="1:16" ht="29" x14ac:dyDescent="0.35">
      <c r="A251" s="34">
        <v>250</v>
      </c>
      <c r="B251" s="33" t="str">
        <f>IF(AND(ISNUMBER(MATCH(H251, 'Processed Non-zero TRI Data'!$I$2:$I$23, FALSE)),ISNUMBER(MATCH(I251, 'Processed Non-zero DMR Data'!$K:$K, FALSE))),"Both TRI Form "&amp; VLOOKUP(H251, 'Processed Non-zero TRI Data'!$I$2:$K$23, 3, FALSE)&amp; " &amp; DMR", IFERROR("Only TRI Form "&amp; VLOOKUP(H251, 'Processed Non-zero TRI Data'!$I$2:$K$23, 3, FALSE), "Only DMR"))</f>
        <v>Only DMR</v>
      </c>
      <c r="C251" s="34" t="s">
        <v>414</v>
      </c>
      <c r="D251" s="34" t="s">
        <v>415</v>
      </c>
      <c r="E251" s="34" t="s">
        <v>102</v>
      </c>
      <c r="F251" s="34">
        <v>39.915689999999998</v>
      </c>
      <c r="G251" s="34">
        <v>-122.10365</v>
      </c>
      <c r="H251" s="34"/>
      <c r="I251" s="105">
        <v>110054272210</v>
      </c>
      <c r="J251" s="33">
        <f>IF(OR($H251="",$H251="Yes"), VLOOKUP($I251, 'Processed Non-zero DMR Data'!$K:$V, 10, FALSE),"")</f>
        <v>7.1823024499999999E-2</v>
      </c>
      <c r="K251" s="33" t="str">
        <f>IFERROR(VLOOKUP($H251, 'Processed Non-zero TRI Data'!$I:$M, 5, 0), VLOOKUP($I251, 'Processed Non-zero DMR Data'!$K:$M, 3, FALSE))</f>
        <v>Canned Fruits and Specialties</v>
      </c>
      <c r="L251" s="33" t="str">
        <f>IFERROR(VLOOKUP($H251, 'Processed Non-zero TRI Data'!I:P, 8, 0), "Direct")</f>
        <v>Direct</v>
      </c>
      <c r="M251" s="33" t="str">
        <f>VLOOKUP($N251, 'COU.OES Summary'!C:D, 2, FALSE)</f>
        <v> </v>
      </c>
      <c r="N251" s="33" t="str">
        <f>IFERROR(VLOOKUP($H251, 'Processed Non-zero TRI Data'!$I:$O, 7, FALSE), VLOOKUP($I251, 'Processed Non-zero DMR Data'!$K:$R, 8, FALSE))</f>
        <v>Waste handling, treatment, and disposal - non-POTW WWT</v>
      </c>
      <c r="O251" s="33" t="s">
        <v>710</v>
      </c>
      <c r="P251" s="33">
        <f>VLOOKUP($N251, 'COU.OES Summary'!C:E, 3, FALSE)</f>
        <v>365</v>
      </c>
    </row>
    <row r="252" spans="1:16" ht="29" x14ac:dyDescent="0.35">
      <c r="A252" s="34">
        <v>251</v>
      </c>
      <c r="B252" s="33" t="str">
        <f>IF(AND(ISNUMBER(MATCH(H252, 'Processed Non-zero TRI Data'!$I$2:$I$23, FALSE)),ISNUMBER(MATCH(I252, 'Processed Non-zero DMR Data'!$K:$K, FALSE))),"Both TRI Form "&amp; VLOOKUP(H252, 'Processed Non-zero TRI Data'!$I$2:$K$23, 3, FALSE)&amp; " &amp; DMR", IFERROR("Only TRI Form "&amp; VLOOKUP(H252, 'Processed Non-zero TRI Data'!$I$2:$K$23, 3, FALSE), "Only DMR"))</f>
        <v>Only DMR</v>
      </c>
      <c r="C252" s="34" t="s">
        <v>426</v>
      </c>
      <c r="D252" s="34" t="s">
        <v>427</v>
      </c>
      <c r="E252" s="34" t="s">
        <v>129</v>
      </c>
      <c r="F252" s="34">
        <v>39.423425000000002</v>
      </c>
      <c r="G252" s="34">
        <v>-91.025666000000001</v>
      </c>
      <c r="H252" s="34"/>
      <c r="I252" s="105">
        <v>110054612558</v>
      </c>
      <c r="J252" s="33">
        <f>IF(OR($H252="",$H252="Yes"), VLOOKUP($I252, 'Processed Non-zero DMR Data'!$K:$V, 10, FALSE),"")</f>
        <v>0.15127280000000001</v>
      </c>
      <c r="K252" s="33" t="str">
        <f>IFERROR(VLOOKUP($H252, 'Processed Non-zero TRI Data'!$I:$M, 5, 0), VLOOKUP($I252, 'Processed Non-zero DMR Data'!$K:$M, 3, FALSE))</f>
        <v>Industrial Organic Chemicals, Nec</v>
      </c>
      <c r="L252" s="33" t="str">
        <f>IFERROR(VLOOKUP($H252, 'Processed Non-zero TRI Data'!I:P, 8, 0), "Direct")</f>
        <v>Direct</v>
      </c>
      <c r="M252" s="33" t="str">
        <f>VLOOKUP($N252, 'COU.OES Summary'!C:D, 2, FALSE)</f>
        <v> </v>
      </c>
      <c r="N252" s="33" t="str">
        <f>IFERROR(VLOOKUP($H252, 'Processed Non-zero TRI Data'!$I:$O, 7, FALSE), VLOOKUP($I252, 'Processed Non-zero DMR Data'!$K:$R, 8, FALSE))</f>
        <v>Waste handling, treatment, and disposal - Remediation or Monitoring</v>
      </c>
      <c r="O252" s="33" t="s">
        <v>710</v>
      </c>
      <c r="P252" s="33">
        <f>VLOOKUP($N252, 'COU.OES Summary'!C:E, 3, FALSE)</f>
        <v>365</v>
      </c>
    </row>
    <row r="253" spans="1:16" ht="29" x14ac:dyDescent="0.35">
      <c r="A253" s="34">
        <v>252</v>
      </c>
      <c r="B253" s="33" t="str">
        <f>IF(AND(ISNUMBER(MATCH(H253, 'Processed Non-zero TRI Data'!$I$2:$I$23, FALSE)),ISNUMBER(MATCH(I253, 'Processed Non-zero DMR Data'!$K:$K, FALSE))),"Both TRI Form "&amp; VLOOKUP(H253, 'Processed Non-zero TRI Data'!$I$2:$K$23, 3, FALSE)&amp; " &amp; DMR", IFERROR("Only TRI Form "&amp; VLOOKUP(H253, 'Processed Non-zero TRI Data'!$I$2:$K$23, 3, FALSE), "Only DMR"))</f>
        <v>Only DMR</v>
      </c>
      <c r="C253" s="34" t="s">
        <v>614</v>
      </c>
      <c r="D253" s="34" t="s">
        <v>615</v>
      </c>
      <c r="E253" s="34" t="s">
        <v>276</v>
      </c>
      <c r="F253" s="34">
        <v>38.814979999999998</v>
      </c>
      <c r="G253" s="34">
        <v>-78.2834</v>
      </c>
      <c r="H253" s="34"/>
      <c r="I253" s="105">
        <v>110054919406</v>
      </c>
      <c r="J253" s="33">
        <f>IF(OR($H253="",$H253="Yes"), VLOOKUP($I253, 'Processed Non-zero DMR Data'!$K:$V, 10, FALSE),"")</f>
        <v>1.301522747199E-3</v>
      </c>
      <c r="K253" s="33" t="str">
        <f>IFERROR(VLOOKUP($H253, 'Processed Non-zero TRI Data'!$I:$M, 5, 0), VLOOKUP($I253, 'Processed Non-zero DMR Data'!$K:$M, 3, FALSE))</f>
        <v>Refuse Systems</v>
      </c>
      <c r="L253" s="33" t="str">
        <f>IFERROR(VLOOKUP($H253, 'Processed Non-zero TRI Data'!I:P, 8, 0), "Direct")</f>
        <v>Direct</v>
      </c>
      <c r="M253" s="33" t="str">
        <f>VLOOKUP($N253, 'COU.OES Summary'!C:D, 2, FALSE)</f>
        <v> </v>
      </c>
      <c r="N253" s="33" t="str">
        <f>IFERROR(VLOOKUP($H253, 'Processed Non-zero TRI Data'!$I:$O, 7, FALSE), VLOOKUP($I253, 'Processed Non-zero DMR Data'!$K:$R, 8, FALSE))</f>
        <v>Waste handling, treatment, and disposal - Landfill</v>
      </c>
      <c r="O253" s="33" t="s">
        <v>710</v>
      </c>
      <c r="P253" s="33">
        <f>VLOOKUP($N253, 'COU.OES Summary'!C:E, 3, FALSE)</f>
        <v>365</v>
      </c>
    </row>
    <row r="254" spans="1:16" ht="29" x14ac:dyDescent="0.35">
      <c r="A254" s="34">
        <v>253</v>
      </c>
      <c r="B254" s="33" t="str">
        <f>IF(AND(ISNUMBER(MATCH(H254, 'Processed Non-zero TRI Data'!$I$2:$I$23, FALSE)),ISNUMBER(MATCH(I254, 'Processed Non-zero DMR Data'!$K:$K, FALSE))),"Both TRI Form "&amp; VLOOKUP(H254, 'Processed Non-zero TRI Data'!$I$2:$K$23, 3, FALSE)&amp; " &amp; DMR", IFERROR("Only TRI Form "&amp; VLOOKUP(H254, 'Processed Non-zero TRI Data'!$I$2:$K$23, 3, FALSE), "Only DMR"))</f>
        <v>Only DMR</v>
      </c>
      <c r="C254" s="34" t="s">
        <v>635</v>
      </c>
      <c r="D254" s="34" t="s">
        <v>636</v>
      </c>
      <c r="E254" s="34" t="s">
        <v>108</v>
      </c>
      <c r="F254" s="34">
        <v>39.00703</v>
      </c>
      <c r="G254" s="34">
        <v>-84.841210000000004</v>
      </c>
      <c r="H254" s="34"/>
      <c r="I254" s="105">
        <v>110055043705</v>
      </c>
      <c r="J254" s="33">
        <f>IF(OR($H254="",$H254="Yes"), VLOOKUP($I254, 'Processed Non-zero DMR Data'!$K:$V, 10, FALSE),"")</f>
        <v>5.7747744999999996E-3</v>
      </c>
      <c r="K254" s="33" t="str">
        <f>IFERROR(VLOOKUP($H254, 'Processed Non-zero TRI Data'!$I:$M, 5, 0), VLOOKUP($I254, 'Processed Non-zero DMR Data'!$K:$M, 3, FALSE))</f>
        <v>Sewerage Systems</v>
      </c>
      <c r="L254" s="33" t="str">
        <f>IFERROR(VLOOKUP($H254, 'Processed Non-zero TRI Data'!I:P, 8, 0), "Direct")</f>
        <v>Direct</v>
      </c>
      <c r="M254" s="33" t="str">
        <f>VLOOKUP($N254, 'COU.OES Summary'!C:D, 2, FALSE)</f>
        <v> </v>
      </c>
      <c r="N254" s="33" t="str">
        <f>IFERROR(VLOOKUP($H254, 'Processed Non-zero TRI Data'!$I:$O, 7, FALSE), VLOOKUP($I254, 'Processed Non-zero DMR Data'!$K:$R, 8, FALSE))</f>
        <v>Waste handling, treatment, and disposal - POTW</v>
      </c>
      <c r="O254" s="33" t="s">
        <v>710</v>
      </c>
      <c r="P254" s="33">
        <f>VLOOKUP($N254, 'COU.OES Summary'!C:E, 3, FALSE)</f>
        <v>365</v>
      </c>
    </row>
    <row r="255" spans="1:16" ht="29" x14ac:dyDescent="0.35">
      <c r="A255" s="34">
        <v>254</v>
      </c>
      <c r="B255" s="33" t="str">
        <f>IF(AND(ISNUMBER(MATCH(H255, 'Processed Non-zero TRI Data'!$I$2:$I$23, FALSE)),ISNUMBER(MATCH(I255, 'Processed Non-zero DMR Data'!$K:$K, FALSE))),"Both TRI Form "&amp; VLOOKUP(H255, 'Processed Non-zero TRI Data'!$I$2:$K$23, 3, FALSE)&amp; " &amp; DMR", IFERROR("Only TRI Form "&amp; VLOOKUP(H255, 'Processed Non-zero TRI Data'!$I$2:$K$23, 3, FALSE), "Only DMR"))</f>
        <v>Only DMR</v>
      </c>
      <c r="C255" s="34" t="s">
        <v>613</v>
      </c>
      <c r="D255" s="34" t="s">
        <v>396</v>
      </c>
      <c r="E255" s="34" t="s">
        <v>276</v>
      </c>
      <c r="F255" s="34">
        <v>38.741570000000003</v>
      </c>
      <c r="G255" s="34">
        <v>-77.086209999999994</v>
      </c>
      <c r="H255" s="34"/>
      <c r="I255" s="105">
        <v>110055415732</v>
      </c>
      <c r="J255" s="33">
        <f>IF(OR($H255="",$H255="Yes"), VLOOKUP($I255, 'Processed Non-zero DMR Data'!$K:$V, 10, FALSE),"")</f>
        <v>9.3201840000000005E-3</v>
      </c>
      <c r="K255" s="33" t="str">
        <f>IFERROR(VLOOKUP($H255, 'Processed Non-zero TRI Data'!$I:$M, 5, 0), VLOOKUP($I255, 'Processed Non-zero DMR Data'!$K:$M, 3, FALSE))</f>
        <v>Excavation Work</v>
      </c>
      <c r="L255" s="33" t="str">
        <f>IFERROR(VLOOKUP($H255, 'Processed Non-zero TRI Data'!I:P, 8, 0), "Direct")</f>
        <v>Direct</v>
      </c>
      <c r="M255" s="33" t="str">
        <f>VLOOKUP($N255, 'COU.OES Summary'!C:D, 2, FALSE)</f>
        <v> </v>
      </c>
      <c r="N255" s="33" t="str">
        <f>IFERROR(VLOOKUP($H255, 'Processed Non-zero TRI Data'!$I:$O, 7, FALSE), VLOOKUP($I255, 'Processed Non-zero DMR Data'!$K:$R, 8, FALSE))</f>
        <v>Waste handling, treatment, and disposal - Remediation or Monitoring</v>
      </c>
      <c r="O255" s="33" t="s">
        <v>710</v>
      </c>
      <c r="P255" s="33">
        <f>VLOOKUP($N255, 'COU.OES Summary'!C:E, 3, FALSE)</f>
        <v>365</v>
      </c>
    </row>
    <row r="256" spans="1:16" ht="29" x14ac:dyDescent="0.35">
      <c r="A256" s="34">
        <v>255</v>
      </c>
      <c r="B256" s="33" t="str">
        <f>IF(AND(ISNUMBER(MATCH(H256, 'Processed Non-zero TRI Data'!$I$2:$I$23, FALSE)),ISNUMBER(MATCH(I256, 'Processed Non-zero DMR Data'!$K:$K, FALSE))),"Both TRI Form "&amp; VLOOKUP(H256, 'Processed Non-zero TRI Data'!$I$2:$K$23, 3, FALSE)&amp; " &amp; DMR", IFERROR("Only TRI Form "&amp; VLOOKUP(H256, 'Processed Non-zero TRI Data'!$I$2:$K$23, 3, FALSE), "Only DMR"))</f>
        <v>Only DMR</v>
      </c>
      <c r="C256" s="34" t="s">
        <v>465</v>
      </c>
      <c r="D256" s="34" t="s">
        <v>466</v>
      </c>
      <c r="E256" s="34" t="s">
        <v>102</v>
      </c>
      <c r="F256" s="34">
        <v>39.191054000000001</v>
      </c>
      <c r="G256" s="34">
        <v>-122.023129</v>
      </c>
      <c r="H256" s="34"/>
      <c r="I256" s="105">
        <v>110055984957</v>
      </c>
      <c r="J256" s="33">
        <f>IF(OR($H256="",$H256="Yes"), VLOOKUP($I256, 'Processed Non-zero DMR Data'!$K:$V, 10, FALSE),"")</f>
        <v>0.100571992</v>
      </c>
      <c r="K256" s="33" t="str">
        <f>IFERROR(VLOOKUP($H256, 'Processed Non-zero TRI Data'!$I:$M, 5, 0), VLOOKUP($I256, 'Processed Non-zero DMR Data'!$K:$M, 3, FALSE))</f>
        <v>Sewerage Systems</v>
      </c>
      <c r="L256" s="33" t="str">
        <f>IFERROR(VLOOKUP($H256, 'Processed Non-zero TRI Data'!I:P, 8, 0), "Direct")</f>
        <v>Direct</v>
      </c>
      <c r="M256" s="33" t="str">
        <f>VLOOKUP($N256, 'COU.OES Summary'!C:D, 2, FALSE)</f>
        <v> </v>
      </c>
      <c r="N256" s="33" t="str">
        <f>IFERROR(VLOOKUP($H256, 'Processed Non-zero TRI Data'!$I:$O, 7, FALSE), VLOOKUP($I256, 'Processed Non-zero DMR Data'!$K:$R, 8, FALSE))</f>
        <v>Waste handling, treatment, and disposal - POTW</v>
      </c>
      <c r="O256" s="33" t="s">
        <v>710</v>
      </c>
      <c r="P256" s="33">
        <f>VLOOKUP($N256, 'COU.OES Summary'!C:E, 3, FALSE)</f>
        <v>365</v>
      </c>
    </row>
    <row r="257" spans="1:16" ht="29" x14ac:dyDescent="0.35">
      <c r="A257" s="34">
        <v>256</v>
      </c>
      <c r="B257" s="33" t="str">
        <f>IF(AND(ISNUMBER(MATCH(H257, 'Processed Non-zero TRI Data'!$I$2:$I$23, FALSE)),ISNUMBER(MATCH(I257, 'Processed Non-zero DMR Data'!$K:$K, FALSE))),"Both TRI Form "&amp; VLOOKUP(H257, 'Processed Non-zero TRI Data'!$I$2:$K$23, 3, FALSE)&amp; " &amp; DMR", IFERROR("Only TRI Form "&amp; VLOOKUP(H257, 'Processed Non-zero TRI Data'!$I$2:$K$23, 3, FALSE), "Only DMR"))</f>
        <v>Only DMR</v>
      </c>
      <c r="C257" s="34" t="s">
        <v>301</v>
      </c>
      <c r="D257" s="34" t="s">
        <v>302</v>
      </c>
      <c r="E257" s="34" t="s">
        <v>102</v>
      </c>
      <c r="F257" s="34">
        <v>37.591898999999998</v>
      </c>
      <c r="G257" s="34">
        <v>-122.358101</v>
      </c>
      <c r="H257" s="34"/>
      <c r="I257" s="105">
        <v>110055988016</v>
      </c>
      <c r="J257" s="33">
        <f>IF(OR($H257="",$H257="Yes"), VLOOKUP($I257, 'Processed Non-zero DMR Data'!$K:$V, 10, FALSE),"")</f>
        <v>1.0326899375</v>
      </c>
      <c r="K257" s="33" t="str">
        <f>IFERROR(VLOOKUP($H257, 'Processed Non-zero TRI Data'!$I:$M, 5, 0), VLOOKUP($I257, 'Processed Non-zero DMR Data'!$K:$M, 3, FALSE))</f>
        <v>Sewerage Systems</v>
      </c>
      <c r="L257" s="33" t="str">
        <f>IFERROR(VLOOKUP($H257, 'Processed Non-zero TRI Data'!I:P, 8, 0), "Direct")</f>
        <v>Direct</v>
      </c>
      <c r="M257" s="33" t="str">
        <f>VLOOKUP($N257, 'COU.OES Summary'!C:D, 2, FALSE)</f>
        <v> </v>
      </c>
      <c r="N257" s="33" t="str">
        <f>IFERROR(VLOOKUP($H257, 'Processed Non-zero TRI Data'!$I:$O, 7, FALSE), VLOOKUP($I257, 'Processed Non-zero DMR Data'!$K:$R, 8, FALSE))</f>
        <v>Waste handling, treatment, and disposal - POTW</v>
      </c>
      <c r="O257" s="33" t="s">
        <v>710</v>
      </c>
      <c r="P257" s="33">
        <f>VLOOKUP($N257, 'COU.OES Summary'!C:E, 3, FALSE)</f>
        <v>365</v>
      </c>
    </row>
    <row r="258" spans="1:16" ht="29" x14ac:dyDescent="0.35">
      <c r="A258" s="34">
        <v>257</v>
      </c>
      <c r="B258" s="33" t="str">
        <f>IF(AND(ISNUMBER(MATCH(H258, 'Processed Non-zero TRI Data'!$I$2:$I$23, FALSE)),ISNUMBER(MATCH(I258, 'Processed Non-zero DMR Data'!$K:$K, FALSE))),"Both TRI Form "&amp; VLOOKUP(H258, 'Processed Non-zero TRI Data'!$I$2:$K$23, 3, FALSE)&amp; " &amp; DMR", IFERROR("Only TRI Form "&amp; VLOOKUP(H258, 'Processed Non-zero TRI Data'!$I$2:$K$23, 3, FALSE), "Only DMR"))</f>
        <v>Only DMR</v>
      </c>
      <c r="C258" s="34" t="s">
        <v>291</v>
      </c>
      <c r="D258" s="34" t="s">
        <v>292</v>
      </c>
      <c r="E258" s="34" t="s">
        <v>102</v>
      </c>
      <c r="F258" s="34">
        <v>33.926245999999999</v>
      </c>
      <c r="G258" s="34">
        <v>-116.992552</v>
      </c>
      <c r="H258" s="34"/>
      <c r="I258" s="105">
        <v>110055992993</v>
      </c>
      <c r="J258" s="33">
        <f>IF(OR($H258="",$H258="Yes"), VLOOKUP($I258, 'Processed Non-zero DMR Data'!$K:$V, 10, FALSE),"")</f>
        <v>0.26313215912499999</v>
      </c>
      <c r="K258" s="33" t="str">
        <f>IFERROR(VLOOKUP($H258, 'Processed Non-zero TRI Data'!$I:$M, 5, 0), VLOOKUP($I258, 'Processed Non-zero DMR Data'!$K:$M, 3, FALSE))</f>
        <v>Sewerage Systems</v>
      </c>
      <c r="L258" s="33" t="str">
        <f>IFERROR(VLOOKUP($H258, 'Processed Non-zero TRI Data'!I:P, 8, 0), "Direct")</f>
        <v>Direct</v>
      </c>
      <c r="M258" s="33" t="str">
        <f>VLOOKUP($N258, 'COU.OES Summary'!C:D, 2, FALSE)</f>
        <v> </v>
      </c>
      <c r="N258" s="33" t="str">
        <f>IFERROR(VLOOKUP($H258, 'Processed Non-zero TRI Data'!$I:$O, 7, FALSE), VLOOKUP($I258, 'Processed Non-zero DMR Data'!$K:$R, 8, FALSE))</f>
        <v>Waste handling, treatment, and disposal - POTW</v>
      </c>
      <c r="O258" s="33" t="s">
        <v>710</v>
      </c>
      <c r="P258" s="33">
        <f>VLOOKUP($N258, 'COU.OES Summary'!C:E, 3, FALSE)</f>
        <v>365</v>
      </c>
    </row>
    <row r="259" spans="1:16" ht="29" x14ac:dyDescent="0.35">
      <c r="A259" s="34">
        <v>258</v>
      </c>
      <c r="B259" s="33" t="str">
        <f>IF(AND(ISNUMBER(MATCH(H259, 'Processed Non-zero TRI Data'!$I$2:$I$23, FALSE)),ISNUMBER(MATCH(I259, 'Processed Non-zero DMR Data'!$K:$K, FALSE))),"Both TRI Form "&amp; VLOOKUP(H259, 'Processed Non-zero TRI Data'!$I$2:$K$23, 3, FALSE)&amp; " &amp; DMR", IFERROR("Only TRI Form "&amp; VLOOKUP(H259, 'Processed Non-zero TRI Data'!$I$2:$K$23, 3, FALSE), "Only DMR"))</f>
        <v>Only DMR</v>
      </c>
      <c r="C259" s="34" t="s">
        <v>641</v>
      </c>
      <c r="D259" s="34" t="s">
        <v>623</v>
      </c>
      <c r="E259" s="34" t="s">
        <v>492</v>
      </c>
      <c r="F259" s="34">
        <v>39.754530000000003</v>
      </c>
      <c r="G259" s="34">
        <v>-105.00681</v>
      </c>
      <c r="H259" s="34"/>
      <c r="I259" s="105">
        <v>110056125376</v>
      </c>
      <c r="J259" s="33">
        <f>IF(OR($H259="",$H259="Yes"), VLOOKUP($I259, 'Processed Non-zero DMR Data'!$K:$V, 10, FALSE),"")</f>
        <v>1.2431454000000001E-3</v>
      </c>
      <c r="K259" s="33" t="str">
        <f>IFERROR(VLOOKUP($H259, 'Processed Non-zero TRI Data'!$I:$M, 5, 0), VLOOKUP($I259, 'Processed Non-zero DMR Data'!$K:$M, 3, FALSE))</f>
        <v>Special Trade Contractors, Nec</v>
      </c>
      <c r="L259" s="33" t="str">
        <f>IFERROR(VLOOKUP($H259, 'Processed Non-zero TRI Data'!I:P, 8, 0), "Direct")</f>
        <v>Direct</v>
      </c>
      <c r="M259" s="33" t="str">
        <f>VLOOKUP($N259, 'COU.OES Summary'!C:D, 2, FALSE)</f>
        <v> </v>
      </c>
      <c r="N259" s="33" t="str">
        <f>IFERROR(VLOOKUP($H259, 'Processed Non-zero TRI Data'!$I:$O, 7, FALSE), VLOOKUP($I259, 'Processed Non-zero DMR Data'!$K:$R, 8, FALSE))</f>
        <v>Waste handling, treatment, and disposal - Remediation or Monitoring</v>
      </c>
      <c r="O259" s="33" t="s">
        <v>710</v>
      </c>
      <c r="P259" s="33">
        <f>VLOOKUP($N259, 'COU.OES Summary'!C:E, 3, FALSE)</f>
        <v>365</v>
      </c>
    </row>
    <row r="260" spans="1:16" ht="29" x14ac:dyDescent="0.35">
      <c r="A260" s="34">
        <v>259</v>
      </c>
      <c r="B260" s="33" t="str">
        <f>IF(AND(ISNUMBER(MATCH(H260, 'Processed Non-zero TRI Data'!$I$2:$I$23, FALSE)),ISNUMBER(MATCH(I260, 'Processed Non-zero DMR Data'!$K:$K, FALSE))),"Both TRI Form "&amp; VLOOKUP(H260, 'Processed Non-zero TRI Data'!$I$2:$K$23, 3, FALSE)&amp; " &amp; DMR", IFERROR("Only TRI Form "&amp; VLOOKUP(H260, 'Processed Non-zero TRI Data'!$I$2:$K$23, 3, FALSE), "Only DMR"))</f>
        <v>Only DMR</v>
      </c>
      <c r="C260" s="34" t="s">
        <v>422</v>
      </c>
      <c r="D260" s="34" t="s">
        <v>423</v>
      </c>
      <c r="E260" s="34" t="s">
        <v>95</v>
      </c>
      <c r="F260" s="34">
        <v>29.857654</v>
      </c>
      <c r="G260" s="34">
        <v>-94.910674</v>
      </c>
      <c r="H260" s="34"/>
      <c r="I260" s="105">
        <v>110056961480</v>
      </c>
      <c r="J260" s="33">
        <f>IF(OR($H260="",$H260="Yes"), VLOOKUP($I260, 'Processed Non-zero DMR Data'!$K:$V, 10, FALSE),"")</f>
        <v>0.16571</v>
      </c>
      <c r="K260" s="33" t="str">
        <f>IFERROR(VLOOKUP($H260, 'Processed Non-zero TRI Data'!$I:$M, 5, 0), VLOOKUP($I260, 'Processed Non-zero DMR Data'!$K:$M, 3, FALSE))</f>
        <v>Industrial Organic Chemicals, Nec</v>
      </c>
      <c r="L260" s="33" t="str">
        <f>IFERROR(VLOOKUP($H260, 'Processed Non-zero TRI Data'!I:P, 8, 0), "Direct")</f>
        <v>Direct</v>
      </c>
      <c r="M260" s="33" t="str">
        <f>VLOOKUP($N260, 'COU.OES Summary'!C:D, 2, FALSE)</f>
        <v> </v>
      </c>
      <c r="N260" s="33" t="str">
        <f>IFERROR(VLOOKUP($H260, 'Processed Non-zero TRI Data'!$I:$O, 7, FALSE), VLOOKUP($I260, 'Processed Non-zero DMR Data'!$K:$R, 8, FALSE))</f>
        <v>Waste handling, treatment, and disposal - Remediation or Monitoring</v>
      </c>
      <c r="O260" s="33" t="s">
        <v>710</v>
      </c>
      <c r="P260" s="33">
        <f>VLOOKUP($N260, 'COU.OES Summary'!C:E, 3, FALSE)</f>
        <v>365</v>
      </c>
    </row>
    <row r="261" spans="1:16" ht="29" x14ac:dyDescent="0.35">
      <c r="A261" s="34">
        <v>260</v>
      </c>
      <c r="B261" s="33" t="str">
        <f>IF(AND(ISNUMBER(MATCH(H261, 'Processed Non-zero TRI Data'!$I$2:$I$23, FALSE)),ISNUMBER(MATCH(I261, 'Processed Non-zero DMR Data'!$K:$K, FALSE))),"Both TRI Form "&amp; VLOOKUP(H261, 'Processed Non-zero TRI Data'!$I$2:$K$23, 3, FALSE)&amp; " &amp; DMR", IFERROR("Only TRI Form "&amp; VLOOKUP(H261, 'Processed Non-zero TRI Data'!$I$2:$K$23, 3, FALSE), "Only DMR"))</f>
        <v>Only DMR</v>
      </c>
      <c r="C261" s="34" t="s">
        <v>703</v>
      </c>
      <c r="D261" s="34" t="s">
        <v>704</v>
      </c>
      <c r="E261" s="34" t="s">
        <v>181</v>
      </c>
      <c r="F261" s="34">
        <v>41.948850999999998</v>
      </c>
      <c r="G261" s="34">
        <v>-83.958619999999996</v>
      </c>
      <c r="H261" s="34"/>
      <c r="I261" s="105">
        <v>110056966699</v>
      </c>
      <c r="J261" s="33">
        <f>IF(OR($H261="",$H261="Yes"), VLOOKUP($I261, 'Processed Non-zero DMR Data'!$K:$V, 10, FALSE),"")</f>
        <v>4.6221000000000002E-6</v>
      </c>
      <c r="K261" s="33" t="str">
        <f>IFERROR(VLOOKUP($H261, 'Processed Non-zero TRI Data'!$I:$M, 5, 0), VLOOKUP($I261, 'Processed Non-zero DMR Data'!$K:$M, 3, FALSE))</f>
        <v>Plastics Materials and Resins</v>
      </c>
      <c r="L261" s="33" t="str">
        <f>IFERROR(VLOOKUP($H261, 'Processed Non-zero TRI Data'!I:P, 8, 0), "Direct")</f>
        <v>Direct</v>
      </c>
      <c r="M261" s="33" t="str">
        <f>VLOOKUP($N261, 'COU.OES Summary'!C:D, 2, FALSE)</f>
        <v> </v>
      </c>
      <c r="N261" s="33" t="str">
        <f>IFERROR(VLOOKUP($H261, 'Processed Non-zero TRI Data'!$I:$O, 7, FALSE), VLOOKUP($I261, 'Processed Non-zero DMR Data'!$K:$R, 8, FALSE))</f>
        <v>Waste handling, treatment, and disposal - Remediation or Monitoring</v>
      </c>
      <c r="O261" s="33" t="s">
        <v>710</v>
      </c>
      <c r="P261" s="33">
        <f>VLOOKUP($N261, 'COU.OES Summary'!C:E, 3, FALSE)</f>
        <v>365</v>
      </c>
    </row>
    <row r="262" spans="1:16" ht="29" x14ac:dyDescent="0.35">
      <c r="A262" s="34">
        <v>261</v>
      </c>
      <c r="B262" s="33" t="str">
        <f>IF(AND(ISNUMBER(MATCH(H262, 'Processed Non-zero TRI Data'!$I$2:$I$23, FALSE)),ISNUMBER(MATCH(I262, 'Processed Non-zero DMR Data'!$K:$K, FALSE))),"Both TRI Form "&amp; VLOOKUP(H262, 'Processed Non-zero TRI Data'!$I$2:$K$23, 3, FALSE)&amp; " &amp; DMR", IFERROR("Only TRI Form "&amp; VLOOKUP(H262, 'Processed Non-zero TRI Data'!$I$2:$K$23, 3, FALSE), "Only DMR"))</f>
        <v>Only DMR</v>
      </c>
      <c r="C262" s="34" t="s">
        <v>364</v>
      </c>
      <c r="D262" s="34" t="s">
        <v>319</v>
      </c>
      <c r="E262" s="34" t="s">
        <v>91</v>
      </c>
      <c r="F262" s="34">
        <v>30.250833</v>
      </c>
      <c r="G262" s="34">
        <v>-91.092277999999993</v>
      </c>
      <c r="H262" s="34"/>
      <c r="I262" s="105">
        <v>110056972432</v>
      </c>
      <c r="J262" s="33">
        <f>IF(OR($H262="",$H262="Yes"), VLOOKUP($I262, 'Processed Non-zero DMR Data'!$K:$V, 10, FALSE),"")</f>
        <v>0.414275</v>
      </c>
      <c r="K262" s="33" t="str">
        <f>IFERROR(VLOOKUP($H262, 'Processed Non-zero TRI Data'!$I:$M, 5, 0), VLOOKUP($I262, 'Processed Non-zero DMR Data'!$K:$M, 3, FALSE))</f>
        <v>Industrial Organic Chemicals, Nec</v>
      </c>
      <c r="L262" s="33" t="str">
        <f>IFERROR(VLOOKUP($H262, 'Processed Non-zero TRI Data'!I:P, 8, 0), "Direct")</f>
        <v>Direct</v>
      </c>
      <c r="M262" s="33" t="str">
        <f>VLOOKUP($N262, 'COU.OES Summary'!C:D, 2, FALSE)</f>
        <v> </v>
      </c>
      <c r="N262" s="33" t="str">
        <f>IFERROR(VLOOKUP($H262, 'Processed Non-zero TRI Data'!$I:$O, 7, FALSE), VLOOKUP($I262, 'Processed Non-zero DMR Data'!$K:$R, 8, FALSE))</f>
        <v>Waste handling, treatment, and disposal - Remediation or Monitoring</v>
      </c>
      <c r="O262" s="33" t="s">
        <v>710</v>
      </c>
      <c r="P262" s="33">
        <f>VLOOKUP($N262, 'COU.OES Summary'!C:E, 3, FALSE)</f>
        <v>365</v>
      </c>
    </row>
    <row r="263" spans="1:16" ht="29" x14ac:dyDescent="0.35">
      <c r="A263" s="34">
        <v>262</v>
      </c>
      <c r="B263" s="33" t="str">
        <f>IF(AND(ISNUMBER(MATCH(H263, 'Processed Non-zero TRI Data'!$I$2:$I$23, FALSE)),ISNUMBER(MATCH(I263, 'Processed Non-zero DMR Data'!$K:$K, FALSE))),"Both TRI Form "&amp; VLOOKUP(H263, 'Processed Non-zero TRI Data'!$I$2:$K$23, 3, FALSE)&amp; " &amp; DMR", IFERROR("Only TRI Form "&amp; VLOOKUP(H263, 'Processed Non-zero TRI Data'!$I$2:$K$23, 3, FALSE), "Only DMR"))</f>
        <v>Only DMR</v>
      </c>
      <c r="C263" s="34" t="s">
        <v>456</v>
      </c>
      <c r="D263" s="34" t="s">
        <v>457</v>
      </c>
      <c r="E263" s="34" t="s">
        <v>458</v>
      </c>
      <c r="F263" s="34">
        <v>41.678610999999997</v>
      </c>
      <c r="G263" s="34">
        <v>-84.325556000000006</v>
      </c>
      <c r="H263" s="34"/>
      <c r="I263" s="105">
        <v>110058286331</v>
      </c>
      <c r="J263" s="33">
        <f>IF(OR($H263="",$H263="Yes"), VLOOKUP($I263, 'Processed Non-zero DMR Data'!$K:$V, 10, FALSE),"")</f>
        <v>0.106970801721</v>
      </c>
      <c r="K263" s="33" t="str">
        <f>IFERROR(VLOOKUP($H263, 'Processed Non-zero TRI Data'!$I:$M, 5, 0), VLOOKUP($I263, 'Processed Non-zero DMR Data'!$K:$M, 3, FALSE))</f>
        <v>Services, Nec</v>
      </c>
      <c r="L263" s="33" t="str">
        <f>IFERROR(VLOOKUP($H263, 'Processed Non-zero TRI Data'!I:P, 8, 0), "Direct")</f>
        <v>Direct</v>
      </c>
      <c r="M263" s="33" t="str">
        <f>VLOOKUP($N263, 'COU.OES Summary'!C:D, 2, FALSE)</f>
        <v> </v>
      </c>
      <c r="N263" s="33" t="str">
        <f>IFERROR(VLOOKUP($H263, 'Processed Non-zero TRI Data'!$I:$O, 7, FALSE), VLOOKUP($I263, 'Processed Non-zero DMR Data'!$K:$R, 8, FALSE))</f>
        <v>Waste handling, treatment, and disposal - Remediation or Monitoring</v>
      </c>
      <c r="O263" s="33" t="s">
        <v>710</v>
      </c>
      <c r="P263" s="33">
        <f>VLOOKUP($N263, 'COU.OES Summary'!C:E, 3, FALSE)</f>
        <v>365</v>
      </c>
    </row>
    <row r="264" spans="1:16" ht="29" x14ac:dyDescent="0.35">
      <c r="A264" s="34">
        <v>263</v>
      </c>
      <c r="B264" s="33" t="str">
        <f>IF(AND(ISNUMBER(MATCH(H264, 'Processed Non-zero TRI Data'!$I$2:$I$23, FALSE)),ISNUMBER(MATCH(I264, 'Processed Non-zero DMR Data'!$K:$K, FALSE))),"Both TRI Form "&amp; VLOOKUP(H264, 'Processed Non-zero TRI Data'!$I$2:$K$23, 3, FALSE)&amp; " &amp; DMR", IFERROR("Only TRI Form "&amp; VLOOKUP(H264, 'Processed Non-zero TRI Data'!$I$2:$K$23, 3, FALSE), "Only DMR"))</f>
        <v>Only DMR</v>
      </c>
      <c r="C264" s="34" t="s">
        <v>338</v>
      </c>
      <c r="D264" s="34" t="s">
        <v>339</v>
      </c>
      <c r="E264" s="34" t="s">
        <v>340</v>
      </c>
      <c r="F264" s="34">
        <v>40.655278000000003</v>
      </c>
      <c r="G264" s="34">
        <v>-80.356388999999993</v>
      </c>
      <c r="H264" s="34"/>
      <c r="I264" s="105">
        <v>110059344473</v>
      </c>
      <c r="J264" s="33">
        <f>IF(OR($H264="",$H264="Yes"), VLOOKUP($I264, 'Processed Non-zero DMR Data'!$K:$V, 10, FALSE),"")</f>
        <v>0.66283999999999998</v>
      </c>
      <c r="K264" s="33" t="str">
        <f>IFERROR(VLOOKUP($H264, 'Processed Non-zero TRI Data'!$I:$M, 5, 0), VLOOKUP($I264, 'Processed Non-zero DMR Data'!$K:$M, 3, FALSE))</f>
        <v>Plastics Materials and Resins</v>
      </c>
      <c r="L264" s="33" t="str">
        <f>IFERROR(VLOOKUP($H264, 'Processed Non-zero TRI Data'!I:P, 8, 0), "Direct")</f>
        <v>Direct</v>
      </c>
      <c r="M264" s="33" t="str">
        <f>VLOOKUP($N264, 'COU.OES Summary'!C:D, 2, FALSE)</f>
        <v> </v>
      </c>
      <c r="N264" s="33" t="str">
        <f>IFERROR(VLOOKUP($H264, 'Processed Non-zero TRI Data'!$I:$O, 7, FALSE), VLOOKUP($I264, 'Processed Non-zero DMR Data'!$K:$R, 8, FALSE))</f>
        <v>Waste handling, treatment, and disposal - Remediation or Monitoring</v>
      </c>
      <c r="O264" s="33" t="s">
        <v>710</v>
      </c>
      <c r="P264" s="33">
        <f>VLOOKUP($N264, 'COU.OES Summary'!C:E, 3, FALSE)</f>
        <v>365</v>
      </c>
    </row>
    <row r="265" spans="1:16" ht="29" x14ac:dyDescent="0.35">
      <c r="A265" s="34">
        <v>264</v>
      </c>
      <c r="B265" s="33" t="str">
        <f>IF(AND(ISNUMBER(MATCH(H265, 'Processed Non-zero TRI Data'!$I$2:$I$23, FALSE)),ISNUMBER(MATCH(I265, 'Processed Non-zero DMR Data'!$K:$K, FALSE))),"Both TRI Form "&amp; VLOOKUP(H265, 'Processed Non-zero TRI Data'!$I$2:$K$23, 3, FALSE)&amp; " &amp; DMR", IFERROR("Only TRI Form "&amp; VLOOKUP(H265, 'Processed Non-zero TRI Data'!$I$2:$K$23, 3, FALSE), "Only DMR"))</f>
        <v>Only DMR</v>
      </c>
      <c r="C265" s="34" t="s">
        <v>512</v>
      </c>
      <c r="D265" s="34" t="s">
        <v>337</v>
      </c>
      <c r="E265" s="34" t="s">
        <v>221</v>
      </c>
      <c r="F265" s="34">
        <v>36.131489999999999</v>
      </c>
      <c r="G265" s="34">
        <v>-115.15483</v>
      </c>
      <c r="H265" s="34"/>
      <c r="I265" s="105">
        <v>110059844156</v>
      </c>
      <c r="J265" s="33">
        <f>IF(OR($H265="",$H265="Yes"), VLOOKUP($I265, 'Processed Non-zero DMR Data'!$K:$V, 10, FALSE),"")</f>
        <v>6.3544278518749997E-2</v>
      </c>
      <c r="K265" s="33" t="str">
        <f>IFERROR(VLOOKUP($H265, 'Processed Non-zero TRI Data'!$I:$M, 5, 0), VLOOKUP($I265, 'Processed Non-zero DMR Data'!$K:$M, 3, FALSE))</f>
        <v>Special Trade Contractors, Nec</v>
      </c>
      <c r="L265" s="33" t="str">
        <f>IFERROR(VLOOKUP($H265, 'Processed Non-zero TRI Data'!I:P, 8, 0), "Direct")</f>
        <v>Direct</v>
      </c>
      <c r="M265" s="33" t="str">
        <f>VLOOKUP($N265, 'COU.OES Summary'!C:D, 2, FALSE)</f>
        <v> </v>
      </c>
      <c r="N265" s="33" t="str">
        <f>IFERROR(VLOOKUP($H265, 'Processed Non-zero TRI Data'!$I:$O, 7, FALSE), VLOOKUP($I265, 'Processed Non-zero DMR Data'!$K:$R, 8, FALSE))</f>
        <v>Waste handling, treatment, and disposal - Remediation or Monitoring</v>
      </c>
      <c r="O265" s="33" t="s">
        <v>710</v>
      </c>
      <c r="P265" s="33">
        <f>VLOOKUP($N265, 'COU.OES Summary'!C:E, 3, FALSE)</f>
        <v>365</v>
      </c>
    </row>
    <row r="266" spans="1:16" ht="29" x14ac:dyDescent="0.35">
      <c r="A266" s="34">
        <v>265</v>
      </c>
      <c r="B266" s="33" t="str">
        <f>IF(AND(ISNUMBER(MATCH(H266, 'Processed Non-zero TRI Data'!$I$2:$I$23, FALSE)),ISNUMBER(MATCH(I266, 'Processed Non-zero DMR Data'!$K:$K, FALSE))),"Both TRI Form "&amp; VLOOKUP(H266, 'Processed Non-zero TRI Data'!$I$2:$K$23, 3, FALSE)&amp; " &amp; DMR", IFERROR("Only TRI Form "&amp; VLOOKUP(H266, 'Processed Non-zero TRI Data'!$I$2:$K$23, 3, FALSE), "Only DMR"))</f>
        <v>Only DMR</v>
      </c>
      <c r="C266" s="34" t="s">
        <v>677</v>
      </c>
      <c r="D266" s="34" t="s">
        <v>337</v>
      </c>
      <c r="E266" s="34" t="s">
        <v>221</v>
      </c>
      <c r="F266" s="34">
        <v>36.108890000000002</v>
      </c>
      <c r="G266" s="34">
        <v>-115.18118</v>
      </c>
      <c r="H266" s="34"/>
      <c r="I266" s="105">
        <v>110059861065</v>
      </c>
      <c r="J266" s="33">
        <f>IF(OR($H266="",$H266="Yes"), VLOOKUP($I266, 'Processed Non-zero DMR Data'!$K:$V, 10, FALSE),"")</f>
        <v>1.4816855625000001E-3</v>
      </c>
      <c r="K266" s="33" t="str">
        <f>IFERROR(VLOOKUP($H266, 'Processed Non-zero TRI Data'!$I:$M, 5, 0), VLOOKUP($I266, 'Processed Non-zero DMR Data'!$K:$M, 3, FALSE))</f>
        <v>Real Estate Agents and Managers</v>
      </c>
      <c r="L266" s="33" t="str">
        <f>IFERROR(VLOOKUP($H266, 'Processed Non-zero TRI Data'!I:P, 8, 0), "Direct")</f>
        <v>Direct</v>
      </c>
      <c r="M266" s="33" t="str">
        <f>VLOOKUP($N266, 'COU.OES Summary'!C:D, 2, FALSE)</f>
        <v> </v>
      </c>
      <c r="N266" s="33" t="str">
        <f>IFERROR(VLOOKUP($H266, 'Processed Non-zero TRI Data'!$I:$O, 7, FALSE), VLOOKUP($I266, 'Processed Non-zero DMR Data'!$K:$R, 8, FALSE))</f>
        <v>Waste handling, treatment, and disposal - Remediation or Monitoring</v>
      </c>
      <c r="O266" s="33" t="s">
        <v>710</v>
      </c>
      <c r="P266" s="33">
        <f>VLOOKUP($N266, 'COU.OES Summary'!C:E, 3, FALSE)</f>
        <v>365</v>
      </c>
    </row>
    <row r="267" spans="1:16" ht="29" x14ac:dyDescent="0.35">
      <c r="A267" s="34">
        <v>266</v>
      </c>
      <c r="B267" s="33" t="str">
        <f>IF(AND(ISNUMBER(MATCH(H267, 'Processed Non-zero TRI Data'!$I$2:$I$23, FALSE)),ISNUMBER(MATCH(I267, 'Processed Non-zero DMR Data'!$K:$K, FALSE))),"Both TRI Form "&amp; VLOOKUP(H267, 'Processed Non-zero TRI Data'!$I$2:$K$23, 3, FALSE)&amp; " &amp; DMR", IFERROR("Only TRI Form "&amp; VLOOKUP(H267, 'Processed Non-zero TRI Data'!$I$2:$K$23, 3, FALSE), "Only DMR"))</f>
        <v>Only DMR</v>
      </c>
      <c r="C267" s="34" t="s">
        <v>313</v>
      </c>
      <c r="D267" s="34" t="s">
        <v>314</v>
      </c>
      <c r="E267" s="34" t="s">
        <v>95</v>
      </c>
      <c r="F267" s="34">
        <v>29.738610999999999</v>
      </c>
      <c r="G267" s="34">
        <v>-95.166944000000001</v>
      </c>
      <c r="H267" s="34"/>
      <c r="I267" s="105">
        <v>110060340162</v>
      </c>
      <c r="J267" s="33">
        <f>IF(OR($H267="",$H267="Yes"), VLOOKUP($I267, 'Processed Non-zero DMR Data'!$K:$V, 10, FALSE),"")</f>
        <v>0.82891499999999996</v>
      </c>
      <c r="K267" s="33" t="str">
        <f>IFERROR(VLOOKUP($H267, 'Processed Non-zero TRI Data'!$I:$M, 5, 0), VLOOKUP($I267, 'Processed Non-zero DMR Data'!$K:$M, 3, FALSE))</f>
        <v>Industrial Organic Chemicals, Nec</v>
      </c>
      <c r="L267" s="33" t="str">
        <f>IFERROR(VLOOKUP($H267, 'Processed Non-zero TRI Data'!I:P, 8, 0), "Direct")</f>
        <v>Direct</v>
      </c>
      <c r="M267" s="33" t="str">
        <f>VLOOKUP($N267, 'COU.OES Summary'!C:D, 2, FALSE)</f>
        <v> </v>
      </c>
      <c r="N267" s="33" t="str">
        <f>IFERROR(VLOOKUP($H267, 'Processed Non-zero TRI Data'!$I:$O, 7, FALSE), VLOOKUP($I267, 'Processed Non-zero DMR Data'!$K:$R, 8, FALSE))</f>
        <v>Waste handling, treatment, and disposal - Remediation or Monitoring</v>
      </c>
      <c r="O267" s="33" t="s">
        <v>710</v>
      </c>
      <c r="P267" s="33">
        <f>VLOOKUP($N267, 'COU.OES Summary'!C:E, 3, FALSE)</f>
        <v>365</v>
      </c>
    </row>
    <row r="268" spans="1:16" ht="29" x14ac:dyDescent="0.35">
      <c r="A268" s="34">
        <v>267</v>
      </c>
      <c r="B268" s="33" t="str">
        <f>IF(AND(ISNUMBER(MATCH(H268, 'Processed Non-zero TRI Data'!$I$2:$I$23, FALSE)),ISNUMBER(MATCH(I268, 'Processed Non-zero DMR Data'!$K:$K, FALSE))),"Both TRI Form "&amp; VLOOKUP(H268, 'Processed Non-zero TRI Data'!$I$2:$K$23, 3, FALSE)&amp; " &amp; DMR", IFERROR("Only TRI Form "&amp; VLOOKUP(H268, 'Processed Non-zero TRI Data'!$I$2:$K$23, 3, FALSE), "Only DMR"))</f>
        <v>Only DMR</v>
      </c>
      <c r="C268" s="34" t="s">
        <v>547</v>
      </c>
      <c r="D268" s="34" t="s">
        <v>337</v>
      </c>
      <c r="E268" s="34" t="s">
        <v>221</v>
      </c>
      <c r="F268" s="34">
        <v>36.075400000000002</v>
      </c>
      <c r="G268" s="34">
        <v>-115.1669</v>
      </c>
      <c r="H268" s="34"/>
      <c r="I268" s="105">
        <v>110064134459</v>
      </c>
      <c r="J268" s="33">
        <f>IF(OR($H268="",$H268="Yes"), VLOOKUP($I268, 'Processed Non-zero DMR Data'!$K:$V, 10, FALSE),"")</f>
        <v>2.1553777125E-2</v>
      </c>
      <c r="K268" s="33" t="str">
        <f>IFERROR(VLOOKUP($H268, 'Processed Non-zero TRI Data'!$I:$M, 5, 0), VLOOKUP($I268, 'Processed Non-zero DMR Data'!$K:$M, 3, FALSE))</f>
        <v>Airports, Flying Fields, and Services</v>
      </c>
      <c r="L268" s="33" t="str">
        <f>IFERROR(VLOOKUP($H268, 'Processed Non-zero TRI Data'!I:P, 8, 0), "Direct")</f>
        <v>Direct</v>
      </c>
      <c r="M268" s="33" t="str">
        <f>VLOOKUP($N268, 'COU.OES Summary'!C:D, 2, FALSE)</f>
        <v> </v>
      </c>
      <c r="N268" s="33" t="str">
        <f>IFERROR(VLOOKUP($H268, 'Processed Non-zero TRI Data'!$I:$O, 7, FALSE), VLOOKUP($I268, 'Processed Non-zero DMR Data'!$K:$R, 8, FALSE))</f>
        <v>Waste handling, treatment, and disposal - POTW</v>
      </c>
      <c r="O268" s="33" t="s">
        <v>710</v>
      </c>
      <c r="P268" s="33">
        <f>VLOOKUP($N268, 'COU.OES Summary'!C:E, 3, FALSE)</f>
        <v>365</v>
      </c>
    </row>
    <row r="269" spans="1:16" ht="29" x14ac:dyDescent="0.35">
      <c r="A269" s="34">
        <v>268</v>
      </c>
      <c r="B269" s="33" t="str">
        <f>IF(AND(ISNUMBER(MATCH(H269, 'Processed Non-zero TRI Data'!$I$2:$I$23, FALSE)),ISNUMBER(MATCH(I269, 'Processed Non-zero DMR Data'!$K:$K, FALSE))),"Both TRI Form "&amp; VLOOKUP(H269, 'Processed Non-zero TRI Data'!$I$2:$K$23, 3, FALSE)&amp; " &amp; DMR", IFERROR("Only TRI Form "&amp; VLOOKUP(H269, 'Processed Non-zero TRI Data'!$I$2:$K$23, 3, FALSE), "Only DMR"))</f>
        <v>Only DMR</v>
      </c>
      <c r="C269" s="34" t="s">
        <v>216</v>
      </c>
      <c r="D269" s="34" t="s">
        <v>119</v>
      </c>
      <c r="E269" s="34" t="s">
        <v>102</v>
      </c>
      <c r="F269" s="34">
        <v>37.977150000000002</v>
      </c>
      <c r="G269" s="34">
        <v>-122.33269</v>
      </c>
      <c r="H269" s="34"/>
      <c r="I269" s="105">
        <v>110064252419</v>
      </c>
      <c r="J269" s="33">
        <f>IF(OR($H269="",$H269="Yes"), VLOOKUP($I269, 'Processed Non-zero DMR Data'!$K:$V, 10, FALSE),"")</f>
        <v>3.7646556250000001</v>
      </c>
      <c r="K269" s="33" t="str">
        <f>IFERROR(VLOOKUP($H269, 'Processed Non-zero TRI Data'!$I:$M, 5, 0), VLOOKUP($I269, 'Processed Non-zero DMR Data'!$K:$M, 3, FALSE))</f>
        <v>Sewerage Systems</v>
      </c>
      <c r="L269" s="33" t="str">
        <f>IFERROR(VLOOKUP($H269, 'Processed Non-zero TRI Data'!I:P, 8, 0), "Direct")</f>
        <v>Direct</v>
      </c>
      <c r="M269" s="33" t="str">
        <f>VLOOKUP($N269, 'COU.OES Summary'!C:D, 2, FALSE)</f>
        <v> </v>
      </c>
      <c r="N269" s="33" t="str">
        <f>IFERROR(VLOOKUP($H269, 'Processed Non-zero TRI Data'!$I:$O, 7, FALSE), VLOOKUP($I269, 'Processed Non-zero DMR Data'!$K:$R, 8, FALSE))</f>
        <v>Waste handling, treatment, and disposal - POTW</v>
      </c>
      <c r="O269" s="33" t="s">
        <v>710</v>
      </c>
      <c r="P269" s="33">
        <f>VLOOKUP($N269, 'COU.OES Summary'!C:E, 3, FALSE)</f>
        <v>365</v>
      </c>
    </row>
    <row r="270" spans="1:16" ht="29" x14ac:dyDescent="0.35">
      <c r="A270" s="34">
        <v>269</v>
      </c>
      <c r="B270" s="33" t="str">
        <f>IF(AND(ISNUMBER(MATCH(H270, 'Processed Non-zero TRI Data'!$I$2:$I$23, FALSE)),ISNUMBER(MATCH(I270, 'Processed Non-zero DMR Data'!$K:$K, FALSE))),"Both TRI Form "&amp; VLOOKUP(H270, 'Processed Non-zero TRI Data'!$I$2:$K$23, 3, FALSE)&amp; " &amp; DMR", IFERROR("Only TRI Form "&amp; VLOOKUP(H270, 'Processed Non-zero TRI Data'!$I$2:$K$23, 3, FALSE), "Only DMR"))</f>
        <v>Only DMR</v>
      </c>
      <c r="C270" s="34" t="s">
        <v>182</v>
      </c>
      <c r="D270" s="34" t="s">
        <v>183</v>
      </c>
      <c r="E270" s="34" t="s">
        <v>108</v>
      </c>
      <c r="F270" s="34">
        <v>37.304611999999999</v>
      </c>
      <c r="G270" s="34">
        <v>-87.145292999999995</v>
      </c>
      <c r="H270" s="34"/>
      <c r="I270" s="105">
        <v>110064265496</v>
      </c>
      <c r="J270" s="33">
        <f>IF(OR($H270="",$H270="Yes"), VLOOKUP($I270, 'Processed Non-zero DMR Data'!$K:$V, 10, FALSE),"")</f>
        <v>5.6711601250000001</v>
      </c>
      <c r="K270" s="33" t="str">
        <f>IFERROR(VLOOKUP($H270, 'Processed Non-zero TRI Data'!$I:$M, 5, 0), VLOOKUP($I270, 'Processed Non-zero DMR Data'!$K:$M, 3, FALSE))</f>
        <v>Sewerage Systems</v>
      </c>
      <c r="L270" s="33" t="str">
        <f>IFERROR(VLOOKUP($H270, 'Processed Non-zero TRI Data'!I:P, 8, 0), "Direct")</f>
        <v>Direct</v>
      </c>
      <c r="M270" s="33" t="str">
        <f>VLOOKUP($N270, 'COU.OES Summary'!C:D, 2, FALSE)</f>
        <v> </v>
      </c>
      <c r="N270" s="33" t="str">
        <f>IFERROR(VLOOKUP($H270, 'Processed Non-zero TRI Data'!$I:$O, 7, FALSE), VLOOKUP($I270, 'Processed Non-zero DMR Data'!$K:$R, 8, FALSE))</f>
        <v>Waste handling, treatment, and disposal - POTW</v>
      </c>
      <c r="O270" s="33" t="s">
        <v>710</v>
      </c>
      <c r="P270" s="33">
        <f>VLOOKUP($N270, 'COU.OES Summary'!C:E, 3, FALSE)</f>
        <v>365</v>
      </c>
    </row>
    <row r="271" spans="1:16" ht="29" x14ac:dyDescent="0.35">
      <c r="A271" s="34">
        <v>270</v>
      </c>
      <c r="B271" s="33" t="str">
        <f>IF(AND(ISNUMBER(MATCH(H271, 'Processed Non-zero TRI Data'!$I$2:$I$23, FALSE)),ISNUMBER(MATCH(I271, 'Processed Non-zero DMR Data'!$K:$K, FALSE))),"Both TRI Form "&amp; VLOOKUP(H271, 'Processed Non-zero TRI Data'!$I$2:$K$23, 3, FALSE)&amp; " &amp; DMR", IFERROR("Only TRI Form "&amp; VLOOKUP(H271, 'Processed Non-zero TRI Data'!$I$2:$K$23, 3, FALSE), "Only DMR"))</f>
        <v>Only DMR</v>
      </c>
      <c r="C271" s="34" t="s">
        <v>246</v>
      </c>
      <c r="D271" s="34" t="s">
        <v>247</v>
      </c>
      <c r="E271" s="34" t="s">
        <v>108</v>
      </c>
      <c r="F271" s="34">
        <v>38.369734999999999</v>
      </c>
      <c r="G271" s="34">
        <v>-85.180234999999996</v>
      </c>
      <c r="H271" s="34"/>
      <c r="I271" s="105">
        <v>110064268260</v>
      </c>
      <c r="J271" s="33">
        <f>IF(OR($H271="",$H271="Yes"), VLOOKUP($I271, 'Processed Non-zero DMR Data'!$K:$V, 10, FALSE),"")</f>
        <v>2.3520463125000002</v>
      </c>
      <c r="K271" s="33" t="str">
        <f>IFERROR(VLOOKUP($H271, 'Processed Non-zero TRI Data'!$I:$M, 5, 0), VLOOKUP($I271, 'Processed Non-zero DMR Data'!$K:$M, 3, FALSE))</f>
        <v>Sewerage Systems</v>
      </c>
      <c r="L271" s="33" t="str">
        <f>IFERROR(VLOOKUP($H271, 'Processed Non-zero TRI Data'!I:P, 8, 0), "Direct")</f>
        <v>Direct</v>
      </c>
      <c r="M271" s="33" t="str">
        <f>VLOOKUP($N271, 'COU.OES Summary'!C:D, 2, FALSE)</f>
        <v> </v>
      </c>
      <c r="N271" s="33" t="str">
        <f>IFERROR(VLOOKUP($H271, 'Processed Non-zero TRI Data'!$I:$O, 7, FALSE), VLOOKUP($I271, 'Processed Non-zero DMR Data'!$K:$R, 8, FALSE))</f>
        <v>Waste handling, treatment, and disposal - POTW</v>
      </c>
      <c r="O271" s="33" t="s">
        <v>710</v>
      </c>
      <c r="P271" s="33">
        <f>VLOOKUP($N271, 'COU.OES Summary'!C:E, 3, FALSE)</f>
        <v>365</v>
      </c>
    </row>
    <row r="272" spans="1:16" ht="29" x14ac:dyDescent="0.35">
      <c r="A272" s="34">
        <v>271</v>
      </c>
      <c r="B272" s="33" t="str">
        <f>IF(AND(ISNUMBER(MATCH(H272, 'Processed Non-zero TRI Data'!$I$2:$I$23, FALSE)),ISNUMBER(MATCH(I272, 'Processed Non-zero DMR Data'!$K:$K, FALSE))),"Both TRI Form "&amp; VLOOKUP(H272, 'Processed Non-zero TRI Data'!$I$2:$K$23, 3, FALSE)&amp; " &amp; DMR", IFERROR("Only TRI Form "&amp; VLOOKUP(H272, 'Processed Non-zero TRI Data'!$I$2:$K$23, 3, FALSE), "Only DMR"))</f>
        <v>Only DMR</v>
      </c>
      <c r="C272" s="34" t="s">
        <v>626</v>
      </c>
      <c r="D272" s="34" t="s">
        <v>337</v>
      </c>
      <c r="E272" s="34" t="s">
        <v>221</v>
      </c>
      <c r="F272" s="34">
        <v>36.19997</v>
      </c>
      <c r="G272" s="34">
        <v>-115.19658</v>
      </c>
      <c r="H272" s="34"/>
      <c r="I272" s="105">
        <v>110064418553</v>
      </c>
      <c r="J272" s="33">
        <f>IF(OR($H272="",$H272="Yes"), VLOOKUP($I272, 'Processed Non-zero DMR Data'!$K:$V, 10, FALSE),"")</f>
        <v>7.2530062500000001E-3</v>
      </c>
      <c r="K272" s="33" t="str">
        <f>IFERROR(VLOOKUP($H272, 'Processed Non-zero TRI Data'!$I:$M, 5, 0), VLOOKUP($I272, 'Processed Non-zero DMR Data'!$K:$M, 3, FALSE))</f>
        <v>Gasoline Service Stations</v>
      </c>
      <c r="L272" s="33" t="str">
        <f>IFERROR(VLOOKUP($H272, 'Processed Non-zero TRI Data'!I:P, 8, 0), "Direct")</f>
        <v>Direct</v>
      </c>
      <c r="M272" s="33" t="str">
        <f>VLOOKUP($N272, 'COU.OES Summary'!C:D, 2, FALSE)</f>
        <v> </v>
      </c>
      <c r="N272" s="33" t="str">
        <f>IFERROR(VLOOKUP($H272, 'Processed Non-zero TRI Data'!$I:$O, 7, FALSE), VLOOKUP($I272, 'Processed Non-zero DMR Data'!$K:$R, 8, FALSE))</f>
        <v>Waste handling, treatment, and disposal - Remediation or Monitoring</v>
      </c>
      <c r="O272" s="33" t="s">
        <v>710</v>
      </c>
      <c r="P272" s="33">
        <f>VLOOKUP($N272, 'COU.OES Summary'!C:E, 3, FALSE)</f>
        <v>365</v>
      </c>
    </row>
    <row r="273" spans="1:16" ht="29" x14ac:dyDescent="0.35">
      <c r="A273" s="34">
        <v>272</v>
      </c>
      <c r="B273" s="33" t="str">
        <f>IF(AND(ISNUMBER(MATCH(H273, 'Processed Non-zero TRI Data'!$I$2:$I$23, FALSE)),ISNUMBER(MATCH(I273, 'Processed Non-zero DMR Data'!$K:$K, FALSE))),"Both TRI Form "&amp; VLOOKUP(H273, 'Processed Non-zero TRI Data'!$I$2:$K$23, 3, FALSE)&amp; " &amp; DMR", IFERROR("Only TRI Form "&amp; VLOOKUP(H273, 'Processed Non-zero TRI Data'!$I$2:$K$23, 3, FALSE), "Only DMR"))</f>
        <v>Only DMR</v>
      </c>
      <c r="C273" s="34" t="s">
        <v>162</v>
      </c>
      <c r="D273" s="34" t="s">
        <v>163</v>
      </c>
      <c r="E273" s="34" t="s">
        <v>108</v>
      </c>
      <c r="F273" s="34">
        <v>37.915556000000002</v>
      </c>
      <c r="G273" s="34">
        <v>-84.268332999999998</v>
      </c>
      <c r="H273" s="34"/>
      <c r="I273" s="105">
        <v>110064596361</v>
      </c>
      <c r="J273" s="33">
        <f>IF(OR($H273="",$H273="Yes"), VLOOKUP($I273, 'Processed Non-zero DMR Data'!$K:$V, 10, FALSE),"")</f>
        <v>6.9836088749999998</v>
      </c>
      <c r="K273" s="33" t="str">
        <f>IFERROR(VLOOKUP($H273, 'Processed Non-zero TRI Data'!$I:$M, 5, 0), VLOOKUP($I273, 'Processed Non-zero DMR Data'!$K:$M, 3, FALSE))</f>
        <v>Sewerage Systems</v>
      </c>
      <c r="L273" s="33" t="str">
        <f>IFERROR(VLOOKUP($H273, 'Processed Non-zero TRI Data'!I:P, 8, 0), "Direct")</f>
        <v>Direct</v>
      </c>
      <c r="M273" s="33" t="str">
        <f>VLOOKUP($N273, 'COU.OES Summary'!C:D, 2, FALSE)</f>
        <v> </v>
      </c>
      <c r="N273" s="33" t="str">
        <f>IFERROR(VLOOKUP($H273, 'Processed Non-zero TRI Data'!$I:$O, 7, FALSE), VLOOKUP($I273, 'Processed Non-zero DMR Data'!$K:$R, 8, FALSE))</f>
        <v>Waste handling, treatment, and disposal - POTW</v>
      </c>
      <c r="O273" s="33" t="s">
        <v>710</v>
      </c>
      <c r="P273" s="33">
        <f>VLOOKUP($N273, 'COU.OES Summary'!C:E, 3, FALSE)</f>
        <v>365</v>
      </c>
    </row>
    <row r="274" spans="1:16" ht="29" x14ac:dyDescent="0.35">
      <c r="A274" s="34">
        <v>273</v>
      </c>
      <c r="B274" s="33" t="str">
        <f>IF(AND(ISNUMBER(MATCH(H274, 'Processed Non-zero TRI Data'!$I$2:$I$23, FALSE)),ISNUMBER(MATCH(I274, 'Processed Non-zero DMR Data'!$K:$K, FALSE))),"Both TRI Form "&amp; VLOOKUP(H274, 'Processed Non-zero TRI Data'!$I$2:$K$23, 3, FALSE)&amp; " &amp; DMR", IFERROR("Only TRI Form "&amp; VLOOKUP(H274, 'Processed Non-zero TRI Data'!$I$2:$K$23, 3, FALSE), "Only DMR"))</f>
        <v>Only DMR</v>
      </c>
      <c r="C274" s="34" t="s">
        <v>241</v>
      </c>
      <c r="D274" s="34" t="s">
        <v>90</v>
      </c>
      <c r="E274" s="34" t="s">
        <v>91</v>
      </c>
      <c r="F274" s="34">
        <v>30.23771</v>
      </c>
      <c r="G274" s="34">
        <v>-93.258650000000003</v>
      </c>
      <c r="H274" s="34"/>
      <c r="I274" s="105">
        <v>110064611969</v>
      </c>
      <c r="J274" s="33">
        <f>IF(OR($H274="",$H274="Yes"), VLOOKUP($I274, 'Processed Non-zero DMR Data'!$K:$V, 10, FALSE),"")</f>
        <v>2.5903593749999998</v>
      </c>
      <c r="K274" s="33" t="str">
        <f>IFERROR(VLOOKUP($H274, 'Processed Non-zero TRI Data'!$I:$M, 5, 0), VLOOKUP($I274, 'Processed Non-zero DMR Data'!$K:$M, 3, FALSE))</f>
        <v>Industrial Inorganic Chemicals, Nec</v>
      </c>
      <c r="L274" s="33" t="str">
        <f>IFERROR(VLOOKUP($H274, 'Processed Non-zero TRI Data'!I:P, 8, 0), "Direct")</f>
        <v>Direct</v>
      </c>
      <c r="M274" s="33" t="str">
        <f>VLOOKUP($N274, 'COU.OES Summary'!C:D, 2, FALSE)</f>
        <v> </v>
      </c>
      <c r="N274" s="33" t="str">
        <f>IFERROR(VLOOKUP($H274, 'Processed Non-zero TRI Data'!$I:$O, 7, FALSE), VLOOKUP($I274, 'Processed Non-zero DMR Data'!$K:$R, 8, FALSE))</f>
        <v>Waste handling, treatment, and disposal - Remediation or Monitoring</v>
      </c>
      <c r="O274" s="33" t="s">
        <v>710</v>
      </c>
      <c r="P274" s="33">
        <f>VLOOKUP($N274, 'COU.OES Summary'!C:E, 3, FALSE)</f>
        <v>365</v>
      </c>
    </row>
    <row r="275" spans="1:16" ht="29" x14ac:dyDescent="0.35">
      <c r="A275" s="34">
        <v>274</v>
      </c>
      <c r="B275" s="33" t="str">
        <f>IF(AND(ISNUMBER(MATCH(H275, 'Processed Non-zero TRI Data'!$I$2:$I$23, FALSE)),ISNUMBER(MATCH(I275, 'Processed Non-zero DMR Data'!$K:$K, FALSE))),"Both TRI Form "&amp; VLOOKUP(H275, 'Processed Non-zero TRI Data'!$I$2:$K$23, 3, FALSE)&amp; " &amp; DMR", IFERROR("Only TRI Form "&amp; VLOOKUP(H275, 'Processed Non-zero TRI Data'!$I$2:$K$23, 3, FALSE), "Only DMR"))</f>
        <v>Only DMR</v>
      </c>
      <c r="C275" s="34" t="s">
        <v>152</v>
      </c>
      <c r="D275" s="34" t="s">
        <v>153</v>
      </c>
      <c r="E275" s="34" t="s">
        <v>108</v>
      </c>
      <c r="F275" s="34">
        <v>37.671391</v>
      </c>
      <c r="G275" s="34">
        <v>-87.828888000000006</v>
      </c>
      <c r="H275" s="34"/>
      <c r="I275" s="105">
        <v>110064612557</v>
      </c>
      <c r="J275" s="33">
        <f>IF(OR($H275="",$H275="Yes"), VLOOKUP($I275, 'Processed Non-zero DMR Data'!$K:$V, 10, FALSE),"")</f>
        <v>10.492682374999999</v>
      </c>
      <c r="K275" s="33" t="str">
        <f>IFERROR(VLOOKUP($H275, 'Processed Non-zero TRI Data'!$I:$M, 5, 0), VLOOKUP($I275, 'Processed Non-zero DMR Data'!$K:$M, 3, FALSE))</f>
        <v>Sewerage Systems</v>
      </c>
      <c r="L275" s="33" t="str">
        <f>IFERROR(VLOOKUP($H275, 'Processed Non-zero TRI Data'!I:P, 8, 0), "Direct")</f>
        <v>Direct</v>
      </c>
      <c r="M275" s="33" t="str">
        <f>VLOOKUP($N275, 'COU.OES Summary'!C:D, 2, FALSE)</f>
        <v> </v>
      </c>
      <c r="N275" s="33" t="str">
        <f>IFERROR(VLOOKUP($H275, 'Processed Non-zero TRI Data'!$I:$O, 7, FALSE), VLOOKUP($I275, 'Processed Non-zero DMR Data'!$K:$R, 8, FALSE))</f>
        <v>Waste handling, treatment, and disposal - POTW</v>
      </c>
      <c r="O275" s="33" t="s">
        <v>710</v>
      </c>
      <c r="P275" s="33">
        <f>VLOOKUP($N275, 'COU.OES Summary'!C:E, 3, FALSE)</f>
        <v>365</v>
      </c>
    </row>
    <row r="276" spans="1:16" ht="29" x14ac:dyDescent="0.35">
      <c r="A276" s="34">
        <v>275</v>
      </c>
      <c r="B276" s="33" t="str">
        <f>IF(AND(ISNUMBER(MATCH(H276, 'Processed Non-zero TRI Data'!$I$2:$I$23, FALSE)),ISNUMBER(MATCH(I276, 'Processed Non-zero DMR Data'!$K:$K, FALSE))),"Both TRI Form "&amp; VLOOKUP(H276, 'Processed Non-zero TRI Data'!$I$2:$K$23, 3, FALSE)&amp; " &amp; DMR", IFERROR("Only TRI Form "&amp; VLOOKUP(H276, 'Processed Non-zero TRI Data'!$I$2:$K$23, 3, FALSE), "Only DMR"))</f>
        <v>Only DMR</v>
      </c>
      <c r="C276" s="34" t="s">
        <v>289</v>
      </c>
      <c r="D276" s="34" t="s">
        <v>290</v>
      </c>
      <c r="E276" s="34" t="s">
        <v>108</v>
      </c>
      <c r="F276" s="34">
        <v>38.32978</v>
      </c>
      <c r="G276" s="34">
        <v>-85.540719999999993</v>
      </c>
      <c r="H276" s="34"/>
      <c r="I276" s="105">
        <v>110064615590</v>
      </c>
      <c r="J276" s="33">
        <f>IF(OR($H276="",$H276="Yes"), VLOOKUP($I276, 'Processed Non-zero DMR Data'!$K:$V, 10, FALSE),"")</f>
        <v>1.1846576874999999</v>
      </c>
      <c r="K276" s="33" t="str">
        <f>IFERROR(VLOOKUP($H276, 'Processed Non-zero TRI Data'!$I:$M, 5, 0), VLOOKUP($I276, 'Processed Non-zero DMR Data'!$K:$M, 3, FALSE))</f>
        <v>Sewerage Systems</v>
      </c>
      <c r="L276" s="33" t="str">
        <f>IFERROR(VLOOKUP($H276, 'Processed Non-zero TRI Data'!I:P, 8, 0), "Direct")</f>
        <v>Direct</v>
      </c>
      <c r="M276" s="33" t="str">
        <f>VLOOKUP($N276, 'COU.OES Summary'!C:D, 2, FALSE)</f>
        <v> </v>
      </c>
      <c r="N276" s="33" t="str">
        <f>IFERROR(VLOOKUP($H276, 'Processed Non-zero TRI Data'!$I:$O, 7, FALSE), VLOOKUP($I276, 'Processed Non-zero DMR Data'!$K:$R, 8, FALSE))</f>
        <v>Waste handling, treatment, and disposal - POTW</v>
      </c>
      <c r="O276" s="33" t="s">
        <v>710</v>
      </c>
      <c r="P276" s="33">
        <f>VLOOKUP($N276, 'COU.OES Summary'!C:E, 3, FALSE)</f>
        <v>365</v>
      </c>
    </row>
    <row r="277" spans="1:16" ht="29" x14ac:dyDescent="0.35">
      <c r="A277" s="34">
        <v>276</v>
      </c>
      <c r="B277" s="33" t="str">
        <f>IF(AND(ISNUMBER(MATCH(H277, 'Processed Non-zero TRI Data'!$I$2:$I$23, FALSE)),ISNUMBER(MATCH(I277, 'Processed Non-zero DMR Data'!$K:$K, FALSE))),"Both TRI Form "&amp; VLOOKUP(H277, 'Processed Non-zero TRI Data'!$I$2:$K$23, 3, FALSE)&amp; " &amp; DMR", IFERROR("Only TRI Form "&amp; VLOOKUP(H277, 'Processed Non-zero TRI Data'!$I$2:$K$23, 3, FALSE), "Only DMR"))</f>
        <v>Only DMR</v>
      </c>
      <c r="C277" s="34" t="s">
        <v>582</v>
      </c>
      <c r="D277" s="34" t="s">
        <v>583</v>
      </c>
      <c r="E277" s="34" t="s">
        <v>102</v>
      </c>
      <c r="F277" s="34">
        <v>38.273180000000004</v>
      </c>
      <c r="G277" s="34">
        <v>-120.91082</v>
      </c>
      <c r="H277" s="34"/>
      <c r="I277" s="105">
        <v>110064616296</v>
      </c>
      <c r="J277" s="33">
        <f>IF(OR($H277="",$H277="Yes"), VLOOKUP($I277, 'Processed Non-zero DMR Data'!$K:$V, 10, FALSE),"")</f>
        <v>1.7269062500000001E-2</v>
      </c>
      <c r="K277" s="33" t="str">
        <f>IFERROR(VLOOKUP($H277, 'Processed Non-zero TRI Data'!$I:$M, 5, 0), VLOOKUP($I277, 'Processed Non-zero DMR Data'!$K:$M, 3, FALSE))</f>
        <v>Sewerage Systems</v>
      </c>
      <c r="L277" s="33" t="str">
        <f>IFERROR(VLOOKUP($H277, 'Processed Non-zero TRI Data'!I:P, 8, 0), "Direct")</f>
        <v>Direct</v>
      </c>
      <c r="M277" s="33" t="str">
        <f>VLOOKUP($N277, 'COU.OES Summary'!C:D, 2, FALSE)</f>
        <v> </v>
      </c>
      <c r="N277" s="33" t="str">
        <f>IFERROR(VLOOKUP($H277, 'Processed Non-zero TRI Data'!$I:$O, 7, FALSE), VLOOKUP($I277, 'Processed Non-zero DMR Data'!$K:$R, 8, FALSE))</f>
        <v>Waste handling, treatment, and disposal - non-POTW WWT</v>
      </c>
      <c r="O277" s="33" t="s">
        <v>710</v>
      </c>
      <c r="P277" s="33">
        <f>VLOOKUP($N277, 'COU.OES Summary'!C:E, 3, FALSE)</f>
        <v>365</v>
      </c>
    </row>
    <row r="278" spans="1:16" ht="29" x14ac:dyDescent="0.35">
      <c r="A278" s="34">
        <v>277</v>
      </c>
      <c r="B278" s="33" t="str">
        <f>IF(AND(ISNUMBER(MATCH(H278, 'Processed Non-zero TRI Data'!$I$2:$I$23, FALSE)),ISNUMBER(MATCH(I278, 'Processed Non-zero DMR Data'!$K:$K, FALSE))),"Both TRI Form "&amp; VLOOKUP(H278, 'Processed Non-zero TRI Data'!$I$2:$K$23, 3, FALSE)&amp; " &amp; DMR", IFERROR("Only TRI Form "&amp; VLOOKUP(H278, 'Processed Non-zero TRI Data'!$I$2:$K$23, 3, FALSE), "Only DMR"))</f>
        <v>Only DMR</v>
      </c>
      <c r="C278" s="34" t="s">
        <v>449</v>
      </c>
      <c r="D278" s="34" t="s">
        <v>450</v>
      </c>
      <c r="E278" s="34" t="s">
        <v>451</v>
      </c>
      <c r="F278" s="34">
        <v>41.952649999999998</v>
      </c>
      <c r="G278" s="34">
        <v>-71.269720000000007</v>
      </c>
      <c r="H278" s="34"/>
      <c r="I278" s="105">
        <v>110064621805</v>
      </c>
      <c r="J278" s="33">
        <f>IF(OR($H278="",$H278="Yes"), VLOOKUP($I278, 'Processed Non-zero DMR Data'!$K:$V, 10, FALSE),"")</f>
        <v>0.10537091117625</v>
      </c>
      <c r="K278" s="33" t="str">
        <f>IFERROR(VLOOKUP($H278, 'Processed Non-zero TRI Data'!$I:$M, 5, 0), VLOOKUP($I278, 'Processed Non-zero DMR Data'!$K:$M, 3, FALSE))</f>
        <v>Nonferrous Rolling and Drawing, Nec</v>
      </c>
      <c r="L278" s="33" t="str">
        <f>IFERROR(VLOOKUP($H278, 'Processed Non-zero TRI Data'!I:P, 8, 0), "Direct")</f>
        <v>Direct</v>
      </c>
      <c r="M278" s="33" t="str">
        <f>VLOOKUP($N278, 'COU.OES Summary'!C:D, 2, FALSE)</f>
        <v> </v>
      </c>
      <c r="N278" s="33" t="str">
        <f>IFERROR(VLOOKUP($H278, 'Processed Non-zero TRI Data'!$I:$O, 7, FALSE), VLOOKUP($I278, 'Processed Non-zero DMR Data'!$K:$R, 8, FALSE))</f>
        <v>Waste handling, treatment, and disposal - Remediation or Monitoring</v>
      </c>
      <c r="O278" s="33" t="s">
        <v>710</v>
      </c>
      <c r="P278" s="33">
        <f>VLOOKUP($N278, 'COU.OES Summary'!C:E, 3, FALSE)</f>
        <v>365</v>
      </c>
    </row>
    <row r="279" spans="1:16" ht="29" x14ac:dyDescent="0.35">
      <c r="A279" s="34">
        <v>278</v>
      </c>
      <c r="B279" s="33" t="str">
        <f>IF(AND(ISNUMBER(MATCH(H279, 'Processed Non-zero TRI Data'!$I$2:$I$23, FALSE)),ISNUMBER(MATCH(I279, 'Processed Non-zero DMR Data'!$K:$K, FALSE))),"Both TRI Form "&amp; VLOOKUP(H279, 'Processed Non-zero TRI Data'!$I$2:$K$23, 3, FALSE)&amp; " &amp; DMR", IFERROR("Only TRI Form "&amp; VLOOKUP(H279, 'Processed Non-zero TRI Data'!$I$2:$K$23, 3, FALSE), "Only DMR"))</f>
        <v>Only DMR</v>
      </c>
      <c r="C279" s="34" t="s">
        <v>493</v>
      </c>
      <c r="D279" s="34" t="s">
        <v>494</v>
      </c>
      <c r="E279" s="34" t="s">
        <v>102</v>
      </c>
      <c r="F279" s="34">
        <v>37.636249999999997</v>
      </c>
      <c r="G279" s="34">
        <v>-122.38583</v>
      </c>
      <c r="H279" s="34"/>
      <c r="I279" s="105">
        <v>110064622519</v>
      </c>
      <c r="J279" s="33">
        <f>IF(OR($H279="",$H279="Yes"), VLOOKUP($I279, 'Processed Non-zero DMR Data'!$K:$V, 10, FALSE),"")</f>
        <v>5.8024050000000001E-2</v>
      </c>
      <c r="K279" s="33" t="str">
        <f>IFERROR(VLOOKUP($H279, 'Processed Non-zero TRI Data'!$I:$M, 5, 0), VLOOKUP($I279, 'Processed Non-zero DMR Data'!$K:$M, 3, FALSE))</f>
        <v>Sewerage Systems</v>
      </c>
      <c r="L279" s="33" t="str">
        <f>IFERROR(VLOOKUP($H279, 'Processed Non-zero TRI Data'!I:P, 8, 0), "Direct")</f>
        <v>Direct</v>
      </c>
      <c r="M279" s="33" t="str">
        <f>VLOOKUP($N279, 'COU.OES Summary'!C:D, 2, FALSE)</f>
        <v> </v>
      </c>
      <c r="N279" s="33" t="str">
        <f>IFERROR(VLOOKUP($H279, 'Processed Non-zero TRI Data'!$I:$O, 7, FALSE), VLOOKUP($I279, 'Processed Non-zero DMR Data'!$K:$R, 8, FALSE))</f>
        <v>Waste handling, treatment, and disposal - POTW</v>
      </c>
      <c r="O279" s="33" t="s">
        <v>710</v>
      </c>
      <c r="P279" s="33">
        <f>VLOOKUP($N279, 'COU.OES Summary'!C:E, 3, FALSE)</f>
        <v>365</v>
      </c>
    </row>
    <row r="280" spans="1:16" ht="29" x14ac:dyDescent="0.35">
      <c r="A280" s="34">
        <v>279</v>
      </c>
      <c r="B280" s="33" t="str">
        <f>IF(AND(ISNUMBER(MATCH(H280, 'Processed Non-zero TRI Data'!$I$2:$I$23, FALSE)),ISNUMBER(MATCH(I280, 'Processed Non-zero DMR Data'!$K:$K, FALSE))),"Both TRI Form "&amp; VLOOKUP(H280, 'Processed Non-zero TRI Data'!$I$2:$K$23, 3, FALSE)&amp; " &amp; DMR", IFERROR("Only TRI Form "&amp; VLOOKUP(H280, 'Processed Non-zero TRI Data'!$I$2:$K$23, 3, FALSE), "Only DMR"))</f>
        <v>Only DMR</v>
      </c>
      <c r="C280" s="34" t="s">
        <v>334</v>
      </c>
      <c r="D280" s="34" t="s">
        <v>335</v>
      </c>
      <c r="E280" s="34" t="s">
        <v>102</v>
      </c>
      <c r="F280" s="34">
        <v>33.990146000000003</v>
      </c>
      <c r="G280" s="34">
        <v>-118.36358</v>
      </c>
      <c r="H280" s="34"/>
      <c r="I280" s="105">
        <v>110064624018</v>
      </c>
      <c r="J280" s="33">
        <f>IF(OR($H280="",$H280="Yes"), VLOOKUP($I280, 'Processed Non-zero DMR Data'!$K:$V, 10, FALSE),"")</f>
        <v>0.39062619375000002</v>
      </c>
      <c r="K280" s="33" t="str">
        <f>IFERROR(VLOOKUP($H280, 'Processed Non-zero TRI Data'!$I:$M, 5, 0), VLOOKUP($I280, 'Processed Non-zero DMR Data'!$K:$M, 3, FALSE))</f>
        <v>Petroleum Refining</v>
      </c>
      <c r="L280" s="33" t="str">
        <f>IFERROR(VLOOKUP($H280, 'Processed Non-zero TRI Data'!I:P, 8, 0), "Direct")</f>
        <v>Direct</v>
      </c>
      <c r="M280" s="33" t="str">
        <f>VLOOKUP($N280, 'COU.OES Summary'!C:D, 2, FALSE)</f>
        <v> </v>
      </c>
      <c r="N280" s="33" t="str">
        <f>IFERROR(VLOOKUP($H280, 'Processed Non-zero TRI Data'!$I:$O, 7, FALSE), VLOOKUP($I280, 'Processed Non-zero DMR Data'!$K:$R, 8, FALSE))</f>
        <v>Waste handling, treatment, and disposal - Remediation or Monitoring</v>
      </c>
      <c r="O280" s="33" t="s">
        <v>710</v>
      </c>
      <c r="P280" s="33">
        <f>VLOOKUP($N280, 'COU.OES Summary'!C:E, 3, FALSE)</f>
        <v>365</v>
      </c>
    </row>
    <row r="281" spans="1:16" ht="29" x14ac:dyDescent="0.35">
      <c r="A281" s="34">
        <v>280</v>
      </c>
      <c r="B281" s="33" t="str">
        <f>IF(AND(ISNUMBER(MATCH(H281, 'Processed Non-zero TRI Data'!$I$2:$I$23, FALSE)),ISNUMBER(MATCH(I281, 'Processed Non-zero DMR Data'!$K:$K, FALSE))),"Both TRI Form "&amp; VLOOKUP(H281, 'Processed Non-zero TRI Data'!$I$2:$K$23, 3, FALSE)&amp; " &amp; DMR", IFERROR("Only TRI Form "&amp; VLOOKUP(H281, 'Processed Non-zero TRI Data'!$I$2:$K$23, 3, FALSE), "Only DMR"))</f>
        <v>Only DMR</v>
      </c>
      <c r="C281" s="34" t="s">
        <v>452</v>
      </c>
      <c r="D281" s="34" t="s">
        <v>272</v>
      </c>
      <c r="E281" s="34" t="s">
        <v>273</v>
      </c>
      <c r="F281" s="34">
        <v>36.716268999999997</v>
      </c>
      <c r="G281" s="34">
        <v>-108.255737</v>
      </c>
      <c r="H281" s="34"/>
      <c r="I281" s="105">
        <v>110064631457</v>
      </c>
      <c r="J281" s="33">
        <f>IF(OR($H281="",$H281="Yes"), VLOOKUP($I281, 'Processed Non-zero DMR Data'!$K:$V, 10, FALSE),"")</f>
        <v>0.1114304</v>
      </c>
      <c r="K281" s="33" t="str">
        <f>IFERROR(VLOOKUP($H281, 'Processed Non-zero TRI Data'!$I:$M, 5, 0), VLOOKUP($I281, 'Processed Non-zero DMR Data'!$K:$M, 3, FALSE))</f>
        <v>Sewerage Systems</v>
      </c>
      <c r="L281" s="33" t="str">
        <f>IFERROR(VLOOKUP($H281, 'Processed Non-zero TRI Data'!I:P, 8, 0), "Direct")</f>
        <v>Direct</v>
      </c>
      <c r="M281" s="33" t="str">
        <f>VLOOKUP($N281, 'COU.OES Summary'!C:D, 2, FALSE)</f>
        <v> </v>
      </c>
      <c r="N281" s="33" t="str">
        <f>IFERROR(VLOOKUP($H281, 'Processed Non-zero TRI Data'!$I:$O, 7, FALSE), VLOOKUP($I281, 'Processed Non-zero DMR Data'!$K:$R, 8, FALSE))</f>
        <v>Waste handling, treatment, and disposal - POTW</v>
      </c>
      <c r="O281" s="33" t="s">
        <v>710</v>
      </c>
      <c r="P281" s="33">
        <f>VLOOKUP($N281, 'COU.OES Summary'!C:E, 3, FALSE)</f>
        <v>365</v>
      </c>
    </row>
    <row r="282" spans="1:16" ht="29" x14ac:dyDescent="0.35">
      <c r="A282" s="34">
        <v>281</v>
      </c>
      <c r="B282" s="33" t="str">
        <f>IF(AND(ISNUMBER(MATCH(H282, 'Processed Non-zero TRI Data'!$I$2:$I$23, FALSE)),ISNUMBER(MATCH(I282, 'Processed Non-zero DMR Data'!$K:$K, FALSE))),"Both TRI Form "&amp; VLOOKUP(H282, 'Processed Non-zero TRI Data'!$I$2:$K$23, 3, FALSE)&amp; " &amp; DMR", IFERROR("Only TRI Form "&amp; VLOOKUP(H282, 'Processed Non-zero TRI Data'!$I$2:$K$23, 3, FALSE), "Only DMR"))</f>
        <v>Only DMR</v>
      </c>
      <c r="C282" s="34" t="s">
        <v>461</v>
      </c>
      <c r="D282" s="34" t="s">
        <v>462</v>
      </c>
      <c r="E282" s="34" t="s">
        <v>340</v>
      </c>
      <c r="F282" s="34">
        <v>40.095258000000001</v>
      </c>
      <c r="G282" s="34">
        <v>-74.877359999999996</v>
      </c>
      <c r="H282" s="34"/>
      <c r="I282" s="105">
        <v>110064634686</v>
      </c>
      <c r="J282" s="33">
        <f>IF(OR($H282="",$H282="Yes"), VLOOKUP($I282, 'Processed Non-zero DMR Data'!$K:$V, 10, FALSE),"")</f>
        <v>8.2900399999999999E-2</v>
      </c>
      <c r="K282" s="33" t="str">
        <f>IFERROR(VLOOKUP($H282, 'Processed Non-zero TRI Data'!$I:$M, 5, 0), VLOOKUP($I282, 'Processed Non-zero DMR Data'!$K:$M, 3, FALSE))</f>
        <v>Plastics Materials and Resins</v>
      </c>
      <c r="L282" s="33" t="str">
        <f>IFERROR(VLOOKUP($H282, 'Processed Non-zero TRI Data'!I:P, 8, 0), "Direct")</f>
        <v>Direct</v>
      </c>
      <c r="M282" s="33" t="str">
        <f>VLOOKUP($N282, 'COU.OES Summary'!C:D, 2, FALSE)</f>
        <v> </v>
      </c>
      <c r="N282" s="33" t="str">
        <f>IFERROR(VLOOKUP($H282, 'Processed Non-zero TRI Data'!$I:$O, 7, FALSE), VLOOKUP($I282, 'Processed Non-zero DMR Data'!$K:$R, 8, FALSE))</f>
        <v>Waste handling, treatment, and disposal - Remediation or Monitoring</v>
      </c>
      <c r="O282" s="33" t="s">
        <v>710</v>
      </c>
      <c r="P282" s="33">
        <f>VLOOKUP($N282, 'COU.OES Summary'!C:E, 3, FALSE)</f>
        <v>365</v>
      </c>
    </row>
    <row r="283" spans="1:16" ht="29" x14ac:dyDescent="0.35">
      <c r="A283" s="34">
        <v>282</v>
      </c>
      <c r="B283" s="33" t="str">
        <f>IF(AND(ISNUMBER(MATCH(H283, 'Processed Non-zero TRI Data'!$I$2:$I$23, FALSE)),ISNUMBER(MATCH(I283, 'Processed Non-zero DMR Data'!$K:$K, FALSE))),"Both TRI Form "&amp; VLOOKUP(H283, 'Processed Non-zero TRI Data'!$I$2:$K$23, 3, FALSE)&amp; " &amp; DMR", IFERROR("Only TRI Form "&amp; VLOOKUP(H283, 'Processed Non-zero TRI Data'!$I$2:$K$23, 3, FALSE), "Only DMR"))</f>
        <v>Only DMR</v>
      </c>
      <c r="C283" s="34" t="s">
        <v>303</v>
      </c>
      <c r="D283" s="34" t="s">
        <v>304</v>
      </c>
      <c r="E283" s="34" t="s">
        <v>91</v>
      </c>
      <c r="F283" s="34">
        <v>30.584540000000001</v>
      </c>
      <c r="G283" s="34">
        <v>-91.247479999999996</v>
      </c>
      <c r="H283" s="34"/>
      <c r="I283" s="105">
        <v>110064644782</v>
      </c>
      <c r="J283" s="33">
        <f>IF(OR($H283="",$H283="Yes"), VLOOKUP($I283, 'Processed Non-zero DMR Data'!$K:$V, 10, FALSE),"")</f>
        <v>2.4583804800000001E-2</v>
      </c>
      <c r="K283" s="33" t="str">
        <f>IFERROR(VLOOKUP($H283, 'Processed Non-zero TRI Data'!$I:$M, 5, 0), VLOOKUP($I283, 'Processed Non-zero DMR Data'!$K:$M, 3, FALSE))</f>
        <v>Refuse Systems</v>
      </c>
      <c r="L283" s="33" t="str">
        <f>IFERROR(VLOOKUP($H283, 'Processed Non-zero TRI Data'!I:P, 8, 0), "Direct")</f>
        <v>Direct</v>
      </c>
      <c r="M283" s="33" t="str">
        <f>VLOOKUP($N283, 'COU.OES Summary'!C:D, 2, FALSE)</f>
        <v> </v>
      </c>
      <c r="N283" s="33" t="str">
        <f>IFERROR(VLOOKUP($H283, 'Processed Non-zero TRI Data'!$I:$O, 7, FALSE), VLOOKUP($I283, 'Processed Non-zero DMR Data'!$K:$R, 8, FALSE))</f>
        <v>Waste handling, treatment, and disposal - non-POTW WWT</v>
      </c>
      <c r="O283" s="33" t="s">
        <v>710</v>
      </c>
      <c r="P283" s="33">
        <f>VLOOKUP($N283, 'COU.OES Summary'!C:E, 3, FALSE)</f>
        <v>365</v>
      </c>
    </row>
    <row r="284" spans="1:16" ht="29" x14ac:dyDescent="0.35">
      <c r="A284" s="34">
        <v>283</v>
      </c>
      <c r="B284" s="33" t="str">
        <f>IF(AND(ISNUMBER(MATCH(H284, 'Processed Non-zero TRI Data'!$I$2:$I$23, FALSE)),ISNUMBER(MATCH(I284, 'Processed Non-zero DMR Data'!$K:$K, FALSE))),"Both TRI Form "&amp; VLOOKUP(H284, 'Processed Non-zero TRI Data'!$I$2:$K$23, 3, FALSE)&amp; " &amp; DMR", IFERROR("Only TRI Form "&amp; VLOOKUP(H284, 'Processed Non-zero TRI Data'!$I$2:$K$23, 3, FALSE), "Only DMR"))</f>
        <v>Only DMR</v>
      </c>
      <c r="C284" s="34" t="s">
        <v>574</v>
      </c>
      <c r="D284" s="34" t="s">
        <v>483</v>
      </c>
      <c r="E284" s="34" t="s">
        <v>102</v>
      </c>
      <c r="F284" s="34">
        <v>39.368808999999999</v>
      </c>
      <c r="G284" s="34">
        <v>-120.898977</v>
      </c>
      <c r="H284" s="34"/>
      <c r="I284" s="105">
        <v>110066354359</v>
      </c>
      <c r="J284" s="33">
        <f>IF(OR($H284="",$H284="Yes"), VLOOKUP($I284, 'Processed Non-zero DMR Data'!$K:$V, 10, FALSE),"")</f>
        <v>1.9163133275000001E-2</v>
      </c>
      <c r="K284" s="33" t="str">
        <f>IFERROR(VLOOKUP($H284, 'Processed Non-zero TRI Data'!$I:$M, 5, 0), VLOOKUP($I284, 'Processed Non-zero DMR Data'!$K:$M, 3, FALSE))</f>
        <v>Gold Ores</v>
      </c>
      <c r="L284" s="33" t="str">
        <f>IFERROR(VLOOKUP($H284, 'Processed Non-zero TRI Data'!I:P, 8, 0), "Direct")</f>
        <v>Direct</v>
      </c>
      <c r="M284" s="33" t="str">
        <f>VLOOKUP($N284, 'COU.OES Summary'!C:D, 2, FALSE)</f>
        <v> </v>
      </c>
      <c r="N284" s="33" t="str">
        <f>IFERROR(VLOOKUP($H284, 'Processed Non-zero TRI Data'!$I:$O, 7, FALSE), VLOOKUP($I284, 'Processed Non-zero DMR Data'!$K:$R, 8, FALSE))</f>
        <v>Waste handling, treatment, and disposal - Remediation or Monitoring</v>
      </c>
      <c r="O284" s="33" t="s">
        <v>710</v>
      </c>
      <c r="P284" s="33">
        <f>VLOOKUP($N284, 'COU.OES Summary'!C:E, 3, FALSE)</f>
        <v>365</v>
      </c>
    </row>
    <row r="285" spans="1:16" ht="29" x14ac:dyDescent="0.35">
      <c r="A285" s="34">
        <v>284</v>
      </c>
      <c r="B285" s="33" t="str">
        <f>IF(AND(ISNUMBER(MATCH(H285, 'Processed Non-zero TRI Data'!$I$2:$I$23, FALSE)),ISNUMBER(MATCH(I285, 'Processed Non-zero DMR Data'!$K:$K, FALSE))),"Both TRI Form "&amp; VLOOKUP(H285, 'Processed Non-zero TRI Data'!$I$2:$K$23, 3, FALSE)&amp; " &amp; DMR", IFERROR("Only TRI Form "&amp; VLOOKUP(H285, 'Processed Non-zero TRI Data'!$I$2:$K$23, 3, FALSE), "Only DMR"))</f>
        <v>Only TRI Form R</v>
      </c>
      <c r="C285" s="34" t="s">
        <v>97</v>
      </c>
      <c r="D285" s="34" t="s">
        <v>98</v>
      </c>
      <c r="E285" s="34" t="s">
        <v>95</v>
      </c>
      <c r="F285" s="34">
        <v>28.969389</v>
      </c>
      <c r="G285" s="34">
        <v>-95.379527999999993</v>
      </c>
      <c r="H285" s="34" t="s">
        <v>99</v>
      </c>
      <c r="I285" s="105">
        <v>110066943605</v>
      </c>
      <c r="J285" s="33" t="str">
        <f>IF(OR($H285="",$H285="Yes"), VLOOKUP($I285, 'Processed Non-zero DMR Data'!$K:$V, 10, FALSE),"")</f>
        <v/>
      </c>
      <c r="K285" s="33" t="str">
        <f>IFERROR(VLOOKUP($H285, 'Processed Non-zero TRI Data'!$I:$M, 5, 0), VLOOKUP($I285, 'Processed Non-zero DMR Data'!$K:$M, 3, FALSE))</f>
        <v>All Other Basic Organic Chemical Manufacturing</v>
      </c>
      <c r="L285" s="33" t="str">
        <f>IFERROR(VLOOKUP($H285, 'Processed Non-zero TRI Data'!I:P, 8, 0), "Direct")</f>
        <v>Indirect</v>
      </c>
      <c r="M285" s="33" t="str">
        <f>VLOOKUP($N285, 'COU.OES Summary'!C:D, 2, FALSE)</f>
        <v> </v>
      </c>
      <c r="N285" s="33" t="str">
        <f>IFERROR(VLOOKUP($H285, 'Processed Non-zero TRI Data'!$I:$O, 7, FALSE), VLOOKUP($I285, 'Processed Non-zero DMR Data'!$K:$R, 8, FALSE))</f>
        <v>Manufacturing as a byproduct</v>
      </c>
      <c r="O285" s="33" t="s">
        <v>710</v>
      </c>
      <c r="P285" s="33">
        <f>VLOOKUP($N285, 'COU.OES Summary'!C:E, 3, FALSE)</f>
        <v>350</v>
      </c>
    </row>
    <row r="286" spans="1:16" ht="29" x14ac:dyDescent="0.35">
      <c r="A286" s="34">
        <v>285</v>
      </c>
      <c r="B286" s="33" t="str">
        <f>IF(AND(ISNUMBER(MATCH(H286, 'Processed Non-zero TRI Data'!$I$2:$I$23, FALSE)),ISNUMBER(MATCH(I286, 'Processed Non-zero DMR Data'!$K:$K, FALSE))),"Both TRI Form "&amp; VLOOKUP(H286, 'Processed Non-zero TRI Data'!$I$2:$K$23, 3, FALSE)&amp; " &amp; DMR", IFERROR("Only TRI Form "&amp; VLOOKUP(H286, 'Processed Non-zero TRI Data'!$I$2:$K$23, 3, FALSE), "Only DMR"))</f>
        <v>Only DMR</v>
      </c>
      <c r="C286" s="34" t="s">
        <v>326</v>
      </c>
      <c r="D286" s="34" t="s">
        <v>327</v>
      </c>
      <c r="E286" s="34" t="s">
        <v>328</v>
      </c>
      <c r="F286" s="34">
        <v>44.980027999999997</v>
      </c>
      <c r="G286" s="34">
        <v>-93.264069000000006</v>
      </c>
      <c r="H286" s="34"/>
      <c r="I286" s="105">
        <v>110067874312</v>
      </c>
      <c r="J286" s="33">
        <f>IF(OR($H286="",$H286="Yes"), VLOOKUP($I286, 'Processed Non-zero DMR Data'!$K:$V, 10, FALSE),"")</f>
        <v>0.77983187700000001</v>
      </c>
      <c r="K286" s="33" t="str">
        <f>IFERROR(VLOOKUP($H286, 'Processed Non-zero TRI Data'!$I:$M, 5, 0), VLOOKUP($I286, 'Processed Non-zero DMR Data'!$K:$M, 3, FALSE))</f>
        <v>Special Trade Contractors, Nec</v>
      </c>
      <c r="L286" s="33" t="str">
        <f>IFERROR(VLOOKUP($H286, 'Processed Non-zero TRI Data'!I:P, 8, 0), "Direct")</f>
        <v>Direct</v>
      </c>
      <c r="M286" s="33" t="str">
        <f>VLOOKUP($N286, 'COU.OES Summary'!C:D, 2, FALSE)</f>
        <v> </v>
      </c>
      <c r="N286" s="33" t="str">
        <f>IFERROR(VLOOKUP($H286, 'Processed Non-zero TRI Data'!$I:$O, 7, FALSE), VLOOKUP($I286, 'Processed Non-zero DMR Data'!$K:$R, 8, FALSE))</f>
        <v>Waste handling, treatment, and disposal - Remediation or Monitoring</v>
      </c>
      <c r="O286" s="33" t="s">
        <v>710</v>
      </c>
      <c r="P286" s="33">
        <f>VLOOKUP($N286, 'COU.OES Summary'!C:E, 3, FALSE)</f>
        <v>365</v>
      </c>
    </row>
    <row r="287" spans="1:16" ht="29" x14ac:dyDescent="0.35">
      <c r="A287" s="34">
        <v>286</v>
      </c>
      <c r="B287" s="33" t="str">
        <f>IF(AND(ISNUMBER(MATCH(H287, 'Processed Non-zero TRI Data'!$I$2:$I$23, FALSE)),ISNUMBER(MATCH(I287, 'Processed Non-zero DMR Data'!$K:$K, FALSE))),"Both TRI Form "&amp; VLOOKUP(H287, 'Processed Non-zero TRI Data'!$I$2:$K$23, 3, FALSE)&amp; " &amp; DMR", IFERROR("Only TRI Form "&amp; VLOOKUP(H287, 'Processed Non-zero TRI Data'!$I$2:$K$23, 3, FALSE), "Only DMR"))</f>
        <v>Only DMR</v>
      </c>
      <c r="C287" s="34" t="s">
        <v>490</v>
      </c>
      <c r="D287" s="34" t="s">
        <v>491</v>
      </c>
      <c r="E287" s="34" t="s">
        <v>492</v>
      </c>
      <c r="F287" s="34">
        <v>40.393799999999999</v>
      </c>
      <c r="G287" s="34">
        <v>-105.074</v>
      </c>
      <c r="H287" s="34"/>
      <c r="I287" s="105">
        <v>110070053140</v>
      </c>
      <c r="J287" s="33">
        <f>IF(OR($H287="",$H287="Yes"), VLOOKUP($I287, 'Processed Non-zero DMR Data'!$K:$V, 10, FALSE),"")</f>
        <v>5.0143680000000003E-2</v>
      </c>
      <c r="K287" s="33" t="str">
        <f>IFERROR(VLOOKUP($H287, 'Processed Non-zero TRI Data'!$I:$M, 5, 0), VLOOKUP($I287, 'Processed Non-zero DMR Data'!$K:$M, 3, FALSE))</f>
        <v>Automobile Parking</v>
      </c>
      <c r="L287" s="33" t="str">
        <f>IFERROR(VLOOKUP($H287, 'Processed Non-zero TRI Data'!I:P, 8, 0), "Direct")</f>
        <v>Direct</v>
      </c>
      <c r="M287" s="33" t="str">
        <f>VLOOKUP($N287, 'COU.OES Summary'!C:D, 2, FALSE)</f>
        <v> </v>
      </c>
      <c r="N287" s="33" t="str">
        <f>IFERROR(VLOOKUP($H287, 'Processed Non-zero TRI Data'!$I:$O, 7, FALSE), VLOOKUP($I287, 'Processed Non-zero DMR Data'!$K:$R, 8, FALSE))</f>
        <v>Waste handling, treatment, and disposal - Remediation or Monitoring</v>
      </c>
      <c r="O287" s="33" t="s">
        <v>710</v>
      </c>
      <c r="P287" s="33">
        <f>VLOOKUP($N287, 'COU.OES Summary'!C:E, 3, FALSE)</f>
        <v>365</v>
      </c>
    </row>
    <row r="288" spans="1:16" ht="29" x14ac:dyDescent="0.35">
      <c r="A288" s="34">
        <v>287</v>
      </c>
      <c r="B288" s="33" t="str">
        <f>IF(AND(ISNUMBER(MATCH(H288, 'Processed Non-zero TRI Data'!$I$2:$I$23, FALSE)),ISNUMBER(MATCH(I288, 'Processed Non-zero DMR Data'!$K:$K, FALSE))),"Both TRI Form "&amp; VLOOKUP(H288, 'Processed Non-zero TRI Data'!$I$2:$K$23, 3, FALSE)&amp; " &amp; DMR", IFERROR("Only TRI Form "&amp; VLOOKUP(H288, 'Processed Non-zero TRI Data'!$I$2:$K$23, 3, FALSE), "Only DMR"))</f>
        <v>Only DMR</v>
      </c>
      <c r="C288" s="34" t="s">
        <v>691</v>
      </c>
      <c r="D288" s="34" t="s">
        <v>623</v>
      </c>
      <c r="E288" s="34" t="s">
        <v>492</v>
      </c>
      <c r="F288" s="34">
        <v>39.744531000000002</v>
      </c>
      <c r="G288" s="34">
        <v>-104.95984</v>
      </c>
      <c r="H288" s="34"/>
      <c r="I288" s="105">
        <v>110070097711</v>
      </c>
      <c r="J288" s="33">
        <f>IF(OR($H288="",$H288="Yes"), VLOOKUP($I288, 'Processed Non-zero DMR Data'!$K:$V, 10, FALSE),"")</f>
        <v>3.2778100000000003E-4</v>
      </c>
      <c r="K288" s="33" t="str">
        <f>IFERROR(VLOOKUP($H288, 'Processed Non-zero TRI Data'!$I:$M, 5, 0), VLOOKUP($I288, 'Processed Non-zero DMR Data'!$K:$M, 3, FALSE))</f>
        <v>Apartment Building Operators</v>
      </c>
      <c r="L288" s="33" t="str">
        <f>IFERROR(VLOOKUP($H288, 'Processed Non-zero TRI Data'!I:P, 8, 0), "Direct")</f>
        <v>Direct</v>
      </c>
      <c r="M288" s="33" t="str">
        <f>VLOOKUP($N288, 'COU.OES Summary'!C:D, 2, FALSE)</f>
        <v> </v>
      </c>
      <c r="N288" s="33" t="str">
        <f>IFERROR(VLOOKUP($H288, 'Processed Non-zero TRI Data'!$I:$O, 7, FALSE), VLOOKUP($I288, 'Processed Non-zero DMR Data'!$K:$R, 8, FALSE))</f>
        <v>Waste handling, treatment, and disposal - Remediation or Monitoring</v>
      </c>
      <c r="O288" s="33" t="s">
        <v>710</v>
      </c>
      <c r="P288" s="33">
        <f>VLOOKUP($N288, 'COU.OES Summary'!C:E, 3, FALSE)</f>
        <v>365</v>
      </c>
    </row>
    <row r="289" spans="1:16" ht="29" x14ac:dyDescent="0.35">
      <c r="A289" s="34">
        <v>288</v>
      </c>
      <c r="B289" s="33" t="str">
        <f>IF(AND(ISNUMBER(MATCH(H289, 'Processed Non-zero TRI Data'!$I$2:$I$23, FALSE)),ISNUMBER(MATCH(I289, 'Processed Non-zero DMR Data'!$K:$K, FALSE))),"Both TRI Form "&amp; VLOOKUP(H289, 'Processed Non-zero TRI Data'!$I$2:$K$23, 3, FALSE)&amp; " &amp; DMR", IFERROR("Only TRI Form "&amp; VLOOKUP(H289, 'Processed Non-zero TRI Data'!$I$2:$K$23, 3, FALSE), "Only DMR"))</f>
        <v>Only DMR</v>
      </c>
      <c r="C289" s="34" t="s">
        <v>622</v>
      </c>
      <c r="D289" s="34" t="s">
        <v>623</v>
      </c>
      <c r="E289" s="34" t="s">
        <v>492</v>
      </c>
      <c r="F289" s="34">
        <v>39.781474000000003</v>
      </c>
      <c r="G289" s="34">
        <v>-104.97438</v>
      </c>
      <c r="H289" s="34"/>
      <c r="I289" s="105">
        <v>110070162955</v>
      </c>
      <c r="J289" s="33">
        <f>IF(OR($H289="",$H289="Yes"), VLOOKUP($I289, 'Processed Non-zero DMR Data'!$K:$V, 10, FALSE),"")</f>
        <v>5.7151531800000001E-4</v>
      </c>
      <c r="K289" s="33" t="str">
        <f>IFERROR(VLOOKUP($H289, 'Processed Non-zero TRI Data'!$I:$M, 5, 0), VLOOKUP($I289, 'Processed Non-zero DMR Data'!$K:$M, 3, FALSE))</f>
        <v>Heavy Construction, Nec</v>
      </c>
      <c r="L289" s="33" t="str">
        <f>IFERROR(VLOOKUP($H289, 'Processed Non-zero TRI Data'!I:P, 8, 0), "Direct")</f>
        <v>Direct</v>
      </c>
      <c r="M289" s="33" t="str">
        <f>VLOOKUP($N289, 'COU.OES Summary'!C:D, 2, FALSE)</f>
        <v> </v>
      </c>
      <c r="N289" s="33" t="str">
        <f>IFERROR(VLOOKUP($H289, 'Processed Non-zero TRI Data'!$I:$O, 7, FALSE), VLOOKUP($I289, 'Processed Non-zero DMR Data'!$K:$R, 8, FALSE))</f>
        <v>Waste handling, treatment, and disposal - Remediation or Monitoring</v>
      </c>
      <c r="O289" s="33" t="s">
        <v>710</v>
      </c>
      <c r="P289" s="33">
        <f>VLOOKUP($N289, 'COU.OES Summary'!C:E, 3, FALSE)</f>
        <v>365</v>
      </c>
    </row>
    <row r="290" spans="1:16" ht="29" x14ac:dyDescent="0.35">
      <c r="A290" s="34">
        <v>289</v>
      </c>
      <c r="B290" s="33" t="str">
        <f>IF(AND(ISNUMBER(MATCH(H290, 'Processed Non-zero TRI Data'!$I$2:$I$23, FALSE)),ISNUMBER(MATCH(I290, 'Processed Non-zero DMR Data'!$K:$K, FALSE))),"Both TRI Form "&amp; VLOOKUP(H290, 'Processed Non-zero TRI Data'!$I$2:$K$23, 3, FALSE)&amp; " &amp; DMR", IFERROR("Only TRI Form "&amp; VLOOKUP(H290, 'Processed Non-zero TRI Data'!$I$2:$K$23, 3, FALSE), "Only DMR"))</f>
        <v>Only DMR</v>
      </c>
      <c r="C290" s="34" t="s">
        <v>195</v>
      </c>
      <c r="D290" s="34" t="s">
        <v>90</v>
      </c>
      <c r="E290" s="34" t="s">
        <v>91</v>
      </c>
      <c r="F290" s="34">
        <v>30.214192000000001</v>
      </c>
      <c r="G290" s="34">
        <v>-93.308589999999995</v>
      </c>
      <c r="H290" s="34"/>
      <c r="I290" s="105">
        <v>110070208769</v>
      </c>
      <c r="J290" s="33">
        <f>IF(OR($H290="",$H290="Yes"), VLOOKUP($I290, 'Processed Non-zero DMR Data'!$K:$V, 10, FALSE),"")</f>
        <v>4.8884449999999999</v>
      </c>
      <c r="K290" s="33" t="str">
        <f>IFERROR(VLOOKUP($H290, 'Processed Non-zero TRI Data'!$I:$M, 5, 0), VLOOKUP($I290, 'Processed Non-zero DMR Data'!$K:$M, 3, FALSE))</f>
        <v>Industrial Organic Chemicals, Nec</v>
      </c>
      <c r="L290" s="33" t="str">
        <f>IFERROR(VLOOKUP($H290, 'Processed Non-zero TRI Data'!I:P, 8, 0), "Direct")</f>
        <v>Direct</v>
      </c>
      <c r="M290" s="33" t="str">
        <f>VLOOKUP($N290, 'COU.OES Summary'!C:D, 2, FALSE)</f>
        <v> </v>
      </c>
      <c r="N290" s="33" t="str">
        <f>IFERROR(VLOOKUP($H290, 'Processed Non-zero TRI Data'!$I:$O, 7, FALSE), VLOOKUP($I290, 'Processed Non-zero DMR Data'!$K:$R, 8, FALSE))</f>
        <v>Waste handling, treatment, and disposal - Remediation or Monitoring</v>
      </c>
      <c r="O290" s="33" t="s">
        <v>710</v>
      </c>
      <c r="P290" s="33">
        <f>VLOOKUP($N290, 'COU.OES Summary'!C:E, 3, FALSE)</f>
        <v>365</v>
      </c>
    </row>
    <row r="291" spans="1:16" ht="29" x14ac:dyDescent="0.35">
      <c r="A291" s="34">
        <v>290</v>
      </c>
      <c r="B291" s="33" t="str">
        <f>IF(AND(ISNUMBER(MATCH(H291, 'Processed Non-zero TRI Data'!$I$2:$I$23, FALSE)),ISNUMBER(MATCH(I291, 'Processed Non-zero DMR Data'!$K:$K, FALSE))),"Both TRI Form "&amp; VLOOKUP(H291, 'Processed Non-zero TRI Data'!$I$2:$K$23, 3, FALSE)&amp; " &amp; DMR", IFERROR("Only TRI Form "&amp; VLOOKUP(H291, 'Processed Non-zero TRI Data'!$I$2:$K$23, 3, FALSE), "Only DMR"))</f>
        <v>Only DMR</v>
      </c>
      <c r="C291" s="34" t="s">
        <v>650</v>
      </c>
      <c r="D291" s="34" t="s">
        <v>651</v>
      </c>
      <c r="E291" s="34" t="s">
        <v>254</v>
      </c>
      <c r="F291" s="34">
        <v>39.827696000000003</v>
      </c>
      <c r="G291" s="34">
        <v>-75.277782000000002</v>
      </c>
      <c r="H291" s="34"/>
      <c r="I291" s="105">
        <v>110070210457</v>
      </c>
      <c r="J291" s="33">
        <f>IF(OR($H291="",$H291="Yes"), VLOOKUP($I291, 'Processed Non-zero DMR Data'!$K:$V, 10, FALSE),"")</f>
        <v>3.6858443550000001E-3</v>
      </c>
      <c r="K291" s="33" t="str">
        <f>IFERROR(VLOOKUP($H291, 'Processed Non-zero TRI Data'!$I:$M, 5, 0), VLOOKUP($I291, 'Processed Non-zero DMR Data'!$K:$M, 3, FALSE))</f>
        <v>Industrial Organic Chemicals, Nec</v>
      </c>
      <c r="L291" s="33" t="str">
        <f>IFERROR(VLOOKUP($H291, 'Processed Non-zero TRI Data'!I:P, 8, 0), "Direct")</f>
        <v>Direct</v>
      </c>
      <c r="M291" s="33" t="str">
        <f>VLOOKUP($N291, 'COU.OES Summary'!C:D, 2, FALSE)</f>
        <v> </v>
      </c>
      <c r="N291" s="33" t="str">
        <f>IFERROR(VLOOKUP($H291, 'Processed Non-zero TRI Data'!$I:$O, 7, FALSE), VLOOKUP($I291, 'Processed Non-zero DMR Data'!$K:$R, 8, FALSE))</f>
        <v>Waste handling, treatment, and disposal - Remediation or Monitoring</v>
      </c>
      <c r="O291" s="33" t="s">
        <v>710</v>
      </c>
      <c r="P291" s="33">
        <f>VLOOKUP($N291, 'COU.OES Summary'!C:E, 3, FALSE)</f>
        <v>365</v>
      </c>
    </row>
    <row r="292" spans="1:16" ht="29" x14ac:dyDescent="0.35">
      <c r="A292" s="34">
        <v>291</v>
      </c>
      <c r="B292" s="33" t="str">
        <f>IF(AND(ISNUMBER(MATCH(H292, 'Processed Non-zero TRI Data'!$I$2:$I$23, FALSE)),ISNUMBER(MATCH(I292, 'Processed Non-zero DMR Data'!$K:$K, FALSE))),"Both TRI Form "&amp; VLOOKUP(H292, 'Processed Non-zero TRI Data'!$I$2:$K$23, 3, FALSE)&amp; " &amp; DMR", IFERROR("Only TRI Form "&amp; VLOOKUP(H292, 'Processed Non-zero TRI Data'!$I$2:$K$23, 3, FALSE), "Only DMR"))</f>
        <v>Only DMR</v>
      </c>
      <c r="C292" s="34" t="s">
        <v>662</v>
      </c>
      <c r="D292" s="34" t="s">
        <v>557</v>
      </c>
      <c r="E292" s="34" t="s">
        <v>254</v>
      </c>
      <c r="F292" s="34">
        <v>40.428542</v>
      </c>
      <c r="G292" s="34">
        <v>-74.518662000000006</v>
      </c>
      <c r="H292" s="34"/>
      <c r="I292" s="105">
        <v>110070212323</v>
      </c>
      <c r="J292" s="33">
        <f>IF(OR($H292="",$H292="Yes"), VLOOKUP($I292, 'Processed Non-zero DMR Data'!$K:$V, 10, FALSE),"")</f>
        <v>1.8990217064E-3</v>
      </c>
      <c r="K292" s="33" t="e">
        <f>IFERROR(VLOOKUP($H292, 'Processed Non-zero TRI Data'!$I:$M, 5, 0), VLOOKUP($I292, 'Processed Non-zero DMR Data'!$K:$M, 3, FALSE))</f>
        <v>#N/A</v>
      </c>
      <c r="L292" s="33" t="str">
        <f>IFERROR(VLOOKUP($H292, 'Processed Non-zero TRI Data'!I:P, 8, 0), "Direct")</f>
        <v>Direct</v>
      </c>
      <c r="M292" s="33" t="str">
        <f>VLOOKUP($N292, 'COU.OES Summary'!C:D, 2, FALSE)</f>
        <v> </v>
      </c>
      <c r="N292" s="33" t="str">
        <f>IFERROR(VLOOKUP($H292, 'Processed Non-zero TRI Data'!$I:$O, 7, FALSE), VLOOKUP($I292, 'Processed Non-zero DMR Data'!$K:$R, 8, FALSE))</f>
        <v>Waste handling, treatment, and disposal - Remediation or Monitoring</v>
      </c>
      <c r="O292" s="33" t="s">
        <v>710</v>
      </c>
      <c r="P292" s="33">
        <f>VLOOKUP($N292, 'COU.OES Summary'!C:E, 3, FALSE)</f>
        <v>365</v>
      </c>
    </row>
    <row r="293" spans="1:16" ht="29" x14ac:dyDescent="0.35">
      <c r="A293" s="34">
        <v>292</v>
      </c>
      <c r="B293" s="33" t="str">
        <f>IF(AND(ISNUMBER(MATCH(H293, 'Processed Non-zero TRI Data'!$I$2:$I$23, FALSE)),ISNUMBER(MATCH(I293, 'Processed Non-zero DMR Data'!$K:$K, FALSE))),"Both TRI Form "&amp; VLOOKUP(H293, 'Processed Non-zero TRI Data'!$I$2:$K$23, 3, FALSE)&amp; " &amp; DMR", IFERROR("Only TRI Form "&amp; VLOOKUP(H293, 'Processed Non-zero TRI Data'!$I$2:$K$23, 3, FALSE), "Only DMR"))</f>
        <v>Only DMR</v>
      </c>
      <c r="C293" s="34" t="s">
        <v>687</v>
      </c>
      <c r="D293" s="34" t="s">
        <v>688</v>
      </c>
      <c r="E293" s="34" t="s">
        <v>254</v>
      </c>
      <c r="F293" s="34">
        <v>40.891950000000001</v>
      </c>
      <c r="G293" s="34">
        <v>-74.249369999999999</v>
      </c>
      <c r="H293" s="34"/>
      <c r="I293" s="105">
        <v>110070213656</v>
      </c>
      <c r="J293" s="33">
        <f>IF(OR($H293="",$H293="Yes"), VLOOKUP($I293, 'Processed Non-zero DMR Data'!$K:$V, 10, FALSE),"")</f>
        <v>4.2768062459999997E-4</v>
      </c>
      <c r="K293" s="33" t="str">
        <f>IFERROR(VLOOKUP($H293, 'Processed Non-zero TRI Data'!$I:$M, 5, 0), VLOOKUP($I293, 'Processed Non-zero DMR Data'!$K:$M, 3, FALSE))</f>
        <v>Nonclassifiable Establishments</v>
      </c>
      <c r="L293" s="33" t="str">
        <f>IFERROR(VLOOKUP($H293, 'Processed Non-zero TRI Data'!I:P, 8, 0), "Direct")</f>
        <v>Direct</v>
      </c>
      <c r="M293" s="33" t="str">
        <f>VLOOKUP($N293, 'COU.OES Summary'!C:D, 2, FALSE)</f>
        <v> </v>
      </c>
      <c r="N293" s="33" t="str">
        <f>IFERROR(VLOOKUP($H293, 'Processed Non-zero TRI Data'!$I:$O, 7, FALSE), VLOOKUP($I293, 'Processed Non-zero DMR Data'!$K:$R, 8, FALSE))</f>
        <v>Waste handling, treatment, and disposal - Remediation or Monitoring</v>
      </c>
      <c r="O293" s="33" t="s">
        <v>710</v>
      </c>
      <c r="P293" s="33">
        <f>VLOOKUP($N293, 'COU.OES Summary'!C:E, 3, FALSE)</f>
        <v>365</v>
      </c>
    </row>
    <row r="294" spans="1:16" ht="29" x14ac:dyDescent="0.35">
      <c r="A294" s="34">
        <v>293</v>
      </c>
      <c r="B294" s="33" t="str">
        <f>IF(AND(ISNUMBER(MATCH(H294, 'Processed Non-zero TRI Data'!$I$2:$I$23, FALSE)),ISNUMBER(MATCH(I294, 'Processed Non-zero DMR Data'!$K:$K, FALSE))),"Both TRI Form "&amp; VLOOKUP(H294, 'Processed Non-zero TRI Data'!$I$2:$K$23, 3, FALSE)&amp; " &amp; DMR", IFERROR("Only TRI Form "&amp; VLOOKUP(H294, 'Processed Non-zero TRI Data'!$I$2:$K$23, 3, FALSE), "Only DMR"))</f>
        <v>Only DMR</v>
      </c>
      <c r="C294" s="34" t="s">
        <v>627</v>
      </c>
      <c r="D294" s="34" t="s">
        <v>628</v>
      </c>
      <c r="E294" s="34" t="s">
        <v>254</v>
      </c>
      <c r="F294" s="34">
        <v>40.515906999999999</v>
      </c>
      <c r="G294" s="34">
        <v>-74.325175999999999</v>
      </c>
      <c r="H294" s="34"/>
      <c r="I294" s="105">
        <v>110070215141</v>
      </c>
      <c r="J294" s="33">
        <f>IF(OR($H294="",$H294="Yes"), VLOOKUP($I294, 'Processed Non-zero DMR Data'!$K:$V, 10, FALSE),"")</f>
        <v>1.9667922828000002E-3</v>
      </c>
      <c r="K294" s="33" t="e">
        <f>IFERROR(VLOOKUP($H294, 'Processed Non-zero TRI Data'!$I:$M, 5, 0), VLOOKUP($I294, 'Processed Non-zero DMR Data'!$K:$M, 3, FALSE))</f>
        <v>#N/A</v>
      </c>
      <c r="L294" s="33" t="str">
        <f>IFERROR(VLOOKUP($H294, 'Processed Non-zero TRI Data'!I:P, 8, 0), "Direct")</f>
        <v>Direct</v>
      </c>
      <c r="M294" s="33" t="str">
        <f>VLOOKUP($N294, 'COU.OES Summary'!C:D, 2, FALSE)</f>
        <v> </v>
      </c>
      <c r="N294" s="33" t="str">
        <f>IFERROR(VLOOKUP($H294, 'Processed Non-zero TRI Data'!$I:$O, 7, FALSE), VLOOKUP($I294, 'Processed Non-zero DMR Data'!$K:$R, 8, FALSE))</f>
        <v>Waste handling, treatment, and disposal - Remediation or Monitoring</v>
      </c>
      <c r="O294" s="33" t="s">
        <v>710</v>
      </c>
      <c r="P294" s="33">
        <f>VLOOKUP($N294, 'COU.OES Summary'!C:E, 3, FALSE)</f>
        <v>365</v>
      </c>
    </row>
    <row r="295" spans="1:16" ht="29" x14ac:dyDescent="0.35">
      <c r="A295" s="34">
        <v>294</v>
      </c>
      <c r="B295" s="33" t="str">
        <f>IF(AND(ISNUMBER(MATCH(H295, 'Processed Non-zero TRI Data'!$I$2:$I$23, FALSE)),ISNUMBER(MATCH(I295, 'Processed Non-zero DMR Data'!$K:$K, FALSE))),"Both TRI Form "&amp; VLOOKUP(H295, 'Processed Non-zero TRI Data'!$I$2:$K$23, 3, FALSE)&amp; " &amp; DMR", IFERROR("Only TRI Form "&amp; VLOOKUP(H295, 'Processed Non-zero TRI Data'!$I$2:$K$23, 3, FALSE), "Only DMR"))</f>
        <v>Only DMR</v>
      </c>
      <c r="C295" s="34" t="s">
        <v>684</v>
      </c>
      <c r="D295" s="34" t="s">
        <v>685</v>
      </c>
      <c r="E295" s="34" t="s">
        <v>254</v>
      </c>
      <c r="F295" s="34">
        <v>40.52516</v>
      </c>
      <c r="G295" s="34">
        <v>-74.601039999999998</v>
      </c>
      <c r="H295" s="34"/>
      <c r="I295" s="105">
        <v>110070217974</v>
      </c>
      <c r="J295" s="33">
        <f>IF(OR($H295="",$H295="Yes"), VLOOKUP($I295, 'Processed Non-zero DMR Data'!$K:$V, 10, FALSE),"")</f>
        <v>2.8224260520000002E-4</v>
      </c>
      <c r="K295" s="33" t="str">
        <f>IFERROR(VLOOKUP($H295, 'Processed Non-zero TRI Data'!$I:$M, 5, 0), VLOOKUP($I295, 'Processed Non-zero DMR Data'!$K:$M, 3, FALSE))</f>
        <v>Paints and Allied Products</v>
      </c>
      <c r="L295" s="33" t="str">
        <f>IFERROR(VLOOKUP($H295, 'Processed Non-zero TRI Data'!I:P, 8, 0), "Direct")</f>
        <v>Direct</v>
      </c>
      <c r="M295" s="33" t="str">
        <f>VLOOKUP($N295, 'COU.OES Summary'!C:D, 2, FALSE)</f>
        <v> </v>
      </c>
      <c r="N295" s="33" t="str">
        <f>IFERROR(VLOOKUP($H295, 'Processed Non-zero TRI Data'!$I:$O, 7, FALSE), VLOOKUP($I295, 'Processed Non-zero DMR Data'!$K:$R, 8, FALSE))</f>
        <v>Waste handling, treatment, and disposal - Remediation or Monitoring</v>
      </c>
      <c r="O295" s="33" t="s">
        <v>710</v>
      </c>
      <c r="P295" s="33">
        <f>VLOOKUP($N295, 'COU.OES Summary'!C:E, 3, FALSE)</f>
        <v>365</v>
      </c>
    </row>
    <row r="296" spans="1:16" ht="29" x14ac:dyDescent="0.35">
      <c r="A296" s="34">
        <v>295</v>
      </c>
      <c r="B296" s="33" t="str">
        <f>IF(AND(ISNUMBER(MATCH(H296, 'Processed Non-zero TRI Data'!$I$2:$I$23, FALSE)),ISNUMBER(MATCH(I296, 'Processed Non-zero DMR Data'!$K:$K, FALSE))),"Both TRI Form "&amp; VLOOKUP(H296, 'Processed Non-zero TRI Data'!$I$2:$K$23, 3, FALSE)&amp; " &amp; DMR", IFERROR("Only TRI Form "&amp; VLOOKUP(H296, 'Processed Non-zero TRI Data'!$I$2:$K$23, 3, FALSE), "Only DMR"))</f>
        <v>Only DMR</v>
      </c>
      <c r="C296" s="34" t="s">
        <v>471</v>
      </c>
      <c r="D296" s="34" t="s">
        <v>472</v>
      </c>
      <c r="E296" s="34" t="s">
        <v>254</v>
      </c>
      <c r="F296" s="34">
        <v>40.393389999999997</v>
      </c>
      <c r="G296" s="34">
        <v>-74.758080000000007</v>
      </c>
      <c r="H296" s="34"/>
      <c r="I296" s="105">
        <v>110070219521</v>
      </c>
      <c r="J296" s="33">
        <f>IF(OR($H296="",$H296="Yes"), VLOOKUP($I296, 'Processed Non-zero DMR Data'!$K:$V, 10, FALSE),"")</f>
        <v>6.0172605249999997E-2</v>
      </c>
      <c r="K296" s="33" t="e">
        <f>IFERROR(VLOOKUP($H296, 'Processed Non-zero TRI Data'!$I:$M, 5, 0), VLOOKUP($I296, 'Processed Non-zero DMR Data'!$K:$M, 3, FALSE))</f>
        <v>#N/A</v>
      </c>
      <c r="L296" s="33" t="str">
        <f>IFERROR(VLOOKUP($H296, 'Processed Non-zero TRI Data'!I:P, 8, 0), "Direct")</f>
        <v>Direct</v>
      </c>
      <c r="M296" s="33" t="str">
        <f>VLOOKUP($N296, 'COU.OES Summary'!C:D, 2, FALSE)</f>
        <v> </v>
      </c>
      <c r="N296" s="33" t="str">
        <f>IFERROR(VLOOKUP($H296, 'Processed Non-zero TRI Data'!$I:$O, 7, FALSE), VLOOKUP($I296, 'Processed Non-zero DMR Data'!$K:$R, 8, FALSE))</f>
        <v>Waste handling, treatment, and disposal - Remediation or Monitoring</v>
      </c>
      <c r="O296" s="33" t="s">
        <v>710</v>
      </c>
      <c r="P296" s="33">
        <f>VLOOKUP($N296, 'COU.OES Summary'!C:E, 3, FALSE)</f>
        <v>365</v>
      </c>
    </row>
    <row r="297" spans="1:16" ht="29" x14ac:dyDescent="0.35">
      <c r="A297" s="34">
        <v>296</v>
      </c>
      <c r="B297" s="33" t="str">
        <f>IF(AND(ISNUMBER(MATCH(H297, 'Processed Non-zero TRI Data'!$I$2:$I$23, FALSE)),ISNUMBER(MATCH(I297, 'Processed Non-zero DMR Data'!$K:$K, FALSE))),"Both TRI Form "&amp; VLOOKUP(H297, 'Processed Non-zero TRI Data'!$I$2:$K$23, 3, FALSE)&amp; " &amp; DMR", IFERROR("Only TRI Form "&amp; VLOOKUP(H297, 'Processed Non-zero TRI Data'!$I$2:$K$23, 3, FALSE), "Only DMR"))</f>
        <v>Only DMR</v>
      </c>
      <c r="C297" s="34" t="s">
        <v>659</v>
      </c>
      <c r="D297" s="34" t="s">
        <v>660</v>
      </c>
      <c r="E297" s="34" t="s">
        <v>254</v>
      </c>
      <c r="F297" s="34">
        <v>40.471558999999999</v>
      </c>
      <c r="G297" s="34">
        <v>-74.446973</v>
      </c>
      <c r="H297" s="34"/>
      <c r="I297" s="105">
        <v>110070220269</v>
      </c>
      <c r="J297" s="33">
        <f>IF(OR($H297="",$H297="Yes"), VLOOKUP($I297, 'Processed Non-zero DMR Data'!$K:$V, 10, FALSE),"")</f>
        <v>2.15688225E-3</v>
      </c>
      <c r="K297" s="33" t="str">
        <f>IFERROR(VLOOKUP($H297, 'Processed Non-zero TRI Data'!$I:$M, 5, 0), VLOOKUP($I297, 'Processed Non-zero DMR Data'!$K:$M, 3, FALSE))</f>
        <v>Gaskets; Packing and Sealing Devices</v>
      </c>
      <c r="L297" s="33" t="str">
        <f>IFERROR(VLOOKUP($H297, 'Processed Non-zero TRI Data'!I:P, 8, 0), "Direct")</f>
        <v>Direct</v>
      </c>
      <c r="M297" s="33" t="str">
        <f>VLOOKUP($N297, 'COU.OES Summary'!C:D, 2, FALSE)</f>
        <v> </v>
      </c>
      <c r="N297" s="33" t="str">
        <f>IFERROR(VLOOKUP($H297, 'Processed Non-zero TRI Data'!$I:$O, 7, FALSE), VLOOKUP($I297, 'Processed Non-zero DMR Data'!$K:$R, 8, FALSE))</f>
        <v>Waste handling, treatment, and disposal - Remediation or Monitoring</v>
      </c>
      <c r="O297" s="33" t="s">
        <v>710</v>
      </c>
      <c r="P297" s="33">
        <f>VLOOKUP($N297, 'COU.OES Summary'!C:E, 3, FALSE)</f>
        <v>365</v>
      </c>
    </row>
    <row r="298" spans="1:16" ht="29" x14ac:dyDescent="0.35">
      <c r="A298" s="34">
        <v>297</v>
      </c>
      <c r="B298" s="33" t="str">
        <f>IF(AND(ISNUMBER(MATCH(H298, 'Processed Non-zero TRI Data'!$I$2:$I$23, FALSE)),ISNUMBER(MATCH(I298, 'Processed Non-zero DMR Data'!$K:$K, FALSE))),"Both TRI Form "&amp; VLOOKUP(H298, 'Processed Non-zero TRI Data'!$I$2:$K$23, 3, FALSE)&amp; " &amp; DMR", IFERROR("Only TRI Form "&amp; VLOOKUP(H298, 'Processed Non-zero TRI Data'!$I$2:$K$23, 3, FALSE), "Only DMR"))</f>
        <v>Only DMR</v>
      </c>
      <c r="C298" s="34" t="s">
        <v>556</v>
      </c>
      <c r="D298" s="34" t="s">
        <v>557</v>
      </c>
      <c r="E298" s="34" t="s">
        <v>254</v>
      </c>
      <c r="F298" s="34">
        <v>40.382820000000002</v>
      </c>
      <c r="G298" s="34">
        <v>-74.501608000000004</v>
      </c>
      <c r="H298" s="34"/>
      <c r="I298" s="105">
        <v>110070220772</v>
      </c>
      <c r="J298" s="33">
        <f>IF(OR($H298="",$H298="Yes"), VLOOKUP($I298, 'Processed Non-zero DMR Data'!$K:$V, 10, FALSE),"")</f>
        <v>7.3251737852000004E-3</v>
      </c>
      <c r="K298" s="33" t="str">
        <f>IFERROR(VLOOKUP($H298, 'Processed Non-zero TRI Data'!$I:$M, 5, 0), VLOOKUP($I298, 'Processed Non-zero DMR Data'!$K:$M, 3, FALSE))</f>
        <v>Fluid Power Valves and Hose Fittings</v>
      </c>
      <c r="L298" s="33" t="str">
        <f>IFERROR(VLOOKUP($H298, 'Processed Non-zero TRI Data'!I:P, 8, 0), "Direct")</f>
        <v>Direct</v>
      </c>
      <c r="M298" s="33" t="str">
        <f>VLOOKUP($N298, 'COU.OES Summary'!C:D, 2, FALSE)</f>
        <v> </v>
      </c>
      <c r="N298" s="33" t="str">
        <f>IFERROR(VLOOKUP($H298, 'Processed Non-zero TRI Data'!$I:$O, 7, FALSE), VLOOKUP($I298, 'Processed Non-zero DMR Data'!$K:$R, 8, FALSE))</f>
        <v>Waste handling, treatment, and disposal - Remediation or Monitoring</v>
      </c>
      <c r="O298" s="33" t="s">
        <v>710</v>
      </c>
      <c r="P298" s="33">
        <f>VLOOKUP($N298, 'COU.OES Summary'!C:E, 3, FALSE)</f>
        <v>365</v>
      </c>
    </row>
    <row r="299" spans="1:16" ht="29" x14ac:dyDescent="0.35">
      <c r="A299" s="34">
        <v>298</v>
      </c>
      <c r="B299" s="33" t="str">
        <f>IF(AND(ISNUMBER(MATCH(H299, 'Processed Non-zero TRI Data'!$I$2:$I$23, FALSE)),ISNUMBER(MATCH(I299, 'Processed Non-zero DMR Data'!$K:$K, FALSE))),"Both TRI Form "&amp; VLOOKUP(H299, 'Processed Non-zero TRI Data'!$I$2:$K$23, 3, FALSE)&amp; " &amp; DMR", IFERROR("Only TRI Form "&amp; VLOOKUP(H299, 'Processed Non-zero TRI Data'!$I$2:$K$23, 3, FALSE), "Only DMR"))</f>
        <v>Only DMR</v>
      </c>
      <c r="C299" s="34" t="s">
        <v>437</v>
      </c>
      <c r="D299" s="34" t="s">
        <v>438</v>
      </c>
      <c r="E299" s="34" t="s">
        <v>181</v>
      </c>
      <c r="F299" s="34">
        <v>42.677610000000001</v>
      </c>
      <c r="G299" s="34">
        <v>-85.654120000000006</v>
      </c>
      <c r="H299" s="34"/>
      <c r="I299" s="105">
        <v>110070389730</v>
      </c>
      <c r="J299" s="33">
        <f>IF(OR($H299="",$H299="Yes"), VLOOKUP($I299, 'Processed Non-zero DMR Data'!$K:$V, 10, FALSE),"")</f>
        <v>0.1371992856</v>
      </c>
      <c r="K299" s="33" t="e">
        <f>IFERROR(VLOOKUP($H299, 'Processed Non-zero TRI Data'!$I:$M, 5, 0), VLOOKUP($I299, 'Processed Non-zero DMR Data'!$K:$M, 3, FALSE))</f>
        <v>#N/A</v>
      </c>
      <c r="L299" s="33" t="str">
        <f>IFERROR(VLOOKUP($H299, 'Processed Non-zero TRI Data'!I:P, 8, 0), "Direct")</f>
        <v>Direct</v>
      </c>
      <c r="M299" s="33" t="str">
        <f>VLOOKUP($N299, 'COU.OES Summary'!C:D, 2, FALSE)</f>
        <v> </v>
      </c>
      <c r="N299" s="33" t="str">
        <f>IFERROR(VLOOKUP($H299, 'Processed Non-zero TRI Data'!$I:$O, 7, FALSE), VLOOKUP($I299, 'Processed Non-zero DMR Data'!$K:$R, 8, FALSE))</f>
        <v>Waste handling, treatment, and disposal - Remediation or Monitoring</v>
      </c>
      <c r="O299" s="33" t="s">
        <v>710</v>
      </c>
      <c r="P299" s="33">
        <f>VLOOKUP($N299, 'COU.OES Summary'!C:E, 3, FALSE)</f>
        <v>365</v>
      </c>
    </row>
    <row r="300" spans="1:16" ht="29" x14ac:dyDescent="0.35">
      <c r="A300" s="34">
        <v>299</v>
      </c>
      <c r="B300" s="33" t="str">
        <f>IF(AND(ISNUMBER(MATCH(H300, 'Processed Non-zero TRI Data'!$I$2:$I$23, FALSE)),ISNUMBER(MATCH(I300, 'Processed Non-zero DMR Data'!$K:$K, FALSE))),"Both TRI Form "&amp; VLOOKUP(H300, 'Processed Non-zero TRI Data'!$I$2:$K$23, 3, FALSE)&amp; " &amp; DMR", IFERROR("Only TRI Form "&amp; VLOOKUP(H300, 'Processed Non-zero TRI Data'!$I$2:$K$23, 3, FALSE), "Only DMR"))</f>
        <v>Only DMR</v>
      </c>
      <c r="C300" s="34" t="s">
        <v>501</v>
      </c>
      <c r="D300" s="34" t="s">
        <v>502</v>
      </c>
      <c r="E300" s="34" t="s">
        <v>276</v>
      </c>
      <c r="F300" s="34">
        <v>38.400409000000003</v>
      </c>
      <c r="G300" s="34">
        <v>-78.895222000000004</v>
      </c>
      <c r="H300" s="34"/>
      <c r="I300" s="105">
        <v>110070544905</v>
      </c>
      <c r="J300" s="33">
        <f>IF(OR($H300="",$H300="Yes"), VLOOKUP($I300, 'Processed Non-zero DMR Data'!$K:$V, 10, FALSE),"")</f>
        <v>5.3779437450000002E-2</v>
      </c>
      <c r="K300" s="33" t="str">
        <f>IFERROR(VLOOKUP($H300, 'Processed Non-zero TRI Data'!$I:$M, 5, 0), VLOOKUP($I300, 'Processed Non-zero DMR Data'!$K:$M, 3, FALSE))</f>
        <v>Refuse Systems</v>
      </c>
      <c r="L300" s="33" t="str">
        <f>IFERROR(VLOOKUP($H300, 'Processed Non-zero TRI Data'!I:P, 8, 0), "Direct")</f>
        <v>Direct</v>
      </c>
      <c r="M300" s="33" t="str">
        <f>VLOOKUP($N300, 'COU.OES Summary'!C:D, 2, FALSE)</f>
        <v> </v>
      </c>
      <c r="N300" s="33" t="str">
        <f>IFERROR(VLOOKUP($H300, 'Processed Non-zero TRI Data'!$I:$O, 7, FALSE), VLOOKUP($I300, 'Processed Non-zero DMR Data'!$K:$R, 8, FALSE))</f>
        <v>Waste handling, treatment, and disposal - Landfill</v>
      </c>
      <c r="O300" s="33" t="s">
        <v>710</v>
      </c>
      <c r="P300" s="33">
        <f>VLOOKUP($N300, 'COU.OES Summary'!C:E, 3, FALSE)</f>
        <v>365</v>
      </c>
    </row>
    <row r="301" spans="1:16" ht="29" x14ac:dyDescent="0.35">
      <c r="A301" s="34">
        <v>300</v>
      </c>
      <c r="B301" s="33" t="str">
        <f>IF(AND(ISNUMBER(MATCH(H301, 'Processed Non-zero TRI Data'!$I$2:$I$23, FALSE)),ISNUMBER(MATCH(I301, 'Processed Non-zero DMR Data'!$K:$K, FALSE))),"Both TRI Form "&amp; VLOOKUP(H301, 'Processed Non-zero TRI Data'!$I$2:$K$23, 3, FALSE)&amp; " &amp; DMR", IFERROR("Only TRI Form "&amp; VLOOKUP(H301, 'Processed Non-zero TRI Data'!$I$2:$K$23, 3, FALSE), "Only DMR"))</f>
        <v>Only DMR</v>
      </c>
      <c r="C301" s="34" t="s">
        <v>274</v>
      </c>
      <c r="D301" s="34" t="s">
        <v>275</v>
      </c>
      <c r="E301" s="34" t="s">
        <v>276</v>
      </c>
      <c r="F301" s="34">
        <v>38.845162999999999</v>
      </c>
      <c r="G301" s="34">
        <v>-77.050687999999994</v>
      </c>
      <c r="H301" s="34"/>
      <c r="I301" s="105">
        <v>110070545578</v>
      </c>
      <c r="J301" s="33">
        <f>IF(OR($H301="",$H301="Yes"), VLOOKUP($I301, 'Processed Non-zero DMR Data'!$K:$V, 10, FALSE),"")</f>
        <v>1.50403096764375</v>
      </c>
      <c r="K301" s="33" t="str">
        <f>IFERROR(VLOOKUP($H301, 'Processed Non-zero TRI Data'!$I:$M, 5, 0), VLOOKUP($I301, 'Processed Non-zero DMR Data'!$K:$M, 3, FALSE))</f>
        <v>Excavation Work</v>
      </c>
      <c r="L301" s="33" t="str">
        <f>IFERROR(VLOOKUP($H301, 'Processed Non-zero TRI Data'!I:P, 8, 0), "Direct")</f>
        <v>Direct</v>
      </c>
      <c r="M301" s="33" t="str">
        <f>VLOOKUP($N301, 'COU.OES Summary'!C:D, 2, FALSE)</f>
        <v> </v>
      </c>
      <c r="N301" s="33" t="str">
        <f>IFERROR(VLOOKUP($H301, 'Processed Non-zero TRI Data'!$I:$O, 7, FALSE), VLOOKUP($I301, 'Processed Non-zero DMR Data'!$K:$R, 8, FALSE))</f>
        <v>Waste handling, treatment, and disposal - Remediation or Monitoring</v>
      </c>
      <c r="O301" s="33" t="s">
        <v>710</v>
      </c>
      <c r="P301" s="33">
        <f>VLOOKUP($N301, 'COU.OES Summary'!C:E, 3, FALSE)</f>
        <v>365</v>
      </c>
    </row>
    <row r="302" spans="1:16" ht="29" x14ac:dyDescent="0.35">
      <c r="A302" s="34">
        <v>301</v>
      </c>
      <c r="B302" s="33" t="str">
        <f>IF(AND(ISNUMBER(MATCH(H302, 'Processed Non-zero TRI Data'!$I$2:$I$23, FALSE)),ISNUMBER(MATCH(I302, 'Processed Non-zero DMR Data'!$K:$K, FALSE))),"Both TRI Form "&amp; VLOOKUP(H302, 'Processed Non-zero TRI Data'!$I$2:$K$23, 3, FALSE)&amp; " &amp; DMR", IFERROR("Only TRI Form "&amp; VLOOKUP(H302, 'Processed Non-zero TRI Data'!$I$2:$K$23, 3, FALSE), "Only DMR"))</f>
        <v>Only DMR</v>
      </c>
      <c r="C302" s="34" t="s">
        <v>616</v>
      </c>
      <c r="D302" s="34" t="s">
        <v>275</v>
      </c>
      <c r="E302" s="34" t="s">
        <v>276</v>
      </c>
      <c r="F302" s="34">
        <v>38.861800000000002</v>
      </c>
      <c r="G302" s="34">
        <v>-77.086969999999994</v>
      </c>
      <c r="H302" s="34"/>
      <c r="I302" s="105">
        <v>110070546877</v>
      </c>
      <c r="J302" s="33">
        <f>IF(OR($H302="",$H302="Yes"), VLOOKUP($I302, 'Processed Non-zero DMR Data'!$K:$V, 10, FALSE),"")</f>
        <v>4.4856072849999999E-4</v>
      </c>
      <c r="K302" s="33" t="str">
        <f>IFERROR(VLOOKUP($H302, 'Processed Non-zero TRI Data'!$I:$M, 5, 0), VLOOKUP($I302, 'Processed Non-zero DMR Data'!$K:$M, 3, FALSE))</f>
        <v>Excavation Work</v>
      </c>
      <c r="L302" s="33" t="str">
        <f>IFERROR(VLOOKUP($H302, 'Processed Non-zero TRI Data'!I:P, 8, 0), "Direct")</f>
        <v>Direct</v>
      </c>
      <c r="M302" s="33" t="str">
        <f>VLOOKUP($N302, 'COU.OES Summary'!C:D, 2, FALSE)</f>
        <v> </v>
      </c>
      <c r="N302" s="33" t="str">
        <f>IFERROR(VLOOKUP($H302, 'Processed Non-zero TRI Data'!$I:$O, 7, FALSE), VLOOKUP($I302, 'Processed Non-zero DMR Data'!$K:$R, 8, FALSE))</f>
        <v>Waste handling, treatment, and disposal - Remediation or Monitoring</v>
      </c>
      <c r="O302" s="33" t="s">
        <v>710</v>
      </c>
      <c r="P302" s="33">
        <f>VLOOKUP($N302, 'COU.OES Summary'!C:E, 3, FALSE)</f>
        <v>365</v>
      </c>
    </row>
    <row r="303" spans="1:16" ht="29" x14ac:dyDescent="0.35">
      <c r="A303" s="34">
        <v>302</v>
      </c>
      <c r="B303" s="33" t="str">
        <f>IF(AND(ISNUMBER(MATCH(H303, 'Processed Non-zero TRI Data'!$I$2:$I$23, FALSE)),ISNUMBER(MATCH(I303, 'Processed Non-zero DMR Data'!$K:$K, FALSE))),"Both TRI Form "&amp; VLOOKUP(H303, 'Processed Non-zero TRI Data'!$I$2:$K$23, 3, FALSE)&amp; " &amp; DMR", IFERROR("Only TRI Form "&amp; VLOOKUP(H303, 'Processed Non-zero TRI Data'!$I$2:$K$23, 3, FALSE), "Only DMR"))</f>
        <v>Only DMR</v>
      </c>
      <c r="C303" s="34" t="s">
        <v>401</v>
      </c>
      <c r="D303" s="34" t="s">
        <v>402</v>
      </c>
      <c r="E303" s="34" t="s">
        <v>276</v>
      </c>
      <c r="F303" s="34">
        <v>38.890925000000003</v>
      </c>
      <c r="G303" s="34">
        <v>-77.184034999999994</v>
      </c>
      <c r="H303" s="34"/>
      <c r="I303" s="105">
        <v>110070548118</v>
      </c>
      <c r="J303" s="33">
        <f>IF(OR($H303="",$H303="Yes"), VLOOKUP($I303, 'Processed Non-zero DMR Data'!$K:$V, 10, FALSE),"")</f>
        <v>0.22186534499999999</v>
      </c>
      <c r="K303" s="33" t="str">
        <f>IFERROR(VLOOKUP($H303, 'Processed Non-zero TRI Data'!$I:$M, 5, 0), VLOOKUP($I303, 'Processed Non-zero DMR Data'!$K:$M, 3, FALSE))</f>
        <v>Excavation Work</v>
      </c>
      <c r="L303" s="33" t="str">
        <f>IFERROR(VLOOKUP($H303, 'Processed Non-zero TRI Data'!I:P, 8, 0), "Direct")</f>
        <v>Direct</v>
      </c>
      <c r="M303" s="33" t="str">
        <f>VLOOKUP($N303, 'COU.OES Summary'!C:D, 2, FALSE)</f>
        <v> </v>
      </c>
      <c r="N303" s="33" t="str">
        <f>IFERROR(VLOOKUP($H303, 'Processed Non-zero TRI Data'!$I:$O, 7, FALSE), VLOOKUP($I303, 'Processed Non-zero DMR Data'!$K:$R, 8, FALSE))</f>
        <v>Waste handling, treatment, and disposal - Remediation or Monitoring</v>
      </c>
      <c r="O303" s="33" t="s">
        <v>710</v>
      </c>
      <c r="P303" s="33">
        <f>VLOOKUP($N303, 'COU.OES Summary'!C:E, 3, FALSE)</f>
        <v>365</v>
      </c>
    </row>
    <row r="304" spans="1:16" ht="29" x14ac:dyDescent="0.35">
      <c r="A304" s="34">
        <v>303</v>
      </c>
      <c r="B304" s="33" t="str">
        <f>IF(AND(ISNUMBER(MATCH(H304, 'Processed Non-zero TRI Data'!$I$2:$I$23, FALSE)),ISNUMBER(MATCH(I304, 'Processed Non-zero DMR Data'!$K:$K, FALSE))),"Both TRI Form "&amp; VLOOKUP(H304, 'Processed Non-zero TRI Data'!$I$2:$K$23, 3, FALSE)&amp; " &amp; DMR", IFERROR("Only TRI Form "&amp; VLOOKUP(H304, 'Processed Non-zero TRI Data'!$I$2:$K$23, 3, FALSE), "Only DMR"))</f>
        <v>Only DMR</v>
      </c>
      <c r="C304" s="34" t="s">
        <v>524</v>
      </c>
      <c r="D304" s="34" t="s">
        <v>275</v>
      </c>
      <c r="E304" s="34" t="s">
        <v>276</v>
      </c>
      <c r="F304" s="34">
        <v>38.882449999999999</v>
      </c>
      <c r="G304" s="34">
        <v>-77.108000000000004</v>
      </c>
      <c r="H304" s="34"/>
      <c r="I304" s="105">
        <v>110070549382</v>
      </c>
      <c r="J304" s="33">
        <f>IF(OR($H304="",$H304="Yes"), VLOOKUP($I304, 'Processed Non-zero DMR Data'!$K:$V, 10, FALSE),"")</f>
        <v>4.1026647272727201E-2</v>
      </c>
      <c r="K304" s="33" t="str">
        <f>IFERROR(VLOOKUP($H304, 'Processed Non-zero TRI Data'!$I:$M, 5, 0), VLOOKUP($I304, 'Processed Non-zero DMR Data'!$K:$M, 3, FALSE))</f>
        <v>Excavation Work</v>
      </c>
      <c r="L304" s="33" t="str">
        <f>IFERROR(VLOOKUP($H304, 'Processed Non-zero TRI Data'!I:P, 8, 0), "Direct")</f>
        <v>Direct</v>
      </c>
      <c r="M304" s="33" t="str">
        <f>VLOOKUP($N304, 'COU.OES Summary'!C:D, 2, FALSE)</f>
        <v> </v>
      </c>
      <c r="N304" s="33" t="str">
        <f>IFERROR(VLOOKUP($H304, 'Processed Non-zero TRI Data'!$I:$O, 7, FALSE), VLOOKUP($I304, 'Processed Non-zero DMR Data'!$K:$R, 8, FALSE))</f>
        <v>Waste handling, treatment, and disposal - Remediation or Monitoring</v>
      </c>
      <c r="O304" s="33" t="s">
        <v>710</v>
      </c>
      <c r="P304" s="33">
        <f>VLOOKUP($N304, 'COU.OES Summary'!C:E, 3, FALSE)</f>
        <v>365</v>
      </c>
    </row>
    <row r="305" spans="1:16" ht="29" x14ac:dyDescent="0.35">
      <c r="A305" s="34">
        <v>304</v>
      </c>
      <c r="B305" s="33" t="str">
        <f>IF(AND(ISNUMBER(MATCH(H305, 'Processed Non-zero TRI Data'!$I$2:$I$23, FALSE)),ISNUMBER(MATCH(I305, 'Processed Non-zero DMR Data'!$K:$K, FALSE))),"Both TRI Form "&amp; VLOOKUP(H305, 'Processed Non-zero TRI Data'!$I$2:$K$23, 3, FALSE)&amp; " &amp; DMR", IFERROR("Only TRI Form "&amp; VLOOKUP(H305, 'Processed Non-zero TRI Data'!$I$2:$K$23, 3, FALSE), "Only DMR"))</f>
        <v>Only DMR</v>
      </c>
      <c r="C305" s="34" t="s">
        <v>665</v>
      </c>
      <c r="D305" s="34" t="s">
        <v>396</v>
      </c>
      <c r="E305" s="34" t="s">
        <v>276</v>
      </c>
      <c r="F305" s="34">
        <v>38.840600000000002</v>
      </c>
      <c r="G305" s="34">
        <v>-77.068200000000004</v>
      </c>
      <c r="H305" s="34"/>
      <c r="I305" s="105">
        <v>110070598729</v>
      </c>
      <c r="J305" s="33">
        <f>IF(OR($H305="",$H305="Yes"), VLOOKUP($I305, 'Processed Non-zero DMR Data'!$K:$V, 10, FALSE),"")</f>
        <v>1.42196394E-4</v>
      </c>
      <c r="K305" s="33" t="str">
        <f>IFERROR(VLOOKUP($H305, 'Processed Non-zero TRI Data'!$I:$M, 5, 0), VLOOKUP($I305, 'Processed Non-zero DMR Data'!$K:$M, 3, FALSE))</f>
        <v>Excavation Work</v>
      </c>
      <c r="L305" s="33" t="str">
        <f>IFERROR(VLOOKUP($H305, 'Processed Non-zero TRI Data'!I:P, 8, 0), "Direct")</f>
        <v>Direct</v>
      </c>
      <c r="M305" s="33" t="str">
        <f>VLOOKUP($N305, 'COU.OES Summary'!C:D, 2, FALSE)</f>
        <v> </v>
      </c>
      <c r="N305" s="33" t="str">
        <f>IFERROR(VLOOKUP($H305, 'Processed Non-zero TRI Data'!$I:$O, 7, FALSE), VLOOKUP($I305, 'Processed Non-zero DMR Data'!$K:$R, 8, FALSE))</f>
        <v>Waste handling, treatment, and disposal - Remediation or Monitoring</v>
      </c>
      <c r="O305" s="33" t="s">
        <v>710</v>
      </c>
      <c r="P305" s="33">
        <f>VLOOKUP($N305, 'COU.OES Summary'!C:E, 3, FALSE)</f>
        <v>365</v>
      </c>
    </row>
    <row r="306" spans="1:16" ht="29" x14ac:dyDescent="0.35">
      <c r="A306" s="34">
        <v>305</v>
      </c>
      <c r="B306" s="33" t="str">
        <f>IF(AND(ISNUMBER(MATCH(H306, 'Processed Non-zero TRI Data'!$I$2:$I$23, FALSE)),ISNUMBER(MATCH(I306, 'Processed Non-zero DMR Data'!$K:$K, FALSE))),"Both TRI Form "&amp; VLOOKUP(H306, 'Processed Non-zero TRI Data'!$I$2:$K$23, 3, FALSE)&amp; " &amp; DMR", IFERROR("Only TRI Form "&amp; VLOOKUP(H306, 'Processed Non-zero TRI Data'!$I$2:$K$23, 3, FALSE), "Only DMR"))</f>
        <v>Only DMR</v>
      </c>
      <c r="C306" s="34" t="s">
        <v>442</v>
      </c>
      <c r="D306" s="34" t="s">
        <v>443</v>
      </c>
      <c r="E306" s="34" t="s">
        <v>102</v>
      </c>
      <c r="F306" s="34">
        <v>38.627777999999999</v>
      </c>
      <c r="G306" s="34">
        <v>-120.984167</v>
      </c>
      <c r="H306" s="34"/>
      <c r="I306" s="105">
        <v>110070619860</v>
      </c>
      <c r="J306" s="33">
        <f>IF(OR($H306="",$H306="Yes"), VLOOKUP($I306, 'Processed Non-zero DMR Data'!$K:$V, 10, FALSE),"")</f>
        <v>5.2668275000000001E-2</v>
      </c>
      <c r="K306" s="33" t="str">
        <f>IFERROR(VLOOKUP($H306, 'Processed Non-zero TRI Data'!$I:$M, 5, 0), VLOOKUP($I306, 'Processed Non-zero DMR Data'!$K:$M, 3, FALSE))</f>
        <v>Sewerage Systems</v>
      </c>
      <c r="L306" s="33" t="str">
        <f>IFERROR(VLOOKUP($H306, 'Processed Non-zero TRI Data'!I:P, 8, 0), "Direct")</f>
        <v>Direct</v>
      </c>
      <c r="M306" s="33" t="str">
        <f>VLOOKUP($N306, 'COU.OES Summary'!C:D, 2, FALSE)</f>
        <v> </v>
      </c>
      <c r="N306" s="33" t="str">
        <f>IFERROR(VLOOKUP($H306, 'Processed Non-zero TRI Data'!$I:$O, 7, FALSE), VLOOKUP($I306, 'Processed Non-zero DMR Data'!$K:$R, 8, FALSE))</f>
        <v>Waste handling, treatment, and disposal - POTW</v>
      </c>
      <c r="O306" s="33" t="s">
        <v>710</v>
      </c>
      <c r="P306" s="33">
        <f>VLOOKUP($N306, 'COU.OES Summary'!C:E, 3, FALSE)</f>
        <v>365</v>
      </c>
    </row>
    <row r="307" spans="1:16" ht="29" x14ac:dyDescent="0.35">
      <c r="A307" s="34">
        <v>306</v>
      </c>
      <c r="B307" s="33" t="str">
        <f>IF(AND(ISNUMBER(MATCH(H307, 'Processed Non-zero TRI Data'!$I$2:$I$23, FALSE)),ISNUMBER(MATCH(I307, 'Processed Non-zero DMR Data'!$K:$K, FALSE))),"Both TRI Form "&amp; VLOOKUP(H307, 'Processed Non-zero TRI Data'!$I$2:$K$23, 3, FALSE)&amp; " &amp; DMR", IFERROR("Only TRI Form "&amp; VLOOKUP(H307, 'Processed Non-zero TRI Data'!$I$2:$K$23, 3, FALSE), "Only DMR"))</f>
        <v>Only DMR</v>
      </c>
      <c r="C307" s="34" t="s">
        <v>571</v>
      </c>
      <c r="D307" s="34" t="s">
        <v>572</v>
      </c>
      <c r="E307" s="34" t="s">
        <v>276</v>
      </c>
      <c r="F307" s="34">
        <v>38.920251999999998</v>
      </c>
      <c r="G307" s="34">
        <v>-77.231944999999996</v>
      </c>
      <c r="H307" s="34"/>
      <c r="I307" s="105">
        <v>110070684897</v>
      </c>
      <c r="J307" s="33">
        <f>IF(OR($H307="",$H307="Yes"), VLOOKUP($I307, 'Processed Non-zero DMR Data'!$K:$V, 10, FALSE),"")</f>
        <v>1.0137744000000001E-2</v>
      </c>
      <c r="K307" s="33" t="str">
        <f>IFERROR(VLOOKUP($H307, 'Processed Non-zero TRI Data'!$I:$M, 5, 0), VLOOKUP($I307, 'Processed Non-zero DMR Data'!$K:$M, 3, FALSE))</f>
        <v>Excavation Work</v>
      </c>
      <c r="L307" s="33" t="str">
        <f>IFERROR(VLOOKUP($H307, 'Processed Non-zero TRI Data'!I:P, 8, 0), "Direct")</f>
        <v>Direct</v>
      </c>
      <c r="M307" s="33" t="str">
        <f>VLOOKUP($N307, 'COU.OES Summary'!C:D, 2, FALSE)</f>
        <v> </v>
      </c>
      <c r="N307" s="33" t="str">
        <f>IFERROR(VLOOKUP($H307, 'Processed Non-zero TRI Data'!$I:$O, 7, FALSE), VLOOKUP($I307, 'Processed Non-zero DMR Data'!$K:$R, 8, FALSE))</f>
        <v>Waste handling, treatment, and disposal - Remediation or Monitoring</v>
      </c>
      <c r="O307" s="33" t="s">
        <v>710</v>
      </c>
      <c r="P307" s="33">
        <f>VLOOKUP($N307, 'COU.OES Summary'!C:E, 3, FALSE)</f>
        <v>365</v>
      </c>
    </row>
    <row r="308" spans="1:16" ht="29" x14ac:dyDescent="0.35">
      <c r="A308" s="34">
        <v>307</v>
      </c>
      <c r="B308" s="33" t="str">
        <f>IF(AND(ISNUMBER(MATCH(H308, 'Processed Non-zero TRI Data'!$I$2:$I$23, FALSE)),ISNUMBER(MATCH(I308, 'Processed Non-zero DMR Data'!$K:$K, FALSE))),"Both TRI Form "&amp; VLOOKUP(H308, 'Processed Non-zero TRI Data'!$I$2:$K$23, 3, FALSE)&amp; " &amp; DMR", IFERROR("Only TRI Form "&amp; VLOOKUP(H308, 'Processed Non-zero TRI Data'!$I$2:$K$23, 3, FALSE), "Only DMR"))</f>
        <v>Only DMR</v>
      </c>
      <c r="C308" s="34" t="s">
        <v>281</v>
      </c>
      <c r="D308" s="34" t="s">
        <v>160</v>
      </c>
      <c r="E308" s="34" t="s">
        <v>161</v>
      </c>
      <c r="F308" s="34">
        <v>36.550454999999999</v>
      </c>
      <c r="G308" s="34">
        <v>-82.634793999999999</v>
      </c>
      <c r="H308" s="34"/>
      <c r="I308" s="105">
        <v>110070828339</v>
      </c>
      <c r="J308" s="33">
        <f>IF(OR($H308="",$H308="Yes"), VLOOKUP($I308, 'Processed Non-zero DMR Data'!$K:$V, 10, FALSE),"")</f>
        <v>1.4085350000000001</v>
      </c>
      <c r="K308" s="33" t="str">
        <f>IFERROR(VLOOKUP($H308, 'Processed Non-zero TRI Data'!$I:$M, 5, 0), VLOOKUP($I308, 'Processed Non-zero DMR Data'!$K:$M, 3, FALSE))</f>
        <v>Explosives</v>
      </c>
      <c r="L308" s="33" t="str">
        <f>IFERROR(VLOOKUP($H308, 'Processed Non-zero TRI Data'!I:P, 8, 0), "Direct")</f>
        <v>Direct</v>
      </c>
      <c r="M308" s="33" t="str">
        <f>VLOOKUP($N308, 'COU.OES Summary'!C:D, 2, FALSE)</f>
        <v> </v>
      </c>
      <c r="N308" s="33" t="str">
        <f>IFERROR(VLOOKUP($H308, 'Processed Non-zero TRI Data'!$I:$O, 7, FALSE), VLOOKUP($I308, 'Processed Non-zero DMR Data'!$K:$R, 8, FALSE))</f>
        <v>Waste handling, treatment, and disposal - Remediation or Monitoring</v>
      </c>
      <c r="O308" s="33" t="s">
        <v>710</v>
      </c>
      <c r="P308" s="33">
        <f>VLOOKUP($N308, 'COU.OES Summary'!C:E, 3, FALSE)</f>
        <v>365</v>
      </c>
    </row>
    <row r="309" spans="1:16" ht="29" x14ac:dyDescent="0.35">
      <c r="A309" s="34">
        <v>308</v>
      </c>
      <c r="B309" s="33" t="str">
        <f>IF(AND(ISNUMBER(MATCH(H309, 'Processed Non-zero TRI Data'!$I$2:$I$23, FALSE)),ISNUMBER(MATCH(I309, 'Processed Non-zero DMR Data'!$K:$K, FALSE))),"Both TRI Form "&amp; VLOOKUP(H309, 'Processed Non-zero TRI Data'!$I$2:$K$23, 3, FALSE)&amp; " &amp; DMR", IFERROR("Only TRI Form "&amp; VLOOKUP(H309, 'Processed Non-zero TRI Data'!$I$2:$K$23, 3, FALSE), "Only DMR"))</f>
        <v>Only DMR</v>
      </c>
      <c r="C309" s="34" t="s">
        <v>430</v>
      </c>
      <c r="D309" s="34" t="s">
        <v>275</v>
      </c>
      <c r="E309" s="34" t="s">
        <v>276</v>
      </c>
      <c r="F309" s="34">
        <v>38.86157</v>
      </c>
      <c r="G309" s="34">
        <v>-77.053929999999994</v>
      </c>
      <c r="H309" s="34"/>
      <c r="I309" s="105">
        <v>110070882213</v>
      </c>
      <c r="J309" s="33">
        <f>IF(OR($H309="",$H309="Yes"), VLOOKUP($I309, 'Processed Non-zero DMR Data'!$K:$V, 10, FALSE),"")</f>
        <v>0.155423897088</v>
      </c>
      <c r="K309" s="33" t="str">
        <f>IFERROR(VLOOKUP($H309, 'Processed Non-zero TRI Data'!$I:$M, 5, 0), VLOOKUP($I309, 'Processed Non-zero DMR Data'!$K:$M, 3, FALSE))</f>
        <v>Automobile Parking</v>
      </c>
      <c r="L309" s="33" t="str">
        <f>IFERROR(VLOOKUP($H309, 'Processed Non-zero TRI Data'!I:P, 8, 0), "Direct")</f>
        <v>Direct</v>
      </c>
      <c r="M309" s="33" t="str">
        <f>VLOOKUP($N309, 'COU.OES Summary'!C:D, 2, FALSE)</f>
        <v> </v>
      </c>
      <c r="N309" s="33" t="str">
        <f>IFERROR(VLOOKUP($H309, 'Processed Non-zero TRI Data'!$I:$O, 7, FALSE), VLOOKUP($I309, 'Processed Non-zero DMR Data'!$K:$R, 8, FALSE))</f>
        <v>Waste handling, treatment, and disposal - Remediation or Monitoring</v>
      </c>
      <c r="O309" s="33" t="s">
        <v>710</v>
      </c>
      <c r="P309" s="33">
        <f>VLOOKUP($N309, 'COU.OES Summary'!C:E, 3, FALSE)</f>
        <v>365</v>
      </c>
    </row>
    <row r="310" spans="1:16" ht="29" x14ac:dyDescent="0.35">
      <c r="A310" s="34">
        <v>309</v>
      </c>
      <c r="B310" s="33" t="str">
        <f>IF(AND(ISNUMBER(MATCH(H310, 'Processed Non-zero TRI Data'!$I$2:$I$23, FALSE)),ISNUMBER(MATCH(I310, 'Processed Non-zero DMR Data'!$K:$K, FALSE))),"Both TRI Form "&amp; VLOOKUP(H310, 'Processed Non-zero TRI Data'!$I$2:$K$23, 3, FALSE)&amp; " &amp; DMR", IFERROR("Only TRI Form "&amp; VLOOKUP(H310, 'Processed Non-zero TRI Data'!$I$2:$K$23, 3, FALSE), "Only DMR"))</f>
        <v>Only DMR</v>
      </c>
      <c r="C310" s="34" t="s">
        <v>676</v>
      </c>
      <c r="D310" s="34" t="s">
        <v>396</v>
      </c>
      <c r="E310" s="34" t="s">
        <v>276</v>
      </c>
      <c r="F310" s="34">
        <v>38.803499000000002</v>
      </c>
      <c r="G310" s="34">
        <v>-77.069463999999996</v>
      </c>
      <c r="H310" s="34"/>
      <c r="I310" s="105">
        <v>110070884090</v>
      </c>
      <c r="J310" s="33">
        <f>IF(OR($H310="",$H310="Yes"), VLOOKUP($I310, 'Processed Non-zero DMR Data'!$K:$V, 10, FALSE),"")</f>
        <v>1.0046147E-3</v>
      </c>
      <c r="K310" s="33" t="str">
        <f>IFERROR(VLOOKUP($H310, 'Processed Non-zero TRI Data'!$I:$M, 5, 0), VLOOKUP($I310, 'Processed Non-zero DMR Data'!$K:$M, 3, FALSE))</f>
        <v>Excavation Work</v>
      </c>
      <c r="L310" s="33" t="str">
        <f>IFERROR(VLOOKUP($H310, 'Processed Non-zero TRI Data'!I:P, 8, 0), "Direct")</f>
        <v>Direct</v>
      </c>
      <c r="M310" s="33" t="str">
        <f>VLOOKUP($N310, 'COU.OES Summary'!C:D, 2, FALSE)</f>
        <v> </v>
      </c>
      <c r="N310" s="33" t="str">
        <f>IFERROR(VLOOKUP($H310, 'Processed Non-zero TRI Data'!$I:$O, 7, FALSE), VLOOKUP($I310, 'Processed Non-zero DMR Data'!$K:$R, 8, FALSE))</f>
        <v>Waste handling, treatment, and disposal - Remediation or Monitoring</v>
      </c>
      <c r="O310" s="33" t="s">
        <v>710</v>
      </c>
      <c r="P310" s="33">
        <f>VLOOKUP($N310, 'COU.OES Summary'!C:E, 3, FALSE)</f>
        <v>365</v>
      </c>
    </row>
    <row r="311" spans="1:16" ht="29" x14ac:dyDescent="0.35">
      <c r="A311" s="34">
        <v>310</v>
      </c>
      <c r="B311" s="33" t="str">
        <f>IF(AND(ISNUMBER(MATCH(H311, 'Processed Non-zero TRI Data'!$I$2:$I$23, FALSE)),ISNUMBER(MATCH(I311, 'Processed Non-zero DMR Data'!$K:$K, FALSE))),"Both TRI Form "&amp; VLOOKUP(H311, 'Processed Non-zero TRI Data'!$I$2:$K$23, 3, FALSE)&amp; " &amp; DMR", IFERROR("Only TRI Form "&amp; VLOOKUP(H311, 'Processed Non-zero TRI Data'!$I$2:$K$23, 3, FALSE), "Only DMR"))</f>
        <v>Only DMR</v>
      </c>
      <c r="C311" s="34" t="s">
        <v>397</v>
      </c>
      <c r="D311" s="34" t="s">
        <v>396</v>
      </c>
      <c r="E311" s="34" t="s">
        <v>276</v>
      </c>
      <c r="F311" s="34">
        <v>38.828830000000004</v>
      </c>
      <c r="G311" s="34">
        <v>-77.049679999999995</v>
      </c>
      <c r="H311" s="34"/>
      <c r="I311" s="105">
        <v>110070884091</v>
      </c>
      <c r="J311" s="33">
        <f>IF(OR($H311="",$H311="Yes"), VLOOKUP($I311, 'Processed Non-zero DMR Data'!$K:$V, 10, FALSE),"")</f>
        <v>0.24077142000000001</v>
      </c>
      <c r="K311" s="33" t="str">
        <f>IFERROR(VLOOKUP($H311, 'Processed Non-zero TRI Data'!$I:$M, 5, 0), VLOOKUP($I311, 'Processed Non-zero DMR Data'!$K:$M, 3, FALSE))</f>
        <v>Excavation Work</v>
      </c>
      <c r="L311" s="33" t="str">
        <f>IFERROR(VLOOKUP($H311, 'Processed Non-zero TRI Data'!I:P, 8, 0), "Direct")</f>
        <v>Direct</v>
      </c>
      <c r="M311" s="33" t="str">
        <f>VLOOKUP($N311, 'COU.OES Summary'!C:D, 2, FALSE)</f>
        <v> </v>
      </c>
      <c r="N311" s="33" t="str">
        <f>IFERROR(VLOOKUP($H311, 'Processed Non-zero TRI Data'!$I:$O, 7, FALSE), VLOOKUP($I311, 'Processed Non-zero DMR Data'!$K:$R, 8, FALSE))</f>
        <v>Waste handling, treatment, and disposal - Remediation or Monitoring</v>
      </c>
      <c r="O311" s="33" t="s">
        <v>710</v>
      </c>
      <c r="P311" s="33">
        <f>VLOOKUP($N311, 'COU.OES Summary'!C:E, 3, FALSE)</f>
        <v>365</v>
      </c>
    </row>
    <row r="312" spans="1:16" ht="29" x14ac:dyDescent="0.35">
      <c r="A312" s="34">
        <v>311</v>
      </c>
      <c r="B312" s="33" t="str">
        <f>IF(AND(ISNUMBER(MATCH(H312, 'Processed Non-zero TRI Data'!$I$2:$I$23, FALSE)),ISNUMBER(MATCH(I312, 'Processed Non-zero DMR Data'!$K:$K, FALSE))),"Both TRI Form "&amp; VLOOKUP(H312, 'Processed Non-zero TRI Data'!$I$2:$K$23, 3, FALSE)&amp; " &amp; DMR", IFERROR("Only TRI Form "&amp; VLOOKUP(H312, 'Processed Non-zero TRI Data'!$I$2:$K$23, 3, FALSE), "Only DMR"))</f>
        <v>Only DMR</v>
      </c>
      <c r="C312" s="34" t="s">
        <v>579</v>
      </c>
      <c r="D312" s="34" t="s">
        <v>275</v>
      </c>
      <c r="E312" s="34" t="s">
        <v>276</v>
      </c>
      <c r="F312" s="34">
        <v>38.8568</v>
      </c>
      <c r="G312" s="34">
        <v>-77.049700000000001</v>
      </c>
      <c r="H312" s="34"/>
      <c r="I312" s="105">
        <v>110070884188</v>
      </c>
      <c r="J312" s="33">
        <f>IF(OR($H312="",$H312="Yes"), VLOOKUP($I312, 'Processed Non-zero DMR Data'!$K:$V, 10, FALSE),"")</f>
        <v>1.7495784E-2</v>
      </c>
      <c r="K312" s="33" t="str">
        <f>IFERROR(VLOOKUP($H312, 'Processed Non-zero TRI Data'!$I:$M, 5, 0), VLOOKUP($I312, 'Processed Non-zero DMR Data'!$K:$M, 3, FALSE))</f>
        <v>Excavation Work</v>
      </c>
      <c r="L312" s="33" t="str">
        <f>IFERROR(VLOOKUP($H312, 'Processed Non-zero TRI Data'!I:P, 8, 0), "Direct")</f>
        <v>Direct</v>
      </c>
      <c r="M312" s="33" t="str">
        <f>VLOOKUP($N312, 'COU.OES Summary'!C:D, 2, FALSE)</f>
        <v> </v>
      </c>
      <c r="N312" s="33" t="str">
        <f>IFERROR(VLOOKUP($H312, 'Processed Non-zero TRI Data'!$I:$O, 7, FALSE), VLOOKUP($I312, 'Processed Non-zero DMR Data'!$K:$R, 8, FALSE))</f>
        <v>Waste handling, treatment, and disposal - Remediation or Monitoring</v>
      </c>
      <c r="O312" s="33" t="s">
        <v>710</v>
      </c>
      <c r="P312" s="33">
        <f>VLOOKUP($N312, 'COU.OES Summary'!C:E, 3, FALSE)</f>
        <v>365</v>
      </c>
    </row>
    <row r="313" spans="1:16" ht="29" x14ac:dyDescent="0.35">
      <c r="A313" s="34">
        <v>312</v>
      </c>
      <c r="B313" s="33" t="str">
        <f>IF(AND(ISNUMBER(MATCH(H313, 'Processed Non-zero TRI Data'!$I$2:$I$23, FALSE)),ISNUMBER(MATCH(I313, 'Processed Non-zero DMR Data'!$K:$K, FALSE))),"Both TRI Form "&amp; VLOOKUP(H313, 'Processed Non-zero TRI Data'!$I$2:$K$23, 3, FALSE)&amp; " &amp; DMR", IFERROR("Only TRI Form "&amp; VLOOKUP(H313, 'Processed Non-zero TRI Data'!$I$2:$K$23, 3, FALSE), "Only DMR"))</f>
        <v>Only DMR</v>
      </c>
      <c r="C313" s="34" t="s">
        <v>644</v>
      </c>
      <c r="D313" s="34" t="s">
        <v>645</v>
      </c>
      <c r="E313" s="34" t="s">
        <v>276</v>
      </c>
      <c r="F313" s="34">
        <v>36.847490000000001</v>
      </c>
      <c r="G313" s="34">
        <v>-76.026436000000004</v>
      </c>
      <c r="H313" s="34"/>
      <c r="I313" s="105">
        <v>110070884760</v>
      </c>
      <c r="J313" s="33">
        <f>IF(OR($H313="",$H313="Yes"), VLOOKUP($I313, 'Processed Non-zero DMR Data'!$K:$V, 10, FALSE),"")</f>
        <v>4.2405722345454496E-3</v>
      </c>
      <c r="K313" s="33" t="str">
        <f>IFERROR(VLOOKUP($H313, 'Processed Non-zero TRI Data'!$I:$M, 5, 0), VLOOKUP($I313, 'Processed Non-zero DMR Data'!$K:$M, 3, FALSE))</f>
        <v>Special Trade Contractors, Nec</v>
      </c>
      <c r="L313" s="33" t="str">
        <f>IFERROR(VLOOKUP($H313, 'Processed Non-zero TRI Data'!I:P, 8, 0), "Direct")</f>
        <v>Direct</v>
      </c>
      <c r="M313" s="33" t="str">
        <f>VLOOKUP($N313, 'COU.OES Summary'!C:D, 2, FALSE)</f>
        <v> </v>
      </c>
      <c r="N313" s="33" t="str">
        <f>IFERROR(VLOOKUP($H313, 'Processed Non-zero TRI Data'!$I:$O, 7, FALSE), VLOOKUP($I313, 'Processed Non-zero DMR Data'!$K:$R, 8, FALSE))</f>
        <v>Waste handling, treatment, and disposal - Remediation or Monitoring</v>
      </c>
      <c r="O313" s="33" t="s">
        <v>710</v>
      </c>
      <c r="P313" s="33">
        <f>VLOOKUP($N313, 'COU.OES Summary'!C:E, 3, FALSE)</f>
        <v>365</v>
      </c>
    </row>
    <row r="314" spans="1:16" ht="29" x14ac:dyDescent="0.35">
      <c r="A314" s="34">
        <v>313</v>
      </c>
      <c r="B314" s="33" t="str">
        <f>IF(AND(ISNUMBER(MATCH(H314, 'Processed Non-zero TRI Data'!$I$2:$I$23, FALSE)),ISNUMBER(MATCH(I314, 'Processed Non-zero DMR Data'!$K:$K, FALSE))),"Both TRI Form "&amp; VLOOKUP(H314, 'Processed Non-zero TRI Data'!$I$2:$K$23, 3, FALSE)&amp; " &amp; DMR", IFERROR("Only TRI Form "&amp; VLOOKUP(H314, 'Processed Non-zero TRI Data'!$I$2:$K$23, 3, FALSE), "Only DMR"))</f>
        <v>Only DMR</v>
      </c>
      <c r="C314" s="34" t="s">
        <v>395</v>
      </c>
      <c r="D314" s="34" t="s">
        <v>396</v>
      </c>
      <c r="E314" s="34" t="s">
        <v>276</v>
      </c>
      <c r="F314" s="34">
        <v>38.810879999999997</v>
      </c>
      <c r="G314" s="34">
        <v>-77.042289999999994</v>
      </c>
      <c r="H314" s="34"/>
      <c r="I314" s="105">
        <v>110070885683</v>
      </c>
      <c r="J314" s="33">
        <f>IF(OR($H314="",$H314="Yes"), VLOOKUP($I314, 'Processed Non-zero DMR Data'!$K:$V, 10, FALSE),"")</f>
        <v>0.24413116692299999</v>
      </c>
      <c r="K314" s="33" t="str">
        <f>IFERROR(VLOOKUP($H314, 'Processed Non-zero TRI Data'!$I:$M, 5, 0), VLOOKUP($I314, 'Processed Non-zero DMR Data'!$K:$M, 3, FALSE))</f>
        <v>Excavation Work</v>
      </c>
      <c r="L314" s="33" t="str">
        <f>IFERROR(VLOOKUP($H314, 'Processed Non-zero TRI Data'!I:P, 8, 0), "Direct")</f>
        <v>Direct</v>
      </c>
      <c r="M314" s="33" t="str">
        <f>VLOOKUP($N314, 'COU.OES Summary'!C:D, 2, FALSE)</f>
        <v> </v>
      </c>
      <c r="N314" s="33" t="str">
        <f>IFERROR(VLOOKUP($H314, 'Processed Non-zero TRI Data'!$I:$O, 7, FALSE), VLOOKUP($I314, 'Processed Non-zero DMR Data'!$K:$R, 8, FALSE))</f>
        <v>Waste handling, treatment, and disposal - Remediation or Monitoring</v>
      </c>
      <c r="O314" s="33" t="s">
        <v>710</v>
      </c>
      <c r="P314" s="33">
        <f>VLOOKUP($N314, 'COU.OES Summary'!C:E, 3, FALSE)</f>
        <v>365</v>
      </c>
    </row>
    <row r="315" spans="1:16" ht="29" x14ac:dyDescent="0.35">
      <c r="A315" s="34">
        <v>314</v>
      </c>
      <c r="B315" s="33" t="str">
        <f>IF(AND(ISNUMBER(MATCH(H315, 'Processed Non-zero TRI Data'!$I$2:$I$23, FALSE)),ISNUMBER(MATCH(I315, 'Processed Non-zero DMR Data'!$K:$K, FALSE))),"Both TRI Form "&amp; VLOOKUP(H315, 'Processed Non-zero TRI Data'!$I$2:$K$23, 3, FALSE)&amp; " &amp; DMR", IFERROR("Only TRI Form "&amp; VLOOKUP(H315, 'Processed Non-zero TRI Data'!$I$2:$K$23, 3, FALSE), "Only DMR"))</f>
        <v>Only DMR</v>
      </c>
      <c r="C315" s="34" t="s">
        <v>689</v>
      </c>
      <c r="D315" s="34" t="s">
        <v>690</v>
      </c>
      <c r="E315" s="34" t="s">
        <v>254</v>
      </c>
      <c r="F315" s="34">
        <v>40.856884000000001</v>
      </c>
      <c r="G315" s="34">
        <v>-74.067938999999996</v>
      </c>
      <c r="H315" s="34"/>
      <c r="I315" s="105">
        <v>110070940491</v>
      </c>
      <c r="J315" s="33">
        <f>IF(OR($H315="",$H315="Yes"), VLOOKUP($I315, 'Processed Non-zero DMR Data'!$K:$V, 10, FALSE),"")</f>
        <v>4.0270564274999998E-4</v>
      </c>
      <c r="K315" s="33" t="str">
        <f>IFERROR(VLOOKUP($H315, 'Processed Non-zero TRI Data'!$I:$M, 5, 0), VLOOKUP($I315, 'Processed Non-zero DMR Data'!$K:$M, 3, FALSE))</f>
        <v>Sanitary Services, Nec</v>
      </c>
      <c r="L315" s="33" t="str">
        <f>IFERROR(VLOOKUP($H315, 'Processed Non-zero TRI Data'!I:P, 8, 0), "Direct")</f>
        <v>Direct</v>
      </c>
      <c r="M315" s="33" t="str">
        <f>VLOOKUP($N315, 'COU.OES Summary'!C:D, 2, FALSE)</f>
        <v> </v>
      </c>
      <c r="N315" s="33" t="str">
        <f>IFERROR(VLOOKUP($H315, 'Processed Non-zero TRI Data'!$I:$O, 7, FALSE), VLOOKUP($I315, 'Processed Non-zero DMR Data'!$K:$R, 8, FALSE))</f>
        <v>Waste handling, treatment, and disposal - Remediation or Monitoring</v>
      </c>
      <c r="O315" s="33" t="s">
        <v>710</v>
      </c>
      <c r="P315" s="33">
        <f>VLOOKUP($N315, 'COU.OES Summary'!C:E, 3, FALSE)</f>
        <v>365</v>
      </c>
    </row>
    <row r="316" spans="1:16" ht="29" x14ac:dyDescent="0.35">
      <c r="A316" s="34">
        <v>315</v>
      </c>
      <c r="B316" s="33" t="str">
        <f>IF(AND(ISNUMBER(MATCH(H316, 'Processed Non-zero TRI Data'!$I$2:$I$23, FALSE)),ISNUMBER(MATCH(I316, 'Processed Non-zero DMR Data'!$K:$K, FALSE))),"Both TRI Form "&amp; VLOOKUP(H316, 'Processed Non-zero TRI Data'!$I$2:$K$23, 3, FALSE)&amp; " &amp; DMR", IFERROR("Only TRI Form "&amp; VLOOKUP(H316, 'Processed Non-zero TRI Data'!$I$2:$K$23, 3, FALSE), "Only DMR"))</f>
        <v>Only DMR</v>
      </c>
      <c r="C316" s="34" t="s">
        <v>487</v>
      </c>
      <c r="D316" s="34" t="s">
        <v>337</v>
      </c>
      <c r="E316" s="34" t="s">
        <v>221</v>
      </c>
      <c r="F316" s="34">
        <v>36.090899999999998</v>
      </c>
      <c r="G316" s="34">
        <v>-115.1833</v>
      </c>
      <c r="H316" s="34"/>
      <c r="I316" s="105">
        <v>110070948151</v>
      </c>
      <c r="J316" s="33">
        <f>IF(OR($H316="",$H316="Yes"), VLOOKUP($I316, 'Processed Non-zero DMR Data'!$K:$V, 10, FALSE),"")</f>
        <v>4.0706634125000002E-2</v>
      </c>
      <c r="K316" s="33" t="str">
        <f>IFERROR(VLOOKUP($H316, 'Processed Non-zero TRI Data'!$I:$M, 5, 0), VLOOKUP($I316, 'Processed Non-zero DMR Data'!$K:$M, 3, FALSE))</f>
        <v>Sports Clubs, Managers, and Promoters</v>
      </c>
      <c r="L316" s="33" t="str">
        <f>IFERROR(VLOOKUP($H316, 'Processed Non-zero TRI Data'!I:P, 8, 0), "Direct")</f>
        <v>Direct</v>
      </c>
      <c r="M316" s="33" t="str">
        <f>VLOOKUP($N316, 'COU.OES Summary'!C:D, 2, FALSE)</f>
        <v> </v>
      </c>
      <c r="N316" s="33" t="str">
        <f>IFERROR(VLOOKUP($H316, 'Processed Non-zero TRI Data'!$I:$O, 7, FALSE), VLOOKUP($I316, 'Processed Non-zero DMR Data'!$K:$R, 8, FALSE))</f>
        <v>Waste handling, treatment, and disposal - Remediation or Monitoring</v>
      </c>
      <c r="O316" s="33" t="s">
        <v>710</v>
      </c>
      <c r="P316" s="33">
        <f>VLOOKUP($N316, 'COU.OES Summary'!C:E, 3, FALSE)</f>
        <v>365</v>
      </c>
    </row>
    <row r="317" spans="1:16" ht="29" x14ac:dyDescent="0.35">
      <c r="A317" s="34">
        <v>316</v>
      </c>
      <c r="B317" s="33" t="str">
        <f>IF(AND(ISNUMBER(MATCH(H317, 'Processed Non-zero TRI Data'!$I$2:$I$23, FALSE)),ISNUMBER(MATCH(I317, 'Processed Non-zero DMR Data'!$K:$K, FALSE))),"Both TRI Form "&amp; VLOOKUP(H317, 'Processed Non-zero TRI Data'!$I$2:$K$23, 3, FALSE)&amp; " &amp; DMR", IFERROR("Only TRI Form "&amp; VLOOKUP(H317, 'Processed Non-zero TRI Data'!$I$2:$K$23, 3, FALSE), "Only DMR"))</f>
        <v>Only DMR</v>
      </c>
      <c r="C317" s="34" t="s">
        <v>525</v>
      </c>
      <c r="D317" s="34" t="s">
        <v>396</v>
      </c>
      <c r="E317" s="34" t="s">
        <v>276</v>
      </c>
      <c r="F317" s="34">
        <v>38.840083999999997</v>
      </c>
      <c r="G317" s="34">
        <v>-77.048516000000006</v>
      </c>
      <c r="H317" s="34"/>
      <c r="I317" s="105">
        <v>110070949081</v>
      </c>
      <c r="J317" s="33">
        <f>IF(OR($H317="",$H317="Yes"), VLOOKUP($I317, 'Processed Non-zero DMR Data'!$K:$V, 10, FALSE),"")</f>
        <v>3.0301628571428499E-2</v>
      </c>
      <c r="K317" s="33" t="str">
        <f>IFERROR(VLOOKUP($H317, 'Processed Non-zero TRI Data'!$I:$M, 5, 0), VLOOKUP($I317, 'Processed Non-zero DMR Data'!$K:$M, 3, FALSE))</f>
        <v>Excavation Work</v>
      </c>
      <c r="L317" s="33" t="str">
        <f>IFERROR(VLOOKUP($H317, 'Processed Non-zero TRI Data'!I:P, 8, 0), "Direct")</f>
        <v>Direct</v>
      </c>
      <c r="M317" s="33" t="str">
        <f>VLOOKUP($N317, 'COU.OES Summary'!C:D, 2, FALSE)</f>
        <v> </v>
      </c>
      <c r="N317" s="33" t="str">
        <f>IFERROR(VLOOKUP($H317, 'Processed Non-zero TRI Data'!$I:$O, 7, FALSE), VLOOKUP($I317, 'Processed Non-zero DMR Data'!$K:$R, 8, FALSE))</f>
        <v>Waste handling, treatment, and disposal - Remediation or Monitoring</v>
      </c>
      <c r="O317" s="33" t="s">
        <v>710</v>
      </c>
      <c r="P317" s="33">
        <f>VLOOKUP($N317, 'COU.OES Summary'!C:E, 3, FALSE)</f>
        <v>365</v>
      </c>
    </row>
    <row r="318" spans="1:16" ht="29" x14ac:dyDescent="0.35">
      <c r="A318" s="34">
        <v>317</v>
      </c>
      <c r="B318" s="33" t="str">
        <f>IF(AND(ISNUMBER(MATCH(H318, 'Processed Non-zero TRI Data'!$I$2:$I$23, FALSE)),ISNUMBER(MATCH(I318, 'Processed Non-zero DMR Data'!$K:$K, FALSE))),"Both TRI Form "&amp; VLOOKUP(H318, 'Processed Non-zero TRI Data'!$I$2:$K$23, 3, FALSE)&amp; " &amp; DMR", IFERROR("Only TRI Form "&amp; VLOOKUP(H318, 'Processed Non-zero TRI Data'!$I$2:$K$23, 3, FALSE), "Only DMR"))</f>
        <v>Only DMR</v>
      </c>
      <c r="C318" s="34" t="s">
        <v>698</v>
      </c>
      <c r="D318" s="34" t="s">
        <v>275</v>
      </c>
      <c r="E318" s="34" t="s">
        <v>276</v>
      </c>
      <c r="F318" s="34">
        <v>38.862986999999997</v>
      </c>
      <c r="G318" s="34">
        <v>-77.085927999999996</v>
      </c>
      <c r="H318" s="34"/>
      <c r="I318" s="105">
        <v>110071065066</v>
      </c>
      <c r="J318" s="33">
        <f>IF(OR($H318="",$H318="Yes"), VLOOKUP($I318, 'Processed Non-zero DMR Data'!$K:$V, 10, FALSE),"")</f>
        <v>4.8750800000000001E-5</v>
      </c>
      <c r="K318" s="33" t="str">
        <f>IFERROR(VLOOKUP($H318, 'Processed Non-zero TRI Data'!$I:$M, 5, 0), VLOOKUP($I318, 'Processed Non-zero DMR Data'!$K:$M, 3, FALSE))</f>
        <v>Miscellaneous Retail Stores, Nec</v>
      </c>
      <c r="L318" s="33" t="str">
        <f>IFERROR(VLOOKUP($H318, 'Processed Non-zero TRI Data'!I:P, 8, 0), "Direct")</f>
        <v>Direct</v>
      </c>
      <c r="M318" s="33" t="str">
        <f>VLOOKUP($N318, 'COU.OES Summary'!C:D, 2, FALSE)</f>
        <v> </v>
      </c>
      <c r="N318" s="33" t="str">
        <f>IFERROR(VLOOKUP($H318, 'Processed Non-zero TRI Data'!$I:$O, 7, FALSE), VLOOKUP($I318, 'Processed Non-zero DMR Data'!$K:$R, 8, FALSE))</f>
        <v>Waste handling, treatment, and disposal - Remediation or Monitoring</v>
      </c>
      <c r="O318" s="33" t="s">
        <v>710</v>
      </c>
      <c r="P318" s="33">
        <f>VLOOKUP($N318, 'COU.OES Summary'!C:E, 3, FALSE)</f>
        <v>365</v>
      </c>
    </row>
    <row r="319" spans="1:16" ht="29" x14ac:dyDescent="0.35">
      <c r="A319" s="34">
        <v>318</v>
      </c>
      <c r="B319" s="33" t="str">
        <f>IF(AND(ISNUMBER(MATCH(H319, 'Processed Non-zero TRI Data'!$I$2:$I$23, FALSE)),ISNUMBER(MATCH(I319, 'Processed Non-zero DMR Data'!$K:$K, FALSE))),"Both TRI Form "&amp; VLOOKUP(H319, 'Processed Non-zero TRI Data'!$I$2:$K$23, 3, FALSE)&amp; " &amp; DMR", IFERROR("Only TRI Form "&amp; VLOOKUP(H319, 'Processed Non-zero TRI Data'!$I$2:$K$23, 3, FALSE), "Only DMR"))</f>
        <v>Only DMR</v>
      </c>
      <c r="C319" s="34" t="s">
        <v>681</v>
      </c>
      <c r="D319" s="34" t="s">
        <v>645</v>
      </c>
      <c r="E319" s="34" t="s">
        <v>276</v>
      </c>
      <c r="F319" s="34">
        <v>36.840694999999997</v>
      </c>
      <c r="G319" s="34">
        <v>-75.984082999999998</v>
      </c>
      <c r="H319" s="34"/>
      <c r="I319" s="105">
        <v>110071076435</v>
      </c>
      <c r="J319" s="33">
        <f>IF(OR($H319="",$H319="Yes"), VLOOKUP($I319, 'Processed Non-zero DMR Data'!$K:$V, 10, FALSE),"")</f>
        <v>6.1416356249999996E-4</v>
      </c>
      <c r="K319" s="33" t="str">
        <f>IFERROR(VLOOKUP($H319, 'Processed Non-zero TRI Data'!$I:$M, 5, 0), VLOOKUP($I319, 'Processed Non-zero DMR Data'!$K:$M, 3, FALSE))</f>
        <v>Special Trade Contractors, Nec</v>
      </c>
      <c r="L319" s="33" t="str">
        <f>IFERROR(VLOOKUP($H319, 'Processed Non-zero TRI Data'!I:P, 8, 0), "Direct")</f>
        <v>Direct</v>
      </c>
      <c r="M319" s="33" t="str">
        <f>VLOOKUP($N319, 'COU.OES Summary'!C:D, 2, FALSE)</f>
        <v> </v>
      </c>
      <c r="N319" s="33" t="str">
        <f>IFERROR(VLOOKUP($H319, 'Processed Non-zero TRI Data'!$I:$O, 7, FALSE), VLOOKUP($I319, 'Processed Non-zero DMR Data'!$K:$R, 8, FALSE))</f>
        <v>Waste handling, treatment, and disposal - Remediation or Monitoring</v>
      </c>
      <c r="O319" s="33" t="s">
        <v>710</v>
      </c>
      <c r="P319" s="33">
        <f>VLOOKUP($N319, 'COU.OES Summary'!C:E, 3, FALSE)</f>
        <v>365</v>
      </c>
    </row>
    <row r="320" spans="1:16" ht="29" x14ac:dyDescent="0.35">
      <c r="A320" s="34">
        <v>319</v>
      </c>
      <c r="B320" s="33" t="str">
        <f>IF(AND(ISNUMBER(MATCH(H320, 'Processed Non-zero TRI Data'!$I$2:$I$23, FALSE)),ISNUMBER(MATCH(I320, 'Processed Non-zero DMR Data'!$K:$K, FALSE))),"Both TRI Form "&amp; VLOOKUP(H320, 'Processed Non-zero TRI Data'!$I$2:$K$23, 3, FALSE)&amp; " &amp; DMR", IFERROR("Only TRI Form "&amp; VLOOKUP(H320, 'Processed Non-zero TRI Data'!$I$2:$K$23, 3, FALSE), "Only DMR"))</f>
        <v>Only DMR</v>
      </c>
      <c r="C320" s="34" t="s">
        <v>630</v>
      </c>
      <c r="D320" s="34" t="s">
        <v>631</v>
      </c>
      <c r="E320" s="34" t="s">
        <v>340</v>
      </c>
      <c r="F320" s="34">
        <v>39.859110000000001</v>
      </c>
      <c r="G320" s="34">
        <v>-77.236620000000002</v>
      </c>
      <c r="H320" s="34"/>
      <c r="I320" s="105">
        <v>110071151044</v>
      </c>
      <c r="J320" s="33">
        <f>IF(OR($H320="",$H320="Yes"), VLOOKUP($I320, 'Processed Non-zero DMR Data'!$K:$V, 10, FALSE),"")</f>
        <v>5.633385825E-3</v>
      </c>
      <c r="K320" s="33" t="str">
        <f>IFERROR(VLOOKUP($H320, 'Processed Non-zero TRI Data'!$I:$M, 5, 0), VLOOKUP($I320, 'Processed Non-zero DMR Data'!$K:$M, 3, FALSE))</f>
        <v>Sanitary Services, Nec</v>
      </c>
      <c r="L320" s="33" t="str">
        <f>IFERROR(VLOOKUP($H320, 'Processed Non-zero TRI Data'!I:P, 8, 0), "Direct")</f>
        <v>Direct</v>
      </c>
      <c r="M320" s="33" t="str">
        <f>VLOOKUP($N320, 'COU.OES Summary'!C:D, 2, FALSE)</f>
        <v> </v>
      </c>
      <c r="N320" s="33" t="str">
        <f>IFERROR(VLOOKUP($H320, 'Processed Non-zero TRI Data'!$I:$O, 7, FALSE), VLOOKUP($I320, 'Processed Non-zero DMR Data'!$K:$R, 8, FALSE))</f>
        <v>Waste handling, treatment, and disposal - Remediation or Monitoring</v>
      </c>
      <c r="O320" s="33" t="s">
        <v>710</v>
      </c>
      <c r="P320" s="33">
        <f>VLOOKUP($N320, 'COU.OES Summary'!C:E, 3, FALSE)</f>
        <v>365</v>
      </c>
    </row>
    <row r="321" spans="1:16" ht="29" x14ac:dyDescent="0.35">
      <c r="A321" s="34">
        <v>320</v>
      </c>
      <c r="B321" s="33" t="str">
        <f>IF(AND(ISNUMBER(MATCH(H321, 'Processed Non-zero TRI Data'!$I$2:$I$23, FALSE)),ISNUMBER(MATCH(I321, 'Processed Non-zero DMR Data'!$K:$K, FALSE))),"Both TRI Form "&amp; VLOOKUP(H321, 'Processed Non-zero TRI Data'!$I$2:$K$23, 3, FALSE)&amp; " &amp; DMR", IFERROR("Only TRI Form "&amp; VLOOKUP(H321, 'Processed Non-zero TRI Data'!$I$2:$K$23, 3, FALSE), "Only DMR"))</f>
        <v>Only DMR</v>
      </c>
      <c r="C321" s="34" t="s">
        <v>602</v>
      </c>
      <c r="D321" s="34" t="s">
        <v>396</v>
      </c>
      <c r="E321" s="34" t="s">
        <v>276</v>
      </c>
      <c r="F321" s="34">
        <v>38.818069999999999</v>
      </c>
      <c r="G321" s="34">
        <v>-77.049329999999998</v>
      </c>
      <c r="H321" s="34"/>
      <c r="I321" s="105">
        <v>110071181280</v>
      </c>
      <c r="J321" s="33">
        <f>IF(OR($H321="",$H321="Yes"), VLOOKUP($I321, 'Processed Non-zero DMR Data'!$K:$V, 10, FALSE),"")</f>
        <v>1.2488039750000001E-2</v>
      </c>
      <c r="K321" s="33" t="str">
        <f>IFERROR(VLOOKUP($H321, 'Processed Non-zero TRI Data'!$I:$M, 5, 0), VLOOKUP($I321, 'Processed Non-zero DMR Data'!$K:$M, 3, FALSE))</f>
        <v>Excavation Work</v>
      </c>
      <c r="L321" s="33" t="str">
        <f>IFERROR(VLOOKUP($H321, 'Processed Non-zero TRI Data'!I:P, 8, 0), "Direct")</f>
        <v>Direct</v>
      </c>
      <c r="M321" s="33" t="str">
        <f>VLOOKUP($N321, 'COU.OES Summary'!C:D, 2, FALSE)</f>
        <v> </v>
      </c>
      <c r="N321" s="33" t="str">
        <f>IFERROR(VLOOKUP($H321, 'Processed Non-zero TRI Data'!$I:$O, 7, FALSE), VLOOKUP($I321, 'Processed Non-zero DMR Data'!$K:$R, 8, FALSE))</f>
        <v>Waste handling, treatment, and disposal - Remediation or Monitoring</v>
      </c>
      <c r="O321" s="33" t="s">
        <v>710</v>
      </c>
      <c r="P321" s="33">
        <f>VLOOKUP($N321, 'COU.OES Summary'!C:E, 3, FALSE)</f>
        <v>365</v>
      </c>
    </row>
    <row r="322" spans="1:16" ht="29" x14ac:dyDescent="0.35">
      <c r="A322" s="34">
        <v>321</v>
      </c>
      <c r="B322" s="33" t="str">
        <f>IF(AND(ISNUMBER(MATCH(H322, 'Processed Non-zero TRI Data'!$I$2:$I$23, FALSE)),ISNUMBER(MATCH(I322, 'Processed Non-zero DMR Data'!$K:$K, FALSE))),"Both TRI Form "&amp; VLOOKUP(H322, 'Processed Non-zero TRI Data'!$I$2:$K$23, 3, FALSE)&amp; " &amp; DMR", IFERROR("Only TRI Form "&amp; VLOOKUP(H322, 'Processed Non-zero TRI Data'!$I$2:$K$23, 3, FALSE), "Only DMR"))</f>
        <v>Only DMR</v>
      </c>
      <c r="C322" s="34" t="s">
        <v>506</v>
      </c>
      <c r="D322" s="34" t="s">
        <v>507</v>
      </c>
      <c r="E322" s="34" t="s">
        <v>181</v>
      </c>
      <c r="F322" s="34">
        <v>43.953519999999997</v>
      </c>
      <c r="G322" s="34">
        <v>-86.451409999999996</v>
      </c>
      <c r="H322" s="34"/>
      <c r="I322" s="105">
        <v>110071223319</v>
      </c>
      <c r="J322" s="33">
        <f>IF(OR($H322="",$H322="Yes"), VLOOKUP($I322, 'Processed Non-zero DMR Data'!$K:$V, 10, FALSE),"")</f>
        <v>5.1596814077375E-2</v>
      </c>
      <c r="K322" s="33" t="str">
        <f>IFERROR(VLOOKUP($H322, 'Processed Non-zero TRI Data'!$I:$M, 5, 0), VLOOKUP($I322, 'Processed Non-zero DMR Data'!$K:$M, 3, FALSE))</f>
        <v>Watches, Clocks, Watchcases, and Parts</v>
      </c>
      <c r="L322" s="33" t="str">
        <f>IFERROR(VLOOKUP($H322, 'Processed Non-zero TRI Data'!I:P, 8, 0), "Direct")</f>
        <v>Direct</v>
      </c>
      <c r="M322" s="33" t="str">
        <f>VLOOKUP($N322, 'COU.OES Summary'!C:D, 2, FALSE)</f>
        <v> </v>
      </c>
      <c r="N322" s="33" t="str">
        <f>IFERROR(VLOOKUP($H322, 'Processed Non-zero TRI Data'!$I:$O, 7, FALSE), VLOOKUP($I322, 'Processed Non-zero DMR Data'!$K:$R, 8, FALSE))</f>
        <v>Waste handling, treatment, and disposal - Remediation or Monitoring</v>
      </c>
      <c r="O322" s="33" t="s">
        <v>710</v>
      </c>
      <c r="P322" s="33">
        <f>VLOOKUP($N322, 'COU.OES Summary'!C:E, 3, FALSE)</f>
        <v>365</v>
      </c>
    </row>
    <row r="323" spans="1:16" ht="29" x14ac:dyDescent="0.35">
      <c r="A323" s="34">
        <v>322</v>
      </c>
      <c r="B323" s="33" t="str">
        <f>IF(AND(ISNUMBER(MATCH(H323, 'Processed Non-zero TRI Data'!$I$2:$I$23, FALSE)),ISNUMBER(MATCH(I323, 'Processed Non-zero DMR Data'!$K:$K, FALSE))),"Both TRI Form "&amp; VLOOKUP(H323, 'Processed Non-zero TRI Data'!$I$2:$K$23, 3, FALSE)&amp; " &amp; DMR", IFERROR("Only TRI Form "&amp; VLOOKUP(H323, 'Processed Non-zero TRI Data'!$I$2:$K$23, 3, FALSE), "Only DMR"))</f>
        <v>Only DMR</v>
      </c>
      <c r="C323" s="34" t="s">
        <v>697</v>
      </c>
      <c r="D323" s="34" t="s">
        <v>275</v>
      </c>
      <c r="E323" s="34" t="s">
        <v>276</v>
      </c>
      <c r="F323" s="34">
        <v>38.85615</v>
      </c>
      <c r="G323" s="34">
        <v>-77.051146000000003</v>
      </c>
      <c r="H323" s="34"/>
      <c r="I323" s="105">
        <v>110071347994</v>
      </c>
      <c r="J323" s="33">
        <f>IF(OR($H323="",$H323="Yes"), VLOOKUP($I323, 'Processed Non-zero DMR Data'!$K:$V, 10, FALSE),"")</f>
        <v>9.3678750000000005E-5</v>
      </c>
      <c r="K323" s="33" t="str">
        <f>IFERROR(VLOOKUP($H323, 'Processed Non-zero TRI Data'!$I:$M, 5, 0), VLOOKUP($I323, 'Processed Non-zero DMR Data'!$K:$M, 3, FALSE))</f>
        <v>Excavation Work</v>
      </c>
      <c r="L323" s="33" t="str">
        <f>IFERROR(VLOOKUP($H323, 'Processed Non-zero TRI Data'!I:P, 8, 0), "Direct")</f>
        <v>Direct</v>
      </c>
      <c r="M323" s="33" t="str">
        <f>VLOOKUP($N323, 'COU.OES Summary'!C:D, 2, FALSE)</f>
        <v> </v>
      </c>
      <c r="N323" s="33" t="str">
        <f>IFERROR(VLOOKUP($H323, 'Processed Non-zero TRI Data'!$I:$O, 7, FALSE), VLOOKUP($I323, 'Processed Non-zero DMR Data'!$K:$R, 8, FALSE))</f>
        <v>Waste handling, treatment, and disposal - Remediation or Monitoring</v>
      </c>
      <c r="O323" s="33" t="s">
        <v>710</v>
      </c>
      <c r="P323" s="33">
        <f>VLOOKUP($N323, 'COU.OES Summary'!C:E, 3, FALSE)</f>
        <v>365</v>
      </c>
    </row>
    <row r="324" spans="1:16" ht="29" x14ac:dyDescent="0.35">
      <c r="A324" s="34">
        <v>323</v>
      </c>
      <c r="B324" s="33" t="str">
        <f>IF(AND(ISNUMBER(MATCH(H324, 'Processed Non-zero TRI Data'!$I$2:$I$23, FALSE)),ISNUMBER(MATCH(I324, 'Processed Non-zero DMR Data'!$K:$K, FALSE))),"Both TRI Form "&amp; VLOOKUP(H324, 'Processed Non-zero TRI Data'!$I$2:$K$23, 3, FALSE)&amp; " &amp; DMR", IFERROR("Only TRI Form "&amp; VLOOKUP(H324, 'Processed Non-zero TRI Data'!$I$2:$K$23, 3, FALSE), "Only DMR"))</f>
        <v>Only DMR</v>
      </c>
      <c r="C324" s="34" t="s">
        <v>439</v>
      </c>
      <c r="D324" s="34" t="s">
        <v>440</v>
      </c>
      <c r="E324" s="34" t="s">
        <v>102</v>
      </c>
      <c r="F324" s="34">
        <v>38.030833000000001</v>
      </c>
      <c r="G324" s="34">
        <v>-122.075</v>
      </c>
      <c r="H324" s="34"/>
      <c r="I324" s="105">
        <v>110071349304</v>
      </c>
      <c r="J324" s="33">
        <f>IF(OR($H324="",$H324="Yes"), VLOOKUP($I324, 'Processed Non-zero DMR Data'!$K:$V, 10, FALSE),"")</f>
        <v>0.13559686800000001</v>
      </c>
      <c r="K324" s="33" t="str">
        <f>IFERROR(VLOOKUP($H324, 'Processed Non-zero TRI Data'!$I:$M, 5, 0), VLOOKUP($I324, 'Processed Non-zero DMR Data'!$K:$M, 3, FALSE))</f>
        <v>Petroleum Refining</v>
      </c>
      <c r="L324" s="33" t="str">
        <f>IFERROR(VLOOKUP($H324, 'Processed Non-zero TRI Data'!I:P, 8, 0), "Direct")</f>
        <v>Direct</v>
      </c>
      <c r="M324" s="33" t="str">
        <f>VLOOKUP($N324, 'COU.OES Summary'!C:D, 2, FALSE)</f>
        <v> </v>
      </c>
      <c r="N324" s="33" t="str">
        <f>IFERROR(VLOOKUP($H324, 'Processed Non-zero TRI Data'!$I:$O, 7, FALSE), VLOOKUP($I324, 'Processed Non-zero DMR Data'!$K:$R, 8, FALSE))</f>
        <v>Waste handling, treatment, and disposal - Remediation or Monitoring</v>
      </c>
      <c r="O324" s="33" t="s">
        <v>710</v>
      </c>
      <c r="P324" s="33">
        <f>VLOOKUP($N324, 'COU.OES Summary'!C:E, 3, FALSE)</f>
        <v>365</v>
      </c>
    </row>
    <row r="325" spans="1:16" ht="29" x14ac:dyDescent="0.35">
      <c r="A325" s="34">
        <v>324</v>
      </c>
      <c r="B325" s="33" t="str">
        <f>IF(AND(ISNUMBER(MATCH(H325, 'Processed Non-zero TRI Data'!$I$2:$I$23, FALSE)),ISNUMBER(MATCH(I325, 'Processed Non-zero DMR Data'!$K:$K, FALSE))),"Both TRI Form "&amp; VLOOKUP(H325, 'Processed Non-zero TRI Data'!$I$2:$K$23, 3, FALSE)&amp; " &amp; DMR", IFERROR("Only TRI Form "&amp; VLOOKUP(H325, 'Processed Non-zero TRI Data'!$I$2:$K$23, 3, FALSE), "Only DMR"))</f>
        <v>Only DMR</v>
      </c>
      <c r="C325" s="34" t="s">
        <v>546</v>
      </c>
      <c r="D325" s="34" t="s">
        <v>402</v>
      </c>
      <c r="E325" s="34" t="s">
        <v>276</v>
      </c>
      <c r="F325" s="34">
        <v>38.884332000000001</v>
      </c>
      <c r="G325" s="34">
        <v>-77.174546000000007</v>
      </c>
      <c r="H325" s="34"/>
      <c r="I325" s="105">
        <v>110071426611</v>
      </c>
      <c r="J325" s="33">
        <f>IF(OR($H325="",$H325="Yes"), VLOOKUP($I325, 'Processed Non-zero DMR Data'!$K:$V, 10, FALSE),"")</f>
        <v>2.8831967142857101E-2</v>
      </c>
      <c r="K325" s="33" t="str">
        <f>IFERROR(VLOOKUP($H325, 'Processed Non-zero TRI Data'!$I:$M, 5, 0), VLOOKUP($I325, 'Processed Non-zero DMR Data'!$K:$M, 3, FALSE))</f>
        <v>Excavation Work</v>
      </c>
      <c r="L325" s="33" t="str">
        <f>IFERROR(VLOOKUP($H325, 'Processed Non-zero TRI Data'!I:P, 8, 0), "Direct")</f>
        <v>Direct</v>
      </c>
      <c r="M325" s="33" t="str">
        <f>VLOOKUP($N325, 'COU.OES Summary'!C:D, 2, FALSE)</f>
        <v> </v>
      </c>
      <c r="N325" s="33" t="str">
        <f>IFERROR(VLOOKUP($H325, 'Processed Non-zero TRI Data'!$I:$O, 7, FALSE), VLOOKUP($I325, 'Processed Non-zero DMR Data'!$K:$R, 8, FALSE))</f>
        <v>Waste handling, treatment, and disposal - Remediation or Monitoring</v>
      </c>
      <c r="O325" s="33" t="s">
        <v>710</v>
      </c>
      <c r="P325" s="33">
        <f>VLOOKUP($N325, 'COU.OES Summary'!C:E, 3, FALSE)</f>
        <v>365</v>
      </c>
    </row>
    <row r="326" spans="1:16" ht="29" x14ac:dyDescent="0.35">
      <c r="A326" s="34">
        <v>325</v>
      </c>
      <c r="B326" s="33" t="str">
        <f>IF(AND(ISNUMBER(MATCH(H326, 'Processed Non-zero TRI Data'!$I$2:$I$23, FALSE)),ISNUMBER(MATCH(I326, 'Processed Non-zero DMR Data'!$K:$K, FALSE))),"Both TRI Form "&amp; VLOOKUP(H326, 'Processed Non-zero TRI Data'!$I$2:$K$23, 3, FALSE)&amp; " &amp; DMR", IFERROR("Only TRI Form "&amp; VLOOKUP(H326, 'Processed Non-zero TRI Data'!$I$2:$K$23, 3, FALSE), "Only DMR"))</f>
        <v>Only DMR</v>
      </c>
      <c r="C326" s="34" t="s">
        <v>675</v>
      </c>
      <c r="D326" s="34" t="s">
        <v>402</v>
      </c>
      <c r="E326" s="34" t="s">
        <v>276</v>
      </c>
      <c r="F326" s="34">
        <v>38.848126999999998</v>
      </c>
      <c r="G326" s="34">
        <v>-77.132767999999999</v>
      </c>
      <c r="H326" s="34"/>
      <c r="I326" s="105">
        <v>110071427202</v>
      </c>
      <c r="J326" s="33">
        <f>IF(OR($H326="",$H326="Yes"), VLOOKUP($I326, 'Processed Non-zero DMR Data'!$K:$V, 10, FALSE),"")</f>
        <v>1.0137744E-3</v>
      </c>
      <c r="K326" s="33" t="str">
        <f>IFERROR(VLOOKUP($H326, 'Processed Non-zero TRI Data'!$I:$M, 5, 0), VLOOKUP($I326, 'Processed Non-zero DMR Data'!$K:$M, 3, FALSE))</f>
        <v>Excavation Work</v>
      </c>
      <c r="L326" s="33" t="str">
        <f>IFERROR(VLOOKUP($H326, 'Processed Non-zero TRI Data'!I:P, 8, 0), "Direct")</f>
        <v>Direct</v>
      </c>
      <c r="M326" s="33" t="str">
        <f>VLOOKUP($N326, 'COU.OES Summary'!C:D, 2, FALSE)</f>
        <v> </v>
      </c>
      <c r="N326" s="33" t="str">
        <f>IFERROR(VLOOKUP($H326, 'Processed Non-zero TRI Data'!$I:$O, 7, FALSE), VLOOKUP($I326, 'Processed Non-zero DMR Data'!$K:$R, 8, FALSE))</f>
        <v>Waste handling, treatment, and disposal - Remediation or Monitoring</v>
      </c>
      <c r="O326" s="33" t="s">
        <v>710</v>
      </c>
      <c r="P326" s="33">
        <f>VLOOKUP($N326, 'COU.OES Summary'!C:E, 3, FALSE)</f>
        <v>365</v>
      </c>
    </row>
    <row r="327" spans="1:16" ht="29" x14ac:dyDescent="0.35">
      <c r="A327" s="34">
        <v>326</v>
      </c>
      <c r="B327" s="33" t="str">
        <f>IF(AND(ISNUMBER(MATCH(H327, 'Processed Non-zero TRI Data'!$I$2:$I$23, FALSE)),ISNUMBER(MATCH(I327, 'Processed Non-zero DMR Data'!$K:$K, FALSE))),"Both TRI Form "&amp; VLOOKUP(H327, 'Processed Non-zero TRI Data'!$I$2:$K$23, 3, FALSE)&amp; " &amp; DMR", IFERROR("Only TRI Form "&amp; VLOOKUP(H327, 'Processed Non-zero TRI Data'!$I$2:$K$23, 3, FALSE), "Only DMR"))</f>
        <v>Only DMR</v>
      </c>
      <c r="C327" s="34" t="s">
        <v>637</v>
      </c>
      <c r="D327" s="34" t="s">
        <v>638</v>
      </c>
      <c r="E327" s="34" t="s">
        <v>276</v>
      </c>
      <c r="F327" s="34">
        <v>38.899099999999997</v>
      </c>
      <c r="G327" s="34">
        <v>-77.269300000000001</v>
      </c>
      <c r="H327" s="34"/>
      <c r="I327" s="105">
        <v>110071428198</v>
      </c>
      <c r="J327" s="33">
        <f>IF(OR($H327="",$H327="Yes"), VLOOKUP($I327, 'Processed Non-zero DMR Data'!$K:$V, 10, FALSE),"")</f>
        <v>5.3597838524699999E-3</v>
      </c>
      <c r="K327" s="33" t="str">
        <f>IFERROR(VLOOKUP($H327, 'Processed Non-zero TRI Data'!$I:$M, 5, 0), VLOOKUP($I327, 'Processed Non-zero DMR Data'!$K:$M, 3, FALSE))</f>
        <v>Real Property Lessors, Nec</v>
      </c>
      <c r="L327" s="33" t="str">
        <f>IFERROR(VLOOKUP($H327, 'Processed Non-zero TRI Data'!I:P, 8, 0), "Direct")</f>
        <v>Direct</v>
      </c>
      <c r="M327" s="33" t="str">
        <f>VLOOKUP($N327, 'COU.OES Summary'!C:D, 2, FALSE)</f>
        <v> </v>
      </c>
      <c r="N327" s="33" t="str">
        <f>IFERROR(VLOOKUP($H327, 'Processed Non-zero TRI Data'!$I:$O, 7, FALSE), VLOOKUP($I327, 'Processed Non-zero DMR Data'!$K:$R, 8, FALSE))</f>
        <v>Waste handling, treatment, and disposal - Remediation or Monitoring</v>
      </c>
      <c r="O327" s="33" t="s">
        <v>710</v>
      </c>
      <c r="P327" s="33">
        <f>VLOOKUP($N327, 'COU.OES Summary'!C:E, 3, FALSE)</f>
        <v>365</v>
      </c>
    </row>
    <row r="328" spans="1:16" ht="29" x14ac:dyDescent="0.35">
      <c r="A328" s="34">
        <v>327</v>
      </c>
      <c r="B328" s="33" t="str">
        <f>IF(AND(ISNUMBER(MATCH(H328, 'Processed Non-zero TRI Data'!$I$2:$I$23, FALSE)),ISNUMBER(MATCH(I328, 'Processed Non-zero DMR Data'!$K:$K, FALSE))),"Both TRI Form "&amp; VLOOKUP(H328, 'Processed Non-zero TRI Data'!$I$2:$K$23, 3, FALSE)&amp; " &amp; DMR", IFERROR("Only TRI Form "&amp; VLOOKUP(H328, 'Processed Non-zero TRI Data'!$I$2:$K$23, 3, FALSE), "Only DMR"))</f>
        <v>Only DMR</v>
      </c>
      <c r="C328" s="34" t="s">
        <v>639</v>
      </c>
      <c r="D328" s="34" t="s">
        <v>640</v>
      </c>
      <c r="E328" s="34" t="s">
        <v>451</v>
      </c>
      <c r="F328" s="34">
        <v>42.313240999999998</v>
      </c>
      <c r="G328" s="34">
        <v>-71.046143999999998</v>
      </c>
      <c r="H328" s="34"/>
      <c r="I328" s="105">
        <v>110071445083</v>
      </c>
      <c r="J328" s="33">
        <f>IF(OR($H328="",$H328="Yes"), VLOOKUP($I328, 'Processed Non-zero DMR Data'!$K:$V, 10, FALSE),"")</f>
        <v>4.6591457500000004E-3</v>
      </c>
      <c r="K328" s="33" t="str">
        <f>IFERROR(VLOOKUP($H328, 'Processed Non-zero TRI Data'!$I:$M, 5, 0), VLOOKUP($I328, 'Processed Non-zero DMR Data'!$K:$M, 3, FALSE))</f>
        <v>Sanitary Services, Nec</v>
      </c>
      <c r="L328" s="33" t="str">
        <f>IFERROR(VLOOKUP($H328, 'Processed Non-zero TRI Data'!I:P, 8, 0), "Direct")</f>
        <v>Direct</v>
      </c>
      <c r="M328" s="33" t="str">
        <f>VLOOKUP($N328, 'COU.OES Summary'!C:D, 2, FALSE)</f>
        <v> </v>
      </c>
      <c r="N328" s="33" t="str">
        <f>IFERROR(VLOOKUP($H328, 'Processed Non-zero TRI Data'!$I:$O, 7, FALSE), VLOOKUP($I328, 'Processed Non-zero DMR Data'!$K:$R, 8, FALSE))</f>
        <v>Waste handling, treatment, and disposal - Remediation or Monitoring</v>
      </c>
      <c r="O328" s="33" t="s">
        <v>710</v>
      </c>
      <c r="P328" s="33">
        <f>VLOOKUP($N328, 'COU.OES Summary'!C:E, 3, FALSE)</f>
        <v>365</v>
      </c>
    </row>
    <row r="329" spans="1:16" ht="29" x14ac:dyDescent="0.35">
      <c r="A329" s="34">
        <v>328</v>
      </c>
      <c r="B329" s="33" t="str">
        <f>IF(AND(ISNUMBER(MATCH(H329, 'Processed Non-zero TRI Data'!$I$2:$I$23, FALSE)),ISNUMBER(MATCH(I329, 'Processed Non-zero DMR Data'!$K:$K, FALSE))),"Both TRI Form "&amp; VLOOKUP(H329, 'Processed Non-zero TRI Data'!$I$2:$K$23, 3, FALSE)&amp; " &amp; DMR", IFERROR("Only TRI Form "&amp; VLOOKUP(H329, 'Processed Non-zero TRI Data'!$I$2:$K$23, 3, FALSE), "Only DMR"))</f>
        <v>Only DMR</v>
      </c>
      <c r="C329" s="34" t="s">
        <v>537</v>
      </c>
      <c r="D329" s="34" t="s">
        <v>538</v>
      </c>
      <c r="E329" s="34" t="s">
        <v>451</v>
      </c>
      <c r="F329" s="34">
        <v>42.380471999999997</v>
      </c>
      <c r="G329" s="34">
        <v>-71.175021999999998</v>
      </c>
      <c r="H329" s="34"/>
      <c r="I329" s="105">
        <v>110071514272</v>
      </c>
      <c r="J329" s="33">
        <f>IF(OR($H329="",$H329="Yes"), VLOOKUP($I329, 'Processed Non-zero DMR Data'!$K:$V, 10, FALSE),"")</f>
        <v>3.2979462000000001E-2</v>
      </c>
      <c r="K329" s="33" t="str">
        <f>IFERROR(VLOOKUP($H329, 'Processed Non-zero TRI Data'!$I:$M, 5, 0), VLOOKUP($I329, 'Processed Non-zero DMR Data'!$K:$M, 3, FALSE))</f>
        <v>Sanitary Services, Nec</v>
      </c>
      <c r="L329" s="33" t="str">
        <f>IFERROR(VLOOKUP($H329, 'Processed Non-zero TRI Data'!I:P, 8, 0), "Direct")</f>
        <v>Direct</v>
      </c>
      <c r="M329" s="33" t="str">
        <f>VLOOKUP($N329, 'COU.OES Summary'!C:D, 2, FALSE)</f>
        <v> </v>
      </c>
      <c r="N329" s="33" t="str">
        <f>IFERROR(VLOOKUP($H329, 'Processed Non-zero TRI Data'!$I:$O, 7, FALSE), VLOOKUP($I329, 'Processed Non-zero DMR Data'!$K:$R, 8, FALSE))</f>
        <v>Waste handling, treatment, and disposal - POTW</v>
      </c>
      <c r="O329" s="33" t="s">
        <v>710</v>
      </c>
      <c r="P329" s="33">
        <f>VLOOKUP($N329, 'COU.OES Summary'!C:E, 3, FALSE)</f>
        <v>365</v>
      </c>
    </row>
    <row r="330" spans="1:16" ht="29" x14ac:dyDescent="0.35">
      <c r="A330" s="34">
        <v>329</v>
      </c>
      <c r="B330" s="33" t="str">
        <f>IF(AND(ISNUMBER(MATCH(H330, 'Processed Non-zero TRI Data'!$I$2:$I$23, FALSE)),ISNUMBER(MATCH(I330, 'Processed Non-zero DMR Data'!$K:$K, FALSE))),"Both TRI Form "&amp; VLOOKUP(H330, 'Processed Non-zero TRI Data'!$I$2:$K$23, 3, FALSE)&amp; " &amp; DMR", IFERROR("Only TRI Form "&amp; VLOOKUP(H330, 'Processed Non-zero TRI Data'!$I$2:$K$23, 3, FALSE), "Only DMR"))</f>
        <v>Only DMR</v>
      </c>
      <c r="C330" s="34" t="s">
        <v>477</v>
      </c>
      <c r="D330" s="34" t="s">
        <v>478</v>
      </c>
      <c r="E330" s="34" t="s">
        <v>95</v>
      </c>
      <c r="F330" s="34">
        <v>30.014958</v>
      </c>
      <c r="G330" s="34">
        <v>-94.029087000000004</v>
      </c>
      <c r="H330" s="34"/>
      <c r="I330" s="105">
        <v>110071710882</v>
      </c>
      <c r="J330" s="33">
        <f>IF(OR($H330="",$H330="Yes"), VLOOKUP($I330, 'Processed Non-zero DMR Data'!$K:$V, 10, FALSE),"")</f>
        <v>7.5969492E-2</v>
      </c>
      <c r="K330" s="33" t="str">
        <f>IFERROR(VLOOKUP($H330, 'Processed Non-zero TRI Data'!$I:$M, 5, 0), VLOOKUP($I330, 'Processed Non-zero DMR Data'!$K:$M, 3, FALSE))</f>
        <v>Industrial Organic Chemicals, Nec</v>
      </c>
      <c r="L330" s="33" t="str">
        <f>IFERROR(VLOOKUP($H330, 'Processed Non-zero TRI Data'!I:P, 8, 0), "Direct")</f>
        <v>Direct</v>
      </c>
      <c r="M330" s="33" t="str">
        <f>VLOOKUP($N330, 'COU.OES Summary'!C:D, 2, FALSE)</f>
        <v> </v>
      </c>
      <c r="N330" s="33" t="str">
        <f>IFERROR(VLOOKUP($H330, 'Processed Non-zero TRI Data'!$I:$O, 7, FALSE), VLOOKUP($I330, 'Processed Non-zero DMR Data'!$K:$R, 8, FALSE))</f>
        <v>Waste handling, treatment, and disposal - Remediation or Monitoring</v>
      </c>
      <c r="O330" s="33" t="s">
        <v>710</v>
      </c>
      <c r="P330" s="33">
        <f>VLOOKUP($N330, 'COU.OES Summary'!C:E, 3, FALSE)</f>
        <v>365</v>
      </c>
    </row>
  </sheetData>
  <sheetProtection sheet="1" objects="1" scenarios="1" formatCells="0" formatColumns="0" formatRows="0" sort="0" autoFilter="0"/>
  <autoFilter ref="A1:P330" xr:uid="{BC97F0F4-7A33-4C69-AC88-968795EF2CCD}"/>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D165-09A3-401C-9451-C18CB7A35EBD}">
  <sheetPr codeName="Sheet7">
    <tabColor rgb="FF5B9BD5"/>
  </sheetPr>
  <dimension ref="A1:X978"/>
  <sheetViews>
    <sheetView zoomScaleNormal="100" workbookViewId="0">
      <pane xSplit="3" ySplit="1" topLeftCell="D2" activePane="bottomRight" state="frozen"/>
      <selection pane="topRight" activeCell="D1" sqref="D1"/>
      <selection pane="bottomLeft" activeCell="A2" sqref="A2"/>
      <selection pane="bottomRight"/>
    </sheetView>
  </sheetViews>
  <sheetFormatPr defaultRowHeight="14.5" x14ac:dyDescent="0.35"/>
  <cols>
    <col min="1" max="1" width="9.7265625" style="11" customWidth="1"/>
    <col min="2" max="2" width="57.26953125" style="11" customWidth="1"/>
    <col min="3" max="3" width="11.26953125" style="11" bestFit="1" customWidth="1"/>
    <col min="4" max="4" width="23.26953125" style="11" customWidth="1"/>
    <col min="5" max="7" width="8.7265625" style="11"/>
    <col min="8" max="8" width="15.1796875" style="11" bestFit="1" customWidth="1"/>
    <col min="9" max="9" width="16.7265625" style="11" bestFit="1" customWidth="1"/>
    <col min="10" max="10" width="10.453125" style="11" bestFit="1" customWidth="1"/>
    <col min="11" max="11" width="13.1796875" style="11" bestFit="1" customWidth="1"/>
    <col min="12" max="12" width="9.26953125" style="11" customWidth="1"/>
    <col min="13" max="13" width="31.1796875" style="11" bestFit="1" customWidth="1"/>
    <col min="14" max="14" width="8.54296875" style="11" customWidth="1"/>
    <col min="15" max="15" width="67.81640625" style="11" bestFit="1" customWidth="1"/>
    <col min="16" max="16" width="22.54296875" style="11" bestFit="1" customWidth="1"/>
    <col min="17" max="17" width="60.1796875" style="11" customWidth="1"/>
    <col min="18" max="18" width="64.1796875" style="11" bestFit="1" customWidth="1"/>
    <col min="19" max="19" width="11.7265625" style="11" bestFit="1" customWidth="1"/>
    <col min="20" max="20" width="16.1796875" style="11" bestFit="1" customWidth="1"/>
    <col min="21" max="21" width="21.453125" style="11" bestFit="1" customWidth="1"/>
    <col min="22" max="22" width="50" style="11" bestFit="1" customWidth="1"/>
    <col min="23" max="23" width="17.81640625" style="11" customWidth="1"/>
    <col min="24" max="24" width="118.453125" style="11" customWidth="1"/>
    <col min="25" max="16384" width="8.7265625" style="11"/>
  </cols>
  <sheetData>
    <row r="1" spans="1:24" s="39" customFormat="1" ht="29" x14ac:dyDescent="0.35">
      <c r="A1" s="126" t="s">
        <v>711</v>
      </c>
      <c r="B1" s="126" t="s">
        <v>70</v>
      </c>
      <c r="C1" s="126" t="s">
        <v>75</v>
      </c>
      <c r="D1" s="126" t="s">
        <v>712</v>
      </c>
      <c r="E1" s="126" t="s">
        <v>713</v>
      </c>
      <c r="F1" s="126" t="s">
        <v>714</v>
      </c>
      <c r="G1" s="126"/>
      <c r="H1" s="126" t="s">
        <v>715</v>
      </c>
      <c r="I1" s="126" t="s">
        <v>716</v>
      </c>
      <c r="J1" s="126" t="s">
        <v>717</v>
      </c>
      <c r="K1" s="127" t="s">
        <v>718</v>
      </c>
      <c r="L1" s="126" t="s">
        <v>719</v>
      </c>
      <c r="M1" s="128" t="s">
        <v>720</v>
      </c>
      <c r="N1" s="129" t="s">
        <v>721</v>
      </c>
      <c r="O1" s="130" t="s">
        <v>722</v>
      </c>
      <c r="P1" s="131" t="s">
        <v>723</v>
      </c>
      <c r="Q1" s="131" t="s">
        <v>724</v>
      </c>
      <c r="R1" s="132" t="s">
        <v>26</v>
      </c>
      <c r="S1" s="133" t="s">
        <v>725</v>
      </c>
      <c r="T1" s="134" t="s">
        <v>726</v>
      </c>
      <c r="U1" s="134" t="s">
        <v>727</v>
      </c>
      <c r="V1" s="134" t="s">
        <v>728</v>
      </c>
      <c r="W1" s="135" t="s">
        <v>77</v>
      </c>
      <c r="X1" s="136" t="s">
        <v>729</v>
      </c>
    </row>
    <row r="2" spans="1:24" x14ac:dyDescent="0.35">
      <c r="A2" s="34">
        <v>2020</v>
      </c>
      <c r="B2" s="34" t="s">
        <v>309</v>
      </c>
      <c r="C2" s="34" t="s">
        <v>730</v>
      </c>
      <c r="D2" s="34" t="s">
        <v>158</v>
      </c>
      <c r="E2" s="34" t="s">
        <v>434</v>
      </c>
      <c r="F2" s="34" t="s">
        <v>129</v>
      </c>
      <c r="G2" s="34"/>
      <c r="H2" s="34">
        <v>38.959018999999998</v>
      </c>
      <c r="I2" s="34">
        <v>-94.576569000000006</v>
      </c>
      <c r="J2" s="34"/>
      <c r="K2" s="105">
        <v>110017979810</v>
      </c>
      <c r="L2" s="34">
        <v>6552</v>
      </c>
      <c r="M2" s="48" t="str">
        <f>VLOOKUP(L2, '2017 SIC to NAICS'!A:D, 2)</f>
        <v>Subdividers and Developers, Nec</v>
      </c>
      <c r="N2" s="34">
        <f>VLOOKUP(L2,'2017 SIC to NAICS'!A:D,3)</f>
        <v>237210</v>
      </c>
      <c r="O2" s="34" t="str">
        <f>VLOOKUP(L2,'2017 SIC to NAICS'!A:D,4)</f>
        <v>Land Subdivision</v>
      </c>
      <c r="P2" s="36" t="s">
        <v>731</v>
      </c>
      <c r="Q2" s="137" t="s">
        <v>732</v>
      </c>
      <c r="R2" s="45" t="s">
        <v>41</v>
      </c>
      <c r="S2" s="138">
        <f>COUNTIFS('Raw Non-zero DMR Data'!$A:$A, A2, 'Raw Non-zero DMR Data'!$C:$C, U2, 'Raw Non-zero DMR Data'!$V:$V, V2)</f>
        <v>6</v>
      </c>
      <c r="T2" s="34">
        <f>SUMIFS('Raw Non-zero DMR Data'!$X:$X, 'Raw Non-zero DMR Data'!$A:$A, A2, 'Raw Non-zero DMR Data'!$C:$C, U2, 'Raw Non-zero DMR Data'!V:V, V2)</f>
        <v>0.10679756000000001</v>
      </c>
      <c r="U2" s="34" t="s">
        <v>730</v>
      </c>
      <c r="V2" s="34" t="s">
        <v>733</v>
      </c>
      <c r="W2" s="139">
        <v>103001010105</v>
      </c>
      <c r="X2" s="140" t="s">
        <v>734</v>
      </c>
    </row>
    <row r="3" spans="1:24" x14ac:dyDescent="0.35">
      <c r="A3" s="34">
        <v>2019</v>
      </c>
      <c r="B3" s="34" t="s">
        <v>336</v>
      </c>
      <c r="C3" s="34" t="s">
        <v>735</v>
      </c>
      <c r="D3" s="34" t="s">
        <v>337</v>
      </c>
      <c r="E3" s="34" t="s">
        <v>736</v>
      </c>
      <c r="F3" s="34" t="s">
        <v>221</v>
      </c>
      <c r="G3" s="34"/>
      <c r="H3" s="34">
        <v>36.122100000000003</v>
      </c>
      <c r="I3" s="34">
        <v>-115.17139</v>
      </c>
      <c r="J3" s="34"/>
      <c r="K3" s="105">
        <v>110004306938</v>
      </c>
      <c r="L3" s="34">
        <v>7011</v>
      </c>
      <c r="M3" s="48" t="str">
        <f>VLOOKUP(L3, '2017 SIC to NAICS'!A:D, 2)</f>
        <v>Hotels and Motels</v>
      </c>
      <c r="N3" s="34">
        <f>VLOOKUP(L3,'2017 SIC to NAICS'!A:D,3)</f>
        <v>721199</v>
      </c>
      <c r="O3" s="34" t="str">
        <f>VLOOKUP(L3,'2017 SIC to NAICS'!A:D,4)</f>
        <v>All Other Traveler Accommodation</v>
      </c>
      <c r="P3" s="36" t="s">
        <v>737</v>
      </c>
      <c r="Q3" s="137" t="s">
        <v>737</v>
      </c>
      <c r="R3" s="45" t="s">
        <v>41</v>
      </c>
      <c r="S3" s="138">
        <f>COUNTIFS('Raw Non-zero DMR Data'!$A:$A, A3, 'Raw Non-zero DMR Data'!$C:$C, U3, 'Raw Non-zero DMR Data'!$V:$V, V3)</f>
        <v>6</v>
      </c>
      <c r="T3" s="34">
        <f>SUMIFS('Raw Non-zero DMR Data'!$X:$X, 'Raw Non-zero DMR Data'!$A:$A, A3, 'Raw Non-zero DMR Data'!$C:$C, U3, 'Raw Non-zero DMR Data'!V:V, V3)</f>
        <v>0.198918877125</v>
      </c>
      <c r="U3" s="34" t="s">
        <v>735</v>
      </c>
      <c r="V3" s="34" t="s">
        <v>738</v>
      </c>
      <c r="W3" s="139">
        <v>150100150604</v>
      </c>
      <c r="X3" s="140" t="s">
        <v>739</v>
      </c>
    </row>
    <row r="4" spans="1:24" x14ac:dyDescent="0.35">
      <c r="A4" s="34">
        <v>2020</v>
      </c>
      <c r="B4" s="34" t="s">
        <v>336</v>
      </c>
      <c r="C4" s="34" t="s">
        <v>735</v>
      </c>
      <c r="D4" s="34" t="s">
        <v>337</v>
      </c>
      <c r="E4" s="34" t="s">
        <v>736</v>
      </c>
      <c r="F4" s="34" t="s">
        <v>221</v>
      </c>
      <c r="G4" s="34"/>
      <c r="H4" s="34">
        <v>36.122100000000003</v>
      </c>
      <c r="I4" s="34">
        <v>-115.17139</v>
      </c>
      <c r="J4" s="34"/>
      <c r="K4" s="105">
        <v>110004306938</v>
      </c>
      <c r="L4" s="34">
        <v>7011</v>
      </c>
      <c r="M4" s="48" t="str">
        <f>VLOOKUP(L4, '2017 SIC to NAICS'!A:D, 2)</f>
        <v>Hotels and Motels</v>
      </c>
      <c r="N4" s="34">
        <f>VLOOKUP(L4,'2017 SIC to NAICS'!A:D,3)</f>
        <v>721199</v>
      </c>
      <c r="O4" s="34" t="str">
        <f>VLOOKUP(L4,'2017 SIC to NAICS'!A:D,4)</f>
        <v>All Other Traveler Accommodation</v>
      </c>
      <c r="P4" s="36" t="s">
        <v>737</v>
      </c>
      <c r="Q4" s="137" t="s">
        <v>737</v>
      </c>
      <c r="R4" s="45" t="s">
        <v>41</v>
      </c>
      <c r="S4" s="138">
        <f>COUNTIFS('Raw Non-zero DMR Data'!$A:$A, A4, 'Raw Non-zero DMR Data'!$C:$C, U4, 'Raw Non-zero DMR Data'!$V:$V, V4)</f>
        <v>6</v>
      </c>
      <c r="T4" s="34">
        <f>SUMIFS('Raw Non-zero DMR Data'!$X:$X, 'Raw Non-zero DMR Data'!$A:$A, A4, 'Raw Non-zero DMR Data'!$C:$C, U4, 'Raw Non-zero DMR Data'!V:V, V4)</f>
        <v>6.3978422750000014E-2</v>
      </c>
      <c r="U4" s="34" t="s">
        <v>735</v>
      </c>
      <c r="V4" s="34" t="s">
        <v>738</v>
      </c>
      <c r="W4" s="139">
        <v>150100150604</v>
      </c>
      <c r="X4" s="140" t="s">
        <v>739</v>
      </c>
    </row>
    <row r="5" spans="1:24" x14ac:dyDescent="0.35">
      <c r="A5" s="34">
        <v>2021</v>
      </c>
      <c r="B5" s="34" t="s">
        <v>336</v>
      </c>
      <c r="C5" s="34" t="s">
        <v>735</v>
      </c>
      <c r="D5" s="34" t="s">
        <v>337</v>
      </c>
      <c r="E5" s="34" t="s">
        <v>736</v>
      </c>
      <c r="F5" s="34" t="s">
        <v>221</v>
      </c>
      <c r="G5" s="34"/>
      <c r="H5" s="34">
        <v>36.122100000000003</v>
      </c>
      <c r="I5" s="34">
        <v>-115.17139</v>
      </c>
      <c r="J5" s="34"/>
      <c r="K5" s="105">
        <v>110004306938</v>
      </c>
      <c r="L5" s="34">
        <v>7011</v>
      </c>
      <c r="M5" s="48" t="str">
        <f>VLOOKUP(L5, '2017 SIC to NAICS'!A:D, 2)</f>
        <v>Hotels and Motels</v>
      </c>
      <c r="N5" s="34">
        <f>VLOOKUP(L5,'2017 SIC to NAICS'!A:D,3)</f>
        <v>721199</v>
      </c>
      <c r="O5" s="34" t="str">
        <f>VLOOKUP(L5,'2017 SIC to NAICS'!A:D,4)</f>
        <v>All Other Traveler Accommodation</v>
      </c>
      <c r="P5" s="36" t="s">
        <v>737</v>
      </c>
      <c r="Q5" s="137" t="s">
        <v>737</v>
      </c>
      <c r="R5" s="45" t="s">
        <v>41</v>
      </c>
      <c r="S5" s="138">
        <f>COUNTIFS('Raw Non-zero DMR Data'!$A:$A, A5, 'Raw Non-zero DMR Data'!$C:$C, U5, 'Raw Non-zero DMR Data'!$V:$V, V5)</f>
        <v>6</v>
      </c>
      <c r="T5" s="34">
        <f>SUMIFS('Raw Non-zero DMR Data'!$X:$X, 'Raw Non-zero DMR Data'!$A:$A, A5, 'Raw Non-zero DMR Data'!$C:$C, U5, 'Raw Non-zero DMR Data'!V:V, V5)</f>
        <v>0.26435826256250006</v>
      </c>
      <c r="U5" s="34" t="s">
        <v>735</v>
      </c>
      <c r="V5" s="34" t="s">
        <v>738</v>
      </c>
      <c r="W5" s="139">
        <v>150100150604</v>
      </c>
      <c r="X5" s="140" t="s">
        <v>739</v>
      </c>
    </row>
    <row r="6" spans="1:24" x14ac:dyDescent="0.35">
      <c r="A6" s="34">
        <v>2022</v>
      </c>
      <c r="B6" s="34" t="s">
        <v>336</v>
      </c>
      <c r="C6" s="34" t="s">
        <v>735</v>
      </c>
      <c r="D6" s="34" t="s">
        <v>337</v>
      </c>
      <c r="E6" s="34" t="s">
        <v>736</v>
      </c>
      <c r="F6" s="34" t="s">
        <v>221</v>
      </c>
      <c r="G6" s="34"/>
      <c r="H6" s="34">
        <v>36.122100000000003</v>
      </c>
      <c r="I6" s="34">
        <v>-115.17139</v>
      </c>
      <c r="J6" s="34"/>
      <c r="K6" s="105">
        <v>110004306938</v>
      </c>
      <c r="L6" s="34">
        <v>7011</v>
      </c>
      <c r="M6" s="48" t="str">
        <f>VLOOKUP(L6, '2017 SIC to NAICS'!A:D, 2)</f>
        <v>Hotels and Motels</v>
      </c>
      <c r="N6" s="34">
        <f>VLOOKUP(L6,'2017 SIC to NAICS'!A:D,3)</f>
        <v>721199</v>
      </c>
      <c r="O6" s="34" t="str">
        <f>VLOOKUP(L6,'2017 SIC to NAICS'!A:D,4)</f>
        <v>All Other Traveler Accommodation</v>
      </c>
      <c r="P6" s="36" t="s">
        <v>737</v>
      </c>
      <c r="Q6" s="137" t="s">
        <v>737</v>
      </c>
      <c r="R6" s="45" t="s">
        <v>41</v>
      </c>
      <c r="S6" s="138">
        <f>COUNTIFS('Raw Non-zero DMR Data'!$A:$A, A6, 'Raw Non-zero DMR Data'!$C:$C, U6, 'Raw Non-zero DMR Data'!$V:$V, V6)</f>
        <v>5</v>
      </c>
      <c r="T6" s="34">
        <f>SUMIFS('Raw Non-zero DMR Data'!$X:$X, 'Raw Non-zero DMR Data'!$A:$A, A6, 'Raw Non-zero DMR Data'!$C:$C, U6, 'Raw Non-zero DMR Data'!V:V, V6)</f>
        <v>0.6335500959375</v>
      </c>
      <c r="U6" s="34" t="s">
        <v>735</v>
      </c>
      <c r="V6" s="34" t="s">
        <v>738</v>
      </c>
      <c r="W6" s="139">
        <v>150100150604</v>
      </c>
      <c r="X6" s="140" t="s">
        <v>739</v>
      </c>
    </row>
    <row r="7" spans="1:24" x14ac:dyDescent="0.35">
      <c r="A7" s="34">
        <v>2019</v>
      </c>
      <c r="B7" s="34" t="s">
        <v>212</v>
      </c>
      <c r="C7" s="34" t="s">
        <v>740</v>
      </c>
      <c r="D7" s="34" t="s">
        <v>213</v>
      </c>
      <c r="E7" s="34" t="s">
        <v>741</v>
      </c>
      <c r="F7" s="34" t="s">
        <v>102</v>
      </c>
      <c r="G7" s="34"/>
      <c r="H7" s="34">
        <v>38.368760000000002</v>
      </c>
      <c r="I7" s="34">
        <v>-122.76860000000001</v>
      </c>
      <c r="J7" s="34"/>
      <c r="K7" s="105">
        <v>110000730460</v>
      </c>
      <c r="L7" s="34">
        <v>4952</v>
      </c>
      <c r="M7" s="48" t="str">
        <f>VLOOKUP(L7, '2017 SIC to NAICS'!A:D, 2)</f>
        <v>Sewerage Systems</v>
      </c>
      <c r="N7" s="34">
        <f>VLOOKUP(L7,'2017 SIC to NAICS'!A:D,3)</f>
        <v>221320</v>
      </c>
      <c r="O7" s="34" t="str">
        <f>VLOOKUP(L7,'2017 SIC to NAICS'!A:D,4)</f>
        <v>Sewage Treatment Facilities</v>
      </c>
      <c r="P7" s="36" t="s">
        <v>742</v>
      </c>
      <c r="Q7" s="137" t="s">
        <v>743</v>
      </c>
      <c r="R7" s="45" t="s">
        <v>38</v>
      </c>
      <c r="S7" s="138">
        <f>COUNTIFS('Raw Non-zero DMR Data'!$A:$A, A7, 'Raw Non-zero DMR Data'!$C:$C, U7, 'Raw Non-zero DMR Data'!$V:$V, V7)</f>
        <v>4</v>
      </c>
      <c r="T7" s="34">
        <f>SUMIFS('Raw Non-zero DMR Data'!$X:$X, 'Raw Non-zero DMR Data'!$A:$A, A7, 'Raw Non-zero DMR Data'!$C:$C, U7, 'Raw Non-zero DMR Data'!V:V, V7)</f>
        <v>11.207385</v>
      </c>
      <c r="U7" s="34" t="s">
        <v>740</v>
      </c>
      <c r="V7" s="34" t="s">
        <v>744</v>
      </c>
      <c r="W7" s="139">
        <v>180101100701</v>
      </c>
      <c r="X7" s="140" t="s">
        <v>745</v>
      </c>
    </row>
    <row r="8" spans="1:24" x14ac:dyDescent="0.35">
      <c r="A8" s="34">
        <v>2019</v>
      </c>
      <c r="B8" s="34" t="s">
        <v>309</v>
      </c>
      <c r="C8" s="34" t="s">
        <v>730</v>
      </c>
      <c r="D8" s="34" t="s">
        <v>158</v>
      </c>
      <c r="E8" s="34" t="s">
        <v>434</v>
      </c>
      <c r="F8" s="34" t="s">
        <v>129</v>
      </c>
      <c r="G8" s="34"/>
      <c r="H8" s="34">
        <v>38.959018999999998</v>
      </c>
      <c r="I8" s="34">
        <v>-94.576569000000006</v>
      </c>
      <c r="J8" s="34"/>
      <c r="K8" s="105">
        <v>110017979810</v>
      </c>
      <c r="L8" s="34">
        <v>6552</v>
      </c>
      <c r="M8" s="48" t="str">
        <f>VLOOKUP(L8, '2017 SIC to NAICS'!A:D, 2)</f>
        <v>Subdividers and Developers, Nec</v>
      </c>
      <c r="N8" s="34">
        <f>VLOOKUP(L8,'2017 SIC to NAICS'!A:D,3)</f>
        <v>237210</v>
      </c>
      <c r="O8" s="34" t="str">
        <f>VLOOKUP(L8,'2017 SIC to NAICS'!A:D,4)</f>
        <v>Land Subdivision</v>
      </c>
      <c r="P8" s="36" t="s">
        <v>731</v>
      </c>
      <c r="Q8" s="137" t="s">
        <v>732</v>
      </c>
      <c r="R8" s="45" t="s">
        <v>41</v>
      </c>
      <c r="S8" s="138">
        <f>COUNTIFS('Raw Non-zero DMR Data'!$A:$A, A8, 'Raw Non-zero DMR Data'!$C:$C, U8, 'Raw Non-zero DMR Data'!$V:$V, V8)</f>
        <v>4</v>
      </c>
      <c r="T8" s="34">
        <f>SUMIFS('Raw Non-zero DMR Data'!$X:$X, 'Raw Non-zero DMR Data'!$A:$A, A8, 'Raw Non-zero DMR Data'!$C:$C, U8, 'Raw Non-zero DMR Data'!V:V, V8)</f>
        <v>1.2851766894999999</v>
      </c>
      <c r="U8" s="34" t="s">
        <v>730</v>
      </c>
      <c r="V8" s="34" t="s">
        <v>733</v>
      </c>
      <c r="W8" s="139">
        <v>103001010105</v>
      </c>
      <c r="X8" s="140" t="s">
        <v>734</v>
      </c>
    </row>
    <row r="9" spans="1:24" x14ac:dyDescent="0.35">
      <c r="A9" s="34">
        <v>2023</v>
      </c>
      <c r="B9" s="34" t="s">
        <v>336</v>
      </c>
      <c r="C9" s="34" t="s">
        <v>735</v>
      </c>
      <c r="D9" s="34" t="s">
        <v>337</v>
      </c>
      <c r="E9" s="34" t="s">
        <v>736</v>
      </c>
      <c r="F9" s="34" t="s">
        <v>221</v>
      </c>
      <c r="G9" s="34"/>
      <c r="H9" s="34">
        <v>36.122100000000003</v>
      </c>
      <c r="I9" s="34">
        <v>-115.17139</v>
      </c>
      <c r="J9" s="34"/>
      <c r="K9" s="105">
        <v>110004306938</v>
      </c>
      <c r="L9" s="34">
        <v>7011</v>
      </c>
      <c r="M9" s="48" t="str">
        <f>VLOOKUP(L9, '2017 SIC to NAICS'!A:D, 2)</f>
        <v>Hotels and Motels</v>
      </c>
      <c r="N9" s="34">
        <f>VLOOKUP(L9,'2017 SIC to NAICS'!A:D,3)</f>
        <v>721199</v>
      </c>
      <c r="O9" s="34" t="str">
        <f>VLOOKUP(L9,'2017 SIC to NAICS'!A:D,4)</f>
        <v>All Other Traveler Accommodation</v>
      </c>
      <c r="P9" s="36" t="s">
        <v>737</v>
      </c>
      <c r="Q9" s="137" t="s">
        <v>737</v>
      </c>
      <c r="R9" s="45" t="s">
        <v>41</v>
      </c>
      <c r="S9" s="138">
        <f>COUNTIFS('Raw Non-zero DMR Data'!$A:$A, A9, 'Raw Non-zero DMR Data'!$C:$C, U9, 'Raw Non-zero DMR Data'!$V:$V, V9)</f>
        <v>4</v>
      </c>
      <c r="T9" s="34">
        <f>SUMIFS('Raw Non-zero DMR Data'!$X:$X, 'Raw Non-zero DMR Data'!$A:$A, A9, 'Raw Non-zero DMR Data'!$C:$C, U9, 'Raw Non-zero DMR Data'!V:V, V9)</f>
        <v>0.75567345212500003</v>
      </c>
      <c r="U9" s="34" t="s">
        <v>735</v>
      </c>
      <c r="V9" s="34" t="s">
        <v>738</v>
      </c>
      <c r="W9" s="139">
        <v>150100150604</v>
      </c>
      <c r="X9" s="140" t="s">
        <v>739</v>
      </c>
    </row>
    <row r="10" spans="1:24" x14ac:dyDescent="0.35">
      <c r="A10" s="34">
        <v>2019</v>
      </c>
      <c r="B10" s="34" t="s">
        <v>206</v>
      </c>
      <c r="C10" s="34" t="s">
        <v>746</v>
      </c>
      <c r="D10" s="34" t="s">
        <v>207</v>
      </c>
      <c r="E10" s="34" t="s">
        <v>747</v>
      </c>
      <c r="F10" s="34" t="s">
        <v>95</v>
      </c>
      <c r="G10" s="34"/>
      <c r="H10" s="34">
        <v>29.717471</v>
      </c>
      <c r="I10" s="34">
        <v>-95.068008000000006</v>
      </c>
      <c r="J10" s="34"/>
      <c r="K10" s="105">
        <v>110034641635</v>
      </c>
      <c r="L10" s="34">
        <v>2869</v>
      </c>
      <c r="M10" s="48" t="str">
        <f>VLOOKUP(L10, '2017 SIC to NAICS'!A:D, 2)</f>
        <v>Industrial Organic Chemicals, Nec</v>
      </c>
      <c r="N10" s="34">
        <f>VLOOKUP(L10,'2017 SIC to NAICS'!A:D,3)</f>
        <v>325998</v>
      </c>
      <c r="O10" s="34" t="str">
        <f>VLOOKUP(L10,'2017 SIC to NAICS'!A:D,4)</f>
        <v>All Other Miscellaneous Chemical Product and Preparation Manufacturing</v>
      </c>
      <c r="P10" s="36" t="s">
        <v>748</v>
      </c>
      <c r="Q10" s="137" t="s">
        <v>749</v>
      </c>
      <c r="R10" s="45" t="s">
        <v>41</v>
      </c>
      <c r="S10" s="138">
        <f>COUNTIFS('Raw Non-zero DMR Data'!$A:$A, A10, 'Raw Non-zero DMR Data'!$C:$C, U10, 'Raw Non-zero DMR Data'!$V:$V, V10)</f>
        <v>4</v>
      </c>
      <c r="T10" s="34">
        <f>SUMIFS('Raw Non-zero DMR Data'!$X:$X, 'Raw Non-zero DMR Data'!$A:$A, A10, 'Raw Non-zero DMR Data'!$C:$C, U10, 'Raw Non-zero DMR Data'!V:V, V10)</f>
        <v>8.8950500000000012</v>
      </c>
      <c r="U10" s="34" t="s">
        <v>746</v>
      </c>
      <c r="V10" s="34" t="s">
        <v>750</v>
      </c>
      <c r="W10" s="139">
        <v>120401040706</v>
      </c>
      <c r="X10" s="140" t="s">
        <v>751</v>
      </c>
    </row>
    <row r="11" spans="1:24" x14ac:dyDescent="0.35">
      <c r="A11" s="34">
        <v>2019</v>
      </c>
      <c r="B11" s="34" t="s">
        <v>530</v>
      </c>
      <c r="C11" s="34" t="s">
        <v>752</v>
      </c>
      <c r="D11" s="34" t="s">
        <v>531</v>
      </c>
      <c r="E11" s="34" t="s">
        <v>753</v>
      </c>
      <c r="F11" s="34" t="s">
        <v>276</v>
      </c>
      <c r="G11" s="34"/>
      <c r="H11" s="34">
        <v>38.748759999999997</v>
      </c>
      <c r="I11" s="34">
        <v>-77.511420000000001</v>
      </c>
      <c r="J11" s="34"/>
      <c r="K11" s="105">
        <v>110000749021</v>
      </c>
      <c r="L11" s="34">
        <v>4959</v>
      </c>
      <c r="M11" s="48" t="str">
        <f>VLOOKUP(L11, '2017 SIC to NAICS'!A:D, 2)</f>
        <v>Sanitary Services, Nec</v>
      </c>
      <c r="N11" s="34">
        <f>VLOOKUP(L11,'2017 SIC to NAICS'!A:D,3)</f>
        <v>562998</v>
      </c>
      <c r="O11" s="34" t="str">
        <f>VLOOKUP(L11,'2017 SIC to NAICS'!A:D,4)</f>
        <v>All Other Miscellaneous Waste
Management Services</v>
      </c>
      <c r="P11" s="36" t="s">
        <v>754</v>
      </c>
      <c r="Q11" s="137" t="s">
        <v>755</v>
      </c>
      <c r="R11" s="45" t="s">
        <v>41</v>
      </c>
      <c r="S11" s="138">
        <f>COUNTIFS('Raw Non-zero DMR Data'!$A:$A, A11, 'Raw Non-zero DMR Data'!$C:$C, U11, 'Raw Non-zero DMR Data'!$V:$V, V11)</f>
        <v>4</v>
      </c>
      <c r="T11" s="34">
        <f>SUMIFS('Raw Non-zero DMR Data'!$X:$X, 'Raw Non-zero DMR Data'!$A:$A, A11, 'Raw Non-zero DMR Data'!$C:$C, U11, 'Raw Non-zero DMR Data'!V:V, V11)</f>
        <v>5.940197925E-2</v>
      </c>
      <c r="U11" s="34" t="s">
        <v>752</v>
      </c>
      <c r="V11" s="34" t="s">
        <v>756</v>
      </c>
      <c r="W11" s="139">
        <v>20700100504</v>
      </c>
      <c r="X11" s="140" t="s">
        <v>757</v>
      </c>
    </row>
    <row r="12" spans="1:24" x14ac:dyDescent="0.35">
      <c r="A12" s="34">
        <v>2020</v>
      </c>
      <c r="B12" s="34" t="s">
        <v>530</v>
      </c>
      <c r="C12" s="34" t="s">
        <v>752</v>
      </c>
      <c r="D12" s="34" t="s">
        <v>531</v>
      </c>
      <c r="E12" s="34" t="s">
        <v>753</v>
      </c>
      <c r="F12" s="34" t="s">
        <v>276</v>
      </c>
      <c r="G12" s="34"/>
      <c r="H12" s="34">
        <v>38.748759999999997</v>
      </c>
      <c r="I12" s="34">
        <v>-77.511420000000001</v>
      </c>
      <c r="J12" s="34"/>
      <c r="K12" s="105">
        <v>110000749021</v>
      </c>
      <c r="L12" s="34">
        <v>4959</v>
      </c>
      <c r="M12" s="48" t="str">
        <f>VLOOKUP(L12, '2017 SIC to NAICS'!A:D, 2)</f>
        <v>Sanitary Services, Nec</v>
      </c>
      <c r="N12" s="34">
        <f>VLOOKUP(L12,'2017 SIC to NAICS'!A:D,3)</f>
        <v>562998</v>
      </c>
      <c r="O12" s="34" t="str">
        <f>VLOOKUP(L12,'2017 SIC to NAICS'!A:D,4)</f>
        <v>All Other Miscellaneous Waste
Management Services</v>
      </c>
      <c r="P12" s="36" t="s">
        <v>754</v>
      </c>
      <c r="Q12" s="137" t="s">
        <v>755</v>
      </c>
      <c r="R12" s="45" t="s">
        <v>41</v>
      </c>
      <c r="S12" s="138">
        <f>COUNTIFS('Raw Non-zero DMR Data'!$A:$A, A12, 'Raw Non-zero DMR Data'!$C:$C, U12, 'Raw Non-zero DMR Data'!$V:$V, V12)</f>
        <v>4</v>
      </c>
      <c r="T12" s="34">
        <f>SUMIFS('Raw Non-zero DMR Data'!$X:$X, 'Raw Non-zero DMR Data'!$A:$A, A12, 'Raw Non-zero DMR Data'!$C:$C, U12, 'Raw Non-zero DMR Data'!V:V, V12)</f>
        <v>2.0135064500000001E-2</v>
      </c>
      <c r="U12" s="34" t="s">
        <v>752</v>
      </c>
      <c r="V12" s="34" t="s">
        <v>756</v>
      </c>
      <c r="W12" s="139">
        <v>20700100504</v>
      </c>
      <c r="X12" s="140" t="s">
        <v>757</v>
      </c>
    </row>
    <row r="13" spans="1:24" x14ac:dyDescent="0.35">
      <c r="A13" s="34">
        <v>2021</v>
      </c>
      <c r="B13" s="34" t="s">
        <v>530</v>
      </c>
      <c r="C13" s="34" t="s">
        <v>752</v>
      </c>
      <c r="D13" s="34" t="s">
        <v>531</v>
      </c>
      <c r="E13" s="34" t="s">
        <v>753</v>
      </c>
      <c r="F13" s="34" t="s">
        <v>276</v>
      </c>
      <c r="G13" s="34"/>
      <c r="H13" s="34">
        <v>38.748759999999997</v>
      </c>
      <c r="I13" s="34">
        <v>-77.511420000000001</v>
      </c>
      <c r="J13" s="34"/>
      <c r="K13" s="105">
        <v>110000749021</v>
      </c>
      <c r="L13" s="34">
        <v>4959</v>
      </c>
      <c r="M13" s="48" t="str">
        <f>VLOOKUP(L13, '2017 SIC to NAICS'!A:D, 2)</f>
        <v>Sanitary Services, Nec</v>
      </c>
      <c r="N13" s="34">
        <f>VLOOKUP(L13,'2017 SIC to NAICS'!A:D,3)</f>
        <v>562998</v>
      </c>
      <c r="O13" s="34" t="str">
        <f>VLOOKUP(L13,'2017 SIC to NAICS'!A:D,4)</f>
        <v>All Other Miscellaneous Waste
Management Services</v>
      </c>
      <c r="P13" s="36" t="s">
        <v>754</v>
      </c>
      <c r="Q13" s="137" t="s">
        <v>755</v>
      </c>
      <c r="R13" s="45" t="s">
        <v>41</v>
      </c>
      <c r="S13" s="138">
        <f>COUNTIFS('Raw Non-zero DMR Data'!$A:$A, A13, 'Raw Non-zero DMR Data'!$C:$C, U13, 'Raw Non-zero DMR Data'!$V:$V, V13)</f>
        <v>4</v>
      </c>
      <c r="T13" s="34">
        <f>SUMIFS('Raw Non-zero DMR Data'!$X:$X, 'Raw Non-zero DMR Data'!$A:$A, A13, 'Raw Non-zero DMR Data'!$C:$C, U13, 'Raw Non-zero DMR Data'!V:V, V13)</f>
        <v>2.976353675E-2</v>
      </c>
      <c r="U13" s="34" t="s">
        <v>752</v>
      </c>
      <c r="V13" s="34" t="s">
        <v>756</v>
      </c>
      <c r="W13" s="139">
        <v>20700100504</v>
      </c>
      <c r="X13" s="140" t="s">
        <v>757</v>
      </c>
    </row>
    <row r="14" spans="1:24" x14ac:dyDescent="0.35">
      <c r="A14" s="34">
        <v>2022</v>
      </c>
      <c r="B14" s="34" t="s">
        <v>530</v>
      </c>
      <c r="C14" s="34" t="s">
        <v>752</v>
      </c>
      <c r="D14" s="34" t="s">
        <v>531</v>
      </c>
      <c r="E14" s="34" t="s">
        <v>753</v>
      </c>
      <c r="F14" s="34" t="s">
        <v>276</v>
      </c>
      <c r="G14" s="34"/>
      <c r="H14" s="34">
        <v>38.748759999999997</v>
      </c>
      <c r="I14" s="34">
        <v>-77.511420000000001</v>
      </c>
      <c r="J14" s="34"/>
      <c r="K14" s="105">
        <v>110000749021</v>
      </c>
      <c r="L14" s="34">
        <v>4959</v>
      </c>
      <c r="M14" s="48" t="str">
        <f>VLOOKUP(L14, '2017 SIC to NAICS'!A:D, 2)</f>
        <v>Sanitary Services, Nec</v>
      </c>
      <c r="N14" s="34">
        <f>VLOOKUP(L14,'2017 SIC to NAICS'!A:D,3)</f>
        <v>562998</v>
      </c>
      <c r="O14" s="34" t="str">
        <f>VLOOKUP(L14,'2017 SIC to NAICS'!A:D,4)</f>
        <v>All Other Miscellaneous Waste
Management Services</v>
      </c>
      <c r="P14" s="36" t="s">
        <v>754</v>
      </c>
      <c r="Q14" s="137" t="s">
        <v>755</v>
      </c>
      <c r="R14" s="45" t="s">
        <v>41</v>
      </c>
      <c r="S14" s="138">
        <f>COUNTIFS('Raw Non-zero DMR Data'!$A:$A, A14, 'Raw Non-zero DMR Data'!$C:$C, U14, 'Raw Non-zero DMR Data'!$V:$V, V14)</f>
        <v>4</v>
      </c>
      <c r="T14" s="34">
        <f>SUMIFS('Raw Non-zero DMR Data'!$X:$X, 'Raw Non-zero DMR Data'!$A:$A, A14, 'Raw Non-zero DMR Data'!$C:$C, U14, 'Raw Non-zero DMR Data'!V:V, V14)</f>
        <v>4.2446504000000003E-2</v>
      </c>
      <c r="U14" s="34" t="s">
        <v>752</v>
      </c>
      <c r="V14" s="34" t="s">
        <v>756</v>
      </c>
      <c r="W14" s="141" t="s">
        <v>758</v>
      </c>
      <c r="X14" s="140" t="s">
        <v>757</v>
      </c>
    </row>
    <row r="15" spans="1:24" x14ac:dyDescent="0.35">
      <c r="A15" s="34">
        <v>2023</v>
      </c>
      <c r="B15" s="34" t="s">
        <v>530</v>
      </c>
      <c r="C15" s="34" t="s">
        <v>752</v>
      </c>
      <c r="D15" s="34" t="s">
        <v>531</v>
      </c>
      <c r="E15" s="34" t="s">
        <v>753</v>
      </c>
      <c r="F15" s="34" t="s">
        <v>276</v>
      </c>
      <c r="G15" s="34"/>
      <c r="H15" s="34">
        <v>38.748759999999997</v>
      </c>
      <c r="I15" s="34">
        <v>-77.511420000000001</v>
      </c>
      <c r="J15" s="34"/>
      <c r="K15" s="105">
        <v>110000749021</v>
      </c>
      <c r="L15" s="34">
        <v>4959</v>
      </c>
      <c r="M15" s="48" t="str">
        <f>VLOOKUP(L15, '2017 SIC to NAICS'!A:D, 2)</f>
        <v>Sanitary Services, Nec</v>
      </c>
      <c r="N15" s="34">
        <f>VLOOKUP(L15,'2017 SIC to NAICS'!A:D,3)</f>
        <v>562998</v>
      </c>
      <c r="O15" s="34" t="str">
        <f>VLOOKUP(L15,'2017 SIC to NAICS'!A:D,4)</f>
        <v>All Other Miscellaneous Waste
Management Services</v>
      </c>
      <c r="P15" s="36" t="s">
        <v>754</v>
      </c>
      <c r="Q15" s="137" t="s">
        <v>755</v>
      </c>
      <c r="R15" s="45" t="s">
        <v>41</v>
      </c>
      <c r="S15" s="138">
        <f>COUNTIFS('Raw Non-zero DMR Data'!$A:$A, A15, 'Raw Non-zero DMR Data'!$C:$C, U15, 'Raw Non-zero DMR Data'!$V:$V, V15)</f>
        <v>4</v>
      </c>
      <c r="T15" s="34">
        <f>SUMIFS('Raw Non-zero DMR Data'!$X:$X, 'Raw Non-zero DMR Data'!$A:$A, A15, 'Raw Non-zero DMR Data'!$C:$C, U15, 'Raw Non-zero DMR Data'!V:V, V15)</f>
        <v>5.0726948500000001E-2</v>
      </c>
      <c r="U15" s="34" t="s">
        <v>752</v>
      </c>
      <c r="V15" s="34" t="s">
        <v>756</v>
      </c>
      <c r="W15" s="141" t="s">
        <v>758</v>
      </c>
      <c r="X15" s="140" t="s">
        <v>757</v>
      </c>
    </row>
    <row r="16" spans="1:24" x14ac:dyDescent="0.35">
      <c r="A16" s="34">
        <v>2023</v>
      </c>
      <c r="B16" s="34" t="s">
        <v>334</v>
      </c>
      <c r="C16" s="34" t="s">
        <v>759</v>
      </c>
      <c r="D16" s="34" t="s">
        <v>335</v>
      </c>
      <c r="E16" s="34" t="s">
        <v>335</v>
      </c>
      <c r="F16" s="34" t="s">
        <v>102</v>
      </c>
      <c r="G16" s="34"/>
      <c r="H16" s="34">
        <v>33.990146000000003</v>
      </c>
      <c r="I16" s="34">
        <v>-118.36358</v>
      </c>
      <c r="J16" s="34"/>
      <c r="K16" s="105">
        <v>110064624018</v>
      </c>
      <c r="L16" s="34">
        <v>2911</v>
      </c>
      <c r="M16" s="48" t="str">
        <f>VLOOKUP(L16, '2017 SIC to NAICS'!A:D, 2)</f>
        <v>Petroleum Refining</v>
      </c>
      <c r="N16" s="34">
        <f>VLOOKUP(L16,'2017 SIC to NAICS'!A:D,3)</f>
        <v>324110</v>
      </c>
      <c r="O16" s="34" t="str">
        <f>VLOOKUP(L16,'2017 SIC to NAICS'!A:D,4)</f>
        <v>Petroleum Refineries</v>
      </c>
      <c r="P16" s="36" t="s">
        <v>760</v>
      </c>
      <c r="Q16" s="137" t="s">
        <v>761</v>
      </c>
      <c r="R16" s="45" t="s">
        <v>41</v>
      </c>
      <c r="S16" s="138">
        <f>COUNTIFS('Raw Non-zero DMR Data'!$A:$A, A16, 'Raw Non-zero DMR Data'!$C:$C, U16, 'Raw Non-zero DMR Data'!$V:$V, V16)</f>
        <v>3</v>
      </c>
      <c r="T16" s="34">
        <f>SUMIFS('Raw Non-zero DMR Data'!$X:$X, 'Raw Non-zero DMR Data'!$A:$A, A16, 'Raw Non-zero DMR Data'!$C:$C, U16, 'Raw Non-zero DMR Data'!V:V, V16)</f>
        <v>0.39062619375000002</v>
      </c>
      <c r="U16" s="34" t="s">
        <v>759</v>
      </c>
      <c r="V16" s="34" t="s">
        <v>762</v>
      </c>
      <c r="W16" s="139">
        <v>180701040300</v>
      </c>
      <c r="X16" s="140" t="s">
        <v>739</v>
      </c>
    </row>
    <row r="17" spans="1:24" x14ac:dyDescent="0.35">
      <c r="A17" s="34">
        <v>2020</v>
      </c>
      <c r="B17" s="34" t="s">
        <v>109</v>
      </c>
      <c r="C17" s="34" t="s">
        <v>763</v>
      </c>
      <c r="D17" s="34" t="s">
        <v>110</v>
      </c>
      <c r="E17" s="34" t="s">
        <v>764</v>
      </c>
      <c r="F17" s="34" t="s">
        <v>111</v>
      </c>
      <c r="G17" s="34"/>
      <c r="H17" s="34">
        <v>41.692782000000001</v>
      </c>
      <c r="I17" s="34">
        <v>-87.951100999999994</v>
      </c>
      <c r="J17" s="34"/>
      <c r="K17" s="105">
        <v>110018199377</v>
      </c>
      <c r="L17" s="34">
        <v>4226</v>
      </c>
      <c r="M17" s="48" t="str">
        <f>VLOOKUP(L17, '2017 SIC to NAICS'!A:D, 2)</f>
        <v>Special Warehousing and Storage, Nec</v>
      </c>
      <c r="N17" s="34">
        <f>VLOOKUP(L17,'2017 SIC to NAICS'!A:D,3)</f>
        <v>493190</v>
      </c>
      <c r="O17" s="34" t="str">
        <f>VLOOKUP(L17,'2017 SIC to NAICS'!A:D,4)</f>
        <v>Other Warehousing and Storage</v>
      </c>
      <c r="P17" s="36" t="s">
        <v>765</v>
      </c>
      <c r="Q17" s="137" t="s">
        <v>766</v>
      </c>
      <c r="R17" s="45" t="s">
        <v>41</v>
      </c>
      <c r="S17" s="138">
        <f>COUNTIFS('Raw Non-zero DMR Data'!$A:$A, A17, 'Raw Non-zero DMR Data'!$C:$C, U17, 'Raw Non-zero DMR Data'!$V:$V, V17)</f>
        <v>3</v>
      </c>
      <c r="T17" s="34">
        <f>SUMIFS('Raw Non-zero DMR Data'!$X:$X, 'Raw Non-zero DMR Data'!$A:$A, A17, 'Raw Non-zero DMR Data'!$C:$C, U17, 'Raw Non-zero DMR Data'!V:V, V17)</f>
        <v>0.43551724000000003</v>
      </c>
      <c r="U17" s="34" t="s">
        <v>763</v>
      </c>
      <c r="V17" s="34" t="s">
        <v>767</v>
      </c>
      <c r="W17" s="139">
        <v>71200040705</v>
      </c>
      <c r="X17" s="140" t="s">
        <v>768</v>
      </c>
    </row>
    <row r="18" spans="1:24" x14ac:dyDescent="0.35">
      <c r="A18" s="34">
        <v>2021</v>
      </c>
      <c r="B18" s="34" t="s">
        <v>109</v>
      </c>
      <c r="C18" s="34" t="s">
        <v>763</v>
      </c>
      <c r="D18" s="34" t="s">
        <v>110</v>
      </c>
      <c r="E18" s="34" t="s">
        <v>764</v>
      </c>
      <c r="F18" s="34" t="s">
        <v>111</v>
      </c>
      <c r="G18" s="34"/>
      <c r="H18" s="34">
        <v>41.692782000000001</v>
      </c>
      <c r="I18" s="34">
        <v>-87.951100999999994</v>
      </c>
      <c r="J18" s="34"/>
      <c r="K18" s="105">
        <v>110018199377</v>
      </c>
      <c r="L18" s="34">
        <v>4226</v>
      </c>
      <c r="M18" s="48" t="str">
        <f>VLOOKUP(L18, '2017 SIC to NAICS'!A:D, 2)</f>
        <v>Special Warehousing and Storage, Nec</v>
      </c>
      <c r="N18" s="34">
        <f>VLOOKUP(L18,'2017 SIC to NAICS'!A:D,3)</f>
        <v>493190</v>
      </c>
      <c r="O18" s="34" t="str">
        <f>VLOOKUP(L18,'2017 SIC to NAICS'!A:D,4)</f>
        <v>Other Warehousing and Storage</v>
      </c>
      <c r="P18" s="36" t="s">
        <v>765</v>
      </c>
      <c r="Q18" s="137" t="s">
        <v>766</v>
      </c>
      <c r="R18" s="45" t="s">
        <v>41</v>
      </c>
      <c r="S18" s="138">
        <f>COUNTIFS('Raw Non-zero DMR Data'!$A:$A, A18, 'Raw Non-zero DMR Data'!$C:$C, U18, 'Raw Non-zero DMR Data'!$V:$V, V18)</f>
        <v>3</v>
      </c>
      <c r="T18" s="34">
        <f>SUMIFS('Raw Non-zero DMR Data'!$X:$X, 'Raw Non-zero DMR Data'!$A:$A, A18, 'Raw Non-zero DMR Data'!$C:$C, U18, 'Raw Non-zero DMR Data'!V:V, V18)</f>
        <v>85.501478922499999</v>
      </c>
      <c r="U18" s="34" t="s">
        <v>763</v>
      </c>
      <c r="V18" s="34" t="s">
        <v>767</v>
      </c>
      <c r="W18" s="139">
        <v>71200040705</v>
      </c>
      <c r="X18" s="140" t="s">
        <v>768</v>
      </c>
    </row>
    <row r="19" spans="1:24" x14ac:dyDescent="0.35">
      <c r="A19" s="34">
        <v>2022</v>
      </c>
      <c r="B19" s="34" t="s">
        <v>109</v>
      </c>
      <c r="C19" s="34" t="s">
        <v>763</v>
      </c>
      <c r="D19" s="34" t="s">
        <v>110</v>
      </c>
      <c r="E19" s="34" t="s">
        <v>764</v>
      </c>
      <c r="F19" s="34" t="s">
        <v>111</v>
      </c>
      <c r="G19" s="34"/>
      <c r="H19" s="34">
        <v>41.692782000000001</v>
      </c>
      <c r="I19" s="34">
        <v>-87.951100999999994</v>
      </c>
      <c r="J19" s="34"/>
      <c r="K19" s="105">
        <v>110018199377</v>
      </c>
      <c r="L19" s="34">
        <v>4226</v>
      </c>
      <c r="M19" s="48" t="str">
        <f>VLOOKUP(L19, '2017 SIC to NAICS'!A:D, 2)</f>
        <v>Special Warehousing and Storage, Nec</v>
      </c>
      <c r="N19" s="34">
        <f>VLOOKUP(L19,'2017 SIC to NAICS'!A:D,3)</f>
        <v>493190</v>
      </c>
      <c r="O19" s="34" t="str">
        <f>VLOOKUP(L19,'2017 SIC to NAICS'!A:D,4)</f>
        <v>Other Warehousing and Storage</v>
      </c>
      <c r="P19" s="36" t="s">
        <v>765</v>
      </c>
      <c r="Q19" s="137" t="s">
        <v>766</v>
      </c>
      <c r="R19" s="45" t="s">
        <v>41</v>
      </c>
      <c r="S19" s="138">
        <f>COUNTIFS('Raw Non-zero DMR Data'!$A:$A, A19, 'Raw Non-zero DMR Data'!$C:$C, U19, 'Raw Non-zero DMR Data'!$V:$V, V19)</f>
        <v>3</v>
      </c>
      <c r="T19" s="34">
        <f>SUMIFS('Raw Non-zero DMR Data'!$X:$X, 'Raw Non-zero DMR Data'!$A:$A, A19, 'Raw Non-zero DMR Data'!$C:$C, U19, 'Raw Non-zero DMR Data'!V:V, V19)</f>
        <v>0.27851354749999996</v>
      </c>
      <c r="U19" s="34" t="s">
        <v>763</v>
      </c>
      <c r="V19" s="34" t="s">
        <v>767</v>
      </c>
      <c r="W19" s="141" t="s">
        <v>769</v>
      </c>
      <c r="X19" s="140" t="s">
        <v>768</v>
      </c>
    </row>
    <row r="20" spans="1:24" x14ac:dyDescent="0.35">
      <c r="A20" s="34">
        <v>2023</v>
      </c>
      <c r="B20" s="34" t="s">
        <v>109</v>
      </c>
      <c r="C20" s="34" t="s">
        <v>763</v>
      </c>
      <c r="D20" s="34" t="s">
        <v>110</v>
      </c>
      <c r="E20" s="34" t="s">
        <v>764</v>
      </c>
      <c r="F20" s="34" t="s">
        <v>111</v>
      </c>
      <c r="G20" s="34"/>
      <c r="H20" s="34">
        <v>41.692782000000001</v>
      </c>
      <c r="I20" s="34">
        <v>-87.951100999999994</v>
      </c>
      <c r="J20" s="34"/>
      <c r="K20" s="105">
        <v>110018199377</v>
      </c>
      <c r="L20" s="34">
        <v>4226</v>
      </c>
      <c r="M20" s="48" t="str">
        <f>VLOOKUP(L20, '2017 SIC to NAICS'!A:D, 2)</f>
        <v>Special Warehousing and Storage, Nec</v>
      </c>
      <c r="N20" s="34">
        <f>VLOOKUP(L20,'2017 SIC to NAICS'!A:D,3)</f>
        <v>493190</v>
      </c>
      <c r="O20" s="34" t="str">
        <f>VLOOKUP(L20,'2017 SIC to NAICS'!A:D,4)</f>
        <v>Other Warehousing and Storage</v>
      </c>
      <c r="P20" s="36" t="s">
        <v>765</v>
      </c>
      <c r="Q20" s="137" t="s">
        <v>766</v>
      </c>
      <c r="R20" s="45" t="s">
        <v>41</v>
      </c>
      <c r="S20" s="138">
        <f>COUNTIFS('Raw Non-zero DMR Data'!$A:$A, A20, 'Raw Non-zero DMR Data'!$C:$C, U20, 'Raw Non-zero DMR Data'!$V:$V, V20)</f>
        <v>3</v>
      </c>
      <c r="T20" s="34">
        <f>SUMIFS('Raw Non-zero DMR Data'!$X:$X, 'Raw Non-zero DMR Data'!$A:$A, A20, 'Raw Non-zero DMR Data'!$C:$C, U20, 'Raw Non-zero DMR Data'!V:V, V20)</f>
        <v>0.23110831499999998</v>
      </c>
      <c r="U20" s="34" t="s">
        <v>763</v>
      </c>
      <c r="V20" s="34" t="s">
        <v>767</v>
      </c>
      <c r="W20" s="141" t="s">
        <v>769</v>
      </c>
      <c r="X20" s="140" t="s">
        <v>768</v>
      </c>
    </row>
    <row r="21" spans="1:24" x14ac:dyDescent="0.35">
      <c r="A21" s="34">
        <v>2020</v>
      </c>
      <c r="B21" s="34" t="s">
        <v>355</v>
      </c>
      <c r="C21" s="34" t="s">
        <v>770</v>
      </c>
      <c r="D21" s="34" t="s">
        <v>90</v>
      </c>
      <c r="E21" s="34" t="s">
        <v>771</v>
      </c>
      <c r="F21" s="34" t="s">
        <v>91</v>
      </c>
      <c r="G21" s="34"/>
      <c r="H21" s="34">
        <v>30.321895000000001</v>
      </c>
      <c r="I21" s="34">
        <v>-93.300735000000003</v>
      </c>
      <c r="J21" s="34"/>
      <c r="K21" s="105">
        <v>110000613685</v>
      </c>
      <c r="L21" s="34">
        <v>4953</v>
      </c>
      <c r="M21" s="48" t="str">
        <f>VLOOKUP(L21, '2017 SIC to NAICS'!A:D, 2)</f>
        <v>Refuse Systems</v>
      </c>
      <c r="N21" s="34">
        <f>VLOOKUP(L21,'2017 SIC to NAICS'!A:D,3)</f>
        <v>562920</v>
      </c>
      <c r="O21" s="34" t="str">
        <f>VLOOKUP(L21,'2017 SIC to NAICS'!A:D,4)</f>
        <v>Materials Recovery Facilities</v>
      </c>
      <c r="P21" s="36" t="s">
        <v>754</v>
      </c>
      <c r="Q21" s="137" t="s">
        <v>755</v>
      </c>
      <c r="R21" s="45" t="s">
        <v>39</v>
      </c>
      <c r="S21" s="138">
        <f>COUNTIFS('Raw Non-zero DMR Data'!$A:$A, A21, 'Raw Non-zero DMR Data'!$C:$C, U21, 'Raw Non-zero DMR Data'!$V:$V, V21)</f>
        <v>3</v>
      </c>
      <c r="T21" s="34">
        <f>SUMIFS('Raw Non-zero DMR Data'!$X:$X, 'Raw Non-zero DMR Data'!$A:$A, A21, 'Raw Non-zero DMR Data'!$C:$C, U21, 'Raw Non-zero DMR Data'!V:V, V21)</f>
        <v>1.0430513749999999</v>
      </c>
      <c r="U21" s="34" t="s">
        <v>770</v>
      </c>
      <c r="V21" s="34" t="s">
        <v>772</v>
      </c>
      <c r="W21" s="139">
        <v>80802050501</v>
      </c>
      <c r="X21" s="140" t="s">
        <v>745</v>
      </c>
    </row>
    <row r="22" spans="1:24" x14ac:dyDescent="0.35">
      <c r="A22" s="34">
        <v>2021</v>
      </c>
      <c r="B22" s="34" t="s">
        <v>355</v>
      </c>
      <c r="C22" s="34" t="s">
        <v>770</v>
      </c>
      <c r="D22" s="34" t="s">
        <v>90</v>
      </c>
      <c r="E22" s="34" t="s">
        <v>771</v>
      </c>
      <c r="F22" s="34" t="s">
        <v>91</v>
      </c>
      <c r="G22" s="34"/>
      <c r="H22" s="34">
        <v>30.321895000000001</v>
      </c>
      <c r="I22" s="34">
        <v>-93.300735000000003</v>
      </c>
      <c r="J22" s="34"/>
      <c r="K22" s="105">
        <v>110000613685</v>
      </c>
      <c r="L22" s="34">
        <v>4953</v>
      </c>
      <c r="M22" s="48" t="str">
        <f>VLOOKUP(L22, '2017 SIC to NAICS'!A:D, 2)</f>
        <v>Refuse Systems</v>
      </c>
      <c r="N22" s="34">
        <f>VLOOKUP(L22,'2017 SIC to NAICS'!A:D,3)</f>
        <v>562920</v>
      </c>
      <c r="O22" s="34" t="str">
        <f>VLOOKUP(L22,'2017 SIC to NAICS'!A:D,4)</f>
        <v>Materials Recovery Facilities</v>
      </c>
      <c r="P22" s="36" t="s">
        <v>754</v>
      </c>
      <c r="Q22" s="137" t="s">
        <v>755</v>
      </c>
      <c r="R22" s="45" t="s">
        <v>39</v>
      </c>
      <c r="S22" s="138">
        <f>COUNTIFS('Raw Non-zero DMR Data'!$A:$A, A22, 'Raw Non-zero DMR Data'!$C:$C, U22, 'Raw Non-zero DMR Data'!$V:$V, V22)</f>
        <v>3</v>
      </c>
      <c r="T22" s="34">
        <f>SUMIFS('Raw Non-zero DMR Data'!$X:$X, 'Raw Non-zero DMR Data'!$A:$A, A22, 'Raw Non-zero DMR Data'!$C:$C, U22, 'Raw Non-zero DMR Data'!V:V, V22)</f>
        <v>0.60787100000000005</v>
      </c>
      <c r="U22" s="34" t="s">
        <v>770</v>
      </c>
      <c r="V22" s="34" t="s">
        <v>772</v>
      </c>
      <c r="W22" s="139">
        <v>80802050501</v>
      </c>
      <c r="X22" s="140" t="s">
        <v>745</v>
      </c>
    </row>
    <row r="23" spans="1:24" x14ac:dyDescent="0.35">
      <c r="A23" s="34">
        <v>2022</v>
      </c>
      <c r="B23" s="34" t="s">
        <v>355</v>
      </c>
      <c r="C23" s="34" t="s">
        <v>770</v>
      </c>
      <c r="D23" s="34" t="s">
        <v>90</v>
      </c>
      <c r="E23" s="34" t="s">
        <v>771</v>
      </c>
      <c r="F23" s="34" t="s">
        <v>91</v>
      </c>
      <c r="G23" s="34"/>
      <c r="H23" s="34">
        <v>30.321895000000001</v>
      </c>
      <c r="I23" s="34">
        <v>-93.300735000000003</v>
      </c>
      <c r="J23" s="34"/>
      <c r="K23" s="105">
        <v>110000613685</v>
      </c>
      <c r="L23" s="34">
        <v>4953</v>
      </c>
      <c r="M23" s="48" t="str">
        <f>VLOOKUP(L23, '2017 SIC to NAICS'!A:D, 2)</f>
        <v>Refuse Systems</v>
      </c>
      <c r="N23" s="34">
        <f>VLOOKUP(L23,'2017 SIC to NAICS'!A:D,3)</f>
        <v>562920</v>
      </c>
      <c r="O23" s="34" t="str">
        <f>VLOOKUP(L23,'2017 SIC to NAICS'!A:D,4)</f>
        <v>Materials Recovery Facilities</v>
      </c>
      <c r="P23" s="36" t="s">
        <v>754</v>
      </c>
      <c r="Q23" s="137" t="s">
        <v>755</v>
      </c>
      <c r="R23" s="45" t="s">
        <v>39</v>
      </c>
      <c r="S23" s="138">
        <f>COUNTIFS('Raw Non-zero DMR Data'!$A:$A, A23, 'Raw Non-zero DMR Data'!$C:$C, U23, 'Raw Non-zero DMR Data'!$V:$V, V23)</f>
        <v>3</v>
      </c>
      <c r="T23" s="34">
        <f>SUMIFS('Raw Non-zero DMR Data'!$X:$X, 'Raw Non-zero DMR Data'!$A:$A, A23, 'Raw Non-zero DMR Data'!$C:$C, U23, 'Raw Non-zero DMR Data'!V:V, V23)</f>
        <v>0.94289081250000006</v>
      </c>
      <c r="U23" s="34" t="s">
        <v>770</v>
      </c>
      <c r="V23" s="34" t="s">
        <v>772</v>
      </c>
      <c r="W23" s="141" t="s">
        <v>773</v>
      </c>
      <c r="X23" s="140" t="s">
        <v>745</v>
      </c>
    </row>
    <row r="24" spans="1:24" x14ac:dyDescent="0.35">
      <c r="A24" s="34">
        <v>2023</v>
      </c>
      <c r="B24" s="34" t="s">
        <v>692</v>
      </c>
      <c r="C24" s="34" t="s">
        <v>774</v>
      </c>
      <c r="D24" s="34" t="s">
        <v>693</v>
      </c>
      <c r="E24" s="34" t="s">
        <v>775</v>
      </c>
      <c r="F24" s="34" t="s">
        <v>91</v>
      </c>
      <c r="G24" s="34"/>
      <c r="H24" s="34">
        <v>30.230833000000001</v>
      </c>
      <c r="I24" s="34">
        <v>-92.306667000000004</v>
      </c>
      <c r="J24" s="34"/>
      <c r="K24" s="105">
        <v>110000449435</v>
      </c>
      <c r="L24" s="34">
        <v>5169</v>
      </c>
      <c r="M24" s="48" t="str">
        <f>VLOOKUP(L24, '2017 SIC to NAICS'!A:D, 2)</f>
        <v>Chemicals and Allied Products, Nec</v>
      </c>
      <c r="N24" s="34">
        <f>VLOOKUP(L24,'2017 SIC to NAICS'!A:D,3)</f>
        <v>425120</v>
      </c>
      <c r="O24" s="34" t="str">
        <f>VLOOKUP(L24,'2017 SIC to NAICS'!A:D,4)</f>
        <v>Wholesale Trade Agents and Brokers</v>
      </c>
      <c r="P24" s="36" t="s">
        <v>765</v>
      </c>
      <c r="Q24" s="137" t="s">
        <v>766</v>
      </c>
      <c r="R24" s="45" t="s">
        <v>41</v>
      </c>
      <c r="S24" s="138">
        <f>COUNTIFS('Raw Non-zero DMR Data'!$A:$A, A24, 'Raw Non-zero DMR Data'!$C:$C, U24, 'Raw Non-zero DMR Data'!$V:$V, V24)</f>
        <v>3</v>
      </c>
      <c r="T24" s="34">
        <f>SUMIFS('Raw Non-zero DMR Data'!$X:$X, 'Raw Non-zero DMR Data'!$A:$A, A24, 'Raw Non-zero DMR Data'!$C:$C, U24, 'Raw Non-zero DMR Data'!V:V, V24)</f>
        <v>3.454191E-4</v>
      </c>
      <c r="U24" s="34" t="s">
        <v>774</v>
      </c>
      <c r="V24" s="34" t="s">
        <v>776</v>
      </c>
      <c r="W24" s="141" t="s">
        <v>777</v>
      </c>
      <c r="X24" s="140" t="s">
        <v>751</v>
      </c>
    </row>
    <row r="25" spans="1:24" x14ac:dyDescent="0.35">
      <c r="A25" s="34">
        <v>2021</v>
      </c>
      <c r="B25" s="34" t="s">
        <v>303</v>
      </c>
      <c r="C25" s="34" t="s">
        <v>778</v>
      </c>
      <c r="D25" s="34" t="s">
        <v>304</v>
      </c>
      <c r="E25" s="34" t="s">
        <v>779</v>
      </c>
      <c r="F25" s="34" t="s">
        <v>91</v>
      </c>
      <c r="G25" s="34"/>
      <c r="H25" s="34">
        <v>30.584540000000001</v>
      </c>
      <c r="I25" s="34">
        <v>-91.247479999999996</v>
      </c>
      <c r="J25" s="34"/>
      <c r="K25" s="105">
        <v>110064644782</v>
      </c>
      <c r="L25" s="34">
        <v>4953</v>
      </c>
      <c r="M25" s="48" t="str">
        <f>VLOOKUP(L25, '2017 SIC to NAICS'!A:D, 2)</f>
        <v>Refuse Systems</v>
      </c>
      <c r="N25" s="34">
        <f>VLOOKUP(L25,'2017 SIC to NAICS'!A:D,3)</f>
        <v>562920</v>
      </c>
      <c r="O25" s="34" t="str">
        <f>VLOOKUP(L25,'2017 SIC to NAICS'!A:D,4)</f>
        <v>Materials Recovery Facilities</v>
      </c>
      <c r="P25" s="36" t="s">
        <v>754</v>
      </c>
      <c r="Q25" s="137" t="s">
        <v>755</v>
      </c>
      <c r="R25" s="45" t="s">
        <v>39</v>
      </c>
      <c r="S25" s="138">
        <f>COUNTIFS('Raw Non-zero DMR Data'!$A:$A, A25, 'Raw Non-zero DMR Data'!$C:$C, U25, 'Raw Non-zero DMR Data'!$V:$V, V25)</f>
        <v>3</v>
      </c>
      <c r="T25" s="34">
        <f>SUMIFS('Raw Non-zero DMR Data'!$X:$X, 'Raw Non-zero DMR Data'!$A:$A, A25, 'Raw Non-zero DMR Data'!$C:$C, U25, 'Raw Non-zero DMR Data'!V:V, V25)</f>
        <v>2.4583804800000001E-2</v>
      </c>
      <c r="U25" s="34" t="s">
        <v>778</v>
      </c>
      <c r="V25" s="34" t="s">
        <v>780</v>
      </c>
      <c r="W25" s="139">
        <v>80702010401</v>
      </c>
      <c r="X25" s="140" t="s">
        <v>745</v>
      </c>
    </row>
    <row r="26" spans="1:24" x14ac:dyDescent="0.35">
      <c r="A26" s="34">
        <v>2019</v>
      </c>
      <c r="B26" s="34" t="s">
        <v>198</v>
      </c>
      <c r="C26" s="34" t="s">
        <v>781</v>
      </c>
      <c r="D26" s="34" t="s">
        <v>199</v>
      </c>
      <c r="E26" s="34" t="s">
        <v>782</v>
      </c>
      <c r="F26" s="34" t="s">
        <v>129</v>
      </c>
      <c r="G26" s="34"/>
      <c r="H26" s="34">
        <v>38.209220000000002</v>
      </c>
      <c r="I26" s="34">
        <v>-90.476910000000004</v>
      </c>
      <c r="J26" s="34"/>
      <c r="K26" s="105">
        <v>110000440416</v>
      </c>
      <c r="L26" s="34">
        <v>1795</v>
      </c>
      <c r="M26" s="48" t="str">
        <f>VLOOKUP(L26, '2017 SIC to NAICS'!A:D, 2)</f>
        <v>Wrecking and Demolition Work</v>
      </c>
      <c r="N26" s="34">
        <f>VLOOKUP(L26,'2017 SIC to NAICS'!A:D,3)</f>
        <v>238910</v>
      </c>
      <c r="O26" s="34" t="str">
        <f>VLOOKUP(L26,'2017 SIC to NAICS'!A:D,4)</f>
        <v>Site Preparation Contractors</v>
      </c>
      <c r="P26" s="36" t="s">
        <v>731</v>
      </c>
      <c r="Q26" s="137" t="s">
        <v>732</v>
      </c>
      <c r="R26" s="45" t="s">
        <v>41</v>
      </c>
      <c r="S26" s="138">
        <f>COUNTIFS('Raw Non-zero DMR Data'!$A:$A, A26, 'Raw Non-zero DMR Data'!$C:$C, U26, 'Raw Non-zero DMR Data'!$V:$V, V26)</f>
        <v>3</v>
      </c>
      <c r="T26" s="34">
        <f>SUMIFS('Raw Non-zero DMR Data'!$X:$X, 'Raw Non-zero DMR Data'!$A:$A, A26, 'Raw Non-zero DMR Data'!$C:$C, U26, 'Raw Non-zero DMR Data'!V:V, V26)</f>
        <v>6.4206455336149997</v>
      </c>
      <c r="U26" s="34" t="s">
        <v>781</v>
      </c>
      <c r="V26" s="34" t="s">
        <v>783</v>
      </c>
      <c r="W26" s="139">
        <v>71401010802</v>
      </c>
      <c r="X26" s="140" t="s">
        <v>734</v>
      </c>
    </row>
    <row r="27" spans="1:24" x14ac:dyDescent="0.35">
      <c r="A27" s="34">
        <v>2021</v>
      </c>
      <c r="B27" s="34" t="s">
        <v>198</v>
      </c>
      <c r="C27" s="34" t="s">
        <v>781</v>
      </c>
      <c r="D27" s="34" t="s">
        <v>199</v>
      </c>
      <c r="E27" s="34" t="s">
        <v>782</v>
      </c>
      <c r="F27" s="34" t="s">
        <v>129</v>
      </c>
      <c r="G27" s="34"/>
      <c r="H27" s="34">
        <v>38.209220000000002</v>
      </c>
      <c r="I27" s="34">
        <v>-90.476910000000004</v>
      </c>
      <c r="J27" s="34"/>
      <c r="K27" s="105">
        <v>110000440416</v>
      </c>
      <c r="L27" s="34">
        <v>1795</v>
      </c>
      <c r="M27" s="48" t="str">
        <f>VLOOKUP(L27, '2017 SIC to NAICS'!A:D, 2)</f>
        <v>Wrecking and Demolition Work</v>
      </c>
      <c r="N27" s="34">
        <f>VLOOKUP(L27,'2017 SIC to NAICS'!A:D,3)</f>
        <v>238910</v>
      </c>
      <c r="O27" s="34" t="str">
        <f>VLOOKUP(L27,'2017 SIC to NAICS'!A:D,4)</f>
        <v>Site Preparation Contractors</v>
      </c>
      <c r="P27" s="36" t="s">
        <v>731</v>
      </c>
      <c r="Q27" s="137" t="s">
        <v>732</v>
      </c>
      <c r="R27" s="45" t="s">
        <v>41</v>
      </c>
      <c r="S27" s="138">
        <f>COUNTIFS('Raw Non-zero DMR Data'!$A:$A, A27, 'Raw Non-zero DMR Data'!$C:$C, U27, 'Raw Non-zero DMR Data'!$V:$V, V27)</f>
        <v>3</v>
      </c>
      <c r="T27" s="34">
        <f>SUMIFS('Raw Non-zero DMR Data'!$X:$X, 'Raw Non-zero DMR Data'!$A:$A, A27, 'Raw Non-zero DMR Data'!$C:$C, U27, 'Raw Non-zero DMR Data'!V:V, V27)</f>
        <v>4.2773058659999998</v>
      </c>
      <c r="U27" s="34" t="s">
        <v>781</v>
      </c>
      <c r="V27" s="34" t="s">
        <v>783</v>
      </c>
      <c r="W27" s="139">
        <v>71401010802</v>
      </c>
      <c r="X27" s="140" t="s">
        <v>734</v>
      </c>
    </row>
    <row r="28" spans="1:24" x14ac:dyDescent="0.35">
      <c r="A28" s="34">
        <v>2021</v>
      </c>
      <c r="B28" s="34" t="s">
        <v>309</v>
      </c>
      <c r="C28" s="34" t="s">
        <v>730</v>
      </c>
      <c r="D28" s="34" t="s">
        <v>158</v>
      </c>
      <c r="E28" s="34" t="s">
        <v>434</v>
      </c>
      <c r="F28" s="34" t="s">
        <v>129</v>
      </c>
      <c r="G28" s="34"/>
      <c r="H28" s="34">
        <v>38.959018999999998</v>
      </c>
      <c r="I28" s="34">
        <v>-94.576569000000006</v>
      </c>
      <c r="J28" s="34"/>
      <c r="K28" s="105">
        <v>110017979810</v>
      </c>
      <c r="L28" s="34">
        <v>6552</v>
      </c>
      <c r="M28" s="48" t="str">
        <f>VLOOKUP(L28, '2017 SIC to NAICS'!A:D, 2)</f>
        <v>Subdividers and Developers, Nec</v>
      </c>
      <c r="N28" s="34">
        <f>VLOOKUP(L28,'2017 SIC to NAICS'!A:D,3)</f>
        <v>237210</v>
      </c>
      <c r="O28" s="34" t="str">
        <f>VLOOKUP(L28,'2017 SIC to NAICS'!A:D,4)</f>
        <v>Land Subdivision</v>
      </c>
      <c r="P28" s="36" t="s">
        <v>731</v>
      </c>
      <c r="Q28" s="137" t="s">
        <v>732</v>
      </c>
      <c r="R28" s="45" t="s">
        <v>41</v>
      </c>
      <c r="S28" s="138">
        <f>COUNTIFS('Raw Non-zero DMR Data'!$A:$A, A28, 'Raw Non-zero DMR Data'!$C:$C, U28, 'Raw Non-zero DMR Data'!$V:$V, V28)</f>
        <v>3</v>
      </c>
      <c r="T28" s="34">
        <f>SUMIFS('Raw Non-zero DMR Data'!$X:$X, 'Raw Non-zero DMR Data'!$A:$A, A28, 'Raw Non-zero DMR Data'!$C:$C, U28, 'Raw Non-zero DMR Data'!V:V, V28)</f>
        <v>0.19065597609999999</v>
      </c>
      <c r="U28" s="34" t="s">
        <v>730</v>
      </c>
      <c r="V28" s="34" t="s">
        <v>733</v>
      </c>
      <c r="W28" s="139">
        <v>103001010105</v>
      </c>
      <c r="X28" s="140" t="s">
        <v>734</v>
      </c>
    </row>
    <row r="29" spans="1:24" x14ac:dyDescent="0.35">
      <c r="A29" s="34">
        <v>2022</v>
      </c>
      <c r="B29" s="34" t="s">
        <v>309</v>
      </c>
      <c r="C29" s="34" t="s">
        <v>730</v>
      </c>
      <c r="D29" s="34" t="s">
        <v>158</v>
      </c>
      <c r="E29" s="34" t="s">
        <v>434</v>
      </c>
      <c r="F29" s="34" t="s">
        <v>129</v>
      </c>
      <c r="G29" s="34"/>
      <c r="H29" s="34">
        <v>38.959018999999998</v>
      </c>
      <c r="I29" s="34">
        <v>-94.576569000000006</v>
      </c>
      <c r="J29" s="34"/>
      <c r="K29" s="105">
        <v>110017979810</v>
      </c>
      <c r="L29" s="34">
        <v>6552</v>
      </c>
      <c r="M29" s="48" t="str">
        <f>VLOOKUP(L29, '2017 SIC to NAICS'!A:D, 2)</f>
        <v>Subdividers and Developers, Nec</v>
      </c>
      <c r="N29" s="34">
        <f>VLOOKUP(L29,'2017 SIC to NAICS'!A:D,3)</f>
        <v>237210</v>
      </c>
      <c r="O29" s="34" t="str">
        <f>VLOOKUP(L29,'2017 SIC to NAICS'!A:D,4)</f>
        <v>Land Subdivision</v>
      </c>
      <c r="P29" s="36" t="s">
        <v>731</v>
      </c>
      <c r="Q29" s="137" t="s">
        <v>732</v>
      </c>
      <c r="R29" s="45" t="s">
        <v>41</v>
      </c>
      <c r="S29" s="138">
        <f>COUNTIFS('Raw Non-zero DMR Data'!$A:$A, A29, 'Raw Non-zero DMR Data'!$C:$C, U29, 'Raw Non-zero DMR Data'!$V:$V, V29)</f>
        <v>3</v>
      </c>
      <c r="T29" s="34">
        <f>SUMIFS('Raw Non-zero DMR Data'!$X:$X, 'Raw Non-zero DMR Data'!$A:$A, A29, 'Raw Non-zero DMR Data'!$C:$C, U29, 'Raw Non-zero DMR Data'!V:V, V29)</f>
        <v>0.12238695305</v>
      </c>
      <c r="U29" s="34" t="s">
        <v>730</v>
      </c>
      <c r="V29" s="34" t="s">
        <v>733</v>
      </c>
      <c r="W29" s="139">
        <v>103001010105</v>
      </c>
      <c r="X29" s="140" t="s">
        <v>734</v>
      </c>
    </row>
    <row r="30" spans="1:24" x14ac:dyDescent="0.35">
      <c r="A30" s="34">
        <v>2023</v>
      </c>
      <c r="B30" s="34" t="s">
        <v>309</v>
      </c>
      <c r="C30" s="34" t="s">
        <v>730</v>
      </c>
      <c r="D30" s="34" t="s">
        <v>158</v>
      </c>
      <c r="E30" s="34" t="s">
        <v>434</v>
      </c>
      <c r="F30" s="34" t="s">
        <v>129</v>
      </c>
      <c r="G30" s="34"/>
      <c r="H30" s="34">
        <v>38.959018999999998</v>
      </c>
      <c r="I30" s="34">
        <v>-94.576569000000006</v>
      </c>
      <c r="J30" s="34"/>
      <c r="K30" s="105">
        <v>110017979810</v>
      </c>
      <c r="L30" s="34">
        <v>6552</v>
      </c>
      <c r="M30" s="48" t="str">
        <f>VLOOKUP(L30, '2017 SIC to NAICS'!A:D, 2)</f>
        <v>Subdividers and Developers, Nec</v>
      </c>
      <c r="N30" s="34">
        <f>VLOOKUP(L30,'2017 SIC to NAICS'!A:D,3)</f>
        <v>237210</v>
      </c>
      <c r="O30" s="34" t="str">
        <f>VLOOKUP(L30,'2017 SIC to NAICS'!A:D,4)</f>
        <v>Land Subdivision</v>
      </c>
      <c r="P30" s="36" t="s">
        <v>731</v>
      </c>
      <c r="Q30" s="137" t="s">
        <v>732</v>
      </c>
      <c r="R30" s="45" t="s">
        <v>41</v>
      </c>
      <c r="S30" s="138">
        <f>COUNTIFS('Raw Non-zero DMR Data'!$A:$A, A30, 'Raw Non-zero DMR Data'!$C:$C, U30, 'Raw Non-zero DMR Data'!$V:$V, V30)</f>
        <v>3</v>
      </c>
      <c r="T30" s="34">
        <f>SUMIFS('Raw Non-zero DMR Data'!$X:$X, 'Raw Non-zero DMR Data'!$A:$A, A30, 'Raw Non-zero DMR Data'!$C:$C, U30, 'Raw Non-zero DMR Data'!V:V, V30)</f>
        <v>0.15649555625</v>
      </c>
      <c r="U30" s="34" t="s">
        <v>730</v>
      </c>
      <c r="V30" s="34" t="s">
        <v>733</v>
      </c>
      <c r="W30" s="139">
        <v>103001010105</v>
      </c>
      <c r="X30" s="140" t="s">
        <v>734</v>
      </c>
    </row>
    <row r="31" spans="1:24" x14ac:dyDescent="0.35">
      <c r="A31" s="34">
        <v>2022</v>
      </c>
      <c r="B31" s="34" t="s">
        <v>146</v>
      </c>
      <c r="C31" s="34" t="s">
        <v>784</v>
      </c>
      <c r="D31" s="34" t="s">
        <v>94</v>
      </c>
      <c r="E31" s="34" t="s">
        <v>747</v>
      </c>
      <c r="F31" s="34" t="s">
        <v>95</v>
      </c>
      <c r="G31" s="34"/>
      <c r="H31" s="34">
        <v>29.718139000000001</v>
      </c>
      <c r="I31" s="34">
        <v>-95.268749999999997</v>
      </c>
      <c r="J31" s="34"/>
      <c r="K31" s="105">
        <v>110000460901</v>
      </c>
      <c r="L31" s="34">
        <v>2819</v>
      </c>
      <c r="M31" s="48" t="str">
        <f>VLOOKUP(L31, '2017 SIC to NAICS'!A:D, 2)</f>
        <v>Industrial Inorganic Chemicals, Nec</v>
      </c>
      <c r="N31" s="34">
        <f>VLOOKUP(L31,'2017 SIC to NAICS'!A:D,3)</f>
        <v>331313</v>
      </c>
      <c r="O31" s="34" t="str">
        <f>VLOOKUP(L31,'2017 SIC to NAICS'!A:D,4)</f>
        <v>Alumina Refining and Primary Aluminum
Production</v>
      </c>
      <c r="P31" s="36" t="s">
        <v>785</v>
      </c>
      <c r="Q31" s="137" t="s">
        <v>786</v>
      </c>
      <c r="R31" s="45" t="s">
        <v>41</v>
      </c>
      <c r="S31" s="138">
        <f>COUNTIFS('Raw Non-zero DMR Data'!$A:$A, A31, 'Raw Non-zero DMR Data'!$C:$C, U31, 'Raw Non-zero DMR Data'!$V:$V, V31)</f>
        <v>3</v>
      </c>
      <c r="T31" s="34">
        <f>SUMIFS('Raw Non-zero DMR Data'!$X:$X, 'Raw Non-zero DMR Data'!$A:$A, A31, 'Raw Non-zero DMR Data'!$C:$C, U31, 'Raw Non-zero DMR Data'!V:V, V31)</f>
        <v>33.773060000000001</v>
      </c>
      <c r="U31" s="34" t="s">
        <v>784</v>
      </c>
      <c r="V31" s="34" t="s">
        <v>787</v>
      </c>
      <c r="W31" s="139">
        <v>120401040502</v>
      </c>
      <c r="X31" s="140" t="s">
        <v>788</v>
      </c>
    </row>
    <row r="32" spans="1:24" x14ac:dyDescent="0.35">
      <c r="A32" s="34">
        <v>2021</v>
      </c>
      <c r="B32" s="34" t="s">
        <v>334</v>
      </c>
      <c r="C32" s="34" t="s">
        <v>759</v>
      </c>
      <c r="D32" s="34" t="s">
        <v>335</v>
      </c>
      <c r="E32" s="34" t="s">
        <v>335</v>
      </c>
      <c r="F32" s="34" t="s">
        <v>102</v>
      </c>
      <c r="G32" s="34"/>
      <c r="H32" s="34">
        <v>33.990146000000003</v>
      </c>
      <c r="I32" s="34">
        <v>-118.36358</v>
      </c>
      <c r="J32" s="34"/>
      <c r="K32" s="105">
        <v>110064624018</v>
      </c>
      <c r="L32" s="34">
        <v>2911</v>
      </c>
      <c r="M32" s="48" t="str">
        <f>VLOOKUP(L32, '2017 SIC to NAICS'!A:D, 2)</f>
        <v>Petroleum Refining</v>
      </c>
      <c r="N32" s="34">
        <f>VLOOKUP(L32,'2017 SIC to NAICS'!A:D,3)</f>
        <v>324110</v>
      </c>
      <c r="O32" s="34" t="str">
        <f>VLOOKUP(L32,'2017 SIC to NAICS'!A:D,4)</f>
        <v>Petroleum Refineries</v>
      </c>
      <c r="P32" s="36" t="s">
        <v>760</v>
      </c>
      <c r="Q32" s="137" t="s">
        <v>761</v>
      </c>
      <c r="R32" s="45" t="s">
        <v>41</v>
      </c>
      <c r="S32" s="138">
        <f>COUNTIFS('Raw Non-zero DMR Data'!$A:$A, A32, 'Raw Non-zero DMR Data'!$C:$C, U32, 'Raw Non-zero DMR Data'!$V:$V, V32)</f>
        <v>2</v>
      </c>
      <c r="T32" s="34">
        <f>SUMIFS('Raw Non-zero DMR Data'!$X:$X, 'Raw Non-zero DMR Data'!$A:$A, A32, 'Raw Non-zero DMR Data'!$C:$C, U32, 'Raw Non-zero DMR Data'!V:V, V32)</f>
        <v>2.6387127500000003E-2</v>
      </c>
      <c r="U32" s="34" t="s">
        <v>759</v>
      </c>
      <c r="V32" s="34" t="s">
        <v>762</v>
      </c>
      <c r="W32" s="139">
        <v>180701040300</v>
      </c>
      <c r="X32" s="140" t="s">
        <v>739</v>
      </c>
    </row>
    <row r="33" spans="1:24" x14ac:dyDescent="0.35">
      <c r="A33" s="34">
        <v>2022</v>
      </c>
      <c r="B33" s="34" t="s">
        <v>334</v>
      </c>
      <c r="C33" s="34" t="s">
        <v>759</v>
      </c>
      <c r="D33" s="34" t="s">
        <v>335</v>
      </c>
      <c r="E33" s="34" t="s">
        <v>335</v>
      </c>
      <c r="F33" s="34" t="s">
        <v>102</v>
      </c>
      <c r="G33" s="34"/>
      <c r="H33" s="34">
        <v>33.990146000000003</v>
      </c>
      <c r="I33" s="34">
        <v>-118.36358</v>
      </c>
      <c r="J33" s="34"/>
      <c r="K33" s="105">
        <v>110064624018</v>
      </c>
      <c r="L33" s="34">
        <v>2911</v>
      </c>
      <c r="M33" s="48" t="str">
        <f>VLOOKUP(L33, '2017 SIC to NAICS'!A:D, 2)</f>
        <v>Petroleum Refining</v>
      </c>
      <c r="N33" s="34">
        <f>VLOOKUP(L33,'2017 SIC to NAICS'!A:D,3)</f>
        <v>324110</v>
      </c>
      <c r="O33" s="34" t="str">
        <f>VLOOKUP(L33,'2017 SIC to NAICS'!A:D,4)</f>
        <v>Petroleum Refineries</v>
      </c>
      <c r="P33" s="36" t="s">
        <v>760</v>
      </c>
      <c r="Q33" s="137" t="s">
        <v>761</v>
      </c>
      <c r="R33" s="45" t="s">
        <v>41</v>
      </c>
      <c r="S33" s="138">
        <f>COUNTIFS('Raw Non-zero DMR Data'!$A:$A, A33, 'Raw Non-zero DMR Data'!$C:$C, U33, 'Raw Non-zero DMR Data'!$V:$V, V33)</f>
        <v>2</v>
      </c>
      <c r="T33" s="34">
        <f>SUMIFS('Raw Non-zero DMR Data'!$X:$X, 'Raw Non-zero DMR Data'!$A:$A, A33, 'Raw Non-zero DMR Data'!$C:$C, U33, 'Raw Non-zero DMR Data'!V:V, V33)</f>
        <v>1.1066015250000001</v>
      </c>
      <c r="U33" s="34" t="s">
        <v>759</v>
      </c>
      <c r="V33" s="34" t="s">
        <v>762</v>
      </c>
      <c r="W33" s="139">
        <v>180701040300</v>
      </c>
      <c r="X33" s="140" t="s">
        <v>739</v>
      </c>
    </row>
    <row r="34" spans="1:24" x14ac:dyDescent="0.35">
      <c r="A34" s="34">
        <v>2020</v>
      </c>
      <c r="B34" s="34" t="s">
        <v>503</v>
      </c>
      <c r="C34" s="34" t="s">
        <v>789</v>
      </c>
      <c r="D34" s="34" t="s">
        <v>504</v>
      </c>
      <c r="E34" s="34" t="s">
        <v>790</v>
      </c>
      <c r="F34" s="34" t="s">
        <v>102</v>
      </c>
      <c r="G34" s="34"/>
      <c r="H34" s="34">
        <v>32.803809999999999</v>
      </c>
      <c r="I34" s="34">
        <v>-115.53973999999999</v>
      </c>
      <c r="J34" s="34"/>
      <c r="K34" s="105">
        <v>110002672484</v>
      </c>
      <c r="L34" s="34">
        <v>921</v>
      </c>
      <c r="M34" s="48" t="str">
        <f>VLOOKUP(L34, '2017 SIC to NAICS'!A:D, 2)</f>
        <v>Fish Hatcheries and Preserves</v>
      </c>
      <c r="N34" s="34">
        <f>VLOOKUP(L34,'2017 SIC to NAICS'!A:D,3)</f>
        <v>112512</v>
      </c>
      <c r="O34" s="34" t="str">
        <f>VLOOKUP(L34,'2017 SIC to NAICS'!A:D,4)</f>
        <v>Shellfish Farming</v>
      </c>
      <c r="P34" s="36" t="s">
        <v>737</v>
      </c>
      <c r="Q34" s="137" t="s">
        <v>737</v>
      </c>
      <c r="R34" s="45" t="s">
        <v>39</v>
      </c>
      <c r="S34" s="138">
        <f>COUNTIFS('Raw Non-zero DMR Data'!$A:$A, A34, 'Raw Non-zero DMR Data'!$C:$C, U34, 'Raw Non-zero DMR Data'!$V:$V, V34)</f>
        <v>2</v>
      </c>
      <c r="T34" s="34">
        <f>SUMIFS('Raw Non-zero DMR Data'!$X:$X, 'Raw Non-zero DMR Data'!$A:$A, A34, 'Raw Non-zero DMR Data'!$C:$C, U34, 'Raw Non-zero DMR Data'!V:V, V34)</f>
        <v>8.5378244999999992E-3</v>
      </c>
      <c r="U34" s="34" t="s">
        <v>789</v>
      </c>
      <c r="V34" s="34" t="s">
        <v>791</v>
      </c>
      <c r="W34" s="139">
        <v>181002040701</v>
      </c>
      <c r="X34" s="140" t="s">
        <v>792</v>
      </c>
    </row>
    <row r="35" spans="1:24" x14ac:dyDescent="0.35">
      <c r="A35" s="34">
        <v>2021</v>
      </c>
      <c r="B35" s="34" t="s">
        <v>503</v>
      </c>
      <c r="C35" s="34" t="s">
        <v>789</v>
      </c>
      <c r="D35" s="34" t="s">
        <v>504</v>
      </c>
      <c r="E35" s="34" t="s">
        <v>790</v>
      </c>
      <c r="F35" s="34" t="s">
        <v>102</v>
      </c>
      <c r="G35" s="34"/>
      <c r="H35" s="34">
        <v>32.803809999999999</v>
      </c>
      <c r="I35" s="34">
        <v>-115.53973999999999</v>
      </c>
      <c r="J35" s="34"/>
      <c r="K35" s="105">
        <v>110002672484</v>
      </c>
      <c r="L35" s="34">
        <v>921</v>
      </c>
      <c r="M35" s="48" t="str">
        <f>VLOOKUP(L35, '2017 SIC to NAICS'!A:D, 2)</f>
        <v>Fish Hatcheries and Preserves</v>
      </c>
      <c r="N35" s="34">
        <f>VLOOKUP(L35,'2017 SIC to NAICS'!A:D,3)</f>
        <v>112512</v>
      </c>
      <c r="O35" s="34" t="str">
        <f>VLOOKUP(L35,'2017 SIC to NAICS'!A:D,4)</f>
        <v>Shellfish Farming</v>
      </c>
      <c r="P35" s="36" t="s">
        <v>737</v>
      </c>
      <c r="Q35" s="137" t="s">
        <v>737</v>
      </c>
      <c r="R35" s="45" t="s">
        <v>39</v>
      </c>
      <c r="S35" s="138">
        <f>COUNTIFS('Raw Non-zero DMR Data'!$A:$A, A35, 'Raw Non-zero DMR Data'!$C:$C, U35, 'Raw Non-zero DMR Data'!$V:$V, V35)</f>
        <v>2</v>
      </c>
      <c r="T35" s="34">
        <f>SUMIFS('Raw Non-zero DMR Data'!$X:$X, 'Raw Non-zero DMR Data'!$A:$A, A35, 'Raw Non-zero DMR Data'!$C:$C, U35, 'Raw Non-zero DMR Data'!V:V, V35)</f>
        <v>7.3220825000000003E-2</v>
      </c>
      <c r="U35" s="34" t="s">
        <v>789</v>
      </c>
      <c r="V35" s="34" t="s">
        <v>791</v>
      </c>
      <c r="W35" s="139">
        <v>181002040701</v>
      </c>
      <c r="X35" s="140" t="s">
        <v>792</v>
      </c>
    </row>
    <row r="36" spans="1:24" x14ac:dyDescent="0.35">
      <c r="A36" s="34">
        <v>2022</v>
      </c>
      <c r="B36" s="34" t="s">
        <v>503</v>
      </c>
      <c r="C36" s="34" t="s">
        <v>789</v>
      </c>
      <c r="D36" s="34" t="s">
        <v>504</v>
      </c>
      <c r="E36" s="34" t="s">
        <v>790</v>
      </c>
      <c r="F36" s="34" t="s">
        <v>102</v>
      </c>
      <c r="G36" s="34"/>
      <c r="H36" s="34">
        <v>32.803809999999999</v>
      </c>
      <c r="I36" s="34">
        <v>-115.53973999999999</v>
      </c>
      <c r="J36" s="34"/>
      <c r="K36" s="105">
        <v>110002672484</v>
      </c>
      <c r="L36" s="142" t="s">
        <v>793</v>
      </c>
      <c r="M36" s="48" t="e">
        <f>VLOOKUP(L36, '2017 SIC to NAICS'!A:D, 2)</f>
        <v>#N/A</v>
      </c>
      <c r="N36" s="34" t="e">
        <f>VLOOKUP(L36,'2017 SIC to NAICS'!A:D,3)</f>
        <v>#N/A</v>
      </c>
      <c r="O36" s="34" t="e">
        <f>VLOOKUP(L36,'2017 SIC to NAICS'!A:D,4)</f>
        <v>#N/A</v>
      </c>
      <c r="P36" s="36" t="s">
        <v>737</v>
      </c>
      <c r="Q36" s="137" t="s">
        <v>737</v>
      </c>
      <c r="R36" s="45" t="s">
        <v>39</v>
      </c>
      <c r="S36" s="138">
        <f>COUNTIFS('Raw Non-zero DMR Data'!$A:$A, A36, 'Raw Non-zero DMR Data'!$C:$C, U36, 'Raw Non-zero DMR Data'!$V:$V, V36)</f>
        <v>2</v>
      </c>
      <c r="T36" s="34">
        <f>SUMIFS('Raw Non-zero DMR Data'!$X:$X, 'Raw Non-zero DMR Data'!$A:$A, A36, 'Raw Non-zero DMR Data'!$C:$C, U36, 'Raw Non-zero DMR Data'!V:V, V36)</f>
        <v>4.0754987499999999E-2</v>
      </c>
      <c r="U36" s="34" t="s">
        <v>789</v>
      </c>
      <c r="V36" s="34" t="s">
        <v>791</v>
      </c>
      <c r="W36" s="139">
        <v>181002040701</v>
      </c>
      <c r="X36" s="140" t="s">
        <v>792</v>
      </c>
    </row>
    <row r="37" spans="1:24" x14ac:dyDescent="0.35">
      <c r="A37" s="34">
        <v>2019</v>
      </c>
      <c r="B37" s="34" t="s">
        <v>259</v>
      </c>
      <c r="C37" s="34" t="s">
        <v>794</v>
      </c>
      <c r="D37" s="34" t="s">
        <v>260</v>
      </c>
      <c r="E37" s="34" t="s">
        <v>795</v>
      </c>
      <c r="F37" s="34" t="s">
        <v>111</v>
      </c>
      <c r="G37" s="34"/>
      <c r="H37" s="34">
        <v>41.412897000000001</v>
      </c>
      <c r="I37" s="34">
        <v>-88.329773000000003</v>
      </c>
      <c r="J37" s="34"/>
      <c r="K37" s="105">
        <v>110000433013</v>
      </c>
      <c r="L37" s="34">
        <v>2821</v>
      </c>
      <c r="M37" s="48" t="str">
        <f>VLOOKUP(L37, '2017 SIC to NAICS'!A:D, 2)</f>
        <v>Plastics Materials and Resins</v>
      </c>
      <c r="N37" s="34">
        <f>VLOOKUP(L37,'2017 SIC to NAICS'!A:D,3)</f>
        <v>325211</v>
      </c>
      <c r="O37" s="34" t="str">
        <f>VLOOKUP(L37,'2017 SIC to NAICS'!A:D,4)</f>
        <v>Plastics Material and Resin Manufacturing</v>
      </c>
      <c r="P37" s="36" t="s">
        <v>796</v>
      </c>
      <c r="Q37" s="137" t="s">
        <v>797</v>
      </c>
      <c r="R37" s="45" t="s">
        <v>41</v>
      </c>
      <c r="S37" s="138">
        <f>COUNTIFS('Raw Non-zero DMR Data'!$A:$A, A37, 'Raw Non-zero DMR Data'!$C:$C, U37, 'Raw Non-zero DMR Data'!$V:$V, V37)</f>
        <v>2</v>
      </c>
      <c r="T37" s="34">
        <f>SUMIFS('Raw Non-zero DMR Data'!$X:$X, 'Raw Non-zero DMR Data'!$A:$A, A37, 'Raw Non-zero DMR Data'!$C:$C, U37, 'Raw Non-zero DMR Data'!V:V, V37)</f>
        <v>1.4017704</v>
      </c>
      <c r="U37" s="34" t="s">
        <v>794</v>
      </c>
      <c r="V37" s="34" t="s">
        <v>798</v>
      </c>
      <c r="W37" s="139">
        <v>71200050106</v>
      </c>
      <c r="X37" s="140" t="s">
        <v>751</v>
      </c>
    </row>
    <row r="38" spans="1:24" x14ac:dyDescent="0.35">
      <c r="A38" s="34">
        <v>2020</v>
      </c>
      <c r="B38" s="34" t="s">
        <v>259</v>
      </c>
      <c r="C38" s="34" t="s">
        <v>794</v>
      </c>
      <c r="D38" s="34" t="s">
        <v>260</v>
      </c>
      <c r="E38" s="34" t="s">
        <v>795</v>
      </c>
      <c r="F38" s="34" t="s">
        <v>111</v>
      </c>
      <c r="G38" s="34"/>
      <c r="H38" s="34">
        <v>41.412897000000001</v>
      </c>
      <c r="I38" s="34">
        <v>-88.329773000000003</v>
      </c>
      <c r="J38" s="34"/>
      <c r="K38" s="105">
        <v>110000433013</v>
      </c>
      <c r="L38" s="34">
        <v>2821</v>
      </c>
      <c r="M38" s="48" t="str">
        <f>VLOOKUP(L38, '2017 SIC to NAICS'!A:D, 2)</f>
        <v>Plastics Materials and Resins</v>
      </c>
      <c r="N38" s="34">
        <f>VLOOKUP(L38,'2017 SIC to NAICS'!A:D,3)</f>
        <v>325211</v>
      </c>
      <c r="O38" s="34" t="str">
        <f>VLOOKUP(L38,'2017 SIC to NAICS'!A:D,4)</f>
        <v>Plastics Material and Resin Manufacturing</v>
      </c>
      <c r="P38" s="36" t="s">
        <v>796</v>
      </c>
      <c r="Q38" s="137" t="s">
        <v>797</v>
      </c>
      <c r="R38" s="45" t="s">
        <v>41</v>
      </c>
      <c r="S38" s="138">
        <f>COUNTIFS('Raw Non-zero DMR Data'!$A:$A, A38, 'Raw Non-zero DMR Data'!$C:$C, U38, 'Raw Non-zero DMR Data'!$V:$V, V38)</f>
        <v>2</v>
      </c>
      <c r="T38" s="34">
        <f>SUMIFS('Raw Non-zero DMR Data'!$X:$X, 'Raw Non-zero DMR Data'!$A:$A, A38, 'Raw Non-zero DMR Data'!$C:$C, U38, 'Raw Non-zero DMR Data'!V:V, V38)</f>
        <v>1.2026460000000001</v>
      </c>
      <c r="U38" s="34" t="s">
        <v>794</v>
      </c>
      <c r="V38" s="34" t="s">
        <v>798</v>
      </c>
      <c r="W38" s="139">
        <v>71200050106</v>
      </c>
      <c r="X38" s="140" t="s">
        <v>751</v>
      </c>
    </row>
    <row r="39" spans="1:24" x14ac:dyDescent="0.35">
      <c r="A39" s="34">
        <v>2021</v>
      </c>
      <c r="B39" s="34" t="s">
        <v>259</v>
      </c>
      <c r="C39" s="34" t="s">
        <v>794</v>
      </c>
      <c r="D39" s="34" t="s">
        <v>260</v>
      </c>
      <c r="E39" s="34" t="s">
        <v>795</v>
      </c>
      <c r="F39" s="34" t="s">
        <v>111</v>
      </c>
      <c r="G39" s="34"/>
      <c r="H39" s="34">
        <v>41.412897000000001</v>
      </c>
      <c r="I39" s="34">
        <v>-88.329773000000003</v>
      </c>
      <c r="J39" s="34"/>
      <c r="K39" s="105">
        <v>110000433013</v>
      </c>
      <c r="L39" s="34">
        <v>2821</v>
      </c>
      <c r="M39" s="48" t="str">
        <f>VLOOKUP(L39, '2017 SIC to NAICS'!A:D, 2)</f>
        <v>Plastics Materials and Resins</v>
      </c>
      <c r="N39" s="34">
        <f>VLOOKUP(L39,'2017 SIC to NAICS'!A:D,3)</f>
        <v>325211</v>
      </c>
      <c r="O39" s="34" t="str">
        <f>VLOOKUP(L39,'2017 SIC to NAICS'!A:D,4)</f>
        <v>Plastics Material and Resin Manufacturing</v>
      </c>
      <c r="P39" s="36" t="s">
        <v>796</v>
      </c>
      <c r="Q39" s="137" t="s">
        <v>797</v>
      </c>
      <c r="R39" s="45" t="s">
        <v>41</v>
      </c>
      <c r="S39" s="138">
        <f>COUNTIFS('Raw Non-zero DMR Data'!$A:$A, A39, 'Raw Non-zero DMR Data'!$C:$C, U39, 'Raw Non-zero DMR Data'!$V:$V, V39)</f>
        <v>2</v>
      </c>
      <c r="T39" s="34">
        <f>SUMIFS('Raw Non-zero DMR Data'!$X:$X, 'Raw Non-zero DMR Data'!$A:$A, A39, 'Raw Non-zero DMR Data'!$C:$C, U39, 'Raw Non-zero DMR Data'!V:V, V39)</f>
        <v>0.99698399999999998</v>
      </c>
      <c r="U39" s="34" t="s">
        <v>794</v>
      </c>
      <c r="V39" s="34" t="s">
        <v>798</v>
      </c>
      <c r="W39" s="139">
        <v>71200050106</v>
      </c>
      <c r="X39" s="140" t="s">
        <v>751</v>
      </c>
    </row>
    <row r="40" spans="1:24" x14ac:dyDescent="0.35">
      <c r="A40" s="34">
        <v>2022</v>
      </c>
      <c r="B40" s="34" t="s">
        <v>259</v>
      </c>
      <c r="C40" s="34" t="s">
        <v>794</v>
      </c>
      <c r="D40" s="34" t="s">
        <v>260</v>
      </c>
      <c r="E40" s="34" t="s">
        <v>795</v>
      </c>
      <c r="F40" s="34" t="s">
        <v>111</v>
      </c>
      <c r="G40" s="34"/>
      <c r="H40" s="34">
        <v>41.412897000000001</v>
      </c>
      <c r="I40" s="34">
        <v>-88.329773000000003</v>
      </c>
      <c r="J40" s="34"/>
      <c r="K40" s="105">
        <v>110000433013</v>
      </c>
      <c r="L40" s="34">
        <v>2821</v>
      </c>
      <c r="M40" s="48" t="str">
        <f>VLOOKUP(L40, '2017 SIC to NAICS'!A:D, 2)</f>
        <v>Plastics Materials and Resins</v>
      </c>
      <c r="N40" s="34">
        <f>VLOOKUP(L40,'2017 SIC to NAICS'!A:D,3)</f>
        <v>325211</v>
      </c>
      <c r="O40" s="34" t="str">
        <f>VLOOKUP(L40,'2017 SIC to NAICS'!A:D,4)</f>
        <v>Plastics Material and Resin Manufacturing</v>
      </c>
      <c r="P40" s="36" t="s">
        <v>796</v>
      </c>
      <c r="Q40" s="137" t="s">
        <v>797</v>
      </c>
      <c r="R40" s="45" t="s">
        <v>41</v>
      </c>
      <c r="S40" s="138">
        <f>COUNTIFS('Raw Non-zero DMR Data'!$A:$A, A40, 'Raw Non-zero DMR Data'!$C:$C, U40, 'Raw Non-zero DMR Data'!$V:$V, V40)</f>
        <v>2</v>
      </c>
      <c r="T40" s="34">
        <f>SUMIFS('Raw Non-zero DMR Data'!$X:$X, 'Raw Non-zero DMR Data'!$A:$A, A40, 'Raw Non-zero DMR Data'!$C:$C, U40, 'Raw Non-zero DMR Data'!V:V, V40)</f>
        <v>0.61276379999999997</v>
      </c>
      <c r="U40" s="34" t="s">
        <v>794</v>
      </c>
      <c r="V40" s="34" t="s">
        <v>798</v>
      </c>
      <c r="W40" s="141" t="s">
        <v>799</v>
      </c>
      <c r="X40" s="140" t="s">
        <v>751</v>
      </c>
    </row>
    <row r="41" spans="1:24" x14ac:dyDescent="0.35">
      <c r="A41" s="34">
        <v>2023</v>
      </c>
      <c r="B41" s="34" t="s">
        <v>259</v>
      </c>
      <c r="C41" s="34" t="s">
        <v>794</v>
      </c>
      <c r="D41" s="34" t="s">
        <v>260</v>
      </c>
      <c r="E41" s="34" t="s">
        <v>795</v>
      </c>
      <c r="F41" s="34" t="s">
        <v>111</v>
      </c>
      <c r="G41" s="34"/>
      <c r="H41" s="34">
        <v>41.412897000000001</v>
      </c>
      <c r="I41" s="34">
        <v>-88.329773000000003</v>
      </c>
      <c r="J41" s="34"/>
      <c r="K41" s="105">
        <v>110000433013</v>
      </c>
      <c r="L41" s="34">
        <v>2821</v>
      </c>
      <c r="M41" s="48" t="str">
        <f>VLOOKUP(L41, '2017 SIC to NAICS'!A:D, 2)</f>
        <v>Plastics Materials and Resins</v>
      </c>
      <c r="N41" s="34">
        <f>VLOOKUP(L41,'2017 SIC to NAICS'!A:D,3)</f>
        <v>325211</v>
      </c>
      <c r="O41" s="34" t="str">
        <f>VLOOKUP(L41,'2017 SIC to NAICS'!A:D,4)</f>
        <v>Plastics Material and Resin Manufacturing</v>
      </c>
      <c r="P41" s="36" t="s">
        <v>796</v>
      </c>
      <c r="Q41" s="137" t="s">
        <v>797</v>
      </c>
      <c r="R41" s="45" t="s">
        <v>41</v>
      </c>
      <c r="S41" s="138">
        <f>COUNTIFS('Raw Non-zero DMR Data'!$A:$A, A41, 'Raw Non-zero DMR Data'!$C:$C, U41, 'Raw Non-zero DMR Data'!$V:$V, V41)</f>
        <v>2</v>
      </c>
      <c r="T41" s="34">
        <f>SUMIFS('Raw Non-zero DMR Data'!$X:$X, 'Raw Non-zero DMR Data'!$A:$A, A41, 'Raw Non-zero DMR Data'!$C:$C, U41, 'Raw Non-zero DMR Data'!V:V, V41)</f>
        <v>2.898336</v>
      </c>
      <c r="U41" s="34" t="s">
        <v>794</v>
      </c>
      <c r="V41" s="34" t="s">
        <v>798</v>
      </c>
      <c r="W41" s="141" t="s">
        <v>799</v>
      </c>
      <c r="X41" s="140" t="s">
        <v>751</v>
      </c>
    </row>
    <row r="42" spans="1:24" x14ac:dyDescent="0.35">
      <c r="A42" s="34">
        <v>2019</v>
      </c>
      <c r="B42" s="34" t="s">
        <v>353</v>
      </c>
      <c r="C42" s="34" t="s">
        <v>800</v>
      </c>
      <c r="D42" s="34" t="s">
        <v>354</v>
      </c>
      <c r="E42" s="34" t="s">
        <v>801</v>
      </c>
      <c r="F42" s="34" t="s">
        <v>111</v>
      </c>
      <c r="G42" s="34"/>
      <c r="H42" s="34">
        <v>42.304209</v>
      </c>
      <c r="I42" s="34">
        <v>-89.055548999999999</v>
      </c>
      <c r="J42" s="34"/>
      <c r="K42" s="105">
        <v>110005812371</v>
      </c>
      <c r="L42" s="34">
        <v>3728</v>
      </c>
      <c r="M42" s="48" t="str">
        <f>VLOOKUP(L42, '2017 SIC to NAICS'!A:D, 2)</f>
        <v>Aircraft Parts and Auxiliary Equipment, NEC (research and development not
producing prototypes)</v>
      </c>
      <c r="N42" s="34">
        <f>VLOOKUP(L42,'2017 SIC to NAICS'!A:D,3)</f>
        <v>541713</v>
      </c>
      <c r="O42" s="34" t="str">
        <f>VLOOKUP(L42,'2017 SIC to NAICS'!A:D,4)</f>
        <v>Research and Development in Nanotechnology</v>
      </c>
      <c r="P42" s="36" t="s">
        <v>754</v>
      </c>
      <c r="Q42" s="137" t="s">
        <v>755</v>
      </c>
      <c r="R42" s="45" t="s">
        <v>41</v>
      </c>
      <c r="S42" s="138">
        <f>COUNTIFS('Raw Non-zero DMR Data'!$A:$A, A42, 'Raw Non-zero DMR Data'!$C:$C, U42, 'Raw Non-zero DMR Data'!$V:$V, V42)</f>
        <v>2</v>
      </c>
      <c r="T42" s="34">
        <f>SUMIFS('Raw Non-zero DMR Data'!$X:$X, 'Raw Non-zero DMR Data'!$A:$A, A42, 'Raw Non-zero DMR Data'!$C:$C, U42, 'Raw Non-zero DMR Data'!V:V, V42)</f>
        <v>0.54177089550000002</v>
      </c>
      <c r="U42" s="34" t="s">
        <v>800</v>
      </c>
      <c r="V42" s="34" t="s">
        <v>802</v>
      </c>
      <c r="W42" s="139">
        <v>70900050107</v>
      </c>
      <c r="X42" s="140" t="s">
        <v>803</v>
      </c>
    </row>
    <row r="43" spans="1:24" x14ac:dyDescent="0.35">
      <c r="A43" s="34">
        <v>2020</v>
      </c>
      <c r="B43" s="34" t="s">
        <v>306</v>
      </c>
      <c r="C43" s="34" t="s">
        <v>804</v>
      </c>
      <c r="D43" s="34" t="s">
        <v>107</v>
      </c>
      <c r="E43" s="34" t="s">
        <v>782</v>
      </c>
      <c r="F43" s="34" t="s">
        <v>108</v>
      </c>
      <c r="G43" s="34"/>
      <c r="H43" s="34">
        <v>38.195278000000002</v>
      </c>
      <c r="I43" s="34">
        <v>-85.872221999999994</v>
      </c>
      <c r="J43" s="34"/>
      <c r="K43" s="105">
        <v>110000378467</v>
      </c>
      <c r="L43" s="34">
        <v>2869</v>
      </c>
      <c r="M43" s="48" t="str">
        <f>VLOOKUP(L43, '2017 SIC to NAICS'!A:D, 2)</f>
        <v>Industrial Organic Chemicals, Nec</v>
      </c>
      <c r="N43" s="34">
        <f>VLOOKUP(L43,'2017 SIC to NAICS'!A:D,3)</f>
        <v>325998</v>
      </c>
      <c r="O43" s="34" t="str">
        <f>VLOOKUP(L43,'2017 SIC to NAICS'!A:D,4)</f>
        <v>All Other Miscellaneous Chemical Product and Preparation Manufacturing</v>
      </c>
      <c r="P43" s="36" t="s">
        <v>748</v>
      </c>
      <c r="Q43" s="137" t="s">
        <v>749</v>
      </c>
      <c r="R43" s="45" t="s">
        <v>41</v>
      </c>
      <c r="S43" s="138">
        <f>COUNTIFS('Raw Non-zero DMR Data'!$A:$A, A43, 'Raw Non-zero DMR Data'!$C:$C, U43, 'Raw Non-zero DMR Data'!$V:$V, V43)</f>
        <v>2</v>
      </c>
      <c r="T43" s="34">
        <f>SUMIFS('Raw Non-zero DMR Data'!$X:$X, 'Raw Non-zero DMR Data'!$A:$A, A43, 'Raw Non-zero DMR Data'!$C:$C, U43, 'Raw Non-zero DMR Data'!V:V, V43)</f>
        <v>1.0703049999999998</v>
      </c>
      <c r="U43" s="34" t="s">
        <v>804</v>
      </c>
      <c r="V43" s="34" t="s">
        <v>805</v>
      </c>
      <c r="W43" s="139">
        <v>51401010903</v>
      </c>
      <c r="X43" s="140" t="s">
        <v>751</v>
      </c>
    </row>
    <row r="44" spans="1:24" x14ac:dyDescent="0.35">
      <c r="A44" s="34">
        <v>2022</v>
      </c>
      <c r="B44" s="34" t="s">
        <v>303</v>
      </c>
      <c r="C44" s="34" t="s">
        <v>778</v>
      </c>
      <c r="D44" s="34" t="s">
        <v>304</v>
      </c>
      <c r="E44" s="34" t="s">
        <v>779</v>
      </c>
      <c r="F44" s="34" t="s">
        <v>91</v>
      </c>
      <c r="G44" s="34"/>
      <c r="H44" s="34">
        <v>30.584540000000001</v>
      </c>
      <c r="I44" s="34">
        <v>-91.247479999999996</v>
      </c>
      <c r="J44" s="34"/>
      <c r="K44" s="105">
        <v>110064644782</v>
      </c>
      <c r="L44" s="34">
        <v>4953</v>
      </c>
      <c r="M44" s="48" t="str">
        <f>VLOOKUP(L44, '2017 SIC to NAICS'!A:D, 2)</f>
        <v>Refuse Systems</v>
      </c>
      <c r="N44" s="34">
        <f>VLOOKUP(L44,'2017 SIC to NAICS'!A:D,3)</f>
        <v>562920</v>
      </c>
      <c r="O44" s="34" t="str">
        <f>VLOOKUP(L44,'2017 SIC to NAICS'!A:D,4)</f>
        <v>Materials Recovery Facilities</v>
      </c>
      <c r="P44" s="36" t="s">
        <v>754</v>
      </c>
      <c r="Q44" s="137" t="s">
        <v>755</v>
      </c>
      <c r="R44" s="45" t="s">
        <v>39</v>
      </c>
      <c r="S44" s="138">
        <f>COUNTIFS('Raw Non-zero DMR Data'!$A:$A, A44, 'Raw Non-zero DMR Data'!$C:$C, U44, 'Raw Non-zero DMR Data'!$V:$V, V44)</f>
        <v>2</v>
      </c>
      <c r="T44" s="34">
        <f>SUMIFS('Raw Non-zero DMR Data'!$X:$X, 'Raw Non-zero DMR Data'!$A:$A, A44, 'Raw Non-zero DMR Data'!$C:$C, U44, 'Raw Non-zero DMR Data'!V:V, V44)</f>
        <v>1.1620517750000001</v>
      </c>
      <c r="U44" s="34" t="s">
        <v>778</v>
      </c>
      <c r="V44" s="34" t="s">
        <v>780</v>
      </c>
      <c r="W44" s="141" t="s">
        <v>806</v>
      </c>
      <c r="X44" s="140" t="s">
        <v>745</v>
      </c>
    </row>
    <row r="45" spans="1:24" x14ac:dyDescent="0.35">
      <c r="A45" s="34">
        <v>2023</v>
      </c>
      <c r="B45" s="34" t="s">
        <v>303</v>
      </c>
      <c r="C45" s="34" t="s">
        <v>778</v>
      </c>
      <c r="D45" s="34" t="s">
        <v>304</v>
      </c>
      <c r="E45" s="34" t="s">
        <v>779</v>
      </c>
      <c r="F45" s="34" t="s">
        <v>91</v>
      </c>
      <c r="G45" s="34"/>
      <c r="H45" s="34">
        <v>30.584540000000001</v>
      </c>
      <c r="I45" s="34">
        <v>-91.247479999999996</v>
      </c>
      <c r="J45" s="34"/>
      <c r="K45" s="105">
        <v>110064644782</v>
      </c>
      <c r="L45" s="34">
        <v>4953</v>
      </c>
      <c r="M45" s="48" t="str">
        <f>VLOOKUP(L45, '2017 SIC to NAICS'!A:D, 2)</f>
        <v>Refuse Systems</v>
      </c>
      <c r="N45" s="34">
        <f>VLOOKUP(L45,'2017 SIC to NAICS'!A:D,3)</f>
        <v>562920</v>
      </c>
      <c r="O45" s="34" t="str">
        <f>VLOOKUP(L45,'2017 SIC to NAICS'!A:D,4)</f>
        <v>Materials Recovery Facilities</v>
      </c>
      <c r="P45" s="36" t="s">
        <v>754</v>
      </c>
      <c r="Q45" s="137" t="s">
        <v>755</v>
      </c>
      <c r="R45" s="45" t="s">
        <v>39</v>
      </c>
      <c r="S45" s="138">
        <f>COUNTIFS('Raw Non-zero DMR Data'!$A:$A, A45, 'Raw Non-zero DMR Data'!$C:$C, U45, 'Raw Non-zero DMR Data'!$V:$V, V45)</f>
        <v>2</v>
      </c>
      <c r="T45" s="34">
        <f>SUMIFS('Raw Non-zero DMR Data'!$X:$X, 'Raw Non-zero DMR Data'!$A:$A, A45, 'Raw Non-zero DMR Data'!$C:$C, U45, 'Raw Non-zero DMR Data'!V:V, V45)</f>
        <v>2.14839230575E-2</v>
      </c>
      <c r="U45" s="34" t="s">
        <v>778</v>
      </c>
      <c r="V45" s="34" t="s">
        <v>780</v>
      </c>
      <c r="W45" s="141" t="s">
        <v>806</v>
      </c>
      <c r="X45" s="140" t="s">
        <v>745</v>
      </c>
    </row>
    <row r="46" spans="1:24" x14ac:dyDescent="0.35">
      <c r="A46" s="34">
        <v>2021</v>
      </c>
      <c r="B46" s="34" t="s">
        <v>682</v>
      </c>
      <c r="C46" s="34" t="s">
        <v>807</v>
      </c>
      <c r="D46" s="34" t="s">
        <v>683</v>
      </c>
      <c r="E46" s="34" t="s">
        <v>808</v>
      </c>
      <c r="F46" s="34" t="s">
        <v>91</v>
      </c>
      <c r="G46" s="34"/>
      <c r="H46" s="34">
        <v>31.415772</v>
      </c>
      <c r="I46" s="34">
        <v>-92.477244999999996</v>
      </c>
      <c r="J46" s="34"/>
      <c r="K46" s="105">
        <v>110007300330</v>
      </c>
      <c r="L46" s="34">
        <v>3491</v>
      </c>
      <c r="M46" s="48" t="str">
        <f>VLOOKUP(L46, '2017 SIC to NAICS'!A:D, 2)</f>
        <v>Industrial Valves</v>
      </c>
      <c r="N46" s="34">
        <f>VLOOKUP(L46,'2017 SIC to NAICS'!A:D,3)</f>
        <v>332911</v>
      </c>
      <c r="O46" s="34" t="str">
        <f>VLOOKUP(L46,'2017 SIC to NAICS'!A:D,4)</f>
        <v>Industrial Valve Manufacturing</v>
      </c>
      <c r="P46" s="36" t="s">
        <v>809</v>
      </c>
      <c r="Q46" s="137" t="s">
        <v>810</v>
      </c>
      <c r="R46" s="45" t="s">
        <v>41</v>
      </c>
      <c r="S46" s="138">
        <f>COUNTIFS('Raw Non-zero DMR Data'!$A:$A, A46, 'Raw Non-zero DMR Data'!$C:$C, U46, 'Raw Non-zero DMR Data'!$V:$V, V46)</f>
        <v>2</v>
      </c>
      <c r="T46" s="34">
        <f>SUMIFS('Raw Non-zero DMR Data'!$X:$X, 'Raw Non-zero DMR Data'!$A:$A, A46, 'Raw Non-zero DMR Data'!$C:$C, U46, 'Raw Non-zero DMR Data'!V:V, V46)</f>
        <v>6.0908220000000001E-4</v>
      </c>
      <c r="U46" s="34" t="s">
        <v>807</v>
      </c>
      <c r="V46" s="34" t="s">
        <v>811</v>
      </c>
      <c r="W46" s="139">
        <v>111402070904</v>
      </c>
      <c r="X46" s="140" t="s">
        <v>812</v>
      </c>
    </row>
    <row r="47" spans="1:24" x14ac:dyDescent="0.35">
      <c r="A47" s="34">
        <v>2023</v>
      </c>
      <c r="B47" s="34" t="s">
        <v>377</v>
      </c>
      <c r="C47" s="34" t="s">
        <v>813</v>
      </c>
      <c r="D47" s="34" t="s">
        <v>378</v>
      </c>
      <c r="E47" s="34" t="s">
        <v>814</v>
      </c>
      <c r="F47" s="34" t="s">
        <v>181</v>
      </c>
      <c r="G47" s="34"/>
      <c r="H47" s="34">
        <v>42.758879999999998</v>
      </c>
      <c r="I47" s="34">
        <v>-84.537170000000003</v>
      </c>
      <c r="J47" s="34"/>
      <c r="K47" s="105">
        <v>110009162903</v>
      </c>
      <c r="L47" s="34">
        <v>1799</v>
      </c>
      <c r="M47" s="48" t="str">
        <f>VLOOKUP(L47, '2017 SIC to NAICS'!A:D, 2)</f>
        <v>Special Trade Contractors, Nec</v>
      </c>
      <c r="N47" s="34">
        <f>VLOOKUP(L47,'2017 SIC to NAICS'!A:D,3)</f>
        <v>562910</v>
      </c>
      <c r="O47" s="34" t="str">
        <f>VLOOKUP(L47,'2017 SIC to NAICS'!A:D,4)</f>
        <v>Remediation Services</v>
      </c>
      <c r="P47" s="36" t="s">
        <v>754</v>
      </c>
      <c r="Q47" s="137" t="s">
        <v>755</v>
      </c>
      <c r="R47" s="45" t="s">
        <v>41</v>
      </c>
      <c r="S47" s="138">
        <f>COUNTIFS('Raw Non-zero DMR Data'!$A:$A, A47, 'Raw Non-zero DMR Data'!$C:$C, U47, 'Raw Non-zero DMR Data'!$V:$V, V47)</f>
        <v>2</v>
      </c>
      <c r="T47" s="34">
        <f>SUMIFS('Raw Non-zero DMR Data'!$X:$X, 'Raw Non-zero DMR Data'!$A:$A, A47, 'Raw Non-zero DMR Data'!$C:$C, U47, 'Raw Non-zero DMR Data'!V:V, V47)</f>
        <v>0.57974617900000003</v>
      </c>
      <c r="U47" s="34" t="s">
        <v>813</v>
      </c>
      <c r="V47" s="34" t="s">
        <v>815</v>
      </c>
      <c r="W47" s="141" t="s">
        <v>816</v>
      </c>
      <c r="X47" s="140" t="s">
        <v>739</v>
      </c>
    </row>
    <row r="48" spans="1:24" x14ac:dyDescent="0.35">
      <c r="A48" s="34">
        <v>2020</v>
      </c>
      <c r="B48" s="34" t="s">
        <v>198</v>
      </c>
      <c r="C48" s="34" t="s">
        <v>781</v>
      </c>
      <c r="D48" s="34" t="s">
        <v>199</v>
      </c>
      <c r="E48" s="34" t="s">
        <v>782</v>
      </c>
      <c r="F48" s="34" t="s">
        <v>129</v>
      </c>
      <c r="G48" s="34"/>
      <c r="H48" s="34">
        <v>38.209220000000002</v>
      </c>
      <c r="I48" s="34">
        <v>-90.476910000000004</v>
      </c>
      <c r="J48" s="34"/>
      <c r="K48" s="105">
        <v>110000440416</v>
      </c>
      <c r="L48" s="34">
        <v>1795</v>
      </c>
      <c r="M48" s="48" t="str">
        <f>VLOOKUP(L48, '2017 SIC to NAICS'!A:D, 2)</f>
        <v>Wrecking and Demolition Work</v>
      </c>
      <c r="N48" s="34">
        <f>VLOOKUP(L48,'2017 SIC to NAICS'!A:D,3)</f>
        <v>238910</v>
      </c>
      <c r="O48" s="34" t="str">
        <f>VLOOKUP(L48,'2017 SIC to NAICS'!A:D,4)</f>
        <v>Site Preparation Contractors</v>
      </c>
      <c r="P48" s="36" t="s">
        <v>731</v>
      </c>
      <c r="Q48" s="137" t="s">
        <v>732</v>
      </c>
      <c r="R48" s="45" t="s">
        <v>41</v>
      </c>
      <c r="S48" s="138">
        <f>COUNTIFS('Raw Non-zero DMR Data'!$A:$A, A48, 'Raw Non-zero DMR Data'!$C:$C, U48, 'Raw Non-zero DMR Data'!$V:$V, V48)</f>
        <v>2</v>
      </c>
      <c r="T48" s="34">
        <f>SUMIFS('Raw Non-zero DMR Data'!$X:$X, 'Raw Non-zero DMR Data'!$A:$A, A48, 'Raw Non-zero DMR Data'!$C:$C, U48, 'Raw Non-zero DMR Data'!V:V, V48)</f>
        <v>3.6628575276699999</v>
      </c>
      <c r="U48" s="34" t="s">
        <v>781</v>
      </c>
      <c r="V48" s="34" t="s">
        <v>783</v>
      </c>
      <c r="W48" s="139">
        <v>71401010802</v>
      </c>
      <c r="X48" s="140" t="s">
        <v>734</v>
      </c>
    </row>
    <row r="49" spans="1:24" x14ac:dyDescent="0.35">
      <c r="A49" s="34">
        <v>2023</v>
      </c>
      <c r="B49" s="34" t="s">
        <v>627</v>
      </c>
      <c r="C49" s="34" t="s">
        <v>817</v>
      </c>
      <c r="D49" s="34" t="s">
        <v>628</v>
      </c>
      <c r="E49" s="34" t="s">
        <v>818</v>
      </c>
      <c r="F49" s="34" t="s">
        <v>254</v>
      </c>
      <c r="G49" s="34"/>
      <c r="H49" s="34">
        <v>40.515906999999999</v>
      </c>
      <c r="I49" s="34">
        <v>-74.325175999999999</v>
      </c>
      <c r="J49" s="34"/>
      <c r="K49" s="105">
        <v>110070215141</v>
      </c>
      <c r="L49" s="34"/>
      <c r="M49" s="48" t="e">
        <f>VLOOKUP(L49, '2017 SIC to NAICS'!A:D, 2)</f>
        <v>#N/A</v>
      </c>
      <c r="N49" s="34" t="e">
        <f>VLOOKUP(L49,'2017 SIC to NAICS'!A:D,3)</f>
        <v>#N/A</v>
      </c>
      <c r="O49" s="34" t="e">
        <f>VLOOKUP(L49,'2017 SIC to NAICS'!A:D,4)</f>
        <v>#N/A</v>
      </c>
      <c r="P49" s="36" t="s">
        <v>737</v>
      </c>
      <c r="Q49" s="137" t="s">
        <v>737</v>
      </c>
      <c r="R49" s="45" t="s">
        <v>41</v>
      </c>
      <c r="S49" s="138">
        <f>COUNTIFS('Raw Non-zero DMR Data'!$A:$A, A49, 'Raw Non-zero DMR Data'!$C:$C, U49, 'Raw Non-zero DMR Data'!$V:$V, V49)</f>
        <v>2</v>
      </c>
      <c r="T49" s="34">
        <f>SUMIFS('Raw Non-zero DMR Data'!$X:$X, 'Raw Non-zero DMR Data'!$A:$A, A49, 'Raw Non-zero DMR Data'!$C:$C, U49, 'Raw Non-zero DMR Data'!V:V, V49)</f>
        <v>1.9667922828000002E-3</v>
      </c>
      <c r="U49" s="34" t="s">
        <v>817</v>
      </c>
      <c r="V49" s="34" t="s">
        <v>819</v>
      </c>
      <c r="W49" s="141" t="s">
        <v>820</v>
      </c>
      <c r="X49" s="140" t="s">
        <v>821</v>
      </c>
    </row>
    <row r="50" spans="1:24" x14ac:dyDescent="0.35">
      <c r="A50" s="34">
        <v>2019</v>
      </c>
      <c r="B50" s="34" t="s">
        <v>381</v>
      </c>
      <c r="C50" s="34" t="s">
        <v>822</v>
      </c>
      <c r="D50" s="34" t="s">
        <v>337</v>
      </c>
      <c r="E50" s="34" t="s">
        <v>823</v>
      </c>
      <c r="F50" s="34" t="s">
        <v>221</v>
      </c>
      <c r="G50" s="34"/>
      <c r="H50" s="34">
        <v>36.116160999999998</v>
      </c>
      <c r="I50" s="34">
        <v>-115.172741</v>
      </c>
      <c r="J50" s="34"/>
      <c r="K50" s="105">
        <v>110015972562</v>
      </c>
      <c r="L50" s="34">
        <v>7011</v>
      </c>
      <c r="M50" s="48" t="str">
        <f>VLOOKUP(L50, '2017 SIC to NAICS'!A:D, 2)</f>
        <v>Hotels and Motels</v>
      </c>
      <c r="N50" s="34">
        <f>VLOOKUP(L50,'2017 SIC to NAICS'!A:D,3)</f>
        <v>721199</v>
      </c>
      <c r="O50" s="34" t="str">
        <f>VLOOKUP(L50,'2017 SIC to NAICS'!A:D,4)</f>
        <v>All Other Traveler Accommodation</v>
      </c>
      <c r="P50" s="36" t="s">
        <v>737</v>
      </c>
      <c r="Q50" s="137" t="s">
        <v>737</v>
      </c>
      <c r="R50" s="45" t="s">
        <v>41</v>
      </c>
      <c r="S50" s="138">
        <f>COUNTIFS('Raw Non-zero DMR Data'!$A:$A, A50, 'Raw Non-zero DMR Data'!$C:$C, U50, 'Raw Non-zero DMR Data'!$V:$V, V50)</f>
        <v>2</v>
      </c>
      <c r="T50" s="34">
        <f>SUMIFS('Raw Non-zero DMR Data'!$X:$X, 'Raw Non-zero DMR Data'!$A:$A, A50, 'Raw Non-zero DMR Data'!$C:$C, U50, 'Raw Non-zero DMR Data'!V:V, V50)</f>
        <v>0.31148866621250004</v>
      </c>
      <c r="U50" s="34" t="s">
        <v>822</v>
      </c>
      <c r="V50" s="34" t="s">
        <v>738</v>
      </c>
      <c r="W50" s="139">
        <v>150100150604</v>
      </c>
      <c r="X50" s="140" t="s">
        <v>792</v>
      </c>
    </row>
    <row r="51" spans="1:24" x14ac:dyDescent="0.35">
      <c r="A51" s="34">
        <v>2020</v>
      </c>
      <c r="B51" s="34" t="s">
        <v>381</v>
      </c>
      <c r="C51" s="34" t="s">
        <v>822</v>
      </c>
      <c r="D51" s="34" t="s">
        <v>337</v>
      </c>
      <c r="E51" s="34" t="s">
        <v>823</v>
      </c>
      <c r="F51" s="34" t="s">
        <v>221</v>
      </c>
      <c r="G51" s="34"/>
      <c r="H51" s="34">
        <v>36.116160999999998</v>
      </c>
      <c r="I51" s="34">
        <v>-115.172741</v>
      </c>
      <c r="J51" s="34"/>
      <c r="K51" s="105">
        <v>110015972562</v>
      </c>
      <c r="L51" s="34">
        <v>7011</v>
      </c>
      <c r="M51" s="48" t="str">
        <f>VLOOKUP(L51, '2017 SIC to NAICS'!A:D, 2)</f>
        <v>Hotels and Motels</v>
      </c>
      <c r="N51" s="34">
        <f>VLOOKUP(L51,'2017 SIC to NAICS'!A:D,3)</f>
        <v>721199</v>
      </c>
      <c r="O51" s="34" t="str">
        <f>VLOOKUP(L51,'2017 SIC to NAICS'!A:D,4)</f>
        <v>All Other Traveler Accommodation</v>
      </c>
      <c r="P51" s="36" t="s">
        <v>737</v>
      </c>
      <c r="Q51" s="137" t="s">
        <v>737</v>
      </c>
      <c r="R51" s="45" t="s">
        <v>41</v>
      </c>
      <c r="S51" s="138">
        <f>COUNTIFS('Raw Non-zero DMR Data'!$A:$A, A51, 'Raw Non-zero DMR Data'!$C:$C, U51, 'Raw Non-zero DMR Data'!$V:$V, V51)</f>
        <v>2</v>
      </c>
      <c r="T51" s="34">
        <f>SUMIFS('Raw Non-zero DMR Data'!$X:$X, 'Raw Non-zero DMR Data'!$A:$A, A51, 'Raw Non-zero DMR Data'!$C:$C, U51, 'Raw Non-zero DMR Data'!V:V, V51)</f>
        <v>0.31879006368749996</v>
      </c>
      <c r="U51" s="34" t="s">
        <v>822</v>
      </c>
      <c r="V51" s="34" t="s">
        <v>738</v>
      </c>
      <c r="W51" s="139">
        <v>150100150604</v>
      </c>
      <c r="X51" s="140" t="s">
        <v>739</v>
      </c>
    </row>
    <row r="52" spans="1:24" x14ac:dyDescent="0.35">
      <c r="A52" s="34">
        <v>2021</v>
      </c>
      <c r="B52" s="34" t="s">
        <v>381</v>
      </c>
      <c r="C52" s="34" t="s">
        <v>822</v>
      </c>
      <c r="D52" s="34" t="s">
        <v>337</v>
      </c>
      <c r="E52" s="34" t="s">
        <v>823</v>
      </c>
      <c r="F52" s="34" t="s">
        <v>221</v>
      </c>
      <c r="G52" s="34"/>
      <c r="H52" s="34">
        <v>36.116160999999998</v>
      </c>
      <c r="I52" s="34">
        <v>-115.172741</v>
      </c>
      <c r="J52" s="34"/>
      <c r="K52" s="105">
        <v>110015972562</v>
      </c>
      <c r="L52" s="34">
        <v>7011</v>
      </c>
      <c r="M52" s="48" t="str">
        <f>VLOOKUP(L52, '2017 SIC to NAICS'!A:D, 2)</f>
        <v>Hotels and Motels</v>
      </c>
      <c r="N52" s="34">
        <f>VLOOKUP(L52,'2017 SIC to NAICS'!A:D,3)</f>
        <v>721199</v>
      </c>
      <c r="O52" s="34" t="str">
        <f>VLOOKUP(L52,'2017 SIC to NAICS'!A:D,4)</f>
        <v>All Other Traveler Accommodation</v>
      </c>
      <c r="P52" s="36" t="s">
        <v>737</v>
      </c>
      <c r="Q52" s="137" t="s">
        <v>737</v>
      </c>
      <c r="R52" s="45" t="s">
        <v>41</v>
      </c>
      <c r="S52" s="138">
        <f>COUNTIFS('Raw Non-zero DMR Data'!$A:$A, A52, 'Raw Non-zero DMR Data'!$C:$C, U52, 'Raw Non-zero DMR Data'!$V:$V, V52)</f>
        <v>2</v>
      </c>
      <c r="T52" s="34">
        <f>SUMIFS('Raw Non-zero DMR Data'!$X:$X, 'Raw Non-zero DMR Data'!$A:$A, A52, 'Raw Non-zero DMR Data'!$C:$C, U52, 'Raw Non-zero DMR Data'!V:V, V52)</f>
        <v>0.20122415029999999</v>
      </c>
      <c r="U52" s="34" t="s">
        <v>822</v>
      </c>
      <c r="V52" s="34" t="s">
        <v>738</v>
      </c>
      <c r="W52" s="139">
        <v>150100150604</v>
      </c>
      <c r="X52" s="140" t="s">
        <v>739</v>
      </c>
    </row>
    <row r="53" spans="1:24" x14ac:dyDescent="0.35">
      <c r="A53" s="34">
        <v>2022</v>
      </c>
      <c r="B53" s="34" t="s">
        <v>381</v>
      </c>
      <c r="C53" s="34" t="s">
        <v>822</v>
      </c>
      <c r="D53" s="34" t="s">
        <v>337</v>
      </c>
      <c r="E53" s="34" t="s">
        <v>823</v>
      </c>
      <c r="F53" s="34" t="s">
        <v>221</v>
      </c>
      <c r="G53" s="34"/>
      <c r="H53" s="34">
        <v>36.116160999999998</v>
      </c>
      <c r="I53" s="34">
        <v>-115.172741</v>
      </c>
      <c r="J53" s="34"/>
      <c r="K53" s="105">
        <v>110015972562</v>
      </c>
      <c r="L53" s="34">
        <v>7011</v>
      </c>
      <c r="M53" s="48" t="str">
        <f>VLOOKUP(L53, '2017 SIC to NAICS'!A:D, 2)</f>
        <v>Hotels and Motels</v>
      </c>
      <c r="N53" s="34">
        <f>VLOOKUP(L53,'2017 SIC to NAICS'!A:D,3)</f>
        <v>721199</v>
      </c>
      <c r="O53" s="34" t="str">
        <f>VLOOKUP(L53,'2017 SIC to NAICS'!A:D,4)</f>
        <v>All Other Traveler Accommodation</v>
      </c>
      <c r="P53" s="36" t="s">
        <v>737</v>
      </c>
      <c r="Q53" s="137" t="s">
        <v>737</v>
      </c>
      <c r="R53" s="45" t="s">
        <v>41</v>
      </c>
      <c r="S53" s="138">
        <f>COUNTIFS('Raw Non-zero DMR Data'!$A:$A, A53, 'Raw Non-zero DMR Data'!$C:$C, U53, 'Raw Non-zero DMR Data'!$V:$V, V53)</f>
        <v>2</v>
      </c>
      <c r="T53" s="34">
        <f>SUMIFS('Raw Non-zero DMR Data'!$X:$X, 'Raw Non-zero DMR Data'!$A:$A, A53, 'Raw Non-zero DMR Data'!$C:$C, U53, 'Raw Non-zero DMR Data'!V:V, V53)</f>
        <v>0.26438785180000002</v>
      </c>
      <c r="U53" s="34" t="s">
        <v>822</v>
      </c>
      <c r="V53" s="34" t="s">
        <v>738</v>
      </c>
      <c r="W53" s="139">
        <v>150100150604</v>
      </c>
      <c r="X53" s="140" t="s">
        <v>739</v>
      </c>
    </row>
    <row r="54" spans="1:24" x14ac:dyDescent="0.35">
      <c r="A54" s="34">
        <v>2023</v>
      </c>
      <c r="B54" s="34" t="s">
        <v>381</v>
      </c>
      <c r="C54" s="34" t="s">
        <v>822</v>
      </c>
      <c r="D54" s="34" t="s">
        <v>337</v>
      </c>
      <c r="E54" s="34" t="s">
        <v>823</v>
      </c>
      <c r="F54" s="34" t="s">
        <v>221</v>
      </c>
      <c r="G54" s="34"/>
      <c r="H54" s="34">
        <v>36.116160999999998</v>
      </c>
      <c r="I54" s="34">
        <v>-115.172741</v>
      </c>
      <c r="J54" s="34"/>
      <c r="K54" s="105">
        <v>110015972562</v>
      </c>
      <c r="L54" s="34">
        <v>7011</v>
      </c>
      <c r="M54" s="48" t="str">
        <f>VLOOKUP(L54, '2017 SIC to NAICS'!A:D, 2)</f>
        <v>Hotels and Motels</v>
      </c>
      <c r="N54" s="34">
        <f>VLOOKUP(L54,'2017 SIC to NAICS'!A:D,3)</f>
        <v>721199</v>
      </c>
      <c r="O54" s="34" t="str">
        <f>VLOOKUP(L54,'2017 SIC to NAICS'!A:D,4)</f>
        <v>All Other Traveler Accommodation</v>
      </c>
      <c r="P54" s="36" t="s">
        <v>737</v>
      </c>
      <c r="Q54" s="137" t="s">
        <v>737</v>
      </c>
      <c r="R54" s="45" t="s">
        <v>41</v>
      </c>
      <c r="S54" s="138">
        <f>COUNTIFS('Raw Non-zero DMR Data'!$A:$A, A54, 'Raw Non-zero DMR Data'!$C:$C, U54, 'Raw Non-zero DMR Data'!$V:$V, V54)</f>
        <v>2</v>
      </c>
      <c r="T54" s="34">
        <f>SUMIFS('Raw Non-zero DMR Data'!$X:$X, 'Raw Non-zero DMR Data'!$A:$A, A54, 'Raw Non-zero DMR Data'!$C:$C, U54, 'Raw Non-zero DMR Data'!V:V, V54)</f>
        <v>0.1652856793875</v>
      </c>
      <c r="U54" s="34" t="s">
        <v>822</v>
      </c>
      <c r="V54" s="34" t="s">
        <v>738</v>
      </c>
      <c r="W54" s="139">
        <v>150100150604</v>
      </c>
      <c r="X54" s="140" t="s">
        <v>739</v>
      </c>
    </row>
    <row r="55" spans="1:24" x14ac:dyDescent="0.35">
      <c r="A55" s="34">
        <v>2020</v>
      </c>
      <c r="B55" s="34" t="s">
        <v>677</v>
      </c>
      <c r="C55" s="34" t="s">
        <v>824</v>
      </c>
      <c r="D55" s="34" t="s">
        <v>337</v>
      </c>
      <c r="E55" s="34" t="s">
        <v>823</v>
      </c>
      <c r="F55" s="34" t="s">
        <v>221</v>
      </c>
      <c r="G55" s="34"/>
      <c r="H55" s="34">
        <v>36.108890000000002</v>
      </c>
      <c r="I55" s="34">
        <v>-115.18118</v>
      </c>
      <c r="J55" s="34"/>
      <c r="K55" s="105">
        <v>110059861065</v>
      </c>
      <c r="L55" s="34">
        <v>6531</v>
      </c>
      <c r="M55" s="48" t="str">
        <f>VLOOKUP(L55, '2017 SIC to NAICS'!A:D, 2)</f>
        <v>Real Estate Agents and Managers</v>
      </c>
      <c r="N55" s="34">
        <f>VLOOKUP(L55,'2017 SIC to NAICS'!A:D,3)</f>
        <v>813990</v>
      </c>
      <c r="O55" s="34" t="str">
        <f>VLOOKUP(L55,'2017 SIC to NAICS'!A:D,4)</f>
        <v>Other Similar Organizations (except Business, Professional, Labor, and
Political Organizations)</v>
      </c>
      <c r="P55" s="36" t="s">
        <v>754</v>
      </c>
      <c r="Q55" s="137" t="s">
        <v>755</v>
      </c>
      <c r="R55" s="45" t="s">
        <v>41</v>
      </c>
      <c r="S55" s="138">
        <f>COUNTIFS('Raw Non-zero DMR Data'!$A:$A, A55, 'Raw Non-zero DMR Data'!$C:$C, U55, 'Raw Non-zero DMR Data'!$V:$V, V55)</f>
        <v>2</v>
      </c>
      <c r="T55" s="34">
        <f>SUMIFS('Raw Non-zero DMR Data'!$X:$X, 'Raw Non-zero DMR Data'!$A:$A, A55, 'Raw Non-zero DMR Data'!$C:$C, U55, 'Raw Non-zero DMR Data'!V:V, V55)</f>
        <v>1.4816855625000001E-3</v>
      </c>
      <c r="U55" s="34" t="s">
        <v>824</v>
      </c>
      <c r="V55" s="34" t="s">
        <v>825</v>
      </c>
      <c r="W55" s="139">
        <v>150100150505</v>
      </c>
      <c r="X55" s="140" t="s">
        <v>739</v>
      </c>
    </row>
    <row r="56" spans="1:24" x14ac:dyDescent="0.35">
      <c r="A56" s="34">
        <v>2021</v>
      </c>
      <c r="B56" s="34" t="s">
        <v>677</v>
      </c>
      <c r="C56" s="34" t="s">
        <v>824</v>
      </c>
      <c r="D56" s="34" t="s">
        <v>337</v>
      </c>
      <c r="E56" s="34" t="s">
        <v>823</v>
      </c>
      <c r="F56" s="34" t="s">
        <v>221</v>
      </c>
      <c r="G56" s="34"/>
      <c r="H56" s="34">
        <v>36.108890000000002</v>
      </c>
      <c r="I56" s="34">
        <v>-115.18118</v>
      </c>
      <c r="J56" s="34"/>
      <c r="K56" s="105">
        <v>110059861065</v>
      </c>
      <c r="L56" s="34">
        <v>6531</v>
      </c>
      <c r="M56" s="48" t="str">
        <f>VLOOKUP(L56, '2017 SIC to NAICS'!A:D, 2)</f>
        <v>Real Estate Agents and Managers</v>
      </c>
      <c r="N56" s="34">
        <f>VLOOKUP(L56,'2017 SIC to NAICS'!A:D,3)</f>
        <v>813990</v>
      </c>
      <c r="O56" s="34" t="str">
        <f>VLOOKUP(L56,'2017 SIC to NAICS'!A:D,4)</f>
        <v>Other Similar Organizations (except Business, Professional, Labor, and
Political Organizations)</v>
      </c>
      <c r="P56" s="36" t="s">
        <v>754</v>
      </c>
      <c r="Q56" s="137" t="s">
        <v>755</v>
      </c>
      <c r="R56" s="45" t="s">
        <v>41</v>
      </c>
      <c r="S56" s="138">
        <f>COUNTIFS('Raw Non-zero DMR Data'!$A:$A, A56, 'Raw Non-zero DMR Data'!$C:$C, U56, 'Raw Non-zero DMR Data'!$V:$V, V56)</f>
        <v>2</v>
      </c>
      <c r="T56" s="34">
        <f>SUMIFS('Raw Non-zero DMR Data'!$X:$X, 'Raw Non-zero DMR Data'!$A:$A, A56, 'Raw Non-zero DMR Data'!$C:$C, U56, 'Raw Non-zero DMR Data'!V:V, V56)</f>
        <v>8.99372775E-4</v>
      </c>
      <c r="U56" s="34" t="s">
        <v>824</v>
      </c>
      <c r="V56" s="34" t="s">
        <v>825</v>
      </c>
      <c r="W56" s="139">
        <v>150100150505</v>
      </c>
      <c r="X56" s="140" t="s">
        <v>739</v>
      </c>
    </row>
    <row r="57" spans="1:24" x14ac:dyDescent="0.35">
      <c r="A57" s="34">
        <v>2022</v>
      </c>
      <c r="B57" s="34" t="s">
        <v>677</v>
      </c>
      <c r="C57" s="34" t="s">
        <v>824</v>
      </c>
      <c r="D57" s="34" t="s">
        <v>337</v>
      </c>
      <c r="E57" s="34" t="s">
        <v>823</v>
      </c>
      <c r="F57" s="34" t="s">
        <v>221</v>
      </c>
      <c r="G57" s="34"/>
      <c r="H57" s="34">
        <v>36.108890000000002</v>
      </c>
      <c r="I57" s="34">
        <v>-115.18118</v>
      </c>
      <c r="J57" s="34"/>
      <c r="K57" s="105">
        <v>110059861065</v>
      </c>
      <c r="L57" s="34">
        <v>6531</v>
      </c>
      <c r="M57" s="48" t="str">
        <f>VLOOKUP(L57, '2017 SIC to NAICS'!A:D, 2)</f>
        <v>Real Estate Agents and Managers</v>
      </c>
      <c r="N57" s="34">
        <f>VLOOKUP(L57,'2017 SIC to NAICS'!A:D,3)</f>
        <v>813990</v>
      </c>
      <c r="O57" s="34" t="str">
        <f>VLOOKUP(L57,'2017 SIC to NAICS'!A:D,4)</f>
        <v>Other Similar Organizations (except Business, Professional, Labor, and
Political Organizations)</v>
      </c>
      <c r="P57" s="36" t="s">
        <v>754</v>
      </c>
      <c r="Q57" s="137" t="s">
        <v>755</v>
      </c>
      <c r="R57" s="45" t="s">
        <v>41</v>
      </c>
      <c r="S57" s="138">
        <f>COUNTIFS('Raw Non-zero DMR Data'!$A:$A, A57, 'Raw Non-zero DMR Data'!$C:$C, U57, 'Raw Non-zero DMR Data'!$V:$V, V57)</f>
        <v>2</v>
      </c>
      <c r="T57" s="34">
        <f>SUMIFS('Raw Non-zero DMR Data'!$X:$X, 'Raw Non-zero DMR Data'!$A:$A, A57, 'Raw Non-zero DMR Data'!$C:$C, U57, 'Raw Non-zero DMR Data'!V:V, V57)</f>
        <v>1.0133485875000001E-3</v>
      </c>
      <c r="U57" s="34" t="s">
        <v>824</v>
      </c>
      <c r="V57" s="34" t="s">
        <v>825</v>
      </c>
      <c r="W57" s="139">
        <v>150100150505</v>
      </c>
      <c r="X57" s="140" t="s">
        <v>739</v>
      </c>
    </row>
    <row r="58" spans="1:24" x14ac:dyDescent="0.35">
      <c r="A58" s="34">
        <v>2023</v>
      </c>
      <c r="B58" s="34" t="s">
        <v>677</v>
      </c>
      <c r="C58" s="34" t="s">
        <v>824</v>
      </c>
      <c r="D58" s="34" t="s">
        <v>337</v>
      </c>
      <c r="E58" s="34" t="s">
        <v>823</v>
      </c>
      <c r="F58" s="34" t="s">
        <v>221</v>
      </c>
      <c r="G58" s="34"/>
      <c r="H58" s="34">
        <v>36.108890000000002</v>
      </c>
      <c r="I58" s="34">
        <v>-115.18118</v>
      </c>
      <c r="J58" s="34"/>
      <c r="K58" s="105">
        <v>110059861065</v>
      </c>
      <c r="L58" s="34">
        <v>6531</v>
      </c>
      <c r="M58" s="48" t="str">
        <f>VLOOKUP(L58, '2017 SIC to NAICS'!A:D, 2)</f>
        <v>Real Estate Agents and Managers</v>
      </c>
      <c r="N58" s="34">
        <f>VLOOKUP(L58,'2017 SIC to NAICS'!A:D,3)</f>
        <v>813990</v>
      </c>
      <c r="O58" s="34" t="str">
        <f>VLOOKUP(L58,'2017 SIC to NAICS'!A:D,4)</f>
        <v>Other Similar Organizations (except Business, Professional, Labor, and
Political Organizations)</v>
      </c>
      <c r="P58" s="36" t="s">
        <v>754</v>
      </c>
      <c r="Q58" s="137" t="s">
        <v>755</v>
      </c>
      <c r="R58" s="45" t="s">
        <v>41</v>
      </c>
      <c r="S58" s="138">
        <f>COUNTIFS('Raw Non-zero DMR Data'!$A:$A, A58, 'Raw Non-zero DMR Data'!$C:$C, U58, 'Raw Non-zero DMR Data'!$V:$V, V58)</f>
        <v>2</v>
      </c>
      <c r="T58" s="34">
        <f>SUMIFS('Raw Non-zero DMR Data'!$X:$X, 'Raw Non-zero DMR Data'!$A:$A, A58, 'Raw Non-zero DMR Data'!$C:$C, U58, 'Raw Non-zero DMR Data'!V:V, V58)</f>
        <v>1.0699911124999999E-3</v>
      </c>
      <c r="U58" s="34" t="s">
        <v>824</v>
      </c>
      <c r="V58" s="34" t="s">
        <v>825</v>
      </c>
      <c r="W58" s="139">
        <v>150100150505</v>
      </c>
      <c r="X58" s="140" t="s">
        <v>739</v>
      </c>
    </row>
    <row r="59" spans="1:24" x14ac:dyDescent="0.35">
      <c r="A59" s="34">
        <v>2019</v>
      </c>
      <c r="B59" s="34" t="s">
        <v>547</v>
      </c>
      <c r="C59" s="34" t="s">
        <v>826</v>
      </c>
      <c r="D59" s="34" t="s">
        <v>337</v>
      </c>
      <c r="E59" s="34" t="s">
        <v>823</v>
      </c>
      <c r="F59" s="34" t="s">
        <v>221</v>
      </c>
      <c r="G59" s="34"/>
      <c r="H59" s="34">
        <v>36.075400000000002</v>
      </c>
      <c r="I59" s="34">
        <v>-115.1669</v>
      </c>
      <c r="J59" s="34"/>
      <c r="K59" s="105">
        <v>110064134459</v>
      </c>
      <c r="L59" s="34">
        <v>4581</v>
      </c>
      <c r="M59" s="48" t="str">
        <f>VLOOKUP(L59, '2017 SIC to NAICS'!A:D, 2)</f>
        <v>Airports, Flying Fields, and Services</v>
      </c>
      <c r="N59" s="34">
        <f>VLOOKUP(L59,'2017 SIC to NAICS'!A:D,3)</f>
        <v>811420</v>
      </c>
      <c r="O59" s="34" t="str">
        <f>VLOOKUP(L59,'2017 SIC to NAICS'!A:D,4)</f>
        <v>Reupholstery and Furniture Repair</v>
      </c>
      <c r="P59" s="36" t="s">
        <v>737</v>
      </c>
      <c r="Q59" s="137" t="s">
        <v>737</v>
      </c>
      <c r="R59" s="45" t="s">
        <v>38</v>
      </c>
      <c r="S59" s="138">
        <f>COUNTIFS('Raw Non-zero DMR Data'!$A:$A, A59, 'Raw Non-zero DMR Data'!$C:$C, U59, 'Raw Non-zero DMR Data'!$V:$V, V59)</f>
        <v>2</v>
      </c>
      <c r="T59" s="34">
        <f>SUMIFS('Raw Non-zero DMR Data'!$X:$X, 'Raw Non-zero DMR Data'!$A:$A, A59, 'Raw Non-zero DMR Data'!$C:$C, U59, 'Raw Non-zero DMR Data'!V:V, V59)</f>
        <v>2.1553777125E-2</v>
      </c>
      <c r="U59" s="34" t="s">
        <v>826</v>
      </c>
      <c r="V59" s="34" t="s">
        <v>827</v>
      </c>
      <c r="W59" s="139">
        <v>150100150704</v>
      </c>
      <c r="X59" s="140" t="s">
        <v>828</v>
      </c>
    </row>
    <row r="60" spans="1:24" x14ac:dyDescent="0.35">
      <c r="A60" s="34">
        <v>2020</v>
      </c>
      <c r="B60" s="34" t="s">
        <v>547</v>
      </c>
      <c r="C60" s="34" t="s">
        <v>826</v>
      </c>
      <c r="D60" s="34" t="s">
        <v>337</v>
      </c>
      <c r="E60" s="34" t="s">
        <v>823</v>
      </c>
      <c r="F60" s="34" t="s">
        <v>221</v>
      </c>
      <c r="G60" s="34"/>
      <c r="H60" s="34">
        <v>36.075400000000002</v>
      </c>
      <c r="I60" s="34">
        <v>-115.1669</v>
      </c>
      <c r="J60" s="34"/>
      <c r="K60" s="105">
        <v>110064134459</v>
      </c>
      <c r="L60" s="34">
        <v>4581</v>
      </c>
      <c r="M60" s="48" t="str">
        <f>VLOOKUP(L60, '2017 SIC to NAICS'!A:D, 2)</f>
        <v>Airports, Flying Fields, and Services</v>
      </c>
      <c r="N60" s="34">
        <f>VLOOKUP(L60,'2017 SIC to NAICS'!A:D,3)</f>
        <v>811420</v>
      </c>
      <c r="O60" s="34" t="str">
        <f>VLOOKUP(L60,'2017 SIC to NAICS'!A:D,4)</f>
        <v>Reupholstery and Furniture Repair</v>
      </c>
      <c r="P60" s="36" t="s">
        <v>737</v>
      </c>
      <c r="Q60" s="137" t="s">
        <v>737</v>
      </c>
      <c r="R60" s="45" t="s">
        <v>38</v>
      </c>
      <c r="S60" s="138">
        <f>COUNTIFS('Raw Non-zero DMR Data'!$A:$A, A60, 'Raw Non-zero DMR Data'!$C:$C, U60, 'Raw Non-zero DMR Data'!$V:$V, V60)</f>
        <v>2</v>
      </c>
      <c r="T60" s="34">
        <f>SUMIFS('Raw Non-zero DMR Data'!$X:$X, 'Raw Non-zero DMR Data'!$A:$A, A60, 'Raw Non-zero DMR Data'!$C:$C, U60, 'Raw Non-zero DMR Data'!V:V, V60)</f>
        <v>4.8375895749999995E-2</v>
      </c>
      <c r="U60" s="34" t="s">
        <v>826</v>
      </c>
      <c r="V60" s="34" t="s">
        <v>827</v>
      </c>
      <c r="W60" s="139">
        <v>150100150704</v>
      </c>
      <c r="X60" s="140" t="s">
        <v>828</v>
      </c>
    </row>
    <row r="61" spans="1:24" x14ac:dyDescent="0.35">
      <c r="A61" s="34">
        <v>2021</v>
      </c>
      <c r="B61" s="34" t="s">
        <v>547</v>
      </c>
      <c r="C61" s="34" t="s">
        <v>826</v>
      </c>
      <c r="D61" s="34" t="s">
        <v>337</v>
      </c>
      <c r="E61" s="34" t="s">
        <v>823</v>
      </c>
      <c r="F61" s="34" t="s">
        <v>221</v>
      </c>
      <c r="G61" s="34"/>
      <c r="H61" s="34">
        <v>36.075400000000002</v>
      </c>
      <c r="I61" s="34">
        <v>-115.1669</v>
      </c>
      <c r="J61" s="34"/>
      <c r="K61" s="105">
        <v>110064134459</v>
      </c>
      <c r="L61" s="34">
        <v>4581</v>
      </c>
      <c r="M61" s="48" t="str">
        <f>VLOOKUP(L61, '2017 SIC to NAICS'!A:D, 2)</f>
        <v>Airports, Flying Fields, and Services</v>
      </c>
      <c r="N61" s="34">
        <f>VLOOKUP(L61,'2017 SIC to NAICS'!A:D,3)</f>
        <v>811420</v>
      </c>
      <c r="O61" s="34" t="str">
        <f>VLOOKUP(L61,'2017 SIC to NAICS'!A:D,4)</f>
        <v>Reupholstery and Furniture Repair</v>
      </c>
      <c r="P61" s="36" t="s">
        <v>737</v>
      </c>
      <c r="Q61" s="137" t="s">
        <v>737</v>
      </c>
      <c r="R61" s="45" t="s">
        <v>38</v>
      </c>
      <c r="S61" s="138">
        <f>COUNTIFS('Raw Non-zero DMR Data'!$A:$A, A61, 'Raw Non-zero DMR Data'!$C:$C, U61, 'Raw Non-zero DMR Data'!$V:$V, V61)</f>
        <v>2</v>
      </c>
      <c r="T61" s="34">
        <f>SUMIFS('Raw Non-zero DMR Data'!$X:$X, 'Raw Non-zero DMR Data'!$A:$A, A61, 'Raw Non-zero DMR Data'!$C:$C, U61, 'Raw Non-zero DMR Data'!V:V, V61)</f>
        <v>6.0444557500000003E-3</v>
      </c>
      <c r="U61" s="34" t="s">
        <v>826</v>
      </c>
      <c r="V61" s="34" t="s">
        <v>827</v>
      </c>
      <c r="W61" s="139">
        <v>150100150704</v>
      </c>
      <c r="X61" s="140" t="s">
        <v>828</v>
      </c>
    </row>
    <row r="62" spans="1:24" x14ac:dyDescent="0.35">
      <c r="A62" s="34">
        <v>2022</v>
      </c>
      <c r="B62" s="34" t="s">
        <v>547</v>
      </c>
      <c r="C62" s="34" t="s">
        <v>826</v>
      </c>
      <c r="D62" s="34" t="s">
        <v>337</v>
      </c>
      <c r="E62" s="34" t="s">
        <v>823</v>
      </c>
      <c r="F62" s="34" t="s">
        <v>221</v>
      </c>
      <c r="G62" s="34"/>
      <c r="H62" s="34">
        <v>36.075400000000002</v>
      </c>
      <c r="I62" s="34">
        <v>-115.1669</v>
      </c>
      <c r="J62" s="34"/>
      <c r="K62" s="105">
        <v>110064134459</v>
      </c>
      <c r="L62" s="34">
        <v>4581</v>
      </c>
      <c r="M62" s="48" t="str">
        <f>VLOOKUP(L62, '2017 SIC to NAICS'!A:D, 2)</f>
        <v>Airports, Flying Fields, and Services</v>
      </c>
      <c r="N62" s="34">
        <f>VLOOKUP(L62,'2017 SIC to NAICS'!A:D,3)</f>
        <v>811420</v>
      </c>
      <c r="O62" s="34" t="str">
        <f>VLOOKUP(L62,'2017 SIC to NAICS'!A:D,4)</f>
        <v>Reupholstery and Furniture Repair</v>
      </c>
      <c r="P62" s="36" t="s">
        <v>737</v>
      </c>
      <c r="Q62" s="137" t="s">
        <v>737</v>
      </c>
      <c r="R62" s="45" t="s">
        <v>38</v>
      </c>
      <c r="S62" s="138">
        <f>COUNTIFS('Raw Non-zero DMR Data'!$A:$A, A62, 'Raw Non-zero DMR Data'!$C:$C, U62, 'Raw Non-zero DMR Data'!$V:$V, V62)</f>
        <v>2</v>
      </c>
      <c r="T62" s="34">
        <f>SUMIFS('Raw Non-zero DMR Data'!$X:$X, 'Raw Non-zero DMR Data'!$A:$A, A62, 'Raw Non-zero DMR Data'!$C:$C, U62, 'Raw Non-zero DMR Data'!V:V, V62)</f>
        <v>5.6171292500000001E-3</v>
      </c>
      <c r="U62" s="34" t="s">
        <v>826</v>
      </c>
      <c r="V62" s="34" t="s">
        <v>827</v>
      </c>
      <c r="W62" s="139">
        <v>150100150704</v>
      </c>
      <c r="X62" s="140" t="s">
        <v>828</v>
      </c>
    </row>
    <row r="63" spans="1:24" x14ac:dyDescent="0.35">
      <c r="A63" s="34">
        <v>2023</v>
      </c>
      <c r="B63" s="34" t="s">
        <v>547</v>
      </c>
      <c r="C63" s="34" t="s">
        <v>826</v>
      </c>
      <c r="D63" s="34" t="s">
        <v>337</v>
      </c>
      <c r="E63" s="34" t="s">
        <v>823</v>
      </c>
      <c r="F63" s="34" t="s">
        <v>221</v>
      </c>
      <c r="G63" s="34"/>
      <c r="H63" s="34">
        <v>36.075400000000002</v>
      </c>
      <c r="I63" s="34">
        <v>-115.1669</v>
      </c>
      <c r="J63" s="34"/>
      <c r="K63" s="105">
        <v>110064134459</v>
      </c>
      <c r="L63" s="34">
        <v>4581</v>
      </c>
      <c r="M63" s="48" t="str">
        <f>VLOOKUP(L63, '2017 SIC to NAICS'!A:D, 2)</f>
        <v>Airports, Flying Fields, and Services</v>
      </c>
      <c r="N63" s="34">
        <f>VLOOKUP(L63,'2017 SIC to NAICS'!A:D,3)</f>
        <v>811420</v>
      </c>
      <c r="O63" s="34" t="str">
        <f>VLOOKUP(L63,'2017 SIC to NAICS'!A:D,4)</f>
        <v>Reupholstery and Furniture Repair</v>
      </c>
      <c r="P63" s="36" t="s">
        <v>737</v>
      </c>
      <c r="Q63" s="137" t="s">
        <v>737</v>
      </c>
      <c r="R63" s="45" t="s">
        <v>38</v>
      </c>
      <c r="S63" s="138">
        <f>COUNTIFS('Raw Non-zero DMR Data'!$A:$A, A63, 'Raw Non-zero DMR Data'!$C:$C, U63, 'Raw Non-zero DMR Data'!$V:$V, V63)</f>
        <v>2</v>
      </c>
      <c r="T63" s="34">
        <f>SUMIFS('Raw Non-zero DMR Data'!$X:$X, 'Raw Non-zero DMR Data'!$A:$A, A63, 'Raw Non-zero DMR Data'!$C:$C, U63, 'Raw Non-zero DMR Data'!V:V, V63)</f>
        <v>1.116858875E-2</v>
      </c>
      <c r="U63" s="34" t="s">
        <v>826</v>
      </c>
      <c r="V63" s="34" t="s">
        <v>827</v>
      </c>
      <c r="W63" s="139">
        <v>150100150704</v>
      </c>
      <c r="X63" s="140" t="s">
        <v>828</v>
      </c>
    </row>
    <row r="64" spans="1:24" x14ac:dyDescent="0.35">
      <c r="A64" s="34">
        <v>2020</v>
      </c>
      <c r="B64" s="34" t="s">
        <v>512</v>
      </c>
      <c r="C64" s="34" t="s">
        <v>829</v>
      </c>
      <c r="D64" s="34" t="s">
        <v>337</v>
      </c>
      <c r="E64" s="34" t="s">
        <v>823</v>
      </c>
      <c r="F64" s="34" t="s">
        <v>221</v>
      </c>
      <c r="G64" s="34"/>
      <c r="H64" s="34">
        <v>36.131489999999999</v>
      </c>
      <c r="I64" s="34">
        <v>-115.15483</v>
      </c>
      <c r="J64" s="34"/>
      <c r="K64" s="105">
        <v>110059844156</v>
      </c>
      <c r="L64" s="34">
        <v>1799</v>
      </c>
      <c r="M64" s="48" t="str">
        <f>VLOOKUP(L64, '2017 SIC to NAICS'!A:D, 2)</f>
        <v>Special Trade Contractors, Nec</v>
      </c>
      <c r="N64" s="34">
        <f>VLOOKUP(L64,'2017 SIC to NAICS'!A:D,3)</f>
        <v>562910</v>
      </c>
      <c r="O64" s="34" t="str">
        <f>VLOOKUP(L64,'2017 SIC to NAICS'!A:D,4)</f>
        <v>Remediation Services</v>
      </c>
      <c r="P64" s="36" t="s">
        <v>754</v>
      </c>
      <c r="Q64" s="137" t="s">
        <v>755</v>
      </c>
      <c r="R64" s="45" t="s">
        <v>41</v>
      </c>
      <c r="S64" s="138">
        <f>COUNTIFS('Raw Non-zero DMR Data'!$A:$A, A64, 'Raw Non-zero DMR Data'!$C:$C, U64, 'Raw Non-zero DMR Data'!$V:$V, V64)</f>
        <v>2</v>
      </c>
      <c r="T64" s="34">
        <f>SUMIFS('Raw Non-zero DMR Data'!$X:$X, 'Raw Non-zero DMR Data'!$A:$A, A64, 'Raw Non-zero DMR Data'!$C:$C, U64, 'Raw Non-zero DMR Data'!V:V, V64)</f>
        <v>6.3544278518749997E-2</v>
      </c>
      <c r="U64" s="34" t="s">
        <v>829</v>
      </c>
      <c r="V64" s="34" t="s">
        <v>738</v>
      </c>
      <c r="W64" s="139">
        <v>150100150604</v>
      </c>
      <c r="X64" s="140" t="s">
        <v>739</v>
      </c>
    </row>
    <row r="65" spans="1:24" x14ac:dyDescent="0.35">
      <c r="A65" s="34">
        <v>2021</v>
      </c>
      <c r="B65" s="34" t="s">
        <v>512</v>
      </c>
      <c r="C65" s="34" t="s">
        <v>829</v>
      </c>
      <c r="D65" s="34" t="s">
        <v>337</v>
      </c>
      <c r="E65" s="34" t="s">
        <v>823</v>
      </c>
      <c r="F65" s="34" t="s">
        <v>221</v>
      </c>
      <c r="G65" s="34"/>
      <c r="H65" s="34">
        <v>36.131489999999999</v>
      </c>
      <c r="I65" s="34">
        <v>-115.15483</v>
      </c>
      <c r="J65" s="34"/>
      <c r="K65" s="105">
        <v>110059844156</v>
      </c>
      <c r="L65" s="34">
        <v>1799</v>
      </c>
      <c r="M65" s="48" t="str">
        <f>VLOOKUP(L65, '2017 SIC to NAICS'!A:D, 2)</f>
        <v>Special Trade Contractors, Nec</v>
      </c>
      <c r="N65" s="34">
        <f>VLOOKUP(L65,'2017 SIC to NAICS'!A:D,3)</f>
        <v>562910</v>
      </c>
      <c r="O65" s="34" t="str">
        <f>VLOOKUP(L65,'2017 SIC to NAICS'!A:D,4)</f>
        <v>Remediation Services</v>
      </c>
      <c r="P65" s="36" t="s">
        <v>754</v>
      </c>
      <c r="Q65" s="137" t="s">
        <v>755</v>
      </c>
      <c r="R65" s="45" t="s">
        <v>41</v>
      </c>
      <c r="S65" s="138">
        <f>COUNTIFS('Raw Non-zero DMR Data'!$A:$A, A65, 'Raw Non-zero DMR Data'!$C:$C, U65, 'Raw Non-zero DMR Data'!$V:$V, V65)</f>
        <v>2</v>
      </c>
      <c r="T65" s="34">
        <f>SUMIFS('Raw Non-zero DMR Data'!$X:$X, 'Raw Non-zero DMR Data'!$A:$A, A65, 'Raw Non-zero DMR Data'!$C:$C, U65, 'Raw Non-zero DMR Data'!V:V, V65)</f>
        <v>4.4388443149562501E-2</v>
      </c>
      <c r="U65" s="34" t="s">
        <v>829</v>
      </c>
      <c r="V65" s="34" t="s">
        <v>738</v>
      </c>
      <c r="W65" s="139">
        <v>150100150604</v>
      </c>
      <c r="X65" s="140" t="s">
        <v>739</v>
      </c>
    </row>
    <row r="66" spans="1:24" x14ac:dyDescent="0.35">
      <c r="A66" s="34">
        <v>2023</v>
      </c>
      <c r="B66" s="34" t="s">
        <v>512</v>
      </c>
      <c r="C66" s="34" t="s">
        <v>829</v>
      </c>
      <c r="D66" s="34" t="s">
        <v>337</v>
      </c>
      <c r="E66" s="34" t="s">
        <v>823</v>
      </c>
      <c r="F66" s="34" t="s">
        <v>221</v>
      </c>
      <c r="G66" s="34"/>
      <c r="H66" s="34">
        <v>36.131489999999999</v>
      </c>
      <c r="I66" s="34">
        <v>-115.15483</v>
      </c>
      <c r="J66" s="34"/>
      <c r="K66" s="105">
        <v>110059844156</v>
      </c>
      <c r="L66" s="34">
        <v>1799</v>
      </c>
      <c r="M66" s="48" t="str">
        <f>VLOOKUP(L66, '2017 SIC to NAICS'!A:D, 2)</f>
        <v>Special Trade Contractors, Nec</v>
      </c>
      <c r="N66" s="34">
        <f>VLOOKUP(L66,'2017 SIC to NAICS'!A:D,3)</f>
        <v>562910</v>
      </c>
      <c r="O66" s="34" t="str">
        <f>VLOOKUP(L66,'2017 SIC to NAICS'!A:D,4)</f>
        <v>Remediation Services</v>
      </c>
      <c r="P66" s="36" t="s">
        <v>754</v>
      </c>
      <c r="Q66" s="137" t="s">
        <v>755</v>
      </c>
      <c r="R66" s="45" t="s">
        <v>41</v>
      </c>
      <c r="S66" s="138">
        <f>COUNTIFS('Raw Non-zero DMR Data'!$A:$A, A66, 'Raw Non-zero DMR Data'!$C:$C, U66, 'Raw Non-zero DMR Data'!$V:$V, V66)</f>
        <v>2</v>
      </c>
      <c r="T66" s="34">
        <f>SUMIFS('Raw Non-zero DMR Data'!$X:$X, 'Raw Non-zero DMR Data'!$A:$A, A66, 'Raw Non-zero DMR Data'!$C:$C, U66, 'Raw Non-zero DMR Data'!V:V, V66)</f>
        <v>7.858632271874999E-2</v>
      </c>
      <c r="U66" s="34" t="s">
        <v>829</v>
      </c>
      <c r="V66" s="34" t="s">
        <v>738</v>
      </c>
      <c r="W66" s="139">
        <v>150100150604</v>
      </c>
      <c r="X66" s="140" t="s">
        <v>739</v>
      </c>
    </row>
    <row r="67" spans="1:24" x14ac:dyDescent="0.35">
      <c r="A67" s="34">
        <v>2019</v>
      </c>
      <c r="B67" s="34" t="s">
        <v>124</v>
      </c>
      <c r="C67" s="34" t="s">
        <v>830</v>
      </c>
      <c r="D67" s="34" t="s">
        <v>125</v>
      </c>
      <c r="E67" s="34" t="s">
        <v>831</v>
      </c>
      <c r="F67" s="34" t="s">
        <v>126</v>
      </c>
      <c r="G67" s="34"/>
      <c r="H67" s="34">
        <v>43.165965999999997</v>
      </c>
      <c r="I67" s="34">
        <v>-78.740509000000003</v>
      </c>
      <c r="J67" s="34"/>
      <c r="K67" s="105">
        <v>110000326521</v>
      </c>
      <c r="L67" s="34">
        <v>3714</v>
      </c>
      <c r="M67" s="48" t="str">
        <f>VLOOKUP(L67, '2017 SIC to NAICS'!A:D, 2)</f>
        <v>Motor Vehicle Parts and Accessories</v>
      </c>
      <c r="N67" s="34">
        <f>VLOOKUP(L67,'2017 SIC to NAICS'!A:D,3)</f>
        <v>336390</v>
      </c>
      <c r="O67" s="34" t="str">
        <f>VLOOKUP(L67,'2017 SIC to NAICS'!A:D,4)</f>
        <v>Other Motor Vehicle Parts Manufacturing</v>
      </c>
      <c r="P67" s="36" t="s">
        <v>832</v>
      </c>
      <c r="Q67" s="137" t="s">
        <v>833</v>
      </c>
      <c r="R67" s="45" t="s">
        <v>41</v>
      </c>
      <c r="S67" s="138">
        <f>COUNTIFS('Raw Non-zero DMR Data'!$A:$A, A67, 'Raw Non-zero DMR Data'!$C:$C, U67, 'Raw Non-zero DMR Data'!$V:$V, V67)</f>
        <v>2</v>
      </c>
      <c r="T67" s="34">
        <f>SUMIFS('Raw Non-zero DMR Data'!$X:$X, 'Raw Non-zero DMR Data'!$A:$A, A67, 'Raw Non-zero DMR Data'!$C:$C, U67, 'Raw Non-zero DMR Data'!V:V, V67)</f>
        <v>0.1571323825</v>
      </c>
      <c r="U67" s="34" t="s">
        <v>830</v>
      </c>
      <c r="V67" s="34" t="s">
        <v>834</v>
      </c>
      <c r="W67" s="139">
        <v>41300010703</v>
      </c>
      <c r="X67" s="140" t="s">
        <v>835</v>
      </c>
    </row>
    <row r="68" spans="1:24" x14ac:dyDescent="0.35">
      <c r="A68" s="34">
        <v>2020</v>
      </c>
      <c r="B68" s="34" t="s">
        <v>124</v>
      </c>
      <c r="C68" s="34" t="s">
        <v>830</v>
      </c>
      <c r="D68" s="34" t="s">
        <v>125</v>
      </c>
      <c r="E68" s="34" t="s">
        <v>831</v>
      </c>
      <c r="F68" s="34" t="s">
        <v>126</v>
      </c>
      <c r="G68" s="34"/>
      <c r="H68" s="34">
        <v>43.165965999999997</v>
      </c>
      <c r="I68" s="34">
        <v>-78.740509000000003</v>
      </c>
      <c r="J68" s="34"/>
      <c r="K68" s="105">
        <v>110000326521</v>
      </c>
      <c r="L68" s="34">
        <v>3714</v>
      </c>
      <c r="M68" s="48" t="str">
        <f>VLOOKUP(L68, '2017 SIC to NAICS'!A:D, 2)</f>
        <v>Motor Vehicle Parts and Accessories</v>
      </c>
      <c r="N68" s="34">
        <f>VLOOKUP(L68,'2017 SIC to NAICS'!A:D,3)</f>
        <v>336390</v>
      </c>
      <c r="O68" s="34" t="str">
        <f>VLOOKUP(L68,'2017 SIC to NAICS'!A:D,4)</f>
        <v>Other Motor Vehicle Parts Manufacturing</v>
      </c>
      <c r="P68" s="36" t="s">
        <v>832</v>
      </c>
      <c r="Q68" s="137" t="s">
        <v>833</v>
      </c>
      <c r="R68" s="45" t="s">
        <v>41</v>
      </c>
      <c r="S68" s="138">
        <f>COUNTIFS('Raw Non-zero DMR Data'!$A:$A, A68, 'Raw Non-zero DMR Data'!$C:$C, U68, 'Raw Non-zero DMR Data'!$V:$V, V68)</f>
        <v>2</v>
      </c>
      <c r="T68" s="34">
        <f>SUMIFS('Raw Non-zero DMR Data'!$X:$X, 'Raw Non-zero DMR Data'!$A:$A, A68, 'Raw Non-zero DMR Data'!$C:$C, U68, 'Raw Non-zero DMR Data'!V:V, V68)</f>
        <v>0.1789794025</v>
      </c>
      <c r="U68" s="34" t="s">
        <v>830</v>
      </c>
      <c r="V68" s="34" t="s">
        <v>834</v>
      </c>
      <c r="W68" s="139">
        <v>41300010703</v>
      </c>
      <c r="X68" s="140" t="s">
        <v>835</v>
      </c>
    </row>
    <row r="69" spans="1:24" x14ac:dyDescent="0.35">
      <c r="A69" s="34">
        <v>2021</v>
      </c>
      <c r="B69" s="34" t="s">
        <v>124</v>
      </c>
      <c r="C69" s="34" t="s">
        <v>830</v>
      </c>
      <c r="D69" s="34" t="s">
        <v>125</v>
      </c>
      <c r="E69" s="34" t="s">
        <v>831</v>
      </c>
      <c r="F69" s="34" t="s">
        <v>126</v>
      </c>
      <c r="G69" s="34"/>
      <c r="H69" s="34">
        <v>43.165965999999997</v>
      </c>
      <c r="I69" s="34">
        <v>-78.740509000000003</v>
      </c>
      <c r="J69" s="34"/>
      <c r="K69" s="105">
        <v>110000326521</v>
      </c>
      <c r="L69" s="34">
        <v>3714</v>
      </c>
      <c r="M69" s="48" t="str">
        <f>VLOOKUP(L69, '2017 SIC to NAICS'!A:D, 2)</f>
        <v>Motor Vehicle Parts and Accessories</v>
      </c>
      <c r="N69" s="34">
        <f>VLOOKUP(L69,'2017 SIC to NAICS'!A:D,3)</f>
        <v>336390</v>
      </c>
      <c r="O69" s="34" t="str">
        <f>VLOOKUP(L69,'2017 SIC to NAICS'!A:D,4)</f>
        <v>Other Motor Vehicle Parts Manufacturing</v>
      </c>
      <c r="P69" s="36" t="s">
        <v>832</v>
      </c>
      <c r="Q69" s="137" t="s">
        <v>833</v>
      </c>
      <c r="R69" s="45" t="s">
        <v>41</v>
      </c>
      <c r="S69" s="138">
        <f>COUNTIFS('Raw Non-zero DMR Data'!$A:$A, A69, 'Raw Non-zero DMR Data'!$C:$C, U69, 'Raw Non-zero DMR Data'!$V:$V, V69)</f>
        <v>2</v>
      </c>
      <c r="T69" s="34">
        <f>SUMIFS('Raw Non-zero DMR Data'!$X:$X, 'Raw Non-zero DMR Data'!$A:$A, A69, 'Raw Non-zero DMR Data'!$C:$C, U69, 'Raw Non-zero DMR Data'!V:V, V69)</f>
        <v>1.0243080550000001</v>
      </c>
      <c r="U69" s="34" t="s">
        <v>830</v>
      </c>
      <c r="V69" s="34" t="s">
        <v>834</v>
      </c>
      <c r="W69" s="139">
        <v>41300010703</v>
      </c>
      <c r="X69" s="140" t="s">
        <v>835</v>
      </c>
    </row>
    <row r="70" spans="1:24" x14ac:dyDescent="0.35">
      <c r="A70" s="34">
        <v>2022</v>
      </c>
      <c r="B70" s="34" t="s">
        <v>124</v>
      </c>
      <c r="C70" s="34" t="s">
        <v>830</v>
      </c>
      <c r="D70" s="34" t="s">
        <v>125</v>
      </c>
      <c r="E70" s="34" t="s">
        <v>831</v>
      </c>
      <c r="F70" s="34" t="s">
        <v>126</v>
      </c>
      <c r="G70" s="34"/>
      <c r="H70" s="34">
        <v>43.165965999999997</v>
      </c>
      <c r="I70" s="34">
        <v>-78.740509000000003</v>
      </c>
      <c r="J70" s="34"/>
      <c r="K70" s="105">
        <v>110000326521</v>
      </c>
      <c r="L70" s="34">
        <v>3714</v>
      </c>
      <c r="M70" s="48" t="str">
        <f>VLOOKUP(L70, '2017 SIC to NAICS'!A:D, 2)</f>
        <v>Motor Vehicle Parts and Accessories</v>
      </c>
      <c r="N70" s="34">
        <f>VLOOKUP(L70,'2017 SIC to NAICS'!A:D,3)</f>
        <v>336390</v>
      </c>
      <c r="O70" s="34" t="str">
        <f>VLOOKUP(L70,'2017 SIC to NAICS'!A:D,4)</f>
        <v>Other Motor Vehicle Parts Manufacturing</v>
      </c>
      <c r="P70" s="36" t="s">
        <v>832</v>
      </c>
      <c r="Q70" s="137" t="s">
        <v>833</v>
      </c>
      <c r="R70" s="45" t="s">
        <v>41</v>
      </c>
      <c r="S70" s="138">
        <f>COUNTIFS('Raw Non-zero DMR Data'!$A:$A, A70, 'Raw Non-zero DMR Data'!$C:$C, U70, 'Raw Non-zero DMR Data'!$V:$V, V70)</f>
        <v>2</v>
      </c>
      <c r="T70" s="34">
        <f>SUMIFS('Raw Non-zero DMR Data'!$X:$X, 'Raw Non-zero DMR Data'!$A:$A, A70, 'Raw Non-zero DMR Data'!$C:$C, U70, 'Raw Non-zero DMR Data'!V:V, V70)</f>
        <v>10.70492625</v>
      </c>
      <c r="U70" s="34" t="s">
        <v>830</v>
      </c>
      <c r="V70" s="34" t="s">
        <v>834</v>
      </c>
      <c r="W70" s="141" t="s">
        <v>836</v>
      </c>
      <c r="X70" s="140" t="s">
        <v>835</v>
      </c>
    </row>
    <row r="71" spans="1:24" x14ac:dyDescent="0.35">
      <c r="A71" s="34">
        <v>2023</v>
      </c>
      <c r="B71" s="34" t="s">
        <v>124</v>
      </c>
      <c r="C71" s="34" t="s">
        <v>830</v>
      </c>
      <c r="D71" s="34" t="s">
        <v>125</v>
      </c>
      <c r="E71" s="34" t="s">
        <v>831</v>
      </c>
      <c r="F71" s="34" t="s">
        <v>126</v>
      </c>
      <c r="G71" s="34"/>
      <c r="H71" s="34">
        <v>43.165965999999997</v>
      </c>
      <c r="I71" s="34">
        <v>-78.740509000000003</v>
      </c>
      <c r="J71" s="34"/>
      <c r="K71" s="105">
        <v>110000326521</v>
      </c>
      <c r="L71" s="34">
        <v>3714</v>
      </c>
      <c r="M71" s="48" t="str">
        <f>VLOOKUP(L71, '2017 SIC to NAICS'!A:D, 2)</f>
        <v>Motor Vehicle Parts and Accessories</v>
      </c>
      <c r="N71" s="34">
        <f>VLOOKUP(L71,'2017 SIC to NAICS'!A:D,3)</f>
        <v>336390</v>
      </c>
      <c r="O71" s="34" t="str">
        <f>VLOOKUP(L71,'2017 SIC to NAICS'!A:D,4)</f>
        <v>Other Motor Vehicle Parts Manufacturing</v>
      </c>
      <c r="P71" s="36" t="s">
        <v>832</v>
      </c>
      <c r="Q71" s="137" t="s">
        <v>833</v>
      </c>
      <c r="R71" s="45" t="s">
        <v>41</v>
      </c>
      <c r="S71" s="138">
        <f>COUNTIFS('Raw Non-zero DMR Data'!$A:$A, A71, 'Raw Non-zero DMR Data'!$C:$C, U71, 'Raw Non-zero DMR Data'!$V:$V, V71)</f>
        <v>2</v>
      </c>
      <c r="T71" s="34">
        <f>SUMIFS('Raw Non-zero DMR Data'!$X:$X, 'Raw Non-zero DMR Data'!$A:$A, A71, 'Raw Non-zero DMR Data'!$C:$C, U71, 'Raw Non-zero DMR Data'!V:V, V71)</f>
        <v>35.320512508999997</v>
      </c>
      <c r="U71" s="34" t="s">
        <v>830</v>
      </c>
      <c r="V71" s="34" t="s">
        <v>834</v>
      </c>
      <c r="W71" s="141" t="s">
        <v>836</v>
      </c>
      <c r="X71" s="140" t="s">
        <v>835</v>
      </c>
    </row>
    <row r="72" spans="1:24" x14ac:dyDescent="0.35">
      <c r="A72" s="34">
        <v>2019</v>
      </c>
      <c r="B72" s="34" t="s">
        <v>172</v>
      </c>
      <c r="C72" s="34" t="s">
        <v>837</v>
      </c>
      <c r="D72" s="34" t="s">
        <v>173</v>
      </c>
      <c r="E72" s="34" t="s">
        <v>838</v>
      </c>
      <c r="F72" s="34" t="s">
        <v>126</v>
      </c>
      <c r="G72" s="34"/>
      <c r="H72" s="34">
        <v>43.075907999999998</v>
      </c>
      <c r="I72" s="34">
        <v>-76.089072000000002</v>
      </c>
      <c r="J72" s="34"/>
      <c r="K72" s="105">
        <v>110011779147</v>
      </c>
      <c r="L72" s="34">
        <v>3585</v>
      </c>
      <c r="M72" s="48" t="str">
        <f>VLOOKUP(L72, '2017 SIC to NAICS'!A:D, 2)</f>
        <v>Refrigeration and Heating Equipment</v>
      </c>
      <c r="N72" s="34">
        <f>VLOOKUP(L72,'2017 SIC to NAICS'!A:D,3)</f>
        <v>336390</v>
      </c>
      <c r="O72" s="34" t="str">
        <f>VLOOKUP(L72,'2017 SIC to NAICS'!A:D,4)</f>
        <v>Other Motor Vehicle Parts Manufacturing</v>
      </c>
      <c r="P72" s="36" t="s">
        <v>832</v>
      </c>
      <c r="Q72" s="137" t="s">
        <v>833</v>
      </c>
      <c r="R72" s="45" t="s">
        <v>41</v>
      </c>
      <c r="S72" s="138">
        <f>COUNTIFS('Raw Non-zero DMR Data'!$A:$A, A72, 'Raw Non-zero DMR Data'!$C:$C, U72, 'Raw Non-zero DMR Data'!$V:$V, V72)</f>
        <v>2</v>
      </c>
      <c r="T72" s="34">
        <f>SUMIFS('Raw Non-zero DMR Data'!$X:$X, 'Raw Non-zero DMR Data'!$A:$A, A72, 'Raw Non-zero DMR Data'!$C:$C, U72, 'Raw Non-zero DMR Data'!V:V, V72)</f>
        <v>3.3056770625</v>
      </c>
      <c r="U72" s="34" t="s">
        <v>837</v>
      </c>
      <c r="V72" s="34" t="s">
        <v>839</v>
      </c>
      <c r="W72" s="139">
        <v>41402011508</v>
      </c>
      <c r="X72" s="140" t="s">
        <v>840</v>
      </c>
    </row>
    <row r="73" spans="1:24" x14ac:dyDescent="0.35">
      <c r="A73" s="34">
        <v>2020</v>
      </c>
      <c r="B73" s="34" t="s">
        <v>172</v>
      </c>
      <c r="C73" s="34" t="s">
        <v>837</v>
      </c>
      <c r="D73" s="34" t="s">
        <v>173</v>
      </c>
      <c r="E73" s="34" t="s">
        <v>838</v>
      </c>
      <c r="F73" s="34" t="s">
        <v>126</v>
      </c>
      <c r="G73" s="34"/>
      <c r="H73" s="34">
        <v>43.075907999999998</v>
      </c>
      <c r="I73" s="34">
        <v>-76.089072000000002</v>
      </c>
      <c r="J73" s="34"/>
      <c r="K73" s="105">
        <v>110011779147</v>
      </c>
      <c r="L73" s="34">
        <v>3585</v>
      </c>
      <c r="M73" s="48" t="str">
        <f>VLOOKUP(L73, '2017 SIC to NAICS'!A:D, 2)</f>
        <v>Refrigeration and Heating Equipment</v>
      </c>
      <c r="N73" s="34">
        <f>VLOOKUP(L73,'2017 SIC to NAICS'!A:D,3)</f>
        <v>336390</v>
      </c>
      <c r="O73" s="34" t="str">
        <f>VLOOKUP(L73,'2017 SIC to NAICS'!A:D,4)</f>
        <v>Other Motor Vehicle Parts Manufacturing</v>
      </c>
      <c r="P73" s="36" t="s">
        <v>832</v>
      </c>
      <c r="Q73" s="137" t="s">
        <v>833</v>
      </c>
      <c r="R73" s="45" t="s">
        <v>41</v>
      </c>
      <c r="S73" s="138">
        <f>COUNTIFS('Raw Non-zero DMR Data'!$A:$A, A73, 'Raw Non-zero DMR Data'!$C:$C, U73, 'Raw Non-zero DMR Data'!$V:$V, V73)</f>
        <v>2</v>
      </c>
      <c r="T73" s="34">
        <f>SUMIFS('Raw Non-zero DMR Data'!$X:$X, 'Raw Non-zero DMR Data'!$A:$A, A73, 'Raw Non-zero DMR Data'!$C:$C, U73, 'Raw Non-zero DMR Data'!V:V, V73)</f>
        <v>8.3019527624999991</v>
      </c>
      <c r="U73" s="34" t="s">
        <v>837</v>
      </c>
      <c r="V73" s="34" t="s">
        <v>839</v>
      </c>
      <c r="W73" s="139">
        <v>41402011508</v>
      </c>
      <c r="X73" s="140" t="s">
        <v>840</v>
      </c>
    </row>
    <row r="74" spans="1:24" x14ac:dyDescent="0.35">
      <c r="A74" s="34">
        <v>2019</v>
      </c>
      <c r="B74" s="34" t="s">
        <v>315</v>
      </c>
      <c r="C74" s="34" t="s">
        <v>841</v>
      </c>
      <c r="D74" s="34" t="s">
        <v>316</v>
      </c>
      <c r="E74" s="34" t="s">
        <v>842</v>
      </c>
      <c r="F74" s="34" t="s">
        <v>126</v>
      </c>
      <c r="G74" s="34"/>
      <c r="H74" s="34">
        <v>42.575806</v>
      </c>
      <c r="I74" s="34">
        <v>-73.859943999999999</v>
      </c>
      <c r="J74" s="34"/>
      <c r="K74" s="105">
        <v>110000324391</v>
      </c>
      <c r="L74" s="34">
        <v>2821</v>
      </c>
      <c r="M74" s="48" t="str">
        <f>VLOOKUP(L74, '2017 SIC to NAICS'!A:D, 2)</f>
        <v>Plastics Materials and Resins</v>
      </c>
      <c r="N74" s="34">
        <f>VLOOKUP(L74,'2017 SIC to NAICS'!A:D,3)</f>
        <v>325211</v>
      </c>
      <c r="O74" s="34" t="str">
        <f>VLOOKUP(L74,'2017 SIC to NAICS'!A:D,4)</f>
        <v>Plastics Material and Resin Manufacturing</v>
      </c>
      <c r="P74" s="36" t="s">
        <v>796</v>
      </c>
      <c r="Q74" s="137" t="s">
        <v>797</v>
      </c>
      <c r="R74" s="45" t="s">
        <v>41</v>
      </c>
      <c r="S74" s="138">
        <f>COUNTIFS('Raw Non-zero DMR Data'!$A:$A, A74, 'Raw Non-zero DMR Data'!$C:$C, U74, 'Raw Non-zero DMR Data'!$V:$V, V74)</f>
        <v>2</v>
      </c>
      <c r="T74" s="34">
        <f>SUMIFS('Raw Non-zero DMR Data'!$X:$X, 'Raw Non-zero DMR Data'!$A:$A, A74, 'Raw Non-zero DMR Data'!$C:$C, U74, 'Raw Non-zero DMR Data'!V:V, V74)</f>
        <v>0.58338999999999996</v>
      </c>
      <c r="U74" s="34" t="s">
        <v>841</v>
      </c>
      <c r="V74" s="34" t="s">
        <v>843</v>
      </c>
      <c r="W74" s="139">
        <v>20200060402</v>
      </c>
      <c r="X74" s="140" t="s">
        <v>751</v>
      </c>
    </row>
    <row r="75" spans="1:24" x14ac:dyDescent="0.35">
      <c r="A75" s="34">
        <v>2020</v>
      </c>
      <c r="B75" s="34" t="s">
        <v>315</v>
      </c>
      <c r="C75" s="34" t="s">
        <v>841</v>
      </c>
      <c r="D75" s="34" t="s">
        <v>316</v>
      </c>
      <c r="E75" s="34" t="s">
        <v>842</v>
      </c>
      <c r="F75" s="34" t="s">
        <v>126</v>
      </c>
      <c r="G75" s="34"/>
      <c r="H75" s="34">
        <v>42.575806</v>
      </c>
      <c r="I75" s="34">
        <v>-73.859943999999999</v>
      </c>
      <c r="J75" s="34"/>
      <c r="K75" s="105">
        <v>110000324391</v>
      </c>
      <c r="L75" s="34">
        <v>2821</v>
      </c>
      <c r="M75" s="48" t="str">
        <f>VLOOKUP(L75, '2017 SIC to NAICS'!A:D, 2)</f>
        <v>Plastics Materials and Resins</v>
      </c>
      <c r="N75" s="34">
        <f>VLOOKUP(L75,'2017 SIC to NAICS'!A:D,3)</f>
        <v>325211</v>
      </c>
      <c r="O75" s="34" t="str">
        <f>VLOOKUP(L75,'2017 SIC to NAICS'!A:D,4)</f>
        <v>Plastics Material and Resin Manufacturing</v>
      </c>
      <c r="P75" s="36" t="s">
        <v>796</v>
      </c>
      <c r="Q75" s="137" t="s">
        <v>797</v>
      </c>
      <c r="R75" s="45" t="s">
        <v>41</v>
      </c>
      <c r="S75" s="138">
        <f>COUNTIFS('Raw Non-zero DMR Data'!$A:$A, A75, 'Raw Non-zero DMR Data'!$C:$C, U75, 'Raw Non-zero DMR Data'!$V:$V, V75)</f>
        <v>2</v>
      </c>
      <c r="T75" s="34">
        <f>SUMIFS('Raw Non-zero DMR Data'!$X:$X, 'Raw Non-zero DMR Data'!$A:$A, A75, 'Raw Non-zero DMR Data'!$C:$C, U75, 'Raw Non-zero DMR Data'!V:V, V75)</f>
        <v>1.035347</v>
      </c>
      <c r="U75" s="34" t="s">
        <v>841</v>
      </c>
      <c r="V75" s="34" t="s">
        <v>843</v>
      </c>
      <c r="W75" s="139">
        <v>20200060402</v>
      </c>
      <c r="X75" s="140" t="s">
        <v>751</v>
      </c>
    </row>
    <row r="76" spans="1:24" x14ac:dyDescent="0.35">
      <c r="A76" s="34">
        <v>2021</v>
      </c>
      <c r="B76" s="34" t="s">
        <v>315</v>
      </c>
      <c r="C76" s="34" t="s">
        <v>841</v>
      </c>
      <c r="D76" s="34" t="s">
        <v>316</v>
      </c>
      <c r="E76" s="34" t="s">
        <v>842</v>
      </c>
      <c r="F76" s="34" t="s">
        <v>126</v>
      </c>
      <c r="G76" s="34"/>
      <c r="H76" s="34">
        <v>42.575806</v>
      </c>
      <c r="I76" s="34">
        <v>-73.859943999999999</v>
      </c>
      <c r="J76" s="34"/>
      <c r="K76" s="105">
        <v>110000324391</v>
      </c>
      <c r="L76" s="34">
        <v>2821</v>
      </c>
      <c r="M76" s="48" t="str">
        <f>VLOOKUP(L76, '2017 SIC to NAICS'!A:D, 2)</f>
        <v>Plastics Materials and Resins</v>
      </c>
      <c r="N76" s="34">
        <f>VLOOKUP(L76,'2017 SIC to NAICS'!A:D,3)</f>
        <v>325211</v>
      </c>
      <c r="O76" s="34" t="str">
        <f>VLOOKUP(L76,'2017 SIC to NAICS'!A:D,4)</f>
        <v>Plastics Material and Resin Manufacturing</v>
      </c>
      <c r="P76" s="36" t="s">
        <v>796</v>
      </c>
      <c r="Q76" s="137" t="s">
        <v>797</v>
      </c>
      <c r="R76" s="45" t="s">
        <v>41</v>
      </c>
      <c r="S76" s="138">
        <f>COUNTIFS('Raw Non-zero DMR Data'!$A:$A, A76, 'Raw Non-zero DMR Data'!$C:$C, U76, 'Raw Non-zero DMR Data'!$V:$V, V76)</f>
        <v>2</v>
      </c>
      <c r="T76" s="34">
        <f>SUMIFS('Raw Non-zero DMR Data'!$X:$X, 'Raw Non-zero DMR Data'!$A:$A, A76, 'Raw Non-zero DMR Data'!$C:$C, U76, 'Raw Non-zero DMR Data'!V:V, V76)</f>
        <v>0.95249200000000001</v>
      </c>
      <c r="U76" s="34" t="s">
        <v>841</v>
      </c>
      <c r="V76" s="34" t="s">
        <v>843</v>
      </c>
      <c r="W76" s="139">
        <v>20200060402</v>
      </c>
      <c r="X76" s="140" t="s">
        <v>751</v>
      </c>
    </row>
    <row r="77" spans="1:24" x14ac:dyDescent="0.35">
      <c r="A77" s="34">
        <v>2022</v>
      </c>
      <c r="B77" s="34" t="s">
        <v>315</v>
      </c>
      <c r="C77" s="34" t="s">
        <v>841</v>
      </c>
      <c r="D77" s="34" t="s">
        <v>316</v>
      </c>
      <c r="E77" s="34" t="s">
        <v>842</v>
      </c>
      <c r="F77" s="34" t="s">
        <v>126</v>
      </c>
      <c r="G77" s="34"/>
      <c r="H77" s="34">
        <v>42.575806</v>
      </c>
      <c r="I77" s="34">
        <v>-73.859943999999999</v>
      </c>
      <c r="J77" s="34"/>
      <c r="K77" s="105">
        <v>110000324391</v>
      </c>
      <c r="L77" s="34">
        <v>2821</v>
      </c>
      <c r="M77" s="48" t="str">
        <f>VLOOKUP(L77, '2017 SIC to NAICS'!A:D, 2)</f>
        <v>Plastics Materials and Resins</v>
      </c>
      <c r="N77" s="34">
        <f>VLOOKUP(L77,'2017 SIC to NAICS'!A:D,3)</f>
        <v>325211</v>
      </c>
      <c r="O77" s="34" t="str">
        <f>VLOOKUP(L77,'2017 SIC to NAICS'!A:D,4)</f>
        <v>Plastics Material and Resin Manufacturing</v>
      </c>
      <c r="P77" s="36" t="s">
        <v>796</v>
      </c>
      <c r="Q77" s="137" t="s">
        <v>797</v>
      </c>
      <c r="R77" s="45" t="s">
        <v>41</v>
      </c>
      <c r="S77" s="138">
        <f>COUNTIFS('Raw Non-zero DMR Data'!$A:$A, A77, 'Raw Non-zero DMR Data'!$C:$C, U77, 'Raw Non-zero DMR Data'!$V:$V, V77)</f>
        <v>2</v>
      </c>
      <c r="T77" s="34">
        <f>SUMIFS('Raw Non-zero DMR Data'!$X:$X, 'Raw Non-zero DMR Data'!$A:$A, A77, 'Raw Non-zero DMR Data'!$C:$C, U77, 'Raw Non-zero DMR Data'!V:V, V77)</f>
        <v>1.287317</v>
      </c>
      <c r="U77" s="34" t="s">
        <v>841</v>
      </c>
      <c r="V77" s="34" t="s">
        <v>843</v>
      </c>
      <c r="W77" s="141" t="s">
        <v>844</v>
      </c>
      <c r="X77" s="140" t="s">
        <v>751</v>
      </c>
    </row>
    <row r="78" spans="1:24" x14ac:dyDescent="0.35">
      <c r="A78" s="34">
        <v>2023</v>
      </c>
      <c r="B78" s="34" t="s">
        <v>315</v>
      </c>
      <c r="C78" s="34" t="s">
        <v>841</v>
      </c>
      <c r="D78" s="34" t="s">
        <v>316</v>
      </c>
      <c r="E78" s="34" t="s">
        <v>842</v>
      </c>
      <c r="F78" s="34" t="s">
        <v>126</v>
      </c>
      <c r="G78" s="34"/>
      <c r="H78" s="34">
        <v>42.575806</v>
      </c>
      <c r="I78" s="34">
        <v>-73.859943999999999</v>
      </c>
      <c r="J78" s="34"/>
      <c r="K78" s="105">
        <v>110000324391</v>
      </c>
      <c r="L78" s="34">
        <v>2821</v>
      </c>
      <c r="M78" s="48" t="str">
        <f>VLOOKUP(L78, '2017 SIC to NAICS'!A:D, 2)</f>
        <v>Plastics Materials and Resins</v>
      </c>
      <c r="N78" s="34">
        <f>VLOOKUP(L78,'2017 SIC to NAICS'!A:D,3)</f>
        <v>325211</v>
      </c>
      <c r="O78" s="34" t="str">
        <f>VLOOKUP(L78,'2017 SIC to NAICS'!A:D,4)</f>
        <v>Plastics Material and Resin Manufacturing</v>
      </c>
      <c r="P78" s="36" t="s">
        <v>796</v>
      </c>
      <c r="Q78" s="137" t="s">
        <v>797</v>
      </c>
      <c r="R78" s="45" t="s">
        <v>41</v>
      </c>
      <c r="S78" s="138">
        <f>COUNTIFS('Raw Non-zero DMR Data'!$A:$A, A78, 'Raw Non-zero DMR Data'!$C:$C, U78, 'Raw Non-zero DMR Data'!$V:$V, V78)</f>
        <v>2</v>
      </c>
      <c r="T78" s="34">
        <f>SUMIFS('Raw Non-zero DMR Data'!$X:$X, 'Raw Non-zero DMR Data'!$A:$A, A78, 'Raw Non-zero DMR Data'!$C:$C, U78, 'Raw Non-zero DMR Data'!V:V, V78)</f>
        <v>0.95249200000000001</v>
      </c>
      <c r="U78" s="34" t="s">
        <v>841</v>
      </c>
      <c r="V78" s="34" t="s">
        <v>843</v>
      </c>
      <c r="W78" s="141" t="s">
        <v>844</v>
      </c>
      <c r="X78" s="140" t="s">
        <v>751</v>
      </c>
    </row>
    <row r="79" spans="1:24" x14ac:dyDescent="0.35">
      <c r="A79" s="34">
        <v>2019</v>
      </c>
      <c r="B79" s="34" t="s">
        <v>445</v>
      </c>
      <c r="C79" s="34" t="s">
        <v>845</v>
      </c>
      <c r="D79" s="34" t="s">
        <v>446</v>
      </c>
      <c r="E79" s="34" t="s">
        <v>846</v>
      </c>
      <c r="F79" s="34" t="s">
        <v>126</v>
      </c>
      <c r="G79" s="34"/>
      <c r="H79" s="34">
        <v>42.805160000000001</v>
      </c>
      <c r="I79" s="34">
        <v>-78.64658</v>
      </c>
      <c r="J79" s="34"/>
      <c r="K79" s="105">
        <v>110008011490</v>
      </c>
      <c r="L79" s="34">
        <v>3492</v>
      </c>
      <c r="M79" s="48" t="str">
        <f>VLOOKUP(L79, '2017 SIC to NAICS'!A:D, 2)</f>
        <v>Fluid Power Valves and Hose Fittings</v>
      </c>
      <c r="N79" s="34">
        <f>VLOOKUP(L79,'2017 SIC to NAICS'!A:D,3)</f>
        <v>332912</v>
      </c>
      <c r="O79" s="34" t="str">
        <f>VLOOKUP(L79,'2017 SIC to NAICS'!A:D,4)</f>
        <v>Fluid Power Valve and Hose Fitting
Manufacturing</v>
      </c>
      <c r="P79" s="36" t="s">
        <v>809</v>
      </c>
      <c r="Q79" s="137" t="s">
        <v>810</v>
      </c>
      <c r="R79" s="45" t="s">
        <v>41</v>
      </c>
      <c r="S79" s="138">
        <f>COUNTIFS('Raw Non-zero DMR Data'!$A:$A, A79, 'Raw Non-zero DMR Data'!$C:$C, U79, 'Raw Non-zero DMR Data'!$V:$V, V79)</f>
        <v>2</v>
      </c>
      <c r="T79" s="34">
        <f>SUMIFS('Raw Non-zero DMR Data'!$X:$X, 'Raw Non-zero DMR Data'!$A:$A, A79, 'Raw Non-zero DMR Data'!$C:$C, U79, 'Raw Non-zero DMR Data'!V:V, V79)</f>
        <v>0.15570028990000001</v>
      </c>
      <c r="U79" s="34" t="s">
        <v>845</v>
      </c>
      <c r="V79" s="34" t="s">
        <v>847</v>
      </c>
      <c r="W79" s="139">
        <v>41201030206</v>
      </c>
      <c r="X79" s="140" t="s">
        <v>848</v>
      </c>
    </row>
    <row r="80" spans="1:24" x14ac:dyDescent="0.35">
      <c r="A80" s="34">
        <v>2020</v>
      </c>
      <c r="B80" s="34" t="s">
        <v>445</v>
      </c>
      <c r="C80" s="34" t="s">
        <v>845</v>
      </c>
      <c r="D80" s="34" t="s">
        <v>446</v>
      </c>
      <c r="E80" s="34" t="s">
        <v>846</v>
      </c>
      <c r="F80" s="34" t="s">
        <v>126</v>
      </c>
      <c r="G80" s="34"/>
      <c r="H80" s="34">
        <v>42.805160000000001</v>
      </c>
      <c r="I80" s="34">
        <v>-78.64658</v>
      </c>
      <c r="J80" s="34"/>
      <c r="K80" s="105">
        <v>110008011490</v>
      </c>
      <c r="L80" s="34">
        <v>3492</v>
      </c>
      <c r="M80" s="48" t="str">
        <f>VLOOKUP(L80, '2017 SIC to NAICS'!A:D, 2)</f>
        <v>Fluid Power Valves and Hose Fittings</v>
      </c>
      <c r="N80" s="34">
        <f>VLOOKUP(L80,'2017 SIC to NAICS'!A:D,3)</f>
        <v>332912</v>
      </c>
      <c r="O80" s="34" t="str">
        <f>VLOOKUP(L80,'2017 SIC to NAICS'!A:D,4)</f>
        <v>Fluid Power Valve and Hose Fitting
Manufacturing</v>
      </c>
      <c r="P80" s="36" t="s">
        <v>809</v>
      </c>
      <c r="Q80" s="137" t="s">
        <v>810</v>
      </c>
      <c r="R80" s="45" t="s">
        <v>41</v>
      </c>
      <c r="S80" s="138">
        <f>COUNTIFS('Raw Non-zero DMR Data'!$A:$A, A80, 'Raw Non-zero DMR Data'!$C:$C, U80, 'Raw Non-zero DMR Data'!$V:$V, V80)</f>
        <v>2</v>
      </c>
      <c r="T80" s="34">
        <f>SUMIFS('Raw Non-zero DMR Data'!$X:$X, 'Raw Non-zero DMR Data'!$A:$A, A80, 'Raw Non-zero DMR Data'!$C:$C, U80, 'Raw Non-zero DMR Data'!V:V, V80)</f>
        <v>7.7245188399999998E-2</v>
      </c>
      <c r="U80" s="34" t="s">
        <v>845</v>
      </c>
      <c r="V80" s="34" t="s">
        <v>847</v>
      </c>
      <c r="W80" s="139">
        <v>41201030206</v>
      </c>
      <c r="X80" s="140" t="s">
        <v>848</v>
      </c>
    </row>
    <row r="81" spans="1:24" x14ac:dyDescent="0.35">
      <c r="A81" s="34">
        <v>2021</v>
      </c>
      <c r="B81" s="34" t="s">
        <v>445</v>
      </c>
      <c r="C81" s="34" t="s">
        <v>845</v>
      </c>
      <c r="D81" s="34" t="s">
        <v>446</v>
      </c>
      <c r="E81" s="34" t="s">
        <v>846</v>
      </c>
      <c r="F81" s="34" t="s">
        <v>126</v>
      </c>
      <c r="G81" s="34"/>
      <c r="H81" s="34">
        <v>42.805160000000001</v>
      </c>
      <c r="I81" s="34">
        <v>-78.64658</v>
      </c>
      <c r="J81" s="34"/>
      <c r="K81" s="105">
        <v>110008011490</v>
      </c>
      <c r="L81" s="34">
        <v>3492</v>
      </c>
      <c r="M81" s="48" t="str">
        <f>VLOOKUP(L81, '2017 SIC to NAICS'!A:D, 2)</f>
        <v>Fluid Power Valves and Hose Fittings</v>
      </c>
      <c r="N81" s="34">
        <f>VLOOKUP(L81,'2017 SIC to NAICS'!A:D,3)</f>
        <v>332912</v>
      </c>
      <c r="O81" s="34" t="str">
        <f>VLOOKUP(L81,'2017 SIC to NAICS'!A:D,4)</f>
        <v>Fluid Power Valve and Hose Fitting
Manufacturing</v>
      </c>
      <c r="P81" s="36" t="s">
        <v>809</v>
      </c>
      <c r="Q81" s="137" t="s">
        <v>810</v>
      </c>
      <c r="R81" s="45" t="s">
        <v>41</v>
      </c>
      <c r="S81" s="138">
        <f>COUNTIFS('Raw Non-zero DMR Data'!$A:$A, A81, 'Raw Non-zero DMR Data'!$C:$C, U81, 'Raw Non-zero DMR Data'!$V:$V, V81)</f>
        <v>2</v>
      </c>
      <c r="T81" s="34">
        <f>SUMIFS('Raw Non-zero DMR Data'!$X:$X, 'Raw Non-zero DMR Data'!$A:$A, A81, 'Raw Non-zero DMR Data'!$C:$C, U81, 'Raw Non-zero DMR Data'!V:V, V81)</f>
        <v>6.6402904499999998E-2</v>
      </c>
      <c r="U81" s="34" t="s">
        <v>845</v>
      </c>
      <c r="V81" s="34" t="s">
        <v>847</v>
      </c>
      <c r="W81" s="139">
        <v>41201030206</v>
      </c>
      <c r="X81" s="140" t="s">
        <v>848</v>
      </c>
    </row>
    <row r="82" spans="1:24" x14ac:dyDescent="0.35">
      <c r="A82" s="34">
        <v>2022</v>
      </c>
      <c r="B82" s="34" t="s">
        <v>445</v>
      </c>
      <c r="C82" s="34" t="s">
        <v>845</v>
      </c>
      <c r="D82" s="34" t="s">
        <v>446</v>
      </c>
      <c r="E82" s="34" t="s">
        <v>846</v>
      </c>
      <c r="F82" s="34" t="s">
        <v>126</v>
      </c>
      <c r="G82" s="34"/>
      <c r="H82" s="34">
        <v>42.805160000000001</v>
      </c>
      <c r="I82" s="34">
        <v>-78.64658</v>
      </c>
      <c r="J82" s="34"/>
      <c r="K82" s="105">
        <v>110008011490</v>
      </c>
      <c r="L82" s="34">
        <v>3492</v>
      </c>
      <c r="M82" s="48" t="str">
        <f>VLOOKUP(L82, '2017 SIC to NAICS'!A:D, 2)</f>
        <v>Fluid Power Valves and Hose Fittings</v>
      </c>
      <c r="N82" s="34">
        <f>VLOOKUP(L82,'2017 SIC to NAICS'!A:D,3)</f>
        <v>332912</v>
      </c>
      <c r="O82" s="34" t="str">
        <f>VLOOKUP(L82,'2017 SIC to NAICS'!A:D,4)</f>
        <v>Fluid Power Valve and Hose Fitting
Manufacturing</v>
      </c>
      <c r="P82" s="36" t="s">
        <v>809</v>
      </c>
      <c r="Q82" s="137" t="s">
        <v>810</v>
      </c>
      <c r="R82" s="45" t="s">
        <v>41</v>
      </c>
      <c r="S82" s="138">
        <f>COUNTIFS('Raw Non-zero DMR Data'!$A:$A, A82, 'Raw Non-zero DMR Data'!$C:$C, U82, 'Raw Non-zero DMR Data'!$V:$V, V82)</f>
        <v>2</v>
      </c>
      <c r="T82" s="34">
        <f>SUMIFS('Raw Non-zero DMR Data'!$X:$X, 'Raw Non-zero DMR Data'!$A:$A, A82, 'Raw Non-zero DMR Data'!$C:$C, U82, 'Raw Non-zero DMR Data'!V:V, V82)</f>
        <v>7.6614985900000002E-2</v>
      </c>
      <c r="U82" s="34" t="s">
        <v>845</v>
      </c>
      <c r="V82" s="34" t="s">
        <v>847</v>
      </c>
      <c r="W82" s="141" t="s">
        <v>849</v>
      </c>
      <c r="X82" s="140" t="s">
        <v>848</v>
      </c>
    </row>
    <row r="83" spans="1:24" x14ac:dyDescent="0.35">
      <c r="A83" s="34">
        <v>2023</v>
      </c>
      <c r="B83" s="34" t="s">
        <v>445</v>
      </c>
      <c r="C83" s="34" t="s">
        <v>845</v>
      </c>
      <c r="D83" s="34" t="s">
        <v>446</v>
      </c>
      <c r="E83" s="34" t="s">
        <v>846</v>
      </c>
      <c r="F83" s="34" t="s">
        <v>126</v>
      </c>
      <c r="G83" s="34"/>
      <c r="H83" s="34">
        <v>42.805160000000001</v>
      </c>
      <c r="I83" s="34">
        <v>-78.64658</v>
      </c>
      <c r="J83" s="34"/>
      <c r="K83" s="105">
        <v>110008011490</v>
      </c>
      <c r="L83" s="34">
        <v>3492</v>
      </c>
      <c r="M83" s="48" t="str">
        <f>VLOOKUP(L83, '2017 SIC to NAICS'!A:D, 2)</f>
        <v>Fluid Power Valves and Hose Fittings</v>
      </c>
      <c r="N83" s="34">
        <f>VLOOKUP(L83,'2017 SIC to NAICS'!A:D,3)</f>
        <v>332912</v>
      </c>
      <c r="O83" s="34" t="str">
        <f>VLOOKUP(L83,'2017 SIC to NAICS'!A:D,4)</f>
        <v>Fluid Power Valve and Hose Fitting
Manufacturing</v>
      </c>
      <c r="P83" s="36" t="s">
        <v>809</v>
      </c>
      <c r="Q83" s="137" t="s">
        <v>810</v>
      </c>
      <c r="R83" s="45" t="s">
        <v>41</v>
      </c>
      <c r="S83" s="138">
        <f>COUNTIFS('Raw Non-zero DMR Data'!$A:$A, A83, 'Raw Non-zero DMR Data'!$C:$C, U83, 'Raw Non-zero DMR Data'!$V:$V, V83)</f>
        <v>2</v>
      </c>
      <c r="T83" s="34">
        <f>SUMIFS('Raw Non-zero DMR Data'!$X:$X, 'Raw Non-zero DMR Data'!$A:$A, A83, 'Raw Non-zero DMR Data'!$C:$C, U83, 'Raw Non-zero DMR Data'!V:V, V83)</f>
        <v>9.6938467700000003E-2</v>
      </c>
      <c r="U83" s="34" t="s">
        <v>845</v>
      </c>
      <c r="V83" s="34" t="s">
        <v>847</v>
      </c>
      <c r="W83" s="141" t="s">
        <v>849</v>
      </c>
      <c r="X83" s="140" t="s">
        <v>848</v>
      </c>
    </row>
    <row r="84" spans="1:24" x14ac:dyDescent="0.35">
      <c r="A84" s="34">
        <v>2023</v>
      </c>
      <c r="B84" s="34" t="s">
        <v>159</v>
      </c>
      <c r="C84" s="34" t="s">
        <v>850</v>
      </c>
      <c r="D84" s="34" t="s">
        <v>160</v>
      </c>
      <c r="E84" s="34" t="s">
        <v>851</v>
      </c>
      <c r="F84" s="34" t="s">
        <v>161</v>
      </c>
      <c r="G84" s="34"/>
      <c r="H84" s="34">
        <v>36.527054999999997</v>
      </c>
      <c r="I84" s="34">
        <v>-82.538579999999996</v>
      </c>
      <c r="J84" s="34"/>
      <c r="K84" s="105">
        <v>110000574423</v>
      </c>
      <c r="L84" s="34">
        <v>2869</v>
      </c>
      <c r="M84" s="48" t="str">
        <f>VLOOKUP(L84, '2017 SIC to NAICS'!A:D, 2)</f>
        <v>Industrial Organic Chemicals, Nec</v>
      </c>
      <c r="N84" s="34">
        <f>VLOOKUP(L84,'2017 SIC to NAICS'!A:D,3)</f>
        <v>325998</v>
      </c>
      <c r="O84" s="34" t="str">
        <f>VLOOKUP(L84,'2017 SIC to NAICS'!A:D,4)</f>
        <v>All Other Miscellaneous Chemical Product and Preparation Manufacturing</v>
      </c>
      <c r="P84" s="36" t="s">
        <v>748</v>
      </c>
      <c r="Q84" s="137" t="s">
        <v>749</v>
      </c>
      <c r="R84" s="45" t="s">
        <v>41</v>
      </c>
      <c r="S84" s="138">
        <f>COUNTIFS('Raw Non-zero DMR Data'!$A:$A, A84, 'Raw Non-zero DMR Data'!$C:$C, U84, 'Raw Non-zero DMR Data'!$V:$V, V84)</f>
        <v>2</v>
      </c>
      <c r="T84" s="34">
        <f>SUMIFS('Raw Non-zero DMR Data'!$X:$X, 'Raw Non-zero DMR Data'!$A:$A, A84, 'Raw Non-zero DMR Data'!$C:$C, U84, 'Raw Non-zero DMR Data'!V:V, V84)</f>
        <v>9.6808818599999995</v>
      </c>
      <c r="U84" s="34" t="s">
        <v>850</v>
      </c>
      <c r="V84" s="34" t="s">
        <v>852</v>
      </c>
      <c r="W84" s="141" t="s">
        <v>853</v>
      </c>
      <c r="X84" s="140" t="s">
        <v>854</v>
      </c>
    </row>
    <row r="85" spans="1:24" x14ac:dyDescent="0.35">
      <c r="A85" s="34">
        <v>2021</v>
      </c>
      <c r="B85" s="34" t="s">
        <v>324</v>
      </c>
      <c r="C85" s="34" t="s">
        <v>855</v>
      </c>
      <c r="D85" s="34" t="s">
        <v>325</v>
      </c>
      <c r="E85" s="34" t="s">
        <v>856</v>
      </c>
      <c r="F85" s="34" t="s">
        <v>161</v>
      </c>
      <c r="G85" s="34"/>
      <c r="H85" s="34">
        <v>35.607599999999998</v>
      </c>
      <c r="I85" s="34">
        <v>-89.237700000000004</v>
      </c>
      <c r="J85" s="34"/>
      <c r="K85" s="105">
        <v>110000373621</v>
      </c>
      <c r="L85" s="34">
        <v>3087</v>
      </c>
      <c r="M85" s="48" t="str">
        <f>VLOOKUP(L85, '2017 SIC to NAICS'!A:D, 2)</f>
        <v>Custom Compound Purchased Resins</v>
      </c>
      <c r="N85" s="34">
        <f>VLOOKUP(L85,'2017 SIC to NAICS'!A:D,3)</f>
        <v>325991</v>
      </c>
      <c r="O85" s="34" t="str">
        <f>VLOOKUP(L85,'2017 SIC to NAICS'!A:D,4)</f>
        <v>Custom Compounding of Purchased
Resins</v>
      </c>
      <c r="P85" s="36" t="s">
        <v>857</v>
      </c>
      <c r="Q85" s="137" t="s">
        <v>858</v>
      </c>
      <c r="R85" s="45" t="s">
        <v>41</v>
      </c>
      <c r="S85" s="138">
        <f>COUNTIFS('Raw Non-zero DMR Data'!$A:$A, A85, 'Raw Non-zero DMR Data'!$C:$C, U85, 'Raw Non-zero DMR Data'!$V:$V, V85)</f>
        <v>2</v>
      </c>
      <c r="T85" s="34">
        <f>SUMIFS('Raw Non-zero DMR Data'!$X:$X, 'Raw Non-zero DMR Data'!$A:$A, A85, 'Raw Non-zero DMR Data'!$C:$C, U85, 'Raw Non-zero DMR Data'!V:V, V85)</f>
        <v>1.4885931875</v>
      </c>
      <c r="U85" s="34" t="s">
        <v>855</v>
      </c>
      <c r="V85" s="34" t="s">
        <v>859</v>
      </c>
      <c r="W85" s="139">
        <v>80102050401</v>
      </c>
      <c r="X85" s="140" t="s">
        <v>751</v>
      </c>
    </row>
    <row r="86" spans="1:24" x14ac:dyDescent="0.35">
      <c r="A86" s="34">
        <v>2022</v>
      </c>
      <c r="B86" s="34" t="s">
        <v>324</v>
      </c>
      <c r="C86" s="34" t="s">
        <v>855</v>
      </c>
      <c r="D86" s="34" t="s">
        <v>325</v>
      </c>
      <c r="E86" s="34" t="s">
        <v>856</v>
      </c>
      <c r="F86" s="34" t="s">
        <v>161</v>
      </c>
      <c r="G86" s="34"/>
      <c r="H86" s="34">
        <v>35.607599999999998</v>
      </c>
      <c r="I86" s="34">
        <v>-89.237700000000004</v>
      </c>
      <c r="J86" s="34"/>
      <c r="K86" s="105">
        <v>110000373621</v>
      </c>
      <c r="L86" s="34">
        <v>3087</v>
      </c>
      <c r="M86" s="48" t="str">
        <f>VLOOKUP(L86, '2017 SIC to NAICS'!A:D, 2)</f>
        <v>Custom Compound Purchased Resins</v>
      </c>
      <c r="N86" s="34">
        <f>VLOOKUP(L86,'2017 SIC to NAICS'!A:D,3)</f>
        <v>325991</v>
      </c>
      <c r="O86" s="34" t="str">
        <f>VLOOKUP(L86,'2017 SIC to NAICS'!A:D,4)</f>
        <v>Custom Compounding of Purchased
Resins</v>
      </c>
      <c r="P86" s="36" t="s">
        <v>857</v>
      </c>
      <c r="Q86" s="137" t="s">
        <v>858</v>
      </c>
      <c r="R86" s="45" t="s">
        <v>41</v>
      </c>
      <c r="S86" s="138">
        <f>COUNTIFS('Raw Non-zero DMR Data'!$A:$A, A86, 'Raw Non-zero DMR Data'!$C:$C, U86, 'Raw Non-zero DMR Data'!$V:$V, V86)</f>
        <v>2</v>
      </c>
      <c r="T86" s="34">
        <f>SUMIFS('Raw Non-zero DMR Data'!$X:$X, 'Raw Non-zero DMR Data'!$A:$A, A86, 'Raw Non-zero DMR Data'!$C:$C, U86, 'Raw Non-zero DMR Data'!V:V, V86)</f>
        <v>0.41100368749999999</v>
      </c>
      <c r="U86" s="34" t="s">
        <v>855</v>
      </c>
      <c r="V86" s="34" t="s">
        <v>859</v>
      </c>
      <c r="W86" s="141" t="s">
        <v>860</v>
      </c>
      <c r="X86" s="140" t="s">
        <v>751</v>
      </c>
    </row>
    <row r="87" spans="1:24" x14ac:dyDescent="0.35">
      <c r="A87" s="34">
        <v>2023</v>
      </c>
      <c r="B87" s="34" t="s">
        <v>324</v>
      </c>
      <c r="C87" s="34" t="s">
        <v>855</v>
      </c>
      <c r="D87" s="34" t="s">
        <v>325</v>
      </c>
      <c r="E87" s="34" t="s">
        <v>856</v>
      </c>
      <c r="F87" s="34" t="s">
        <v>161</v>
      </c>
      <c r="G87" s="34"/>
      <c r="H87" s="34">
        <v>35.607599999999998</v>
      </c>
      <c r="I87" s="34">
        <v>-89.237700000000004</v>
      </c>
      <c r="J87" s="34"/>
      <c r="K87" s="105">
        <v>110000373621</v>
      </c>
      <c r="L87" s="34">
        <v>3087</v>
      </c>
      <c r="M87" s="48" t="str">
        <f>VLOOKUP(L87, '2017 SIC to NAICS'!A:D, 2)</f>
        <v>Custom Compound Purchased Resins</v>
      </c>
      <c r="N87" s="34">
        <f>VLOOKUP(L87,'2017 SIC to NAICS'!A:D,3)</f>
        <v>325991</v>
      </c>
      <c r="O87" s="34" t="str">
        <f>VLOOKUP(L87,'2017 SIC to NAICS'!A:D,4)</f>
        <v>Custom Compounding of Purchased
Resins</v>
      </c>
      <c r="P87" s="36" t="s">
        <v>857</v>
      </c>
      <c r="Q87" s="137" t="s">
        <v>858</v>
      </c>
      <c r="R87" s="45" t="s">
        <v>41</v>
      </c>
      <c r="S87" s="138">
        <f>COUNTIFS('Raw Non-zero DMR Data'!$A:$A, A87, 'Raw Non-zero DMR Data'!$C:$C, U87, 'Raw Non-zero DMR Data'!$V:$V, V87)</f>
        <v>2</v>
      </c>
      <c r="T87" s="34">
        <f>SUMIFS('Raw Non-zero DMR Data'!$X:$X, 'Raw Non-zero DMR Data'!$A:$A, A87, 'Raw Non-zero DMR Data'!$C:$C, U87, 'Raw Non-zero DMR Data'!V:V, V87)</f>
        <v>0.10016056250000001</v>
      </c>
      <c r="U87" s="34" t="s">
        <v>855</v>
      </c>
      <c r="V87" s="34" t="s">
        <v>859</v>
      </c>
      <c r="W87" s="141" t="s">
        <v>860</v>
      </c>
      <c r="X87" s="140" t="s">
        <v>751</v>
      </c>
    </row>
    <row r="88" spans="1:24" x14ac:dyDescent="0.35">
      <c r="A88" s="34">
        <v>2020</v>
      </c>
      <c r="B88" s="34" t="s">
        <v>282</v>
      </c>
      <c r="C88" s="34" t="s">
        <v>861</v>
      </c>
      <c r="D88" s="34" t="s">
        <v>283</v>
      </c>
      <c r="E88" s="34" t="s">
        <v>862</v>
      </c>
      <c r="F88" s="34" t="s">
        <v>95</v>
      </c>
      <c r="G88" s="34"/>
      <c r="H88" s="34">
        <v>30.311361000000002</v>
      </c>
      <c r="I88" s="34">
        <v>-95.387083000000004</v>
      </c>
      <c r="J88" s="34"/>
      <c r="K88" s="105">
        <v>110000748095</v>
      </c>
      <c r="L88" s="34">
        <v>2869</v>
      </c>
      <c r="M88" s="48" t="str">
        <f>VLOOKUP(L88, '2017 SIC to NAICS'!A:D, 2)</f>
        <v>Industrial Organic Chemicals, Nec</v>
      </c>
      <c r="N88" s="34">
        <f>VLOOKUP(L88,'2017 SIC to NAICS'!A:D,3)</f>
        <v>325998</v>
      </c>
      <c r="O88" s="34" t="str">
        <f>VLOOKUP(L88,'2017 SIC to NAICS'!A:D,4)</f>
        <v>All Other Miscellaneous Chemical Product and Preparation Manufacturing</v>
      </c>
      <c r="P88" s="36" t="s">
        <v>748</v>
      </c>
      <c r="Q88" s="137" t="s">
        <v>749</v>
      </c>
      <c r="R88" s="45" t="s">
        <v>41</v>
      </c>
      <c r="S88" s="138">
        <f>COUNTIFS('Raw Non-zero DMR Data'!$A:$A, A88, 'Raw Non-zero DMR Data'!$C:$C, U88, 'Raw Non-zero DMR Data'!$V:$V, V88)</f>
        <v>2</v>
      </c>
      <c r="T88" s="34">
        <f>SUMIFS('Raw Non-zero DMR Data'!$X:$X, 'Raw Non-zero DMR Data'!$A:$A, A88, 'Raw Non-zero DMR Data'!$C:$C, U88, 'Raw Non-zero DMR Data'!V:V, V88)</f>
        <v>1.6405289999999999</v>
      </c>
      <c r="U88" s="34" t="s">
        <v>861</v>
      </c>
      <c r="V88" s="34" t="s">
        <v>863</v>
      </c>
      <c r="W88" s="139">
        <v>120401010403</v>
      </c>
      <c r="X88" s="140" t="s">
        <v>751</v>
      </c>
    </row>
    <row r="89" spans="1:24" x14ac:dyDescent="0.35">
      <c r="A89" s="34">
        <v>2021</v>
      </c>
      <c r="B89" s="34" t="s">
        <v>282</v>
      </c>
      <c r="C89" s="34" t="s">
        <v>861</v>
      </c>
      <c r="D89" s="34" t="s">
        <v>283</v>
      </c>
      <c r="E89" s="34" t="s">
        <v>862</v>
      </c>
      <c r="F89" s="34" t="s">
        <v>95</v>
      </c>
      <c r="G89" s="34"/>
      <c r="H89" s="34">
        <v>30.311361000000002</v>
      </c>
      <c r="I89" s="34">
        <v>-95.387083000000004</v>
      </c>
      <c r="J89" s="34"/>
      <c r="K89" s="105">
        <v>110000748095</v>
      </c>
      <c r="L89" s="34">
        <v>2869</v>
      </c>
      <c r="M89" s="48" t="str">
        <f>VLOOKUP(L89, '2017 SIC to NAICS'!A:D, 2)</f>
        <v>Industrial Organic Chemicals, Nec</v>
      </c>
      <c r="N89" s="34">
        <f>VLOOKUP(L89,'2017 SIC to NAICS'!A:D,3)</f>
        <v>325998</v>
      </c>
      <c r="O89" s="34" t="str">
        <f>VLOOKUP(L89,'2017 SIC to NAICS'!A:D,4)</f>
        <v>All Other Miscellaneous Chemical Product and Preparation Manufacturing</v>
      </c>
      <c r="P89" s="36" t="s">
        <v>748</v>
      </c>
      <c r="Q89" s="137" t="s">
        <v>749</v>
      </c>
      <c r="R89" s="45" t="s">
        <v>41</v>
      </c>
      <c r="S89" s="138">
        <f>COUNTIFS('Raw Non-zero DMR Data'!$A:$A, A89, 'Raw Non-zero DMR Data'!$C:$C, U89, 'Raw Non-zero DMR Data'!$V:$V, V89)</f>
        <v>2</v>
      </c>
      <c r="T89" s="34">
        <f>SUMIFS('Raw Non-zero DMR Data'!$X:$X, 'Raw Non-zero DMR Data'!$A:$A, A89, 'Raw Non-zero DMR Data'!$C:$C, U89, 'Raw Non-zero DMR Data'!V:V, V89)</f>
        <v>2.1293734999999998</v>
      </c>
      <c r="U89" s="34" t="s">
        <v>861</v>
      </c>
      <c r="V89" s="34" t="s">
        <v>863</v>
      </c>
      <c r="W89" s="139">
        <v>120401010403</v>
      </c>
      <c r="X89" s="140" t="s">
        <v>751</v>
      </c>
    </row>
    <row r="90" spans="1:24" x14ac:dyDescent="0.35">
      <c r="A90" s="34">
        <v>2023</v>
      </c>
      <c r="B90" s="34" t="s">
        <v>146</v>
      </c>
      <c r="C90" s="34" t="s">
        <v>784</v>
      </c>
      <c r="D90" s="34" t="s">
        <v>94</v>
      </c>
      <c r="E90" s="34" t="s">
        <v>747</v>
      </c>
      <c r="F90" s="34" t="s">
        <v>95</v>
      </c>
      <c r="G90" s="34"/>
      <c r="H90" s="34">
        <v>29.718139000000001</v>
      </c>
      <c r="I90" s="34">
        <v>-95.268749999999997</v>
      </c>
      <c r="J90" s="34"/>
      <c r="K90" s="105">
        <v>110000460901</v>
      </c>
      <c r="L90" s="34">
        <v>2819</v>
      </c>
      <c r="M90" s="48" t="str">
        <f>VLOOKUP(L90, '2017 SIC to NAICS'!A:D, 2)</f>
        <v>Industrial Inorganic Chemicals, Nec</v>
      </c>
      <c r="N90" s="34">
        <f>VLOOKUP(L90,'2017 SIC to NAICS'!A:D,3)</f>
        <v>331313</v>
      </c>
      <c r="O90" s="34" t="str">
        <f>VLOOKUP(L90,'2017 SIC to NAICS'!A:D,4)</f>
        <v>Alumina Refining and Primary Aluminum
Production</v>
      </c>
      <c r="P90" s="36" t="s">
        <v>785</v>
      </c>
      <c r="Q90" s="137" t="s">
        <v>786</v>
      </c>
      <c r="R90" s="45" t="s">
        <v>41</v>
      </c>
      <c r="S90" s="138">
        <f>COUNTIFS('Raw Non-zero DMR Data'!$A:$A, A90, 'Raw Non-zero DMR Data'!$C:$C, U90, 'Raw Non-zero DMR Data'!$V:$V, V90)</f>
        <v>2</v>
      </c>
      <c r="T90" s="34">
        <f>SUMIFS('Raw Non-zero DMR Data'!$X:$X, 'Raw Non-zero DMR Data'!$A:$A, A90, 'Raw Non-zero DMR Data'!$C:$C, U90, 'Raw Non-zero DMR Data'!V:V, V90)</f>
        <v>23.199400000000001</v>
      </c>
      <c r="U90" s="34" t="s">
        <v>784</v>
      </c>
      <c r="V90" s="34" t="s">
        <v>787</v>
      </c>
      <c r="W90" s="139">
        <v>120401040502</v>
      </c>
      <c r="X90" s="140" t="s">
        <v>788</v>
      </c>
    </row>
    <row r="91" spans="1:24" x14ac:dyDescent="0.35">
      <c r="A91" s="34">
        <v>2019</v>
      </c>
      <c r="B91" s="34" t="s">
        <v>543</v>
      </c>
      <c r="C91" s="34" t="s">
        <v>864</v>
      </c>
      <c r="D91" s="34" t="s">
        <v>544</v>
      </c>
      <c r="E91" s="34" t="s">
        <v>865</v>
      </c>
      <c r="F91" s="34" t="s">
        <v>545</v>
      </c>
      <c r="G91" s="34"/>
      <c r="H91" s="34">
        <v>33.917197000000002</v>
      </c>
      <c r="I91" s="34">
        <v>-88.101809000000003</v>
      </c>
      <c r="J91" s="34"/>
      <c r="K91" s="105">
        <v>110007915505</v>
      </c>
      <c r="L91" s="34">
        <v>3537</v>
      </c>
      <c r="M91" s="48" t="str">
        <f>VLOOKUP(L91, '2017 SIC to NAICS'!A:D, 2)</f>
        <v>Industrial Trucks and Tractors</v>
      </c>
      <c r="N91" s="34">
        <f>VLOOKUP(L91,'2017 SIC to NAICS'!A:D,3)</f>
        <v>333924</v>
      </c>
      <c r="O91" s="34" t="str">
        <f>VLOOKUP(L91,'2017 SIC to NAICS'!A:D,4)</f>
        <v>Industrial Truck, Tractor, Trailer, and
Stacker Machinery Manufacturing</v>
      </c>
      <c r="P91" s="36" t="s">
        <v>866</v>
      </c>
      <c r="Q91" s="137" t="s">
        <v>867</v>
      </c>
      <c r="R91" s="45" t="s">
        <v>41</v>
      </c>
      <c r="S91" s="138">
        <f>COUNTIFS('Raw Non-zero DMR Data'!$A:$A, A91, 'Raw Non-zero DMR Data'!$C:$C, U91, 'Raw Non-zero DMR Data'!$V:$V, V91)</f>
        <v>1</v>
      </c>
      <c r="T91" s="34">
        <f>SUMIFS('Raw Non-zero DMR Data'!$X:$X, 'Raw Non-zero DMR Data'!$A:$A, A91, 'Raw Non-zero DMR Data'!$C:$C, U91, 'Raw Non-zero DMR Data'!V:V, V91)</f>
        <v>4.1544159999999998E-5</v>
      </c>
      <c r="U91" s="34" t="s">
        <v>864</v>
      </c>
      <c r="V91" s="34" t="s">
        <v>868</v>
      </c>
      <c r="W91" s="139">
        <v>31601030202</v>
      </c>
      <c r="X91" s="140" t="s">
        <v>812</v>
      </c>
    </row>
    <row r="92" spans="1:24" x14ac:dyDescent="0.35">
      <c r="A92" s="34">
        <v>2021</v>
      </c>
      <c r="B92" s="34" t="s">
        <v>543</v>
      </c>
      <c r="C92" s="34" t="s">
        <v>864</v>
      </c>
      <c r="D92" s="34" t="s">
        <v>544</v>
      </c>
      <c r="E92" s="34" t="s">
        <v>865</v>
      </c>
      <c r="F92" s="34" t="s">
        <v>545</v>
      </c>
      <c r="G92" s="34"/>
      <c r="H92" s="34">
        <v>33.917197000000002</v>
      </c>
      <c r="I92" s="34">
        <v>-88.101809000000003</v>
      </c>
      <c r="J92" s="34"/>
      <c r="K92" s="105">
        <v>110007915505</v>
      </c>
      <c r="L92" s="34">
        <v>3537</v>
      </c>
      <c r="M92" s="48" t="str">
        <f>VLOOKUP(L92, '2017 SIC to NAICS'!A:D, 2)</f>
        <v>Industrial Trucks and Tractors</v>
      </c>
      <c r="N92" s="34">
        <f>VLOOKUP(L92,'2017 SIC to NAICS'!A:D,3)</f>
        <v>333924</v>
      </c>
      <c r="O92" s="34" t="str">
        <f>VLOOKUP(L92,'2017 SIC to NAICS'!A:D,4)</f>
        <v>Industrial Truck, Tractor, Trailer, and
Stacker Machinery Manufacturing</v>
      </c>
      <c r="P92" s="36" t="s">
        <v>866</v>
      </c>
      <c r="Q92" s="137" t="s">
        <v>867</v>
      </c>
      <c r="R92" s="45" t="s">
        <v>41</v>
      </c>
      <c r="S92" s="138">
        <f>COUNTIFS('Raw Non-zero DMR Data'!$A:$A, A92, 'Raw Non-zero DMR Data'!$C:$C, U92, 'Raw Non-zero DMR Data'!$V:$V, V92)</f>
        <v>1</v>
      </c>
      <c r="T92" s="34">
        <f>SUMIFS('Raw Non-zero DMR Data'!$X:$X, 'Raw Non-zero DMR Data'!$A:$A, A92, 'Raw Non-zero DMR Data'!$C:$C, U92, 'Raw Non-zero DMR Data'!V:V, V92)</f>
        <v>2.93924175E-2</v>
      </c>
      <c r="U92" s="34" t="s">
        <v>864</v>
      </c>
      <c r="V92" s="34" t="s">
        <v>868</v>
      </c>
      <c r="W92" s="139">
        <v>31601030202</v>
      </c>
      <c r="X92" s="140" t="s">
        <v>812</v>
      </c>
    </row>
    <row r="93" spans="1:24" x14ac:dyDescent="0.35">
      <c r="A93" s="34">
        <v>2022</v>
      </c>
      <c r="B93" s="34" t="s">
        <v>543</v>
      </c>
      <c r="C93" s="34" t="s">
        <v>864</v>
      </c>
      <c r="D93" s="34" t="s">
        <v>544</v>
      </c>
      <c r="E93" s="34" t="s">
        <v>865</v>
      </c>
      <c r="F93" s="34" t="s">
        <v>545</v>
      </c>
      <c r="G93" s="34"/>
      <c r="H93" s="34">
        <v>33.917197000000002</v>
      </c>
      <c r="I93" s="34">
        <v>-88.101809000000003</v>
      </c>
      <c r="J93" s="34"/>
      <c r="K93" s="105">
        <v>110007915505</v>
      </c>
      <c r="L93" s="34">
        <v>3537</v>
      </c>
      <c r="M93" s="48" t="str">
        <f>VLOOKUP(L93, '2017 SIC to NAICS'!A:D, 2)</f>
        <v>Industrial Trucks and Tractors</v>
      </c>
      <c r="N93" s="34">
        <f>VLOOKUP(L93,'2017 SIC to NAICS'!A:D,3)</f>
        <v>333924</v>
      </c>
      <c r="O93" s="34" t="str">
        <f>VLOOKUP(L93,'2017 SIC to NAICS'!A:D,4)</f>
        <v>Industrial Truck, Tractor, Trailer, and
Stacker Machinery Manufacturing</v>
      </c>
      <c r="P93" s="36" t="s">
        <v>866</v>
      </c>
      <c r="Q93" s="137" t="s">
        <v>867</v>
      </c>
      <c r="R93" s="45" t="s">
        <v>41</v>
      </c>
      <c r="S93" s="138">
        <f>COUNTIFS('Raw Non-zero DMR Data'!$A:$A, A93, 'Raw Non-zero DMR Data'!$C:$C, U93, 'Raw Non-zero DMR Data'!$V:$V, V93)</f>
        <v>1</v>
      </c>
      <c r="T93" s="34">
        <f>SUMIFS('Raw Non-zero DMR Data'!$X:$X, 'Raw Non-zero DMR Data'!$A:$A, A93, 'Raw Non-zero DMR Data'!$C:$C, U93, 'Raw Non-zero DMR Data'!V:V, V93)</f>
        <v>1.3312189090908999E-2</v>
      </c>
      <c r="U93" s="34" t="s">
        <v>864</v>
      </c>
      <c r="V93" s="34" t="s">
        <v>868</v>
      </c>
      <c r="W93" s="141" t="s">
        <v>869</v>
      </c>
      <c r="X93" s="140" t="s">
        <v>812</v>
      </c>
    </row>
    <row r="94" spans="1:24" x14ac:dyDescent="0.35">
      <c r="A94" s="34">
        <v>2019</v>
      </c>
      <c r="B94" s="34" t="s">
        <v>200</v>
      </c>
      <c r="C94" s="34" t="s">
        <v>870</v>
      </c>
      <c r="D94" s="34" t="s">
        <v>201</v>
      </c>
      <c r="E94" s="34" t="s">
        <v>871</v>
      </c>
      <c r="F94" s="34" t="s">
        <v>202</v>
      </c>
      <c r="G94" s="34"/>
      <c r="H94" s="34">
        <v>35.722341999999998</v>
      </c>
      <c r="I94" s="34">
        <v>-91.524983000000006</v>
      </c>
      <c r="J94" s="34"/>
      <c r="K94" s="105">
        <v>110017432937</v>
      </c>
      <c r="L94" s="34">
        <v>2865</v>
      </c>
      <c r="M94" s="48" t="str">
        <f>VLOOKUP(L94, '2017 SIC to NAICS'!A:D, 2)</f>
        <v>Cyclic Crudes and Intermediates</v>
      </c>
      <c r="N94" s="34">
        <f>VLOOKUP(L94,'2017 SIC to NAICS'!A:D,3)</f>
        <v>325194</v>
      </c>
      <c r="O94" s="34" t="str">
        <f>VLOOKUP(L94,'2017 SIC to NAICS'!A:D,4)</f>
        <v>Cyclic Crude, Intermediate, and Gum and
Wood Chemical Manufacturing</v>
      </c>
      <c r="P94" s="36" t="s">
        <v>872</v>
      </c>
      <c r="Q94" s="137" t="s">
        <v>873</v>
      </c>
      <c r="R94" s="45" t="s">
        <v>41</v>
      </c>
      <c r="S94" s="138">
        <f>COUNTIFS('Raw Non-zero DMR Data'!$A:$A, A94, 'Raw Non-zero DMR Data'!$C:$C, U94, 'Raw Non-zero DMR Data'!$V:$V, V94)</f>
        <v>1</v>
      </c>
      <c r="T94" s="34">
        <f>SUMIFS('Raw Non-zero DMR Data'!$X:$X, 'Raw Non-zero DMR Data'!$A:$A, A94, 'Raw Non-zero DMR Data'!$C:$C, U94, 'Raw Non-zero DMR Data'!V:V, V94)</f>
        <v>4.5740499999999997</v>
      </c>
      <c r="U94" s="34" t="s">
        <v>870</v>
      </c>
      <c r="V94" s="34" t="s">
        <v>874</v>
      </c>
      <c r="W94" s="139">
        <v>110100040704</v>
      </c>
      <c r="X94" s="140" t="s">
        <v>875</v>
      </c>
    </row>
    <row r="95" spans="1:24" x14ac:dyDescent="0.35">
      <c r="A95" s="34">
        <v>2020</v>
      </c>
      <c r="B95" s="34" t="s">
        <v>200</v>
      </c>
      <c r="C95" s="34" t="s">
        <v>870</v>
      </c>
      <c r="D95" s="34" t="s">
        <v>201</v>
      </c>
      <c r="E95" s="34" t="s">
        <v>871</v>
      </c>
      <c r="F95" s="34" t="s">
        <v>202</v>
      </c>
      <c r="G95" s="34"/>
      <c r="H95" s="34">
        <v>35.722341999999998</v>
      </c>
      <c r="I95" s="34">
        <v>-91.524983000000006</v>
      </c>
      <c r="J95" s="34"/>
      <c r="K95" s="105">
        <v>110017432937</v>
      </c>
      <c r="L95" s="34">
        <v>2865</v>
      </c>
      <c r="M95" s="48" t="str">
        <f>VLOOKUP(L95, '2017 SIC to NAICS'!A:D, 2)</f>
        <v>Cyclic Crudes and Intermediates</v>
      </c>
      <c r="N95" s="34">
        <f>VLOOKUP(L95,'2017 SIC to NAICS'!A:D,3)</f>
        <v>325194</v>
      </c>
      <c r="O95" s="34" t="str">
        <f>VLOOKUP(L95,'2017 SIC to NAICS'!A:D,4)</f>
        <v>Cyclic Crude, Intermediate, and Gum and
Wood Chemical Manufacturing</v>
      </c>
      <c r="P95" s="36" t="s">
        <v>872</v>
      </c>
      <c r="Q95" s="137" t="s">
        <v>873</v>
      </c>
      <c r="R95" s="45" t="s">
        <v>41</v>
      </c>
      <c r="S95" s="138">
        <f>COUNTIFS('Raw Non-zero DMR Data'!$A:$A, A95, 'Raw Non-zero DMR Data'!$C:$C, U95, 'Raw Non-zero DMR Data'!$V:$V, V95)</f>
        <v>1</v>
      </c>
      <c r="T95" s="34">
        <f>SUMIFS('Raw Non-zero DMR Data'!$X:$X, 'Raw Non-zero DMR Data'!$A:$A, A95, 'Raw Non-zero DMR Data'!$C:$C, U95, 'Raw Non-zero DMR Data'!V:V, V95)</f>
        <v>2.0679699999999999</v>
      </c>
      <c r="U95" s="34" t="s">
        <v>870</v>
      </c>
      <c r="V95" s="34" t="s">
        <v>874</v>
      </c>
      <c r="W95" s="139">
        <v>110100040704</v>
      </c>
      <c r="X95" s="140" t="s">
        <v>875</v>
      </c>
    </row>
    <row r="96" spans="1:24" x14ac:dyDescent="0.35">
      <c r="A96" s="34">
        <v>2021</v>
      </c>
      <c r="B96" s="34" t="s">
        <v>200</v>
      </c>
      <c r="C96" s="34" t="s">
        <v>870</v>
      </c>
      <c r="D96" s="34" t="s">
        <v>201</v>
      </c>
      <c r="E96" s="34" t="s">
        <v>871</v>
      </c>
      <c r="F96" s="34" t="s">
        <v>202</v>
      </c>
      <c r="G96" s="34"/>
      <c r="H96" s="34">
        <v>35.722341999999998</v>
      </c>
      <c r="I96" s="34">
        <v>-91.524983000000006</v>
      </c>
      <c r="J96" s="34"/>
      <c r="K96" s="105">
        <v>110017432937</v>
      </c>
      <c r="L96" s="34">
        <v>2865</v>
      </c>
      <c r="M96" s="48" t="str">
        <f>VLOOKUP(L96, '2017 SIC to NAICS'!A:D, 2)</f>
        <v>Cyclic Crudes and Intermediates</v>
      </c>
      <c r="N96" s="34">
        <f>VLOOKUP(L96,'2017 SIC to NAICS'!A:D,3)</f>
        <v>325194</v>
      </c>
      <c r="O96" s="34" t="str">
        <f>VLOOKUP(L96,'2017 SIC to NAICS'!A:D,4)</f>
        <v>Cyclic Crude, Intermediate, and Gum and
Wood Chemical Manufacturing</v>
      </c>
      <c r="P96" s="36" t="s">
        <v>872</v>
      </c>
      <c r="Q96" s="137" t="s">
        <v>873</v>
      </c>
      <c r="R96" s="45" t="s">
        <v>41</v>
      </c>
      <c r="S96" s="138">
        <f>COUNTIFS('Raw Non-zero DMR Data'!$A:$A, A96, 'Raw Non-zero DMR Data'!$C:$C, U96, 'Raw Non-zero DMR Data'!$V:$V, V96)</f>
        <v>1</v>
      </c>
      <c r="T96" s="34">
        <f>SUMIFS('Raw Non-zero DMR Data'!$X:$X, 'Raw Non-zero DMR Data'!$A:$A, A96, 'Raw Non-zero DMR Data'!$C:$C, U96, 'Raw Non-zero DMR Data'!V:V, V96)</f>
        <v>1.6571</v>
      </c>
      <c r="U96" s="34" t="s">
        <v>870</v>
      </c>
      <c r="V96" s="34" t="s">
        <v>874</v>
      </c>
      <c r="W96" s="139">
        <v>110100040704</v>
      </c>
      <c r="X96" s="140" t="s">
        <v>875</v>
      </c>
    </row>
    <row r="97" spans="1:24" x14ac:dyDescent="0.35">
      <c r="A97" s="34">
        <v>2022</v>
      </c>
      <c r="B97" s="34" t="s">
        <v>200</v>
      </c>
      <c r="C97" s="34" t="s">
        <v>870</v>
      </c>
      <c r="D97" s="34" t="s">
        <v>201</v>
      </c>
      <c r="E97" s="34" t="s">
        <v>871</v>
      </c>
      <c r="F97" s="34" t="s">
        <v>202</v>
      </c>
      <c r="G97" s="34"/>
      <c r="H97" s="34">
        <v>35.722341999999998</v>
      </c>
      <c r="I97" s="34">
        <v>-91.524983000000006</v>
      </c>
      <c r="J97" s="34"/>
      <c r="K97" s="105">
        <v>110017432937</v>
      </c>
      <c r="L97" s="34">
        <v>2865</v>
      </c>
      <c r="M97" s="48" t="str">
        <f>VLOOKUP(L97, '2017 SIC to NAICS'!A:D, 2)</f>
        <v>Cyclic Crudes and Intermediates</v>
      </c>
      <c r="N97" s="34">
        <f>VLOOKUP(L97,'2017 SIC to NAICS'!A:D,3)</f>
        <v>325194</v>
      </c>
      <c r="O97" s="34" t="str">
        <f>VLOOKUP(L97,'2017 SIC to NAICS'!A:D,4)</f>
        <v>Cyclic Crude, Intermediate, and Gum and
Wood Chemical Manufacturing</v>
      </c>
      <c r="P97" s="36" t="s">
        <v>872</v>
      </c>
      <c r="Q97" s="137" t="s">
        <v>873</v>
      </c>
      <c r="R97" s="45" t="s">
        <v>41</v>
      </c>
      <c r="S97" s="138">
        <f>COUNTIFS('Raw Non-zero DMR Data'!$A:$A, A97, 'Raw Non-zero DMR Data'!$C:$C, U97, 'Raw Non-zero DMR Data'!$V:$V, V97)</f>
        <v>1</v>
      </c>
      <c r="T97" s="34">
        <f>SUMIFS('Raw Non-zero DMR Data'!$X:$X, 'Raw Non-zero DMR Data'!$A:$A, A97, 'Raw Non-zero DMR Data'!$C:$C, U97, 'Raw Non-zero DMR Data'!V:V, V97)</f>
        <v>2.0747800000000001</v>
      </c>
      <c r="U97" s="34" t="s">
        <v>870</v>
      </c>
      <c r="V97" s="34" t="s">
        <v>874</v>
      </c>
      <c r="W97" s="139">
        <v>110100040704</v>
      </c>
      <c r="X97" s="140" t="s">
        <v>875</v>
      </c>
    </row>
    <row r="98" spans="1:24" x14ac:dyDescent="0.35">
      <c r="A98" s="34">
        <v>2023</v>
      </c>
      <c r="B98" s="34" t="s">
        <v>200</v>
      </c>
      <c r="C98" s="34" t="s">
        <v>870</v>
      </c>
      <c r="D98" s="34" t="s">
        <v>201</v>
      </c>
      <c r="E98" s="34" t="s">
        <v>871</v>
      </c>
      <c r="F98" s="34" t="s">
        <v>202</v>
      </c>
      <c r="G98" s="34"/>
      <c r="H98" s="34">
        <v>35.722341999999998</v>
      </c>
      <c r="I98" s="34">
        <v>-91.524983000000006</v>
      </c>
      <c r="J98" s="34"/>
      <c r="K98" s="105">
        <v>110017432937</v>
      </c>
      <c r="L98" s="34">
        <v>2865</v>
      </c>
      <c r="M98" s="48" t="str">
        <f>VLOOKUP(L98, '2017 SIC to NAICS'!A:D, 2)</f>
        <v>Cyclic Crudes and Intermediates</v>
      </c>
      <c r="N98" s="34">
        <f>VLOOKUP(L98,'2017 SIC to NAICS'!A:D,3)</f>
        <v>325194</v>
      </c>
      <c r="O98" s="34" t="str">
        <f>VLOOKUP(L98,'2017 SIC to NAICS'!A:D,4)</f>
        <v>Cyclic Crude, Intermediate, and Gum and
Wood Chemical Manufacturing</v>
      </c>
      <c r="P98" s="36" t="s">
        <v>872</v>
      </c>
      <c r="Q98" s="137" t="s">
        <v>873</v>
      </c>
      <c r="R98" s="45" t="s">
        <v>41</v>
      </c>
      <c r="S98" s="138">
        <f>COUNTIFS('Raw Non-zero DMR Data'!$A:$A, A98, 'Raw Non-zero DMR Data'!$C:$C, U98, 'Raw Non-zero DMR Data'!$V:$V, V98)</f>
        <v>1</v>
      </c>
      <c r="T98" s="34">
        <f>SUMIFS('Raw Non-zero DMR Data'!$X:$X, 'Raw Non-zero DMR Data'!$A:$A, A98, 'Raw Non-zero DMR Data'!$C:$C, U98, 'Raw Non-zero DMR Data'!V:V, V98)</f>
        <v>1.65029</v>
      </c>
      <c r="U98" s="34" t="s">
        <v>870</v>
      </c>
      <c r="V98" s="34" t="s">
        <v>874</v>
      </c>
      <c r="W98" s="139">
        <v>110100040704</v>
      </c>
      <c r="X98" s="140" t="s">
        <v>875</v>
      </c>
    </row>
    <row r="99" spans="1:24" x14ac:dyDescent="0.35">
      <c r="A99" s="34">
        <v>2019</v>
      </c>
      <c r="B99" s="34" t="s">
        <v>488</v>
      </c>
      <c r="C99" s="34" t="s">
        <v>876</v>
      </c>
      <c r="D99" s="34" t="s">
        <v>489</v>
      </c>
      <c r="E99" s="34" t="s">
        <v>877</v>
      </c>
      <c r="F99" s="34" t="s">
        <v>202</v>
      </c>
      <c r="G99" s="34"/>
      <c r="H99" s="34">
        <v>35.136057000000001</v>
      </c>
      <c r="I99" s="34">
        <v>-90.096892999999994</v>
      </c>
      <c r="J99" s="34"/>
      <c r="K99" s="105">
        <v>110000452082</v>
      </c>
      <c r="L99" s="34">
        <v>2869</v>
      </c>
      <c r="M99" s="48" t="str">
        <f>VLOOKUP(L99, '2017 SIC to NAICS'!A:D, 2)</f>
        <v>Industrial Organic Chemicals, Nec</v>
      </c>
      <c r="N99" s="34">
        <f>VLOOKUP(L99,'2017 SIC to NAICS'!A:D,3)</f>
        <v>325998</v>
      </c>
      <c r="O99" s="34" t="str">
        <f>VLOOKUP(L99,'2017 SIC to NAICS'!A:D,4)</f>
        <v>All Other Miscellaneous Chemical Product and Preparation Manufacturing</v>
      </c>
      <c r="P99" s="36" t="s">
        <v>748</v>
      </c>
      <c r="Q99" s="137" t="s">
        <v>749</v>
      </c>
      <c r="R99" s="45" t="s">
        <v>41</v>
      </c>
      <c r="S99" s="138">
        <f>COUNTIFS('Raw Non-zero DMR Data'!$A:$A, A99, 'Raw Non-zero DMR Data'!$C:$C, U99, 'Raw Non-zero DMR Data'!$V:$V, V99)</f>
        <v>1</v>
      </c>
      <c r="T99" s="34">
        <f>SUMIFS('Raw Non-zero DMR Data'!$X:$X, 'Raw Non-zero DMR Data'!$A:$A, A99, 'Raw Non-zero DMR Data'!$C:$C, U99, 'Raw Non-zero DMR Data'!V:V, V99)</f>
        <v>3.10309E-2</v>
      </c>
      <c r="U99" s="34" t="s">
        <v>876</v>
      </c>
      <c r="V99" s="34" t="s">
        <v>878</v>
      </c>
      <c r="W99" s="139">
        <v>80101000703</v>
      </c>
      <c r="X99" s="140" t="s">
        <v>879</v>
      </c>
    </row>
    <row r="100" spans="1:24" x14ac:dyDescent="0.35">
      <c r="A100" s="34">
        <v>2020</v>
      </c>
      <c r="B100" s="34" t="s">
        <v>488</v>
      </c>
      <c r="C100" s="34" t="s">
        <v>876</v>
      </c>
      <c r="D100" s="34" t="s">
        <v>489</v>
      </c>
      <c r="E100" s="34" t="s">
        <v>877</v>
      </c>
      <c r="F100" s="34" t="s">
        <v>202</v>
      </c>
      <c r="G100" s="34"/>
      <c r="H100" s="34">
        <v>35.136057000000001</v>
      </c>
      <c r="I100" s="34">
        <v>-90.096892999999994</v>
      </c>
      <c r="J100" s="34"/>
      <c r="K100" s="105">
        <v>110000452082</v>
      </c>
      <c r="L100" s="34">
        <v>2869</v>
      </c>
      <c r="M100" s="48" t="str">
        <f>VLOOKUP(L100, '2017 SIC to NAICS'!A:D, 2)</f>
        <v>Industrial Organic Chemicals, Nec</v>
      </c>
      <c r="N100" s="34">
        <f>VLOOKUP(L100,'2017 SIC to NAICS'!A:D,3)</f>
        <v>325998</v>
      </c>
      <c r="O100" s="34" t="str">
        <f>VLOOKUP(L100,'2017 SIC to NAICS'!A:D,4)</f>
        <v>All Other Miscellaneous Chemical Product and Preparation Manufacturing</v>
      </c>
      <c r="P100" s="36" t="s">
        <v>748</v>
      </c>
      <c r="Q100" s="137" t="s">
        <v>749</v>
      </c>
      <c r="R100" s="45" t="s">
        <v>41</v>
      </c>
      <c r="S100" s="138">
        <f>COUNTIFS('Raw Non-zero DMR Data'!$A:$A, A100, 'Raw Non-zero DMR Data'!$C:$C, U100, 'Raw Non-zero DMR Data'!$V:$V, V100)</f>
        <v>1</v>
      </c>
      <c r="T100" s="34">
        <f>SUMIFS('Raw Non-zero DMR Data'!$X:$X, 'Raw Non-zero DMR Data'!$A:$A, A100, 'Raw Non-zero DMR Data'!$C:$C, U100, 'Raw Non-zero DMR Data'!V:V, V100)</f>
        <v>4.1563700000000002E-2</v>
      </c>
      <c r="U100" s="34" t="s">
        <v>876</v>
      </c>
      <c r="V100" s="34" t="s">
        <v>878</v>
      </c>
      <c r="W100" s="139">
        <v>80101000703</v>
      </c>
      <c r="X100" s="140" t="s">
        <v>879</v>
      </c>
    </row>
    <row r="101" spans="1:24" x14ac:dyDescent="0.35">
      <c r="A101" s="34">
        <v>2021</v>
      </c>
      <c r="B101" s="34" t="s">
        <v>488</v>
      </c>
      <c r="C101" s="34" t="s">
        <v>876</v>
      </c>
      <c r="D101" s="34" t="s">
        <v>489</v>
      </c>
      <c r="E101" s="34" t="s">
        <v>877</v>
      </c>
      <c r="F101" s="34" t="s">
        <v>202</v>
      </c>
      <c r="G101" s="34"/>
      <c r="H101" s="34">
        <v>35.136057000000001</v>
      </c>
      <c r="I101" s="34">
        <v>-90.096892999999994</v>
      </c>
      <c r="J101" s="34"/>
      <c r="K101" s="105">
        <v>110000452082</v>
      </c>
      <c r="L101" s="34">
        <v>2869</v>
      </c>
      <c r="M101" s="48" t="str">
        <f>VLOOKUP(L101, '2017 SIC to NAICS'!A:D, 2)</f>
        <v>Industrial Organic Chemicals, Nec</v>
      </c>
      <c r="N101" s="34">
        <f>VLOOKUP(L101,'2017 SIC to NAICS'!A:D,3)</f>
        <v>325998</v>
      </c>
      <c r="O101" s="34" t="str">
        <f>VLOOKUP(L101,'2017 SIC to NAICS'!A:D,4)</f>
        <v>All Other Miscellaneous Chemical Product and Preparation Manufacturing</v>
      </c>
      <c r="P101" s="36" t="s">
        <v>748</v>
      </c>
      <c r="Q101" s="137" t="s">
        <v>749</v>
      </c>
      <c r="R101" s="45" t="s">
        <v>41</v>
      </c>
      <c r="S101" s="138">
        <f>COUNTIFS('Raw Non-zero DMR Data'!$A:$A, A101, 'Raw Non-zero DMR Data'!$C:$C, U101, 'Raw Non-zero DMR Data'!$V:$V, V101)</f>
        <v>1</v>
      </c>
      <c r="T101" s="34">
        <f>SUMIFS('Raw Non-zero DMR Data'!$X:$X, 'Raw Non-zero DMR Data'!$A:$A, A101, 'Raw Non-zero DMR Data'!$C:$C, U101, 'Raw Non-zero DMR Data'!V:V, V101)</f>
        <v>5.9301479999999997E-2</v>
      </c>
      <c r="U101" s="34" t="s">
        <v>876</v>
      </c>
      <c r="V101" s="34" t="s">
        <v>878</v>
      </c>
      <c r="W101" s="139">
        <v>80101000703</v>
      </c>
      <c r="X101" s="140" t="s">
        <v>879</v>
      </c>
    </row>
    <row r="102" spans="1:24" x14ac:dyDescent="0.35">
      <c r="A102" s="34">
        <v>2022</v>
      </c>
      <c r="B102" s="34" t="s">
        <v>488</v>
      </c>
      <c r="C102" s="34" t="s">
        <v>876</v>
      </c>
      <c r="D102" s="34" t="s">
        <v>489</v>
      </c>
      <c r="E102" s="34" t="s">
        <v>877</v>
      </c>
      <c r="F102" s="34" t="s">
        <v>202</v>
      </c>
      <c r="G102" s="34"/>
      <c r="H102" s="34">
        <v>35.136057000000001</v>
      </c>
      <c r="I102" s="34">
        <v>-90.096892999999994</v>
      </c>
      <c r="J102" s="34"/>
      <c r="K102" s="105">
        <v>110000452082</v>
      </c>
      <c r="L102" s="34">
        <v>2869</v>
      </c>
      <c r="M102" s="48" t="str">
        <f>VLOOKUP(L102, '2017 SIC to NAICS'!A:D, 2)</f>
        <v>Industrial Organic Chemicals, Nec</v>
      </c>
      <c r="N102" s="34">
        <f>VLOOKUP(L102,'2017 SIC to NAICS'!A:D,3)</f>
        <v>325998</v>
      </c>
      <c r="O102" s="34" t="str">
        <f>VLOOKUP(L102,'2017 SIC to NAICS'!A:D,4)</f>
        <v>All Other Miscellaneous Chemical Product and Preparation Manufacturing</v>
      </c>
      <c r="P102" s="36" t="s">
        <v>748</v>
      </c>
      <c r="Q102" s="137" t="s">
        <v>749</v>
      </c>
      <c r="R102" s="45" t="s">
        <v>41</v>
      </c>
      <c r="S102" s="138">
        <f>COUNTIFS('Raw Non-zero DMR Data'!$A:$A, A102, 'Raw Non-zero DMR Data'!$C:$C, U102, 'Raw Non-zero DMR Data'!$V:$V, V102)</f>
        <v>1</v>
      </c>
      <c r="T102" s="34">
        <f>SUMIFS('Raw Non-zero DMR Data'!$X:$X, 'Raw Non-zero DMR Data'!$A:$A, A102, 'Raw Non-zero DMR Data'!$C:$C, U102, 'Raw Non-zero DMR Data'!V:V, V102)</f>
        <v>1.2053700000000001E-2</v>
      </c>
      <c r="U102" s="34" t="s">
        <v>876</v>
      </c>
      <c r="V102" s="34" t="s">
        <v>878</v>
      </c>
      <c r="W102" s="141" t="s">
        <v>880</v>
      </c>
      <c r="X102" s="140" t="s">
        <v>879</v>
      </c>
    </row>
    <row r="103" spans="1:24" x14ac:dyDescent="0.35">
      <c r="A103" s="34">
        <v>2020</v>
      </c>
      <c r="B103" s="34" t="s">
        <v>384</v>
      </c>
      <c r="C103" s="34" t="s">
        <v>881</v>
      </c>
      <c r="D103" s="34" t="s">
        <v>385</v>
      </c>
      <c r="E103" s="34" t="s">
        <v>882</v>
      </c>
      <c r="F103" s="34" t="s">
        <v>288</v>
      </c>
      <c r="G103" s="34"/>
      <c r="H103" s="34">
        <v>32.802</v>
      </c>
      <c r="I103" s="34">
        <v>-109.711</v>
      </c>
      <c r="J103" s="34"/>
      <c r="K103" s="105">
        <v>110012330520</v>
      </c>
      <c r="L103" s="34"/>
      <c r="M103" s="48" t="e">
        <f>VLOOKUP(L103, '2017 SIC to NAICS'!A:D, 2)</f>
        <v>#N/A</v>
      </c>
      <c r="N103" s="34" t="e">
        <f>VLOOKUP(L103,'2017 SIC to NAICS'!A:D,3)</f>
        <v>#N/A</v>
      </c>
      <c r="O103" s="34" t="e">
        <f>VLOOKUP(L103,'2017 SIC to NAICS'!A:D,4)</f>
        <v>#N/A</v>
      </c>
      <c r="P103" s="36" t="s">
        <v>737</v>
      </c>
      <c r="Q103" s="137" t="s">
        <v>737</v>
      </c>
      <c r="R103" s="45" t="s">
        <v>38</v>
      </c>
      <c r="S103" s="138">
        <f>COUNTIFS('Raw Non-zero DMR Data'!$A:$A, A103, 'Raw Non-zero DMR Data'!$C:$C, U103, 'Raw Non-zero DMR Data'!$V:$V, V103)</f>
        <v>1</v>
      </c>
      <c r="T103" s="34">
        <f>SUMIFS('Raw Non-zero DMR Data'!$X:$X, 'Raw Non-zero DMR Data'!$A:$A, A103, 'Raw Non-zero DMR Data'!$C:$C, U103, 'Raw Non-zero DMR Data'!V:V, V103)</f>
        <v>0.283212625</v>
      </c>
      <c r="U103" s="34" t="s">
        <v>881</v>
      </c>
      <c r="V103" s="34" t="s">
        <v>883</v>
      </c>
      <c r="W103" s="139">
        <v>150400050705</v>
      </c>
      <c r="X103" s="140" t="s">
        <v>884</v>
      </c>
    </row>
    <row r="104" spans="1:24" x14ac:dyDescent="0.35">
      <c r="A104" s="34">
        <v>2022</v>
      </c>
      <c r="B104" s="34" t="s">
        <v>439</v>
      </c>
      <c r="C104" s="34" t="s">
        <v>885</v>
      </c>
      <c r="D104" s="34" t="s">
        <v>440</v>
      </c>
      <c r="E104" s="34" t="s">
        <v>886</v>
      </c>
      <c r="F104" s="34" t="s">
        <v>102</v>
      </c>
      <c r="G104" s="34"/>
      <c r="H104" s="34">
        <v>38.030833000000001</v>
      </c>
      <c r="I104" s="34">
        <v>-122.075</v>
      </c>
      <c r="J104" s="34"/>
      <c r="K104" s="105">
        <v>110071349304</v>
      </c>
      <c r="L104" s="34">
        <v>2911</v>
      </c>
      <c r="M104" s="48" t="str">
        <f>VLOOKUP(L104, '2017 SIC to NAICS'!A:D, 2)</f>
        <v>Petroleum Refining</v>
      </c>
      <c r="N104" s="34">
        <f>VLOOKUP(L104,'2017 SIC to NAICS'!A:D,3)</f>
        <v>324110</v>
      </c>
      <c r="O104" s="34" t="str">
        <f>VLOOKUP(L104,'2017 SIC to NAICS'!A:D,4)</f>
        <v>Petroleum Refineries</v>
      </c>
      <c r="P104" s="36" t="s">
        <v>760</v>
      </c>
      <c r="Q104" s="137" t="s">
        <v>761</v>
      </c>
      <c r="R104" s="45" t="s">
        <v>41</v>
      </c>
      <c r="S104" s="138">
        <f>COUNTIFS('Raw Non-zero DMR Data'!$A:$A, A104, 'Raw Non-zero DMR Data'!$C:$C, U104, 'Raw Non-zero DMR Data'!$V:$V, V104)</f>
        <v>1</v>
      </c>
      <c r="T104" s="34">
        <f>SUMIFS('Raw Non-zero DMR Data'!$X:$X, 'Raw Non-zero DMR Data'!$A:$A, A104, 'Raw Non-zero DMR Data'!$C:$C, U104, 'Raw Non-zero DMR Data'!V:V, V104)</f>
        <v>0.13559686800000001</v>
      </c>
      <c r="U104" s="34" t="s">
        <v>885</v>
      </c>
      <c r="V104" s="34" t="s">
        <v>887</v>
      </c>
      <c r="W104" s="139">
        <v>180500010302</v>
      </c>
      <c r="X104" s="140" t="s">
        <v>751</v>
      </c>
    </row>
    <row r="105" spans="1:24" x14ac:dyDescent="0.35">
      <c r="A105" s="34">
        <v>2023</v>
      </c>
      <c r="B105" s="34" t="s">
        <v>439</v>
      </c>
      <c r="C105" s="34" t="s">
        <v>885</v>
      </c>
      <c r="D105" s="34" t="s">
        <v>440</v>
      </c>
      <c r="E105" s="34" t="s">
        <v>886</v>
      </c>
      <c r="F105" s="34" t="s">
        <v>102</v>
      </c>
      <c r="G105" s="34"/>
      <c r="H105" s="34">
        <v>38.030833000000001</v>
      </c>
      <c r="I105" s="34">
        <v>-122.075</v>
      </c>
      <c r="J105" s="34"/>
      <c r="K105" s="105">
        <v>110071349304</v>
      </c>
      <c r="L105" s="34">
        <v>2911</v>
      </c>
      <c r="M105" s="48" t="str">
        <f>VLOOKUP(L105, '2017 SIC to NAICS'!A:D, 2)</f>
        <v>Petroleum Refining</v>
      </c>
      <c r="N105" s="34">
        <f>VLOOKUP(L105,'2017 SIC to NAICS'!A:D,3)</f>
        <v>324110</v>
      </c>
      <c r="O105" s="34" t="str">
        <f>VLOOKUP(L105,'2017 SIC to NAICS'!A:D,4)</f>
        <v>Petroleum Refineries</v>
      </c>
      <c r="P105" s="36" t="s">
        <v>760</v>
      </c>
      <c r="Q105" s="137" t="s">
        <v>761</v>
      </c>
      <c r="R105" s="45" t="s">
        <v>41</v>
      </c>
      <c r="S105" s="138">
        <f>COUNTIFS('Raw Non-zero DMR Data'!$A:$A, A105, 'Raw Non-zero DMR Data'!$C:$C, U105, 'Raw Non-zero DMR Data'!$V:$V, V105)</f>
        <v>1</v>
      </c>
      <c r="T105" s="34">
        <f>SUMIFS('Raw Non-zero DMR Data'!$X:$X, 'Raw Non-zero DMR Data'!$A:$A, A105, 'Raw Non-zero DMR Data'!$C:$C, U105, 'Raw Non-zero DMR Data'!V:V, V105)</f>
        <v>0.122434152</v>
      </c>
      <c r="U105" s="34" t="s">
        <v>885</v>
      </c>
      <c r="V105" s="34" t="s">
        <v>887</v>
      </c>
      <c r="W105" s="139">
        <v>180500010302</v>
      </c>
      <c r="X105" s="140" t="s">
        <v>751</v>
      </c>
    </row>
    <row r="106" spans="1:24" x14ac:dyDescent="0.35">
      <c r="A106" s="34">
        <v>2019</v>
      </c>
      <c r="B106" s="34" t="s">
        <v>486</v>
      </c>
      <c r="C106" s="34" t="s">
        <v>888</v>
      </c>
      <c r="D106" s="34" t="s">
        <v>415</v>
      </c>
      <c r="E106" s="34" t="s">
        <v>889</v>
      </c>
      <c r="F106" s="34" t="s">
        <v>102</v>
      </c>
      <c r="G106" s="34"/>
      <c r="H106" s="34">
        <v>39.916111000000001</v>
      </c>
      <c r="I106" s="34">
        <v>-122.104444</v>
      </c>
      <c r="J106" s="34"/>
      <c r="K106" s="105">
        <v>110000730451</v>
      </c>
      <c r="L106" s="34">
        <v>4952</v>
      </c>
      <c r="M106" s="48" t="str">
        <f>VLOOKUP(L106, '2017 SIC to NAICS'!A:D, 2)</f>
        <v>Sewerage Systems</v>
      </c>
      <c r="N106" s="34">
        <f>VLOOKUP(L106,'2017 SIC to NAICS'!A:D,3)</f>
        <v>221320</v>
      </c>
      <c r="O106" s="34" t="str">
        <f>VLOOKUP(L106,'2017 SIC to NAICS'!A:D,4)</f>
        <v>Sewage Treatment Facilities</v>
      </c>
      <c r="P106" s="36" t="s">
        <v>742</v>
      </c>
      <c r="Q106" s="137" t="s">
        <v>743</v>
      </c>
      <c r="R106" s="45" t="s">
        <v>38</v>
      </c>
      <c r="S106" s="138">
        <f>COUNTIFS('Raw Non-zero DMR Data'!$A:$A, A106, 'Raw Non-zero DMR Data'!$C:$C, U106, 'Raw Non-zero DMR Data'!$V:$V, V106)</f>
        <v>1</v>
      </c>
      <c r="T106" s="34">
        <f>SUMIFS('Raw Non-zero DMR Data'!$X:$X, 'Raw Non-zero DMR Data'!$A:$A, A106, 'Raw Non-zero DMR Data'!$C:$C, U106, 'Raw Non-zero DMR Data'!V:V, V106)</f>
        <v>6.7778701533333305E-2</v>
      </c>
      <c r="U106" s="34" t="s">
        <v>888</v>
      </c>
      <c r="V106" s="34" t="s">
        <v>890</v>
      </c>
      <c r="W106" s="139">
        <v>180201570701</v>
      </c>
      <c r="X106" s="140" t="s">
        <v>745</v>
      </c>
    </row>
    <row r="107" spans="1:24" x14ac:dyDescent="0.35">
      <c r="A107" s="34">
        <v>2023</v>
      </c>
      <c r="B107" s="34" t="s">
        <v>486</v>
      </c>
      <c r="C107" s="34" t="s">
        <v>888</v>
      </c>
      <c r="D107" s="34" t="s">
        <v>415</v>
      </c>
      <c r="E107" s="34" t="s">
        <v>889</v>
      </c>
      <c r="F107" s="34" t="s">
        <v>102</v>
      </c>
      <c r="G107" s="34"/>
      <c r="H107" s="34">
        <v>39.916111000000001</v>
      </c>
      <c r="I107" s="34">
        <v>-122.104444</v>
      </c>
      <c r="J107" s="34"/>
      <c r="K107" s="105">
        <v>110000730451</v>
      </c>
      <c r="L107" s="34">
        <v>4952</v>
      </c>
      <c r="M107" s="48" t="str">
        <f>VLOOKUP(L107, '2017 SIC to NAICS'!A:D, 2)</f>
        <v>Sewerage Systems</v>
      </c>
      <c r="N107" s="34">
        <f>VLOOKUP(L107,'2017 SIC to NAICS'!A:D,3)</f>
        <v>221320</v>
      </c>
      <c r="O107" s="34" t="str">
        <f>VLOOKUP(L107,'2017 SIC to NAICS'!A:D,4)</f>
        <v>Sewage Treatment Facilities</v>
      </c>
      <c r="P107" s="36" t="s">
        <v>742</v>
      </c>
      <c r="Q107" s="137" t="s">
        <v>743</v>
      </c>
      <c r="R107" s="45" t="s">
        <v>38</v>
      </c>
      <c r="S107" s="138">
        <f>COUNTIFS('Raw Non-zero DMR Data'!$A:$A, A107, 'Raw Non-zero DMR Data'!$C:$C, U107, 'Raw Non-zero DMR Data'!$V:$V, V107)</f>
        <v>1</v>
      </c>
      <c r="T107" s="34">
        <f>SUMIFS('Raw Non-zero DMR Data'!$X:$X, 'Raw Non-zero DMR Data'!$A:$A, A107, 'Raw Non-zero DMR Data'!$C:$C, U107, 'Raw Non-zero DMR Data'!V:V, V107)</f>
        <v>1.63941168533333E-2</v>
      </c>
      <c r="U107" s="34" t="s">
        <v>888</v>
      </c>
      <c r="V107" s="34" t="s">
        <v>890</v>
      </c>
      <c r="W107" s="139">
        <v>180201570701</v>
      </c>
      <c r="X107" s="140" t="s">
        <v>745</v>
      </c>
    </row>
    <row r="108" spans="1:24" x14ac:dyDescent="0.35">
      <c r="A108" s="34">
        <v>2023</v>
      </c>
      <c r="B108" s="34" t="s">
        <v>410</v>
      </c>
      <c r="C108" s="34" t="s">
        <v>891</v>
      </c>
      <c r="D108" s="34" t="s">
        <v>411</v>
      </c>
      <c r="E108" s="34" t="s">
        <v>892</v>
      </c>
      <c r="F108" s="34" t="s">
        <v>102</v>
      </c>
      <c r="G108" s="34"/>
      <c r="H108" s="34">
        <v>38.074433999999997</v>
      </c>
      <c r="I108" s="34">
        <v>-122.144397</v>
      </c>
      <c r="J108" s="34"/>
      <c r="K108" s="105">
        <v>110033145353</v>
      </c>
      <c r="L108" s="34">
        <v>2911</v>
      </c>
      <c r="M108" s="48" t="str">
        <f>VLOOKUP(L108, '2017 SIC to NAICS'!A:D, 2)</f>
        <v>Petroleum Refining</v>
      </c>
      <c r="N108" s="34">
        <f>VLOOKUP(L108,'2017 SIC to NAICS'!A:D,3)</f>
        <v>324110</v>
      </c>
      <c r="O108" s="34" t="str">
        <f>VLOOKUP(L108,'2017 SIC to NAICS'!A:D,4)</f>
        <v>Petroleum Refineries</v>
      </c>
      <c r="P108" s="36" t="s">
        <v>760</v>
      </c>
      <c r="Q108" s="137" t="s">
        <v>761</v>
      </c>
      <c r="R108" s="45" t="s">
        <v>41</v>
      </c>
      <c r="S108" s="138">
        <f>COUNTIFS('Raw Non-zero DMR Data'!$A:$A, A108, 'Raw Non-zero DMR Data'!$C:$C, U108, 'Raw Non-zero DMR Data'!$V:$V, V108)</f>
        <v>1</v>
      </c>
      <c r="T108" s="34">
        <f>SUMIFS('Raw Non-zero DMR Data'!$X:$X, 'Raw Non-zero DMR Data'!$A:$A, A108, 'Raw Non-zero DMR Data'!$C:$C, U108, 'Raw Non-zero DMR Data'!V:V, V108)</f>
        <v>0.18497295</v>
      </c>
      <c r="U108" s="34" t="s">
        <v>891</v>
      </c>
      <c r="V108" s="34" t="s">
        <v>893</v>
      </c>
      <c r="W108" s="139">
        <v>180500010109</v>
      </c>
      <c r="X108" s="140" t="s">
        <v>751</v>
      </c>
    </row>
    <row r="109" spans="1:24" x14ac:dyDescent="0.35">
      <c r="A109" s="34">
        <v>2022</v>
      </c>
      <c r="B109" s="34" t="s">
        <v>484</v>
      </c>
      <c r="C109" s="34" t="s">
        <v>894</v>
      </c>
      <c r="D109" s="34" t="s">
        <v>485</v>
      </c>
      <c r="E109" s="34" t="s">
        <v>895</v>
      </c>
      <c r="F109" s="34" t="s">
        <v>102</v>
      </c>
      <c r="G109" s="34"/>
      <c r="H109" s="34">
        <v>40.638300000000001</v>
      </c>
      <c r="I109" s="34">
        <v>-124.22553000000001</v>
      </c>
      <c r="J109" s="34"/>
      <c r="K109" s="105">
        <v>110010059649</v>
      </c>
      <c r="L109" s="34">
        <v>4952</v>
      </c>
      <c r="M109" s="48" t="str">
        <f>VLOOKUP(L109, '2017 SIC to NAICS'!A:D, 2)</f>
        <v>Sewerage Systems</v>
      </c>
      <c r="N109" s="34">
        <f>VLOOKUP(L109,'2017 SIC to NAICS'!A:D,3)</f>
        <v>221320</v>
      </c>
      <c r="O109" s="34" t="str">
        <f>VLOOKUP(L109,'2017 SIC to NAICS'!A:D,4)</f>
        <v>Sewage Treatment Facilities</v>
      </c>
      <c r="P109" s="36" t="s">
        <v>742</v>
      </c>
      <c r="Q109" s="137" t="s">
        <v>743</v>
      </c>
      <c r="R109" s="45" t="s">
        <v>38</v>
      </c>
      <c r="S109" s="138">
        <f>COUNTIFS('Raw Non-zero DMR Data'!$A:$A, A109, 'Raw Non-zero DMR Data'!$C:$C, U109, 'Raw Non-zero DMR Data'!$V:$V, V109)</f>
        <v>1</v>
      </c>
      <c r="T109" s="34">
        <f>SUMIFS('Raw Non-zero DMR Data'!$X:$X, 'Raw Non-zero DMR Data'!$A:$A, A109, 'Raw Non-zero DMR Data'!$C:$C, U109, 'Raw Non-zero DMR Data'!V:V, V109)</f>
        <v>6.8385487499999995E-2</v>
      </c>
      <c r="U109" s="34" t="s">
        <v>894</v>
      </c>
      <c r="V109" s="34" t="s">
        <v>896</v>
      </c>
      <c r="W109" s="139">
        <v>180101051102</v>
      </c>
      <c r="X109" s="140" t="s">
        <v>745</v>
      </c>
    </row>
    <row r="110" spans="1:24" x14ac:dyDescent="0.35">
      <c r="A110" s="34">
        <v>2023</v>
      </c>
      <c r="B110" s="34" t="s">
        <v>484</v>
      </c>
      <c r="C110" s="34" t="s">
        <v>894</v>
      </c>
      <c r="D110" s="34" t="s">
        <v>485</v>
      </c>
      <c r="E110" s="34" t="s">
        <v>895</v>
      </c>
      <c r="F110" s="34" t="s">
        <v>102</v>
      </c>
      <c r="G110" s="34"/>
      <c r="H110" s="34">
        <v>40.638300000000001</v>
      </c>
      <c r="I110" s="34">
        <v>-124.22553000000001</v>
      </c>
      <c r="J110" s="34"/>
      <c r="K110" s="105">
        <v>110010059649</v>
      </c>
      <c r="L110" s="34">
        <v>4952</v>
      </c>
      <c r="M110" s="48" t="str">
        <f>VLOOKUP(L110, '2017 SIC to NAICS'!A:D, 2)</f>
        <v>Sewerage Systems</v>
      </c>
      <c r="N110" s="34">
        <f>VLOOKUP(L110,'2017 SIC to NAICS'!A:D,3)</f>
        <v>221320</v>
      </c>
      <c r="O110" s="34" t="str">
        <f>VLOOKUP(L110,'2017 SIC to NAICS'!A:D,4)</f>
        <v>Sewage Treatment Facilities</v>
      </c>
      <c r="P110" s="36" t="s">
        <v>742</v>
      </c>
      <c r="Q110" s="137" t="s">
        <v>743</v>
      </c>
      <c r="R110" s="45" t="s">
        <v>38</v>
      </c>
      <c r="S110" s="138">
        <f>COUNTIFS('Raw Non-zero DMR Data'!$A:$A, A110, 'Raw Non-zero DMR Data'!$C:$C, U110, 'Raw Non-zero DMR Data'!$V:$V, V110)</f>
        <v>1</v>
      </c>
      <c r="T110" s="34">
        <f>SUMIFS('Raw Non-zero DMR Data'!$X:$X, 'Raw Non-zero DMR Data'!$A:$A, A110, 'Raw Non-zero DMR Data'!$C:$C, U110, 'Raw Non-zero DMR Data'!V:V, V110)</f>
        <v>1.6301995E-2</v>
      </c>
      <c r="U110" s="34" t="s">
        <v>894</v>
      </c>
      <c r="V110" s="34" t="s">
        <v>896</v>
      </c>
      <c r="W110" s="139">
        <v>180101051102</v>
      </c>
      <c r="X110" s="140" t="s">
        <v>745</v>
      </c>
    </row>
    <row r="111" spans="1:24" x14ac:dyDescent="0.35">
      <c r="A111" s="34">
        <v>2023</v>
      </c>
      <c r="B111" s="34" t="s">
        <v>607</v>
      </c>
      <c r="C111" s="34" t="s">
        <v>897</v>
      </c>
      <c r="D111" s="34" t="s">
        <v>608</v>
      </c>
      <c r="E111" s="34" t="s">
        <v>886</v>
      </c>
      <c r="F111" s="34" t="s">
        <v>102</v>
      </c>
      <c r="G111" s="34"/>
      <c r="H111" s="34">
        <v>38.055900000000001</v>
      </c>
      <c r="I111" s="34">
        <v>-122.21435</v>
      </c>
      <c r="J111" s="34"/>
      <c r="K111" s="105">
        <v>110001163062</v>
      </c>
      <c r="L111" s="34">
        <v>4931</v>
      </c>
      <c r="M111" s="48" t="str">
        <f>VLOOKUP(L111, '2017 SIC to NAICS'!A:D, 2)</f>
        <v>Electric and Other Services Combined</v>
      </c>
      <c r="N111" s="34">
        <f>VLOOKUP(L111,'2017 SIC to NAICS'!A:D,3)</f>
        <v>221210</v>
      </c>
      <c r="O111" s="34" t="str">
        <f>VLOOKUP(L111,'2017 SIC to NAICS'!A:D,4)</f>
        <v>Natural Gas Distribution</v>
      </c>
      <c r="P111" s="36" t="s">
        <v>742</v>
      </c>
      <c r="Q111" s="137" t="s">
        <v>743</v>
      </c>
      <c r="R111" s="45" t="s">
        <v>41</v>
      </c>
      <c r="S111" s="138">
        <f>COUNTIFS('Raw Non-zero DMR Data'!$A:$A, A111, 'Raw Non-zero DMR Data'!$C:$C, U111, 'Raw Non-zero DMR Data'!$V:$V, V111)</f>
        <v>1</v>
      </c>
      <c r="T111" s="34">
        <f>SUMIFS('Raw Non-zero DMR Data'!$X:$X, 'Raw Non-zero DMR Data'!$A:$A, A111, 'Raw Non-zero DMR Data'!$C:$C, U111, 'Raw Non-zero DMR Data'!V:V, V111)</f>
        <v>1.12444806495E-2</v>
      </c>
      <c r="U111" s="34" t="s">
        <v>897</v>
      </c>
      <c r="V111" s="34" t="s">
        <v>898</v>
      </c>
      <c r="W111" s="139">
        <v>180500010303</v>
      </c>
      <c r="X111" s="140" t="s">
        <v>739</v>
      </c>
    </row>
    <row r="112" spans="1:24" x14ac:dyDescent="0.35">
      <c r="A112" s="34">
        <v>2019</v>
      </c>
      <c r="B112" s="34" t="s">
        <v>694</v>
      </c>
      <c r="C112" s="34" t="s">
        <v>899</v>
      </c>
      <c r="D112" s="34" t="s">
        <v>695</v>
      </c>
      <c r="E112" s="34" t="s">
        <v>900</v>
      </c>
      <c r="F112" s="34" t="s">
        <v>102</v>
      </c>
      <c r="G112" s="34"/>
      <c r="H112" s="34">
        <v>37.499200000000002</v>
      </c>
      <c r="I112" s="34">
        <v>-122.411</v>
      </c>
      <c r="J112" s="34"/>
      <c r="K112" s="105">
        <v>110005972965</v>
      </c>
      <c r="L112" s="34">
        <v>4953</v>
      </c>
      <c r="M112" s="48" t="str">
        <f>VLOOKUP(L112, '2017 SIC to NAICS'!A:D, 2)</f>
        <v>Refuse Systems</v>
      </c>
      <c r="N112" s="34">
        <f>VLOOKUP(L112,'2017 SIC to NAICS'!A:D,3)</f>
        <v>562920</v>
      </c>
      <c r="O112" s="34" t="str">
        <f>VLOOKUP(L112,'2017 SIC to NAICS'!A:D,4)</f>
        <v>Materials Recovery Facilities</v>
      </c>
      <c r="P112" s="36" t="s">
        <v>754</v>
      </c>
      <c r="Q112" s="137" t="s">
        <v>755</v>
      </c>
      <c r="R112" s="45" t="s">
        <v>39</v>
      </c>
      <c r="S112" s="138">
        <f>COUNTIFS('Raw Non-zero DMR Data'!$A:$A, A112, 'Raw Non-zero DMR Data'!$C:$C, U112, 'Raw Non-zero DMR Data'!$V:$V, V112)</f>
        <v>1</v>
      </c>
      <c r="T112" s="34">
        <f>SUMIFS('Raw Non-zero DMR Data'!$X:$X, 'Raw Non-zero DMR Data'!$A:$A, A112, 'Raw Non-zero DMR Data'!$C:$C, U112, 'Raw Non-zero DMR Data'!V:V, V112)</f>
        <v>2.1738226798749999E-4</v>
      </c>
      <c r="U112" s="34" t="s">
        <v>899</v>
      </c>
      <c r="V112" s="34" t="s">
        <v>901</v>
      </c>
      <c r="W112" s="139">
        <v>180500060201</v>
      </c>
      <c r="X112" s="140" t="s">
        <v>745</v>
      </c>
    </row>
    <row r="113" spans="1:24" ht="43.5" x14ac:dyDescent="0.35">
      <c r="A113" s="34">
        <v>2022</v>
      </c>
      <c r="B113" s="34" t="s">
        <v>554</v>
      </c>
      <c r="C113" s="34" t="s">
        <v>902</v>
      </c>
      <c r="D113" s="34" t="s">
        <v>555</v>
      </c>
      <c r="E113" s="34" t="s">
        <v>903</v>
      </c>
      <c r="F113" s="34" t="s">
        <v>102</v>
      </c>
      <c r="G113" s="34"/>
      <c r="H113" s="34">
        <v>37.318058999999998</v>
      </c>
      <c r="I113" s="34">
        <v>-122.09263199999999</v>
      </c>
      <c r="J113" s="34"/>
      <c r="K113" s="105">
        <v>110000484039</v>
      </c>
      <c r="L113" s="34">
        <v>3241</v>
      </c>
      <c r="M113" s="48" t="str">
        <f>VLOOKUP(L113, '2017 SIC to NAICS'!A:D, 2)</f>
        <v>Cement, Hydraulic</v>
      </c>
      <c r="N113" s="34">
        <f>VLOOKUP(L113,'2017 SIC to NAICS'!A:D,3)</f>
        <v>327310</v>
      </c>
      <c r="O113" s="34" t="str">
        <f>VLOOKUP(L113,'2017 SIC to NAICS'!A:D,4)</f>
        <v>Cement Manufacturing</v>
      </c>
      <c r="P113" s="36" t="s">
        <v>904</v>
      </c>
      <c r="Q113" s="137" t="s">
        <v>905</v>
      </c>
      <c r="R113" s="45" t="s">
        <v>41</v>
      </c>
      <c r="S113" s="138">
        <f>COUNTIFS('Raw Non-zero DMR Data'!$A:$A, A113, 'Raw Non-zero DMR Data'!$C:$C, U113, 'Raw Non-zero DMR Data'!$V:$V, V113)</f>
        <v>1</v>
      </c>
      <c r="T113" s="34">
        <f>SUMIFS('Raw Non-zero DMR Data'!$X:$X, 'Raw Non-zero DMR Data'!$A:$A, A113, 'Raw Non-zero DMR Data'!$C:$C, U113, 'Raw Non-zero DMR Data'!V:V, V113)</f>
        <v>2.0888658000000001E-2</v>
      </c>
      <c r="U113" s="34" t="s">
        <v>902</v>
      </c>
      <c r="V113" s="34" t="s">
        <v>906</v>
      </c>
      <c r="W113" s="139">
        <v>180500030406</v>
      </c>
      <c r="X113" s="140" t="s">
        <v>907</v>
      </c>
    </row>
    <row r="114" spans="1:24" ht="43.5" x14ac:dyDescent="0.35">
      <c r="A114" s="34">
        <v>2023</v>
      </c>
      <c r="B114" s="34" t="s">
        <v>554</v>
      </c>
      <c r="C114" s="34" t="s">
        <v>902</v>
      </c>
      <c r="D114" s="34" t="s">
        <v>555</v>
      </c>
      <c r="E114" s="34" t="s">
        <v>903</v>
      </c>
      <c r="F114" s="34" t="s">
        <v>102</v>
      </c>
      <c r="G114" s="34"/>
      <c r="H114" s="34">
        <v>37.318058999999998</v>
      </c>
      <c r="I114" s="34">
        <v>-122.09263199999999</v>
      </c>
      <c r="J114" s="34"/>
      <c r="K114" s="105">
        <v>110000484039</v>
      </c>
      <c r="L114" s="34">
        <v>3241</v>
      </c>
      <c r="M114" s="48" t="str">
        <f>VLOOKUP(L114, '2017 SIC to NAICS'!A:D, 2)</f>
        <v>Cement, Hydraulic</v>
      </c>
      <c r="N114" s="34">
        <f>VLOOKUP(L114,'2017 SIC to NAICS'!A:D,3)</f>
        <v>327310</v>
      </c>
      <c r="O114" s="34" t="str">
        <f>VLOOKUP(L114,'2017 SIC to NAICS'!A:D,4)</f>
        <v>Cement Manufacturing</v>
      </c>
      <c r="P114" s="36" t="s">
        <v>904</v>
      </c>
      <c r="Q114" s="137" t="s">
        <v>908</v>
      </c>
      <c r="R114" s="45" t="s">
        <v>41</v>
      </c>
      <c r="S114" s="138">
        <f>COUNTIFS('Raw Non-zero DMR Data'!$A:$A, A114, 'Raw Non-zero DMR Data'!$C:$C, U114, 'Raw Non-zero DMR Data'!$V:$V, V114)</f>
        <v>1</v>
      </c>
      <c r="T114" s="34">
        <f>SUMIFS('Raw Non-zero DMR Data'!$X:$X, 'Raw Non-zero DMR Data'!$A:$A, A114, 'Raw Non-zero DMR Data'!$C:$C, U114, 'Raw Non-zero DMR Data'!V:V, V114)</f>
        <v>2.5298485799999999E-2</v>
      </c>
      <c r="U114" s="34" t="s">
        <v>902</v>
      </c>
      <c r="V114" s="34" t="s">
        <v>906</v>
      </c>
      <c r="W114" s="139">
        <v>180500030406</v>
      </c>
      <c r="X114" s="140" t="s">
        <v>907</v>
      </c>
    </row>
    <row r="115" spans="1:24" x14ac:dyDescent="0.35">
      <c r="A115" s="34">
        <v>2019</v>
      </c>
      <c r="B115" s="34" t="s">
        <v>301</v>
      </c>
      <c r="C115" s="34" t="s">
        <v>909</v>
      </c>
      <c r="D115" s="34" t="s">
        <v>302</v>
      </c>
      <c r="E115" s="34" t="s">
        <v>900</v>
      </c>
      <c r="F115" s="34" t="s">
        <v>102</v>
      </c>
      <c r="G115" s="34"/>
      <c r="H115" s="34">
        <v>37.591898999999998</v>
      </c>
      <c r="I115" s="34">
        <v>-122.358101</v>
      </c>
      <c r="J115" s="34"/>
      <c r="K115" s="105">
        <v>110055988016</v>
      </c>
      <c r="L115" s="34">
        <v>4952</v>
      </c>
      <c r="M115" s="48" t="str">
        <f>VLOOKUP(L115, '2017 SIC to NAICS'!A:D, 2)</f>
        <v>Sewerage Systems</v>
      </c>
      <c r="N115" s="34">
        <f>VLOOKUP(L115,'2017 SIC to NAICS'!A:D,3)</f>
        <v>221320</v>
      </c>
      <c r="O115" s="34" t="str">
        <f>VLOOKUP(L115,'2017 SIC to NAICS'!A:D,4)</f>
        <v>Sewage Treatment Facilities</v>
      </c>
      <c r="P115" s="36" t="s">
        <v>742</v>
      </c>
      <c r="Q115" s="137" t="s">
        <v>743</v>
      </c>
      <c r="R115" s="45" t="s">
        <v>38</v>
      </c>
      <c r="S115" s="138">
        <f>COUNTIFS('Raw Non-zero DMR Data'!$A:$A, A115, 'Raw Non-zero DMR Data'!$C:$C, U115, 'Raw Non-zero DMR Data'!$V:$V, V115)</f>
        <v>1</v>
      </c>
      <c r="T115" s="34">
        <f>SUMIFS('Raw Non-zero DMR Data'!$X:$X, 'Raw Non-zero DMR Data'!$A:$A, A115, 'Raw Non-zero DMR Data'!$C:$C, U115, 'Raw Non-zero DMR Data'!V:V, V115)</f>
        <v>1.0326899375</v>
      </c>
      <c r="U115" s="34" t="s">
        <v>909</v>
      </c>
      <c r="V115" s="34" t="s">
        <v>910</v>
      </c>
      <c r="W115" s="139">
        <v>180500041001</v>
      </c>
      <c r="X115" s="140" t="s">
        <v>745</v>
      </c>
    </row>
    <row r="116" spans="1:24" x14ac:dyDescent="0.35">
      <c r="A116" s="34">
        <v>2019</v>
      </c>
      <c r="B116" s="34" t="s">
        <v>493</v>
      </c>
      <c r="C116" s="34" t="s">
        <v>911</v>
      </c>
      <c r="D116" s="34" t="s">
        <v>494</v>
      </c>
      <c r="E116" s="34" t="s">
        <v>912</v>
      </c>
      <c r="F116" s="34" t="s">
        <v>102</v>
      </c>
      <c r="G116" s="34"/>
      <c r="H116" s="34">
        <v>37.636249999999997</v>
      </c>
      <c r="I116" s="34">
        <v>-122.38583</v>
      </c>
      <c r="J116" s="34"/>
      <c r="K116" s="105">
        <v>110064622519</v>
      </c>
      <c r="L116" s="34">
        <v>4952</v>
      </c>
      <c r="M116" s="48" t="str">
        <f>VLOOKUP(L116, '2017 SIC to NAICS'!A:D, 2)</f>
        <v>Sewerage Systems</v>
      </c>
      <c r="N116" s="34">
        <f>VLOOKUP(L116,'2017 SIC to NAICS'!A:D,3)</f>
        <v>221320</v>
      </c>
      <c r="O116" s="34" t="str">
        <f>VLOOKUP(L116,'2017 SIC to NAICS'!A:D,4)</f>
        <v>Sewage Treatment Facilities</v>
      </c>
      <c r="P116" s="36" t="s">
        <v>742</v>
      </c>
      <c r="Q116" s="137" t="s">
        <v>743</v>
      </c>
      <c r="R116" s="45" t="s">
        <v>38</v>
      </c>
      <c r="S116" s="138">
        <f>COUNTIFS('Raw Non-zero DMR Data'!$A:$A, A116, 'Raw Non-zero DMR Data'!$C:$C, U116, 'Raw Non-zero DMR Data'!$V:$V, V116)</f>
        <v>1</v>
      </c>
      <c r="T116" s="34">
        <f>SUMIFS('Raw Non-zero DMR Data'!$X:$X, 'Raw Non-zero DMR Data'!$A:$A, A116, 'Raw Non-zero DMR Data'!$C:$C, U116, 'Raw Non-zero DMR Data'!V:V, V116)</f>
        <v>5.8024050000000001E-2</v>
      </c>
      <c r="U116" s="34" t="s">
        <v>911</v>
      </c>
      <c r="V116" s="34" t="s">
        <v>910</v>
      </c>
      <c r="W116" s="139">
        <v>180500041001</v>
      </c>
      <c r="X116" s="140" t="s">
        <v>745</v>
      </c>
    </row>
    <row r="117" spans="1:24" x14ac:dyDescent="0.35">
      <c r="A117" s="34">
        <v>2019</v>
      </c>
      <c r="B117" s="34" t="s">
        <v>216</v>
      </c>
      <c r="C117" s="34" t="s">
        <v>913</v>
      </c>
      <c r="D117" s="34" t="s">
        <v>119</v>
      </c>
      <c r="E117" s="34" t="s">
        <v>886</v>
      </c>
      <c r="F117" s="34" t="s">
        <v>102</v>
      </c>
      <c r="G117" s="34"/>
      <c r="H117" s="34">
        <v>37.977150000000002</v>
      </c>
      <c r="I117" s="34">
        <v>-122.33269</v>
      </c>
      <c r="J117" s="34"/>
      <c r="K117" s="105">
        <v>110064252419</v>
      </c>
      <c r="L117" s="34">
        <v>4952</v>
      </c>
      <c r="M117" s="48" t="str">
        <f>VLOOKUP(L117, '2017 SIC to NAICS'!A:D, 2)</f>
        <v>Sewerage Systems</v>
      </c>
      <c r="N117" s="34">
        <f>VLOOKUP(L117,'2017 SIC to NAICS'!A:D,3)</f>
        <v>221320</v>
      </c>
      <c r="O117" s="34" t="str">
        <f>VLOOKUP(L117,'2017 SIC to NAICS'!A:D,4)</f>
        <v>Sewage Treatment Facilities</v>
      </c>
      <c r="P117" s="36" t="s">
        <v>742</v>
      </c>
      <c r="Q117" s="137" t="s">
        <v>743</v>
      </c>
      <c r="R117" s="45" t="s">
        <v>38</v>
      </c>
      <c r="S117" s="138">
        <f>COUNTIFS('Raw Non-zero DMR Data'!$A:$A, A117, 'Raw Non-zero DMR Data'!$C:$C, U117, 'Raw Non-zero DMR Data'!$V:$V, V117)</f>
        <v>1</v>
      </c>
      <c r="T117" s="34">
        <f>SUMIFS('Raw Non-zero DMR Data'!$X:$X, 'Raw Non-zero DMR Data'!$A:$A, A117, 'Raw Non-zero DMR Data'!$C:$C, U117, 'Raw Non-zero DMR Data'!V:V, V117)</f>
        <v>3.7646556250000001</v>
      </c>
      <c r="U117" s="34" t="s">
        <v>913</v>
      </c>
      <c r="V117" s="34" t="s">
        <v>914</v>
      </c>
      <c r="W117" s="139">
        <v>180500020702</v>
      </c>
      <c r="X117" s="140" t="s">
        <v>745</v>
      </c>
    </row>
    <row r="118" spans="1:24" x14ac:dyDescent="0.35">
      <c r="A118" s="34">
        <v>2022</v>
      </c>
      <c r="B118" s="34" t="s">
        <v>216</v>
      </c>
      <c r="C118" s="34" t="s">
        <v>913</v>
      </c>
      <c r="D118" s="34" t="s">
        <v>119</v>
      </c>
      <c r="E118" s="34" t="s">
        <v>886</v>
      </c>
      <c r="F118" s="34" t="s">
        <v>102</v>
      </c>
      <c r="G118" s="34"/>
      <c r="H118" s="34">
        <v>37.977150000000002</v>
      </c>
      <c r="I118" s="34">
        <v>-122.33269</v>
      </c>
      <c r="J118" s="34"/>
      <c r="K118" s="105">
        <v>110064252419</v>
      </c>
      <c r="L118" s="34">
        <v>4952</v>
      </c>
      <c r="M118" s="48" t="str">
        <f>VLOOKUP(L118, '2017 SIC to NAICS'!A:D, 2)</f>
        <v>Sewerage Systems</v>
      </c>
      <c r="N118" s="34">
        <f>VLOOKUP(L118,'2017 SIC to NAICS'!A:D,3)</f>
        <v>221320</v>
      </c>
      <c r="O118" s="34" t="str">
        <f>VLOOKUP(L118,'2017 SIC to NAICS'!A:D,4)</f>
        <v>Sewage Treatment Facilities</v>
      </c>
      <c r="P118" s="36" t="s">
        <v>742</v>
      </c>
      <c r="Q118" s="137" t="s">
        <v>743</v>
      </c>
      <c r="R118" s="45" t="s">
        <v>38</v>
      </c>
      <c r="S118" s="138">
        <f>COUNTIFS('Raw Non-zero DMR Data'!$A:$A, A118, 'Raw Non-zero DMR Data'!$C:$C, U118, 'Raw Non-zero DMR Data'!$V:$V, V118)</f>
        <v>1</v>
      </c>
      <c r="T118" s="34">
        <f>SUMIFS('Raw Non-zero DMR Data'!$X:$X, 'Raw Non-zero DMR Data'!$A:$A, A118, 'Raw Non-zero DMR Data'!$C:$C, U118, 'Raw Non-zero DMR Data'!V:V, V118)</f>
        <v>3.1705998750000002</v>
      </c>
      <c r="U118" s="34" t="s">
        <v>913</v>
      </c>
      <c r="V118" s="34" t="s">
        <v>914</v>
      </c>
      <c r="W118" s="139">
        <v>180500020702</v>
      </c>
      <c r="X118" s="140" t="s">
        <v>745</v>
      </c>
    </row>
    <row r="119" spans="1:24" x14ac:dyDescent="0.35">
      <c r="A119" s="34">
        <v>2019</v>
      </c>
      <c r="B119" s="34" t="s">
        <v>255</v>
      </c>
      <c r="C119" s="34" t="s">
        <v>915</v>
      </c>
      <c r="D119" s="34" t="s">
        <v>256</v>
      </c>
      <c r="E119" s="34" t="s">
        <v>916</v>
      </c>
      <c r="F119" s="34" t="s">
        <v>102</v>
      </c>
      <c r="G119" s="34"/>
      <c r="H119" s="34">
        <v>34.661079999999998</v>
      </c>
      <c r="I119" s="34">
        <v>-120.48135000000001</v>
      </c>
      <c r="J119" s="34"/>
      <c r="K119" s="105">
        <v>110009547222</v>
      </c>
      <c r="L119" s="34">
        <v>4952</v>
      </c>
      <c r="M119" s="48" t="str">
        <f>VLOOKUP(L119, '2017 SIC to NAICS'!A:D, 2)</f>
        <v>Sewerage Systems</v>
      </c>
      <c r="N119" s="34">
        <f>VLOOKUP(L119,'2017 SIC to NAICS'!A:D,3)</f>
        <v>221320</v>
      </c>
      <c r="O119" s="34" t="str">
        <f>VLOOKUP(L119,'2017 SIC to NAICS'!A:D,4)</f>
        <v>Sewage Treatment Facilities</v>
      </c>
      <c r="P119" s="36" t="s">
        <v>742</v>
      </c>
      <c r="Q119" s="137" t="s">
        <v>743</v>
      </c>
      <c r="R119" s="45" t="s">
        <v>38</v>
      </c>
      <c r="S119" s="138">
        <f>COUNTIFS('Raw Non-zero DMR Data'!$A:$A, A119, 'Raw Non-zero DMR Data'!$C:$C, U119, 'Raw Non-zero DMR Data'!$V:$V, V119)</f>
        <v>1</v>
      </c>
      <c r="T119" s="34">
        <f>SUMIFS('Raw Non-zero DMR Data'!$X:$X, 'Raw Non-zero DMR Data'!$A:$A, A119, 'Raw Non-zero DMR Data'!$C:$C, U119, 'Raw Non-zero DMR Data'!V:V, V119)</f>
        <v>2.1206408749999999</v>
      </c>
      <c r="U119" s="34" t="s">
        <v>915</v>
      </c>
      <c r="V119" s="34" t="s">
        <v>917</v>
      </c>
      <c r="W119" s="139">
        <v>180600100703</v>
      </c>
      <c r="X119" s="140" t="s">
        <v>745</v>
      </c>
    </row>
    <row r="120" spans="1:24" x14ac:dyDescent="0.35">
      <c r="A120" s="34">
        <v>2019</v>
      </c>
      <c r="B120" s="34" t="s">
        <v>239</v>
      </c>
      <c r="C120" s="34" t="s">
        <v>918</v>
      </c>
      <c r="D120" s="34" t="s">
        <v>240</v>
      </c>
      <c r="E120" s="34" t="s">
        <v>240</v>
      </c>
      <c r="F120" s="34" t="s">
        <v>102</v>
      </c>
      <c r="G120" s="34"/>
      <c r="H120" s="34">
        <v>36.963245999999998</v>
      </c>
      <c r="I120" s="34">
        <v>-122.034009</v>
      </c>
      <c r="J120" s="34"/>
      <c r="K120" s="105">
        <v>110013848453</v>
      </c>
      <c r="L120" s="34">
        <v>4952</v>
      </c>
      <c r="M120" s="48" t="str">
        <f>VLOOKUP(L120, '2017 SIC to NAICS'!A:D, 2)</f>
        <v>Sewerage Systems</v>
      </c>
      <c r="N120" s="34">
        <f>VLOOKUP(L120,'2017 SIC to NAICS'!A:D,3)</f>
        <v>221320</v>
      </c>
      <c r="O120" s="34" t="str">
        <f>VLOOKUP(L120,'2017 SIC to NAICS'!A:D,4)</f>
        <v>Sewage Treatment Facilities</v>
      </c>
      <c r="P120" s="36" t="s">
        <v>742</v>
      </c>
      <c r="Q120" s="137" t="s">
        <v>743</v>
      </c>
      <c r="R120" s="45" t="s">
        <v>38</v>
      </c>
      <c r="S120" s="138">
        <f>COUNTIFS('Raw Non-zero DMR Data'!$A:$A, A120, 'Raw Non-zero DMR Data'!$C:$C, U120, 'Raw Non-zero DMR Data'!$V:$V, V120)</f>
        <v>1</v>
      </c>
      <c r="T120" s="34">
        <f>SUMIFS('Raw Non-zero DMR Data'!$X:$X, 'Raw Non-zero DMR Data'!$A:$A, A120, 'Raw Non-zero DMR Data'!$C:$C, U120, 'Raw Non-zero DMR Data'!V:V, V120)</f>
        <v>1.503912975</v>
      </c>
      <c r="U120" s="34" t="s">
        <v>918</v>
      </c>
      <c r="V120" s="34" t="s">
        <v>919</v>
      </c>
      <c r="W120" s="139">
        <v>180600150305</v>
      </c>
      <c r="X120" s="140" t="s">
        <v>745</v>
      </c>
    </row>
    <row r="121" spans="1:24" x14ac:dyDescent="0.35">
      <c r="A121" s="34">
        <v>2020</v>
      </c>
      <c r="B121" s="34" t="s">
        <v>239</v>
      </c>
      <c r="C121" s="34" t="s">
        <v>918</v>
      </c>
      <c r="D121" s="34" t="s">
        <v>240</v>
      </c>
      <c r="E121" s="34" t="s">
        <v>240</v>
      </c>
      <c r="F121" s="34" t="s">
        <v>102</v>
      </c>
      <c r="G121" s="34"/>
      <c r="H121" s="34">
        <v>36.963245999999998</v>
      </c>
      <c r="I121" s="34">
        <v>-122.034009</v>
      </c>
      <c r="J121" s="34"/>
      <c r="K121" s="105">
        <v>110013848453</v>
      </c>
      <c r="L121" s="34">
        <v>4952</v>
      </c>
      <c r="M121" s="48" t="str">
        <f>VLOOKUP(L121, '2017 SIC to NAICS'!A:D, 2)</f>
        <v>Sewerage Systems</v>
      </c>
      <c r="N121" s="34">
        <f>VLOOKUP(L121,'2017 SIC to NAICS'!A:D,3)</f>
        <v>221320</v>
      </c>
      <c r="O121" s="34" t="str">
        <f>VLOOKUP(L121,'2017 SIC to NAICS'!A:D,4)</f>
        <v>Sewage Treatment Facilities</v>
      </c>
      <c r="P121" s="36" t="s">
        <v>742</v>
      </c>
      <c r="Q121" s="137" t="s">
        <v>743</v>
      </c>
      <c r="R121" s="45" t="s">
        <v>38</v>
      </c>
      <c r="S121" s="138">
        <f>COUNTIFS('Raw Non-zero DMR Data'!$A:$A, A121, 'Raw Non-zero DMR Data'!$C:$C, U121, 'Raw Non-zero DMR Data'!$V:$V, V121)</f>
        <v>1</v>
      </c>
      <c r="T121" s="34">
        <f>SUMIFS('Raw Non-zero DMR Data'!$X:$X, 'Raw Non-zero DMR Data'!$A:$A, A121, 'Raw Non-zero DMR Data'!$C:$C, U121, 'Raw Non-zero DMR Data'!V:V, V121)</f>
        <v>0.50034673892500003</v>
      </c>
      <c r="U121" s="34" t="s">
        <v>918</v>
      </c>
      <c r="V121" s="34" t="s">
        <v>919</v>
      </c>
      <c r="W121" s="139">
        <v>180600150305</v>
      </c>
      <c r="X121" s="140" t="s">
        <v>745</v>
      </c>
    </row>
    <row r="122" spans="1:24" x14ac:dyDescent="0.35">
      <c r="A122" s="34">
        <v>2021</v>
      </c>
      <c r="B122" s="34" t="s">
        <v>239</v>
      </c>
      <c r="C122" s="34" t="s">
        <v>918</v>
      </c>
      <c r="D122" s="34" t="s">
        <v>240</v>
      </c>
      <c r="E122" s="34" t="s">
        <v>240</v>
      </c>
      <c r="F122" s="34" t="s">
        <v>102</v>
      </c>
      <c r="G122" s="34"/>
      <c r="H122" s="34">
        <v>36.963245999999998</v>
      </c>
      <c r="I122" s="34">
        <v>-122.034009</v>
      </c>
      <c r="J122" s="34"/>
      <c r="K122" s="105">
        <v>110013848453</v>
      </c>
      <c r="L122" s="34">
        <v>4952</v>
      </c>
      <c r="M122" s="48" t="str">
        <f>VLOOKUP(L122, '2017 SIC to NAICS'!A:D, 2)</f>
        <v>Sewerage Systems</v>
      </c>
      <c r="N122" s="34">
        <f>VLOOKUP(L122,'2017 SIC to NAICS'!A:D,3)</f>
        <v>221320</v>
      </c>
      <c r="O122" s="34" t="str">
        <f>VLOOKUP(L122,'2017 SIC to NAICS'!A:D,4)</f>
        <v>Sewage Treatment Facilities</v>
      </c>
      <c r="P122" s="36" t="s">
        <v>742</v>
      </c>
      <c r="Q122" s="137" t="s">
        <v>743</v>
      </c>
      <c r="R122" s="45" t="s">
        <v>38</v>
      </c>
      <c r="S122" s="138">
        <f>COUNTIFS('Raw Non-zero DMR Data'!$A:$A, A122, 'Raw Non-zero DMR Data'!$C:$C, U122, 'Raw Non-zero DMR Data'!$V:$V, V122)</f>
        <v>1</v>
      </c>
      <c r="T122" s="34">
        <f>SUMIFS('Raw Non-zero DMR Data'!$X:$X, 'Raw Non-zero DMR Data'!$A:$A, A122, 'Raw Non-zero DMR Data'!$C:$C, U122, 'Raw Non-zero DMR Data'!V:V, V122)</f>
        <v>0.59970471110000001</v>
      </c>
      <c r="U122" s="34" t="s">
        <v>918</v>
      </c>
      <c r="V122" s="34" t="s">
        <v>919</v>
      </c>
      <c r="W122" s="139">
        <v>180600150305</v>
      </c>
      <c r="X122" s="140" t="s">
        <v>745</v>
      </c>
    </row>
    <row r="123" spans="1:24" x14ac:dyDescent="0.35">
      <c r="A123" s="34">
        <v>2023</v>
      </c>
      <c r="B123" s="34" t="s">
        <v>239</v>
      </c>
      <c r="C123" s="34" t="s">
        <v>918</v>
      </c>
      <c r="D123" s="34" t="s">
        <v>240</v>
      </c>
      <c r="E123" s="34" t="s">
        <v>240</v>
      </c>
      <c r="F123" s="34" t="s">
        <v>102</v>
      </c>
      <c r="G123" s="34"/>
      <c r="H123" s="34">
        <v>36.963245999999998</v>
      </c>
      <c r="I123" s="34">
        <v>-122.034009</v>
      </c>
      <c r="J123" s="34"/>
      <c r="K123" s="105">
        <v>110013848453</v>
      </c>
      <c r="L123" s="34">
        <v>4952</v>
      </c>
      <c r="M123" s="48" t="str">
        <f>VLOOKUP(L123, '2017 SIC to NAICS'!A:D, 2)</f>
        <v>Sewerage Systems</v>
      </c>
      <c r="N123" s="34">
        <f>VLOOKUP(L123,'2017 SIC to NAICS'!A:D,3)</f>
        <v>221320</v>
      </c>
      <c r="O123" s="34" t="str">
        <f>VLOOKUP(L123,'2017 SIC to NAICS'!A:D,4)</f>
        <v>Sewage Treatment Facilities</v>
      </c>
      <c r="P123" s="36" t="s">
        <v>742</v>
      </c>
      <c r="Q123" s="137" t="s">
        <v>743</v>
      </c>
      <c r="R123" s="45" t="s">
        <v>38</v>
      </c>
      <c r="S123" s="138">
        <f>COUNTIFS('Raw Non-zero DMR Data'!$A:$A, A123, 'Raw Non-zero DMR Data'!$C:$C, U123, 'Raw Non-zero DMR Data'!$V:$V, V123)</f>
        <v>1</v>
      </c>
      <c r="T123" s="34">
        <f>SUMIFS('Raw Non-zero DMR Data'!$X:$X, 'Raw Non-zero DMR Data'!$A:$A, A123, 'Raw Non-zero DMR Data'!$C:$C, U123, 'Raw Non-zero DMR Data'!V:V, V123)</f>
        <v>2.5934479349999999</v>
      </c>
      <c r="U123" s="34" t="s">
        <v>918</v>
      </c>
      <c r="V123" s="34" t="s">
        <v>919</v>
      </c>
      <c r="W123" s="139">
        <v>180600150305</v>
      </c>
      <c r="X123" s="140" t="s">
        <v>745</v>
      </c>
    </row>
    <row r="124" spans="1:24" x14ac:dyDescent="0.35">
      <c r="A124" s="34">
        <v>2019</v>
      </c>
      <c r="B124" s="34" t="s">
        <v>582</v>
      </c>
      <c r="C124" s="34" t="s">
        <v>920</v>
      </c>
      <c r="D124" s="34" t="s">
        <v>583</v>
      </c>
      <c r="E124" s="34" t="s">
        <v>921</v>
      </c>
      <c r="F124" s="34" t="s">
        <v>102</v>
      </c>
      <c r="G124" s="34"/>
      <c r="H124" s="34">
        <v>38.273180000000004</v>
      </c>
      <c r="I124" s="34">
        <v>-120.91082</v>
      </c>
      <c r="J124" s="34"/>
      <c r="K124" s="105">
        <v>110064616296</v>
      </c>
      <c r="L124" s="34">
        <v>4952</v>
      </c>
      <c r="M124" s="48" t="str">
        <f>VLOOKUP(L124, '2017 SIC to NAICS'!A:D, 2)</f>
        <v>Sewerage Systems</v>
      </c>
      <c r="N124" s="34">
        <f>VLOOKUP(L124,'2017 SIC to NAICS'!A:D,3)</f>
        <v>221320</v>
      </c>
      <c r="O124" s="34" t="str">
        <f>VLOOKUP(L124,'2017 SIC to NAICS'!A:D,4)</f>
        <v>Sewage Treatment Facilities</v>
      </c>
      <c r="P124" s="36" t="s">
        <v>742</v>
      </c>
      <c r="Q124" s="137" t="s">
        <v>743</v>
      </c>
      <c r="R124" s="45" t="s">
        <v>39</v>
      </c>
      <c r="S124" s="138">
        <f>COUNTIFS('Raw Non-zero DMR Data'!$A:$A, A124, 'Raw Non-zero DMR Data'!$C:$C, U124, 'Raw Non-zero DMR Data'!$V:$V, V124)</f>
        <v>1</v>
      </c>
      <c r="T124" s="34">
        <f>SUMIFS('Raw Non-zero DMR Data'!$X:$X, 'Raw Non-zero DMR Data'!$A:$A, A124, 'Raw Non-zero DMR Data'!$C:$C, U124, 'Raw Non-zero DMR Data'!V:V, V124)</f>
        <v>1.7269062500000001E-2</v>
      </c>
      <c r="U124" s="34" t="s">
        <v>920</v>
      </c>
      <c r="V124" s="34" t="s">
        <v>922</v>
      </c>
      <c r="W124" s="139">
        <v>180400120703</v>
      </c>
      <c r="X124" s="140" t="s">
        <v>745</v>
      </c>
    </row>
    <row r="125" spans="1:24" x14ac:dyDescent="0.35">
      <c r="A125" s="34">
        <v>2020</v>
      </c>
      <c r="B125" s="34" t="s">
        <v>582</v>
      </c>
      <c r="C125" s="34" t="s">
        <v>920</v>
      </c>
      <c r="D125" s="34" t="s">
        <v>583</v>
      </c>
      <c r="E125" s="34" t="s">
        <v>921</v>
      </c>
      <c r="F125" s="34" t="s">
        <v>102</v>
      </c>
      <c r="G125" s="34"/>
      <c r="H125" s="34">
        <v>38.273180000000004</v>
      </c>
      <c r="I125" s="34">
        <v>-120.91082</v>
      </c>
      <c r="J125" s="34"/>
      <c r="K125" s="105">
        <v>110064616296</v>
      </c>
      <c r="L125" s="34">
        <v>4952</v>
      </c>
      <c r="M125" s="48" t="str">
        <f>VLOOKUP(L125, '2017 SIC to NAICS'!A:D, 2)</f>
        <v>Sewerage Systems</v>
      </c>
      <c r="N125" s="34">
        <f>VLOOKUP(L125,'2017 SIC to NAICS'!A:D,3)</f>
        <v>221320</v>
      </c>
      <c r="O125" s="34" t="str">
        <f>VLOOKUP(L125,'2017 SIC to NAICS'!A:D,4)</f>
        <v>Sewage Treatment Facilities</v>
      </c>
      <c r="P125" s="36" t="s">
        <v>742</v>
      </c>
      <c r="Q125" s="137" t="s">
        <v>743</v>
      </c>
      <c r="R125" s="45" t="s">
        <v>39</v>
      </c>
      <c r="S125" s="138">
        <f>COUNTIFS('Raw Non-zero DMR Data'!$A:$A, A125, 'Raw Non-zero DMR Data'!$C:$C, U125, 'Raw Non-zero DMR Data'!$V:$V, V125)</f>
        <v>1</v>
      </c>
      <c r="T125" s="34">
        <f>SUMIFS('Raw Non-zero DMR Data'!$X:$X, 'Raw Non-zero DMR Data'!$A:$A, A125, 'Raw Non-zero DMR Data'!$C:$C, U125, 'Raw Non-zero DMR Data'!V:V, V125)</f>
        <v>5.1807187500000004E-3</v>
      </c>
      <c r="U125" s="34" t="s">
        <v>920</v>
      </c>
      <c r="V125" s="34" t="s">
        <v>922</v>
      </c>
      <c r="W125" s="139">
        <v>180400120703</v>
      </c>
      <c r="X125" s="140" t="s">
        <v>745</v>
      </c>
    </row>
    <row r="126" spans="1:24" x14ac:dyDescent="0.35">
      <c r="A126" s="34">
        <v>2019</v>
      </c>
      <c r="B126" s="34" t="s">
        <v>424</v>
      </c>
      <c r="C126" s="34" t="s">
        <v>923</v>
      </c>
      <c r="D126" s="34" t="s">
        <v>425</v>
      </c>
      <c r="E126" s="34" t="s">
        <v>924</v>
      </c>
      <c r="F126" s="34" t="s">
        <v>102</v>
      </c>
      <c r="G126" s="34"/>
      <c r="H126" s="34">
        <v>35.178620000000002</v>
      </c>
      <c r="I126" s="34">
        <v>-120.62067500000001</v>
      </c>
      <c r="J126" s="34"/>
      <c r="K126" s="105">
        <v>110037256867</v>
      </c>
      <c r="L126" s="34">
        <v>2911</v>
      </c>
      <c r="M126" s="48" t="str">
        <f>VLOOKUP(L126, '2017 SIC to NAICS'!A:D, 2)</f>
        <v>Petroleum Refining</v>
      </c>
      <c r="N126" s="34">
        <f>VLOOKUP(L126,'2017 SIC to NAICS'!A:D,3)</f>
        <v>324110</v>
      </c>
      <c r="O126" s="34" t="str">
        <f>VLOOKUP(L126,'2017 SIC to NAICS'!A:D,4)</f>
        <v>Petroleum Refineries</v>
      </c>
      <c r="P126" s="36" t="s">
        <v>760</v>
      </c>
      <c r="Q126" s="137" t="s">
        <v>761</v>
      </c>
      <c r="R126" s="45" t="s">
        <v>41</v>
      </c>
      <c r="S126" s="138">
        <f>COUNTIFS('Raw Non-zero DMR Data'!$A:$A, A126, 'Raw Non-zero DMR Data'!$C:$C, U126, 'Raw Non-zero DMR Data'!$V:$V, V126)</f>
        <v>1</v>
      </c>
      <c r="T126" s="34">
        <f>SUMIFS('Raw Non-zero DMR Data'!$X:$X, 'Raw Non-zero DMR Data'!$A:$A, A126, 'Raw Non-zero DMR Data'!$C:$C, U126, 'Raw Non-zero DMR Data'!V:V, V126)</f>
        <v>2.5636959425000001E-2</v>
      </c>
      <c r="U126" s="34" t="s">
        <v>923</v>
      </c>
      <c r="V126" s="34" t="s">
        <v>925</v>
      </c>
      <c r="W126" s="139">
        <v>180600060703</v>
      </c>
      <c r="X126" s="140" t="s">
        <v>926</v>
      </c>
    </row>
    <row r="127" spans="1:24" x14ac:dyDescent="0.35">
      <c r="A127" s="34">
        <v>2020</v>
      </c>
      <c r="B127" s="34" t="s">
        <v>424</v>
      </c>
      <c r="C127" s="34" t="s">
        <v>923</v>
      </c>
      <c r="D127" s="34" t="s">
        <v>425</v>
      </c>
      <c r="E127" s="34" t="s">
        <v>924</v>
      </c>
      <c r="F127" s="34" t="s">
        <v>102</v>
      </c>
      <c r="G127" s="34"/>
      <c r="H127" s="34">
        <v>35.178620000000002</v>
      </c>
      <c r="I127" s="34">
        <v>-120.62067500000001</v>
      </c>
      <c r="J127" s="34"/>
      <c r="K127" s="105">
        <v>110037256867</v>
      </c>
      <c r="L127" s="34">
        <v>2911</v>
      </c>
      <c r="M127" s="48" t="str">
        <f>VLOOKUP(L127, '2017 SIC to NAICS'!A:D, 2)</f>
        <v>Petroleum Refining</v>
      </c>
      <c r="N127" s="34">
        <f>VLOOKUP(L127,'2017 SIC to NAICS'!A:D,3)</f>
        <v>324110</v>
      </c>
      <c r="O127" s="34" t="str">
        <f>VLOOKUP(L127,'2017 SIC to NAICS'!A:D,4)</f>
        <v>Petroleum Refineries</v>
      </c>
      <c r="P127" s="36" t="s">
        <v>760</v>
      </c>
      <c r="Q127" s="137" t="s">
        <v>761</v>
      </c>
      <c r="R127" s="45" t="s">
        <v>41</v>
      </c>
      <c r="S127" s="138">
        <f>COUNTIFS('Raw Non-zero DMR Data'!$A:$A, A127, 'Raw Non-zero DMR Data'!$C:$C, U127, 'Raw Non-zero DMR Data'!$V:$V, V127)</f>
        <v>1</v>
      </c>
      <c r="T127" s="34">
        <f>SUMIFS('Raw Non-zero DMR Data'!$X:$X, 'Raw Non-zero DMR Data'!$A:$A, A127, 'Raw Non-zero DMR Data'!$C:$C, U127, 'Raw Non-zero DMR Data'!V:V, V127)</f>
        <v>2.401470369375E-2</v>
      </c>
      <c r="U127" s="34" t="s">
        <v>923</v>
      </c>
      <c r="V127" s="34" t="s">
        <v>925</v>
      </c>
      <c r="W127" s="139">
        <v>180600060703</v>
      </c>
      <c r="X127" s="140" t="s">
        <v>926</v>
      </c>
    </row>
    <row r="128" spans="1:24" x14ac:dyDescent="0.35">
      <c r="A128" s="34">
        <v>2022</v>
      </c>
      <c r="B128" s="34" t="s">
        <v>424</v>
      </c>
      <c r="C128" s="34" t="s">
        <v>923</v>
      </c>
      <c r="D128" s="34" t="s">
        <v>425</v>
      </c>
      <c r="E128" s="34" t="s">
        <v>924</v>
      </c>
      <c r="F128" s="34" t="s">
        <v>102</v>
      </c>
      <c r="G128" s="34"/>
      <c r="H128" s="34">
        <v>35.178620000000002</v>
      </c>
      <c r="I128" s="34">
        <v>-120.62067500000001</v>
      </c>
      <c r="J128" s="34"/>
      <c r="K128" s="105">
        <v>110037256867</v>
      </c>
      <c r="L128" s="34">
        <v>2911</v>
      </c>
      <c r="M128" s="48" t="str">
        <f>VLOOKUP(L128, '2017 SIC to NAICS'!A:D, 2)</f>
        <v>Petroleum Refining</v>
      </c>
      <c r="N128" s="34">
        <f>VLOOKUP(L128,'2017 SIC to NAICS'!A:D,3)</f>
        <v>324110</v>
      </c>
      <c r="O128" s="34" t="str">
        <f>VLOOKUP(L128,'2017 SIC to NAICS'!A:D,4)</f>
        <v>Petroleum Refineries</v>
      </c>
      <c r="P128" s="36" t="s">
        <v>760</v>
      </c>
      <c r="Q128" s="137" t="s">
        <v>761</v>
      </c>
      <c r="R128" s="45" t="s">
        <v>41</v>
      </c>
      <c r="S128" s="138">
        <f>COUNTIFS('Raw Non-zero DMR Data'!$A:$A, A128, 'Raw Non-zero DMR Data'!$C:$C, U128, 'Raw Non-zero DMR Data'!$V:$V, V128)</f>
        <v>1</v>
      </c>
      <c r="T128" s="34">
        <f>SUMIFS('Raw Non-zero DMR Data'!$X:$X, 'Raw Non-zero DMR Data'!$A:$A, A128, 'Raw Non-zero DMR Data'!$C:$C, U128, 'Raw Non-zero DMR Data'!V:V, V128)</f>
        <v>0.1623291875</v>
      </c>
      <c r="U128" s="34" t="s">
        <v>923</v>
      </c>
      <c r="V128" s="34" t="s">
        <v>925</v>
      </c>
      <c r="W128" s="139">
        <v>180600060703</v>
      </c>
      <c r="X128" s="140" t="s">
        <v>926</v>
      </c>
    </row>
    <row r="129" spans="1:24" x14ac:dyDescent="0.35">
      <c r="A129" s="34">
        <v>2023</v>
      </c>
      <c r="B129" s="34" t="s">
        <v>424</v>
      </c>
      <c r="C129" s="34" t="s">
        <v>923</v>
      </c>
      <c r="D129" s="34" t="s">
        <v>425</v>
      </c>
      <c r="E129" s="34" t="s">
        <v>924</v>
      </c>
      <c r="F129" s="34" t="s">
        <v>102</v>
      </c>
      <c r="G129" s="34"/>
      <c r="H129" s="34">
        <v>35.178620000000002</v>
      </c>
      <c r="I129" s="34">
        <v>-120.62067500000001</v>
      </c>
      <c r="J129" s="34"/>
      <c r="K129" s="105">
        <v>110037256867</v>
      </c>
      <c r="L129" s="34">
        <v>2911</v>
      </c>
      <c r="M129" s="48" t="str">
        <f>VLOOKUP(L129, '2017 SIC to NAICS'!A:D, 2)</f>
        <v>Petroleum Refining</v>
      </c>
      <c r="N129" s="34">
        <f>VLOOKUP(L129,'2017 SIC to NAICS'!A:D,3)</f>
        <v>324110</v>
      </c>
      <c r="O129" s="34" t="str">
        <f>VLOOKUP(L129,'2017 SIC to NAICS'!A:D,4)</f>
        <v>Petroleum Refineries</v>
      </c>
      <c r="P129" s="36" t="s">
        <v>760</v>
      </c>
      <c r="Q129" s="137" t="s">
        <v>761</v>
      </c>
      <c r="R129" s="45" t="s">
        <v>41</v>
      </c>
      <c r="S129" s="138">
        <f>COUNTIFS('Raw Non-zero DMR Data'!$A:$A, A129, 'Raw Non-zero DMR Data'!$C:$C, U129, 'Raw Non-zero DMR Data'!$V:$V, V129)</f>
        <v>1</v>
      </c>
      <c r="T129" s="34">
        <f>SUMIFS('Raw Non-zero DMR Data'!$X:$X, 'Raw Non-zero DMR Data'!$A:$A, A129, 'Raw Non-zero DMR Data'!$C:$C, U129, 'Raw Non-zero DMR Data'!V:V, V129)</f>
        <v>2.0115003999999999E-2</v>
      </c>
      <c r="U129" s="34" t="s">
        <v>923</v>
      </c>
      <c r="V129" s="34" t="s">
        <v>925</v>
      </c>
      <c r="W129" s="139">
        <v>180600060703</v>
      </c>
      <c r="X129" s="140" t="s">
        <v>926</v>
      </c>
    </row>
    <row r="130" spans="1:24" x14ac:dyDescent="0.35">
      <c r="A130" s="34">
        <v>2019</v>
      </c>
      <c r="B130" s="34" t="s">
        <v>569</v>
      </c>
      <c r="C130" s="34" t="s">
        <v>927</v>
      </c>
      <c r="D130" s="34" t="s">
        <v>570</v>
      </c>
      <c r="E130" s="34" t="s">
        <v>335</v>
      </c>
      <c r="F130" s="34" t="s">
        <v>102</v>
      </c>
      <c r="G130" s="34"/>
      <c r="H130" s="34">
        <v>33.791108999999999</v>
      </c>
      <c r="I130" s="34">
        <v>-118.244609</v>
      </c>
      <c r="J130" s="34"/>
      <c r="K130" s="105">
        <v>110028243791</v>
      </c>
      <c r="L130" s="34">
        <v>5171</v>
      </c>
      <c r="M130" s="48" t="str">
        <f>VLOOKUP(L130, '2017 SIC to NAICS'!A:D, 2)</f>
        <v>Petroleum Bulk Stations and Terminals</v>
      </c>
      <c r="N130" s="34">
        <f>VLOOKUP(L130,'2017 SIC to NAICS'!A:D,3)</f>
        <v>454310</v>
      </c>
      <c r="O130" s="34" t="str">
        <f>VLOOKUP(L130,'2017 SIC to NAICS'!A:D,4)</f>
        <v>Fuel Dealers</v>
      </c>
      <c r="P130" s="36" t="s">
        <v>765</v>
      </c>
      <c r="Q130" s="137" t="s">
        <v>766</v>
      </c>
      <c r="R130" s="45" t="s">
        <v>41</v>
      </c>
      <c r="S130" s="138">
        <f>COUNTIFS('Raw Non-zero DMR Data'!$A:$A, A130, 'Raw Non-zero DMR Data'!$C:$C, U130, 'Raw Non-zero DMR Data'!$V:$V, V130)</f>
        <v>1</v>
      </c>
      <c r="T130" s="34">
        <f>SUMIFS('Raw Non-zero DMR Data'!$X:$X, 'Raw Non-zero DMR Data'!$A:$A, A130, 'Raw Non-zero DMR Data'!$C:$C, U130, 'Raw Non-zero DMR Data'!V:V, V130)</f>
        <v>2.02980560625E-2</v>
      </c>
      <c r="U130" s="34" t="s">
        <v>927</v>
      </c>
      <c r="V130" s="34" t="s">
        <v>928</v>
      </c>
      <c r="W130" s="139">
        <v>180701060701</v>
      </c>
      <c r="X130" s="140" t="s">
        <v>739</v>
      </c>
    </row>
    <row r="131" spans="1:24" x14ac:dyDescent="0.35">
      <c r="A131" s="34">
        <v>2019</v>
      </c>
      <c r="B131" s="34" t="s">
        <v>617</v>
      </c>
      <c r="C131" s="34" t="s">
        <v>929</v>
      </c>
      <c r="D131" s="34" t="s">
        <v>618</v>
      </c>
      <c r="E131" s="34" t="s">
        <v>335</v>
      </c>
      <c r="F131" s="34" t="s">
        <v>102</v>
      </c>
      <c r="G131" s="34"/>
      <c r="H131" s="34">
        <v>33.762349999999998</v>
      </c>
      <c r="I131" s="34">
        <v>-118.241775</v>
      </c>
      <c r="J131" s="34"/>
      <c r="K131" s="105">
        <v>110017217545</v>
      </c>
      <c r="L131" s="34">
        <v>5171</v>
      </c>
      <c r="M131" s="48" t="str">
        <f>VLOOKUP(L131, '2017 SIC to NAICS'!A:D, 2)</f>
        <v>Petroleum Bulk Stations and Terminals</v>
      </c>
      <c r="N131" s="34">
        <f>VLOOKUP(L131,'2017 SIC to NAICS'!A:D,3)</f>
        <v>454310</v>
      </c>
      <c r="O131" s="34" t="str">
        <f>VLOOKUP(L131,'2017 SIC to NAICS'!A:D,4)</f>
        <v>Fuel Dealers</v>
      </c>
      <c r="P131" s="36" t="s">
        <v>765</v>
      </c>
      <c r="Q131" s="137" t="s">
        <v>766</v>
      </c>
      <c r="R131" s="45" t="s">
        <v>41</v>
      </c>
      <c r="S131" s="138">
        <f>COUNTIFS('Raw Non-zero DMR Data'!$A:$A, A131, 'Raw Non-zero DMR Data'!$C:$C, U131, 'Raw Non-zero DMR Data'!$V:$V, V131)</f>
        <v>1</v>
      </c>
      <c r="T131" s="34">
        <f>SUMIFS('Raw Non-zero DMR Data'!$X:$X, 'Raw Non-zero DMR Data'!$A:$A, A131, 'Raw Non-zero DMR Data'!$C:$C, U131, 'Raw Non-zero DMR Data'!V:V, V131)</f>
        <v>8.5171016250000006E-3</v>
      </c>
      <c r="U131" s="34" t="s">
        <v>929</v>
      </c>
      <c r="V131" s="34" t="s">
        <v>928</v>
      </c>
      <c r="W131" s="139">
        <v>180701060701</v>
      </c>
      <c r="X131" s="140" t="s">
        <v>739</v>
      </c>
    </row>
    <row r="132" spans="1:24" x14ac:dyDescent="0.35">
      <c r="A132" s="34">
        <v>2021</v>
      </c>
      <c r="B132" s="34" t="s">
        <v>370</v>
      </c>
      <c r="C132" s="34" t="s">
        <v>930</v>
      </c>
      <c r="D132" s="34" t="s">
        <v>371</v>
      </c>
      <c r="E132" s="34" t="s">
        <v>931</v>
      </c>
      <c r="F132" s="34" t="s">
        <v>102</v>
      </c>
      <c r="G132" s="34"/>
      <c r="H132" s="34">
        <v>38.662149999999997</v>
      </c>
      <c r="I132" s="34">
        <v>-121.71407000000001</v>
      </c>
      <c r="J132" s="34"/>
      <c r="K132" s="105">
        <v>110039782349</v>
      </c>
      <c r="L132" s="34">
        <v>4952</v>
      </c>
      <c r="M132" s="48" t="str">
        <f>VLOOKUP(L132, '2017 SIC to NAICS'!A:D, 2)</f>
        <v>Sewerage Systems</v>
      </c>
      <c r="N132" s="34">
        <f>VLOOKUP(L132,'2017 SIC to NAICS'!A:D,3)</f>
        <v>221320</v>
      </c>
      <c r="O132" s="34" t="str">
        <f>VLOOKUP(L132,'2017 SIC to NAICS'!A:D,4)</f>
        <v>Sewage Treatment Facilities</v>
      </c>
      <c r="P132" s="36" t="s">
        <v>742</v>
      </c>
      <c r="Q132" s="137" t="s">
        <v>743</v>
      </c>
      <c r="R132" s="45" t="s">
        <v>38</v>
      </c>
      <c r="S132" s="138">
        <f>COUNTIFS('Raw Non-zero DMR Data'!$A:$A, A132, 'Raw Non-zero DMR Data'!$C:$C, U132, 'Raw Non-zero DMR Data'!$V:$V, V132)</f>
        <v>1</v>
      </c>
      <c r="T132" s="34">
        <f>SUMIFS('Raw Non-zero DMR Data'!$X:$X, 'Raw Non-zero DMR Data'!$A:$A, A132, 'Raw Non-zero DMR Data'!$C:$C, U132, 'Raw Non-zero DMR Data'!V:V, V132)</f>
        <v>0.36660601599999998</v>
      </c>
      <c r="U132" s="34" t="s">
        <v>930</v>
      </c>
      <c r="V132" s="34" t="s">
        <v>932</v>
      </c>
      <c r="W132" s="139">
        <v>180201630302</v>
      </c>
      <c r="X132" s="140" t="s">
        <v>745</v>
      </c>
    </row>
    <row r="133" spans="1:24" x14ac:dyDescent="0.35">
      <c r="A133" s="34">
        <v>2022</v>
      </c>
      <c r="B133" s="34" t="s">
        <v>370</v>
      </c>
      <c r="C133" s="34" t="s">
        <v>930</v>
      </c>
      <c r="D133" s="34" t="s">
        <v>371</v>
      </c>
      <c r="E133" s="34" t="s">
        <v>931</v>
      </c>
      <c r="F133" s="34" t="s">
        <v>102</v>
      </c>
      <c r="G133" s="34"/>
      <c r="H133" s="34">
        <v>38.662149999999997</v>
      </c>
      <c r="I133" s="34">
        <v>-121.71407000000001</v>
      </c>
      <c r="J133" s="34"/>
      <c r="K133" s="105">
        <v>110039782349</v>
      </c>
      <c r="L133" s="34">
        <v>4952</v>
      </c>
      <c r="M133" s="48" t="str">
        <f>VLOOKUP(L133, '2017 SIC to NAICS'!A:D, 2)</f>
        <v>Sewerage Systems</v>
      </c>
      <c r="N133" s="34">
        <f>VLOOKUP(L133,'2017 SIC to NAICS'!A:D,3)</f>
        <v>221320</v>
      </c>
      <c r="O133" s="34" t="str">
        <f>VLOOKUP(L133,'2017 SIC to NAICS'!A:D,4)</f>
        <v>Sewage Treatment Facilities</v>
      </c>
      <c r="P133" s="36" t="s">
        <v>742</v>
      </c>
      <c r="Q133" s="137" t="s">
        <v>743</v>
      </c>
      <c r="R133" s="45" t="s">
        <v>38</v>
      </c>
      <c r="S133" s="138">
        <f>COUNTIFS('Raw Non-zero DMR Data'!$A:$A, A133, 'Raw Non-zero DMR Data'!$C:$C, U133, 'Raw Non-zero DMR Data'!$V:$V, V133)</f>
        <v>1</v>
      </c>
      <c r="T133" s="34">
        <f>SUMIFS('Raw Non-zero DMR Data'!$X:$X, 'Raw Non-zero DMR Data'!$A:$A, A133, 'Raw Non-zero DMR Data'!$C:$C, U133, 'Raw Non-zero DMR Data'!V:V, V133)</f>
        <v>0.227935728</v>
      </c>
      <c r="U133" s="34" t="s">
        <v>930</v>
      </c>
      <c r="V133" s="34" t="s">
        <v>932</v>
      </c>
      <c r="W133" s="139">
        <v>180201630302</v>
      </c>
      <c r="X133" s="140" t="s">
        <v>745</v>
      </c>
    </row>
    <row r="134" spans="1:24" x14ac:dyDescent="0.35">
      <c r="A134" s="34">
        <v>2021</v>
      </c>
      <c r="B134" s="34" t="s">
        <v>463</v>
      </c>
      <c r="C134" s="34" t="s">
        <v>933</v>
      </c>
      <c r="D134" s="34" t="s">
        <v>464</v>
      </c>
      <c r="E134" s="34" t="s">
        <v>886</v>
      </c>
      <c r="F134" s="34" t="s">
        <v>102</v>
      </c>
      <c r="G134" s="34"/>
      <c r="H134" s="34">
        <v>37.894722000000002</v>
      </c>
      <c r="I134" s="34">
        <v>-121.587222</v>
      </c>
      <c r="J134" s="34"/>
      <c r="K134" s="105">
        <v>110001103911</v>
      </c>
      <c r="L134" s="34">
        <v>4952</v>
      </c>
      <c r="M134" s="48" t="str">
        <f>VLOOKUP(L134, '2017 SIC to NAICS'!A:D, 2)</f>
        <v>Sewerage Systems</v>
      </c>
      <c r="N134" s="34">
        <f>VLOOKUP(L134,'2017 SIC to NAICS'!A:D,3)</f>
        <v>221320</v>
      </c>
      <c r="O134" s="34" t="str">
        <f>VLOOKUP(L134,'2017 SIC to NAICS'!A:D,4)</f>
        <v>Sewage Treatment Facilities</v>
      </c>
      <c r="P134" s="36" t="s">
        <v>742</v>
      </c>
      <c r="Q134" s="137" t="s">
        <v>743</v>
      </c>
      <c r="R134" s="45" t="s">
        <v>38</v>
      </c>
      <c r="S134" s="138">
        <f>COUNTIFS('Raw Non-zero DMR Data'!$A:$A, A134, 'Raw Non-zero DMR Data'!$C:$C, U134, 'Raw Non-zero DMR Data'!$V:$V, V134)</f>
        <v>1</v>
      </c>
      <c r="T134" s="34">
        <f>SUMIFS('Raw Non-zero DMR Data'!$X:$X, 'Raw Non-zero DMR Data'!$A:$A, A134, 'Raw Non-zero DMR Data'!$C:$C, U134, 'Raw Non-zero DMR Data'!V:V, V134)</f>
        <v>0.103630272</v>
      </c>
      <c r="U134" s="34" t="s">
        <v>933</v>
      </c>
      <c r="V134" s="34" t="s">
        <v>934</v>
      </c>
      <c r="W134" s="139">
        <v>180400030802</v>
      </c>
      <c r="X134" s="140" t="s">
        <v>745</v>
      </c>
    </row>
    <row r="135" spans="1:24" x14ac:dyDescent="0.35">
      <c r="A135" s="34">
        <v>2020</v>
      </c>
      <c r="B135" s="34" t="s">
        <v>671</v>
      </c>
      <c r="C135" s="34" t="s">
        <v>935</v>
      </c>
      <c r="D135" s="34" t="s">
        <v>672</v>
      </c>
      <c r="E135" s="34" t="s">
        <v>889</v>
      </c>
      <c r="F135" s="34" t="s">
        <v>102</v>
      </c>
      <c r="G135" s="34"/>
      <c r="H135" s="34">
        <v>40.162660000000002</v>
      </c>
      <c r="I135" s="34">
        <v>-122.22068</v>
      </c>
      <c r="J135" s="34"/>
      <c r="K135" s="105">
        <v>110000730745</v>
      </c>
      <c r="L135" s="34">
        <v>4952</v>
      </c>
      <c r="M135" s="48" t="str">
        <f>VLOOKUP(L135, '2017 SIC to NAICS'!A:D, 2)</f>
        <v>Sewerage Systems</v>
      </c>
      <c r="N135" s="34">
        <f>VLOOKUP(L135,'2017 SIC to NAICS'!A:D,3)</f>
        <v>221320</v>
      </c>
      <c r="O135" s="34" t="str">
        <f>VLOOKUP(L135,'2017 SIC to NAICS'!A:D,4)</f>
        <v>Sewage Treatment Facilities</v>
      </c>
      <c r="P135" s="36" t="s">
        <v>742</v>
      </c>
      <c r="Q135" s="137" t="s">
        <v>743</v>
      </c>
      <c r="R135" s="45" t="s">
        <v>38</v>
      </c>
      <c r="S135" s="138">
        <f>COUNTIFS('Raw Non-zero DMR Data'!$A:$A, A135, 'Raw Non-zero DMR Data'!$C:$C, U135, 'Raw Non-zero DMR Data'!$V:$V, V135)</f>
        <v>1</v>
      </c>
      <c r="T135" s="34">
        <f>SUMIFS('Raw Non-zero DMR Data'!$X:$X, 'Raw Non-zero DMR Data'!$A:$A, A135, 'Raw Non-zero DMR Data'!$C:$C, U135, 'Raw Non-zero DMR Data'!V:V, V135)</f>
        <v>1.1003752000000001E-3</v>
      </c>
      <c r="U135" s="34" t="s">
        <v>935</v>
      </c>
      <c r="V135" s="34" t="s">
        <v>936</v>
      </c>
      <c r="W135" s="139">
        <v>180201550405</v>
      </c>
      <c r="X135" s="140" t="s">
        <v>745</v>
      </c>
    </row>
    <row r="136" spans="1:24" x14ac:dyDescent="0.35">
      <c r="A136" s="34">
        <v>2021</v>
      </c>
      <c r="B136" s="34" t="s">
        <v>671</v>
      </c>
      <c r="C136" s="34" t="s">
        <v>935</v>
      </c>
      <c r="D136" s="34" t="s">
        <v>672</v>
      </c>
      <c r="E136" s="34" t="s">
        <v>889</v>
      </c>
      <c r="F136" s="34" t="s">
        <v>102</v>
      </c>
      <c r="G136" s="34"/>
      <c r="H136" s="34">
        <v>40.162660000000002</v>
      </c>
      <c r="I136" s="34">
        <v>-122.22068</v>
      </c>
      <c r="J136" s="34"/>
      <c r="K136" s="105">
        <v>110000730745</v>
      </c>
      <c r="L136" s="34">
        <v>4952</v>
      </c>
      <c r="M136" s="48" t="str">
        <f>VLOOKUP(L136, '2017 SIC to NAICS'!A:D, 2)</f>
        <v>Sewerage Systems</v>
      </c>
      <c r="N136" s="34">
        <f>VLOOKUP(L136,'2017 SIC to NAICS'!A:D,3)</f>
        <v>221320</v>
      </c>
      <c r="O136" s="34" t="str">
        <f>VLOOKUP(L136,'2017 SIC to NAICS'!A:D,4)</f>
        <v>Sewage Treatment Facilities</v>
      </c>
      <c r="P136" s="36" t="s">
        <v>742</v>
      </c>
      <c r="Q136" s="137" t="s">
        <v>743</v>
      </c>
      <c r="R136" s="45" t="s">
        <v>38</v>
      </c>
      <c r="S136" s="138">
        <f>COUNTIFS('Raw Non-zero DMR Data'!$A:$A, A136, 'Raw Non-zero DMR Data'!$C:$C, U136, 'Raw Non-zero DMR Data'!$V:$V, V136)</f>
        <v>1</v>
      </c>
      <c r="T136" s="34">
        <f>SUMIFS('Raw Non-zero DMR Data'!$X:$X, 'Raw Non-zero DMR Data'!$A:$A, A136, 'Raw Non-zero DMR Data'!$C:$C, U136, 'Raw Non-zero DMR Data'!V:V, V136)</f>
        <v>7.5336640000000002E-4</v>
      </c>
      <c r="U136" s="34" t="s">
        <v>935</v>
      </c>
      <c r="V136" s="34" t="s">
        <v>936</v>
      </c>
      <c r="W136" s="139">
        <v>180201550405</v>
      </c>
      <c r="X136" s="140" t="s">
        <v>745</v>
      </c>
    </row>
    <row r="137" spans="1:24" x14ac:dyDescent="0.35">
      <c r="A137" s="34">
        <v>2019</v>
      </c>
      <c r="B137" s="34" t="s">
        <v>465</v>
      </c>
      <c r="C137" s="34" t="s">
        <v>937</v>
      </c>
      <c r="D137" s="34" t="s">
        <v>466</v>
      </c>
      <c r="E137" s="34" t="s">
        <v>466</v>
      </c>
      <c r="F137" s="34" t="s">
        <v>102</v>
      </c>
      <c r="G137" s="34"/>
      <c r="H137" s="34">
        <v>39.191054000000001</v>
      </c>
      <c r="I137" s="34">
        <v>-122.023129</v>
      </c>
      <c r="J137" s="34"/>
      <c r="K137" s="105">
        <v>110055984957</v>
      </c>
      <c r="L137" s="34">
        <v>4952</v>
      </c>
      <c r="M137" s="48" t="str">
        <f>VLOOKUP(L137, '2017 SIC to NAICS'!A:D, 2)</f>
        <v>Sewerage Systems</v>
      </c>
      <c r="N137" s="34">
        <f>VLOOKUP(L137,'2017 SIC to NAICS'!A:D,3)</f>
        <v>221320</v>
      </c>
      <c r="O137" s="34" t="str">
        <f>VLOOKUP(L137,'2017 SIC to NAICS'!A:D,4)</f>
        <v>Sewage Treatment Facilities</v>
      </c>
      <c r="P137" s="36" t="s">
        <v>742</v>
      </c>
      <c r="Q137" s="137" t="s">
        <v>743</v>
      </c>
      <c r="R137" s="45" t="s">
        <v>38</v>
      </c>
      <c r="S137" s="138">
        <f>COUNTIFS('Raw Non-zero DMR Data'!$A:$A, A137, 'Raw Non-zero DMR Data'!$C:$C, U137, 'Raw Non-zero DMR Data'!$V:$V, V137)</f>
        <v>1</v>
      </c>
      <c r="T137" s="34">
        <f>SUMIFS('Raw Non-zero DMR Data'!$X:$X, 'Raw Non-zero DMR Data'!$A:$A, A137, 'Raw Non-zero DMR Data'!$C:$C, U137, 'Raw Non-zero DMR Data'!V:V, V137)</f>
        <v>0.100571992</v>
      </c>
      <c r="U137" s="34" t="s">
        <v>937</v>
      </c>
      <c r="V137" s="34" t="s">
        <v>938</v>
      </c>
      <c r="W137" s="139">
        <v>180201040807</v>
      </c>
      <c r="X137" s="140" t="s">
        <v>745</v>
      </c>
    </row>
    <row r="138" spans="1:24" x14ac:dyDescent="0.35">
      <c r="A138" s="34">
        <v>2021</v>
      </c>
      <c r="B138" s="34" t="s">
        <v>433</v>
      </c>
      <c r="C138" s="34" t="s">
        <v>939</v>
      </c>
      <c r="D138" s="34" t="s">
        <v>434</v>
      </c>
      <c r="E138" s="34" t="s">
        <v>921</v>
      </c>
      <c r="F138" s="34" t="s">
        <v>102</v>
      </c>
      <c r="G138" s="34"/>
      <c r="H138" s="34">
        <v>38.333300000000001</v>
      </c>
      <c r="I138" s="34">
        <v>-120.7833</v>
      </c>
      <c r="J138" s="34"/>
      <c r="K138" s="105">
        <v>110011373637</v>
      </c>
      <c r="L138" s="34">
        <v>4952</v>
      </c>
      <c r="M138" s="48" t="str">
        <f>VLOOKUP(L138, '2017 SIC to NAICS'!A:D, 2)</f>
        <v>Sewerage Systems</v>
      </c>
      <c r="N138" s="34">
        <f>VLOOKUP(L138,'2017 SIC to NAICS'!A:D,3)</f>
        <v>221320</v>
      </c>
      <c r="O138" s="34" t="str">
        <f>VLOOKUP(L138,'2017 SIC to NAICS'!A:D,4)</f>
        <v>Sewage Treatment Facilities</v>
      </c>
      <c r="P138" s="36" t="s">
        <v>742</v>
      </c>
      <c r="Q138" s="137" t="s">
        <v>743</v>
      </c>
      <c r="R138" s="45" t="s">
        <v>38</v>
      </c>
      <c r="S138" s="138">
        <f>COUNTIFS('Raw Non-zero DMR Data'!$A:$A, A138, 'Raw Non-zero DMR Data'!$C:$C, U138, 'Raw Non-zero DMR Data'!$V:$V, V138)</f>
        <v>1</v>
      </c>
      <c r="T138" s="34">
        <f>SUMIFS('Raw Non-zero DMR Data'!$X:$X, 'Raw Non-zero DMR Data'!$A:$A, A138, 'Raw Non-zero DMR Data'!$C:$C, U138, 'Raw Non-zero DMR Data'!V:V, V138)</f>
        <v>0.15199045999999999</v>
      </c>
      <c r="U138" s="34" t="s">
        <v>939</v>
      </c>
      <c r="V138" s="34" t="s">
        <v>940</v>
      </c>
      <c r="W138" s="139">
        <v>180400120702</v>
      </c>
      <c r="X138" s="140" t="s">
        <v>745</v>
      </c>
    </row>
    <row r="139" spans="1:24" x14ac:dyDescent="0.35">
      <c r="A139" s="34">
        <v>2020</v>
      </c>
      <c r="B139" s="34" t="s">
        <v>482</v>
      </c>
      <c r="C139" s="34" t="s">
        <v>941</v>
      </c>
      <c r="D139" s="34" t="s">
        <v>483</v>
      </c>
      <c r="E139" s="34" t="s">
        <v>942</v>
      </c>
      <c r="F139" s="34" t="s">
        <v>102</v>
      </c>
      <c r="G139" s="34"/>
      <c r="H139" s="34">
        <v>39.259749999999997</v>
      </c>
      <c r="I139" s="34">
        <v>-121.03075</v>
      </c>
      <c r="J139" s="34"/>
      <c r="K139" s="105">
        <v>110000519920</v>
      </c>
      <c r="L139" s="34">
        <v>4952</v>
      </c>
      <c r="M139" s="48" t="str">
        <f>VLOOKUP(L139, '2017 SIC to NAICS'!A:D, 2)</f>
        <v>Sewerage Systems</v>
      </c>
      <c r="N139" s="34">
        <f>VLOOKUP(L139,'2017 SIC to NAICS'!A:D,3)</f>
        <v>221320</v>
      </c>
      <c r="O139" s="34" t="str">
        <f>VLOOKUP(L139,'2017 SIC to NAICS'!A:D,4)</f>
        <v>Sewage Treatment Facilities</v>
      </c>
      <c r="P139" s="36" t="s">
        <v>742</v>
      </c>
      <c r="Q139" s="137" t="s">
        <v>743</v>
      </c>
      <c r="R139" s="45" t="s">
        <v>38</v>
      </c>
      <c r="S139" s="138">
        <f>COUNTIFS('Raw Non-zero DMR Data'!$A:$A, A139, 'Raw Non-zero DMR Data'!$C:$C, U139, 'Raw Non-zero DMR Data'!$V:$V, V139)</f>
        <v>1</v>
      </c>
      <c r="T139" s="34">
        <f>SUMIFS('Raw Non-zero DMR Data'!$X:$X, 'Raw Non-zero DMR Data'!$A:$A, A139, 'Raw Non-zero DMR Data'!$C:$C, U139, 'Raw Non-zero DMR Data'!V:V, V139)</f>
        <v>1.1526082E-2</v>
      </c>
      <c r="U139" s="34" t="s">
        <v>941</v>
      </c>
      <c r="V139" s="34" t="s">
        <v>943</v>
      </c>
      <c r="W139" s="139">
        <v>180201250802</v>
      </c>
      <c r="X139" s="140" t="s">
        <v>745</v>
      </c>
    </row>
    <row r="140" spans="1:24" x14ac:dyDescent="0.35">
      <c r="A140" s="34">
        <v>2023</v>
      </c>
      <c r="B140" s="34" t="s">
        <v>482</v>
      </c>
      <c r="C140" s="34" t="s">
        <v>941</v>
      </c>
      <c r="D140" s="34" t="s">
        <v>483</v>
      </c>
      <c r="E140" s="34" t="s">
        <v>942</v>
      </c>
      <c r="F140" s="34" t="s">
        <v>102</v>
      </c>
      <c r="G140" s="34"/>
      <c r="H140" s="34">
        <v>39.259749999999997</v>
      </c>
      <c r="I140" s="34">
        <v>-121.03075</v>
      </c>
      <c r="J140" s="34"/>
      <c r="K140" s="105">
        <v>110000519920</v>
      </c>
      <c r="L140" s="34">
        <v>4952</v>
      </c>
      <c r="M140" s="48" t="str">
        <f>VLOOKUP(L140, '2017 SIC to NAICS'!A:D, 2)</f>
        <v>Sewerage Systems</v>
      </c>
      <c r="N140" s="34">
        <f>VLOOKUP(L140,'2017 SIC to NAICS'!A:D,3)</f>
        <v>221320</v>
      </c>
      <c r="O140" s="34" t="str">
        <f>VLOOKUP(L140,'2017 SIC to NAICS'!A:D,4)</f>
        <v>Sewage Treatment Facilities</v>
      </c>
      <c r="P140" s="36" t="s">
        <v>742</v>
      </c>
      <c r="Q140" s="137" t="s">
        <v>743</v>
      </c>
      <c r="R140" s="45" t="s">
        <v>38</v>
      </c>
      <c r="S140" s="138">
        <f>COUNTIFS('Raw Non-zero DMR Data'!$A:$A, A140, 'Raw Non-zero DMR Data'!$C:$C, U140, 'Raw Non-zero DMR Data'!$V:$V, V140)</f>
        <v>1</v>
      </c>
      <c r="T140" s="34">
        <f>SUMIFS('Raw Non-zero DMR Data'!$X:$X, 'Raw Non-zero DMR Data'!$A:$A, A140, 'Raw Non-zero DMR Data'!$C:$C, U140, 'Raw Non-zero DMR Data'!V:V, V140)</f>
        <v>6.8742110199999998E-2</v>
      </c>
      <c r="U140" s="34" t="s">
        <v>941</v>
      </c>
      <c r="V140" s="34" t="s">
        <v>943</v>
      </c>
      <c r="W140" s="139">
        <v>180201250802</v>
      </c>
      <c r="X140" s="140" t="s">
        <v>745</v>
      </c>
    </row>
    <row r="141" spans="1:24" x14ac:dyDescent="0.35">
      <c r="A141" s="34">
        <v>2022</v>
      </c>
      <c r="B141" s="34" t="s">
        <v>388</v>
      </c>
      <c r="C141" s="34" t="s">
        <v>944</v>
      </c>
      <c r="D141" s="34" t="s">
        <v>389</v>
      </c>
      <c r="E141" s="34" t="s">
        <v>945</v>
      </c>
      <c r="F141" s="34" t="s">
        <v>102</v>
      </c>
      <c r="G141" s="34"/>
      <c r="H141" s="34">
        <v>37.795589999999997</v>
      </c>
      <c r="I141" s="34">
        <v>-121.26000999999999</v>
      </c>
      <c r="J141" s="34"/>
      <c r="K141" s="105">
        <v>110039801462</v>
      </c>
      <c r="L141" s="34">
        <v>4952</v>
      </c>
      <c r="M141" s="48" t="str">
        <f>VLOOKUP(L141, '2017 SIC to NAICS'!A:D, 2)</f>
        <v>Sewerage Systems</v>
      </c>
      <c r="N141" s="34">
        <f>VLOOKUP(L141,'2017 SIC to NAICS'!A:D,3)</f>
        <v>221320</v>
      </c>
      <c r="O141" s="34" t="str">
        <f>VLOOKUP(L141,'2017 SIC to NAICS'!A:D,4)</f>
        <v>Sewage Treatment Facilities</v>
      </c>
      <c r="P141" s="36" t="s">
        <v>742</v>
      </c>
      <c r="Q141" s="137" t="s">
        <v>743</v>
      </c>
      <c r="R141" s="45" t="s">
        <v>38</v>
      </c>
      <c r="S141" s="138">
        <f>COUNTIFS('Raw Non-zero DMR Data'!$A:$A, A141, 'Raw Non-zero DMR Data'!$C:$C, U141, 'Raw Non-zero DMR Data'!$V:$V, V141)</f>
        <v>1</v>
      </c>
      <c r="T141" s="34">
        <f>SUMIFS('Raw Non-zero DMR Data'!$X:$X, 'Raw Non-zero DMR Data'!$A:$A, A141, 'Raw Non-zero DMR Data'!$C:$C, U141, 'Raw Non-zero DMR Data'!V:V, V141)</f>
        <v>0.27096562666666602</v>
      </c>
      <c r="U141" s="34" t="s">
        <v>944</v>
      </c>
      <c r="V141" s="34" t="s">
        <v>946</v>
      </c>
      <c r="W141" s="139">
        <v>180400030204</v>
      </c>
      <c r="X141" s="140" t="s">
        <v>745</v>
      </c>
    </row>
    <row r="142" spans="1:24" x14ac:dyDescent="0.35">
      <c r="A142" s="34">
        <v>2021</v>
      </c>
      <c r="B142" s="34" t="s">
        <v>552</v>
      </c>
      <c r="C142" s="34" t="s">
        <v>947</v>
      </c>
      <c r="D142" s="34" t="s">
        <v>553</v>
      </c>
      <c r="E142" s="34" t="s">
        <v>948</v>
      </c>
      <c r="F142" s="34" t="s">
        <v>102</v>
      </c>
      <c r="G142" s="34"/>
      <c r="H142" s="34">
        <v>39.814332999999998</v>
      </c>
      <c r="I142" s="34">
        <v>-121.58030599999999</v>
      </c>
      <c r="J142" s="34"/>
      <c r="K142" s="105">
        <v>110000520026</v>
      </c>
      <c r="L142" s="34">
        <v>4941</v>
      </c>
      <c r="M142" s="48" t="str">
        <f>VLOOKUP(L142, '2017 SIC to NAICS'!A:D, 2)</f>
        <v>Water Supply</v>
      </c>
      <c r="N142" s="34">
        <f>VLOOKUP(L142,'2017 SIC to NAICS'!A:D,3)</f>
        <v>221310</v>
      </c>
      <c r="O142" s="34" t="str">
        <f>VLOOKUP(L142,'2017 SIC to NAICS'!A:D,4)</f>
        <v>Water Supply and Irrigation Systems</v>
      </c>
      <c r="P142" s="36" t="s">
        <v>742</v>
      </c>
      <c r="Q142" s="137" t="s">
        <v>743</v>
      </c>
      <c r="R142" s="45" t="s">
        <v>41</v>
      </c>
      <c r="S142" s="138">
        <f>COUNTIFS('Raw Non-zero DMR Data'!$A:$A, A142, 'Raw Non-zero DMR Data'!$C:$C, U142, 'Raw Non-zero DMR Data'!$V:$V, V142)</f>
        <v>1</v>
      </c>
      <c r="T142" s="34">
        <f>SUMIFS('Raw Non-zero DMR Data'!$X:$X, 'Raw Non-zero DMR Data'!$A:$A, A142, 'Raw Non-zero DMR Data'!$C:$C, U142, 'Raw Non-zero DMR Data'!V:V, V142)</f>
        <v>2.6169385912499999E-2</v>
      </c>
      <c r="U142" s="34" t="s">
        <v>947</v>
      </c>
      <c r="V142" s="34" t="s">
        <v>949</v>
      </c>
      <c r="W142" s="139">
        <v>180201580201</v>
      </c>
      <c r="X142" s="140" t="s">
        <v>950</v>
      </c>
    </row>
    <row r="143" spans="1:24" x14ac:dyDescent="0.35">
      <c r="A143" s="34">
        <v>2022</v>
      </c>
      <c r="B143" s="34" t="s">
        <v>414</v>
      </c>
      <c r="C143" s="34" t="s">
        <v>951</v>
      </c>
      <c r="D143" s="34" t="s">
        <v>415</v>
      </c>
      <c r="E143" s="34" t="s">
        <v>889</v>
      </c>
      <c r="F143" s="34" t="s">
        <v>102</v>
      </c>
      <c r="G143" s="34"/>
      <c r="H143" s="34">
        <v>39.915689999999998</v>
      </c>
      <c r="I143" s="34">
        <v>-122.10365</v>
      </c>
      <c r="J143" s="34"/>
      <c r="K143" s="105">
        <v>110054272210</v>
      </c>
      <c r="L143" s="34">
        <v>2033</v>
      </c>
      <c r="M143" s="48" t="str">
        <f>VLOOKUP(L143, '2017 SIC to NAICS'!A:D, 2)</f>
        <v>Canned Fruits and Specialties</v>
      </c>
      <c r="N143" s="34">
        <f>VLOOKUP(L143,'2017 SIC to NAICS'!A:D,3)</f>
        <v>311421</v>
      </c>
      <c r="O143" s="34" t="str">
        <f>VLOOKUP(L143,'2017 SIC to NAICS'!A:D,4)</f>
        <v>Fruit and Vegetable Canning</v>
      </c>
      <c r="P143" s="36" t="s">
        <v>952</v>
      </c>
      <c r="Q143" s="137" t="s">
        <v>953</v>
      </c>
      <c r="R143" s="45" t="s">
        <v>39</v>
      </c>
      <c r="S143" s="138">
        <f>COUNTIFS('Raw Non-zero DMR Data'!$A:$A, A143, 'Raw Non-zero DMR Data'!$C:$C, U143, 'Raw Non-zero DMR Data'!$V:$V, V143)</f>
        <v>1</v>
      </c>
      <c r="T143" s="34">
        <f>SUMIFS('Raw Non-zero DMR Data'!$X:$X, 'Raw Non-zero DMR Data'!$A:$A, A143, 'Raw Non-zero DMR Data'!$C:$C, U143, 'Raw Non-zero DMR Data'!V:V, V143)</f>
        <v>7.1823024499999999E-2</v>
      </c>
      <c r="U143" s="34" t="s">
        <v>951</v>
      </c>
      <c r="V143" s="34" t="s">
        <v>890</v>
      </c>
      <c r="W143" s="139">
        <v>180201570701</v>
      </c>
      <c r="X143" s="140" t="s">
        <v>954</v>
      </c>
    </row>
    <row r="144" spans="1:24" x14ac:dyDescent="0.35">
      <c r="A144" s="34">
        <v>2023</v>
      </c>
      <c r="B144" s="34" t="s">
        <v>414</v>
      </c>
      <c r="C144" s="34" t="s">
        <v>951</v>
      </c>
      <c r="D144" s="34" t="s">
        <v>415</v>
      </c>
      <c r="E144" s="34" t="s">
        <v>889</v>
      </c>
      <c r="F144" s="34" t="s">
        <v>102</v>
      </c>
      <c r="G144" s="34"/>
      <c r="H144" s="34">
        <v>39.915689999999998</v>
      </c>
      <c r="I144" s="34">
        <v>-122.10365</v>
      </c>
      <c r="J144" s="34"/>
      <c r="K144" s="105">
        <v>110054272210</v>
      </c>
      <c r="L144" s="34">
        <v>2033</v>
      </c>
      <c r="M144" s="48" t="str">
        <f>VLOOKUP(L144, '2017 SIC to NAICS'!A:D, 2)</f>
        <v>Canned Fruits and Specialties</v>
      </c>
      <c r="N144" s="34">
        <f>VLOOKUP(L144,'2017 SIC to NAICS'!A:D,3)</f>
        <v>311421</v>
      </c>
      <c r="O144" s="34" t="str">
        <f>VLOOKUP(L144,'2017 SIC to NAICS'!A:D,4)</f>
        <v>Fruit and Vegetable Canning</v>
      </c>
      <c r="P144" s="36" t="s">
        <v>952</v>
      </c>
      <c r="Q144" s="137" t="s">
        <v>953</v>
      </c>
      <c r="R144" s="45" t="s">
        <v>39</v>
      </c>
      <c r="S144" s="138">
        <f>COUNTIFS('Raw Non-zero DMR Data'!$A:$A, A144, 'Raw Non-zero DMR Data'!$C:$C, U144, 'Raw Non-zero DMR Data'!$V:$V, V144)</f>
        <v>1</v>
      </c>
      <c r="T144" s="34">
        <f>SUMIFS('Raw Non-zero DMR Data'!$X:$X, 'Raw Non-zero DMR Data'!$A:$A, A144, 'Raw Non-zero DMR Data'!$C:$C, U144, 'Raw Non-zero DMR Data'!V:V, V144)</f>
        <v>0.16759979999999999</v>
      </c>
      <c r="U144" s="34" t="s">
        <v>951</v>
      </c>
      <c r="V144" s="34" t="s">
        <v>890</v>
      </c>
      <c r="W144" s="139">
        <v>180201570701</v>
      </c>
      <c r="X144" s="140" t="s">
        <v>954</v>
      </c>
    </row>
    <row r="145" spans="1:24" x14ac:dyDescent="0.35">
      <c r="A145" s="34">
        <v>2021</v>
      </c>
      <c r="B145" s="34" t="s">
        <v>372</v>
      </c>
      <c r="C145" s="34" t="s">
        <v>955</v>
      </c>
      <c r="D145" s="34" t="s">
        <v>373</v>
      </c>
      <c r="E145" s="34" t="s">
        <v>956</v>
      </c>
      <c r="F145" s="34" t="s">
        <v>102</v>
      </c>
      <c r="G145" s="34"/>
      <c r="H145" s="34">
        <v>37.908380000000001</v>
      </c>
      <c r="I145" s="34">
        <v>-120.61605</v>
      </c>
      <c r="J145" s="34"/>
      <c r="K145" s="105">
        <v>110027858432</v>
      </c>
      <c r="L145" s="34">
        <v>4952</v>
      </c>
      <c r="M145" s="48" t="str">
        <f>VLOOKUP(L145, '2017 SIC to NAICS'!A:D, 2)</f>
        <v>Sewerage Systems</v>
      </c>
      <c r="N145" s="34">
        <f>VLOOKUP(L145,'2017 SIC to NAICS'!A:D,3)</f>
        <v>221320</v>
      </c>
      <c r="O145" s="34" t="str">
        <f>VLOOKUP(L145,'2017 SIC to NAICS'!A:D,4)</f>
        <v>Sewage Treatment Facilities</v>
      </c>
      <c r="P145" s="36" t="s">
        <v>742</v>
      </c>
      <c r="Q145" s="137" t="s">
        <v>743</v>
      </c>
      <c r="R145" s="45" t="s">
        <v>38</v>
      </c>
      <c r="S145" s="138">
        <f>COUNTIFS('Raw Non-zero DMR Data'!$A:$A, A145, 'Raw Non-zero DMR Data'!$C:$C, U145, 'Raw Non-zero DMR Data'!$V:$V, V145)</f>
        <v>1</v>
      </c>
      <c r="T145" s="34">
        <f>SUMIFS('Raw Non-zero DMR Data'!$X:$X, 'Raw Non-zero DMR Data'!$A:$A, A145, 'Raw Non-zero DMR Data'!$C:$C, U145, 'Raw Non-zero DMR Data'!V:V, V145)</f>
        <v>0.33640133750000001</v>
      </c>
      <c r="U145" s="34" t="s">
        <v>955</v>
      </c>
      <c r="V145" s="34" t="s">
        <v>957</v>
      </c>
      <c r="W145" s="139">
        <v>180400510203</v>
      </c>
      <c r="X145" s="140" t="s">
        <v>745</v>
      </c>
    </row>
    <row r="146" spans="1:24" x14ac:dyDescent="0.35">
      <c r="A146" s="34">
        <v>2021</v>
      </c>
      <c r="B146" s="34" t="s">
        <v>535</v>
      </c>
      <c r="C146" s="34" t="s">
        <v>958</v>
      </c>
      <c r="D146" s="34" t="s">
        <v>536</v>
      </c>
      <c r="E146" s="34" t="s">
        <v>956</v>
      </c>
      <c r="F146" s="34" t="s">
        <v>102</v>
      </c>
      <c r="G146" s="34"/>
      <c r="H146" s="34">
        <v>38.060360000000003</v>
      </c>
      <c r="I146" s="34">
        <v>-120.53995999999999</v>
      </c>
      <c r="J146" s="34"/>
      <c r="K146" s="105">
        <v>110030437524</v>
      </c>
      <c r="L146" s="34">
        <v>4952</v>
      </c>
      <c r="M146" s="48" t="str">
        <f>VLOOKUP(L146, '2017 SIC to NAICS'!A:D, 2)</f>
        <v>Sewerage Systems</v>
      </c>
      <c r="N146" s="34">
        <f>VLOOKUP(L146,'2017 SIC to NAICS'!A:D,3)</f>
        <v>221320</v>
      </c>
      <c r="O146" s="34" t="str">
        <f>VLOOKUP(L146,'2017 SIC to NAICS'!A:D,4)</f>
        <v>Sewage Treatment Facilities</v>
      </c>
      <c r="P146" s="36" t="s">
        <v>742</v>
      </c>
      <c r="Q146" s="137" t="s">
        <v>743</v>
      </c>
      <c r="R146" s="45" t="s">
        <v>39</v>
      </c>
      <c r="S146" s="138">
        <f>COUNTIFS('Raw Non-zero DMR Data'!$A:$A, A146, 'Raw Non-zero DMR Data'!$C:$C, U146, 'Raw Non-zero DMR Data'!$V:$V, V146)</f>
        <v>1</v>
      </c>
      <c r="T146" s="34">
        <f>SUMIFS('Raw Non-zero DMR Data'!$X:$X, 'Raw Non-zero DMR Data'!$A:$A, A146, 'Raw Non-zero DMR Data'!$C:$C, U146, 'Raw Non-zero DMR Data'!V:V, V146)</f>
        <v>3.3018447499999999E-2</v>
      </c>
      <c r="U146" s="34" t="s">
        <v>958</v>
      </c>
      <c r="V146" s="34" t="s">
        <v>959</v>
      </c>
      <c r="W146" s="139">
        <v>180400100604</v>
      </c>
      <c r="X146" s="140" t="s">
        <v>745</v>
      </c>
    </row>
    <row r="147" spans="1:24" x14ac:dyDescent="0.35">
      <c r="A147" s="34">
        <v>2019</v>
      </c>
      <c r="B147" s="34" t="s">
        <v>574</v>
      </c>
      <c r="C147" s="34" t="s">
        <v>960</v>
      </c>
      <c r="D147" s="34" t="s">
        <v>483</v>
      </c>
      <c r="E147" s="34" t="s">
        <v>942</v>
      </c>
      <c r="F147" s="34" t="s">
        <v>102</v>
      </c>
      <c r="G147" s="34"/>
      <c r="H147" s="34">
        <v>39.368808999999999</v>
      </c>
      <c r="I147" s="34">
        <v>-120.898977</v>
      </c>
      <c r="J147" s="34"/>
      <c r="K147" s="105">
        <v>110066354359</v>
      </c>
      <c r="L147" s="34">
        <v>1041</v>
      </c>
      <c r="M147" s="48" t="str">
        <f>VLOOKUP(L147, '2017 SIC to NAICS'!A:D, 2)</f>
        <v>Gold Ores</v>
      </c>
      <c r="N147" s="34">
        <f>VLOOKUP(L147,'2017 SIC to NAICS'!A:D,3)</f>
        <v>212221</v>
      </c>
      <c r="O147" s="34" t="str">
        <f>VLOOKUP(L147,'2017 SIC to NAICS'!A:D,4)</f>
        <v>Gold Ore Mining</v>
      </c>
      <c r="P147" s="36" t="s">
        <v>737</v>
      </c>
      <c r="Q147" s="137" t="s">
        <v>737</v>
      </c>
      <c r="R147" s="45" t="s">
        <v>41</v>
      </c>
      <c r="S147" s="138">
        <f>COUNTIFS('Raw Non-zero DMR Data'!$A:$A, A147, 'Raw Non-zero DMR Data'!$C:$C, U147, 'Raw Non-zero DMR Data'!$V:$V, V147)</f>
        <v>1</v>
      </c>
      <c r="T147" s="34">
        <f>SUMIFS('Raw Non-zero DMR Data'!$X:$X, 'Raw Non-zero DMR Data'!$A:$A, A147, 'Raw Non-zero DMR Data'!$C:$C, U147, 'Raw Non-zero DMR Data'!V:V, V147)</f>
        <v>1.9163133275000001E-2</v>
      </c>
      <c r="U147" s="34" t="s">
        <v>960</v>
      </c>
      <c r="V147" s="34" t="s">
        <v>961</v>
      </c>
      <c r="W147" s="139">
        <v>180201250702</v>
      </c>
      <c r="X147" s="140" t="s">
        <v>962</v>
      </c>
    </row>
    <row r="148" spans="1:24" x14ac:dyDescent="0.35">
      <c r="A148" s="34">
        <v>2019</v>
      </c>
      <c r="B148" s="34" t="s">
        <v>358</v>
      </c>
      <c r="C148" s="34" t="s">
        <v>963</v>
      </c>
      <c r="D148" s="34" t="s">
        <v>359</v>
      </c>
      <c r="E148" s="34" t="s">
        <v>964</v>
      </c>
      <c r="F148" s="34" t="s">
        <v>102</v>
      </c>
      <c r="G148" s="34"/>
      <c r="H148" s="34">
        <v>34.616678999999998</v>
      </c>
      <c r="I148" s="34">
        <v>-117.355046</v>
      </c>
      <c r="J148" s="34"/>
      <c r="K148" s="105">
        <v>110000517637</v>
      </c>
      <c r="L148" s="34">
        <v>4952</v>
      </c>
      <c r="M148" s="48" t="str">
        <f>VLOOKUP(L148, '2017 SIC to NAICS'!A:D, 2)</f>
        <v>Sewerage Systems</v>
      </c>
      <c r="N148" s="34">
        <f>VLOOKUP(L148,'2017 SIC to NAICS'!A:D,3)</f>
        <v>221320</v>
      </c>
      <c r="O148" s="34" t="str">
        <f>VLOOKUP(L148,'2017 SIC to NAICS'!A:D,4)</f>
        <v>Sewage Treatment Facilities</v>
      </c>
      <c r="P148" s="36" t="s">
        <v>742</v>
      </c>
      <c r="Q148" s="137" t="s">
        <v>743</v>
      </c>
      <c r="R148" s="45" t="s">
        <v>38</v>
      </c>
      <c r="S148" s="138">
        <f>COUNTIFS('Raw Non-zero DMR Data'!$A:$A, A148, 'Raw Non-zero DMR Data'!$C:$C, U148, 'Raw Non-zero DMR Data'!$V:$V, V148)</f>
        <v>1</v>
      </c>
      <c r="T148" s="34">
        <f>SUMIFS('Raw Non-zero DMR Data'!$X:$X, 'Raw Non-zero DMR Data'!$A:$A, A148, 'Raw Non-zero DMR Data'!$C:$C, U148, 'Raw Non-zero DMR Data'!V:V, V148)</f>
        <v>0.49044137500000001</v>
      </c>
      <c r="U148" s="34" t="s">
        <v>963</v>
      </c>
      <c r="V148" s="34" t="s">
        <v>965</v>
      </c>
      <c r="W148" s="139">
        <v>180902080706</v>
      </c>
      <c r="X148" s="140" t="s">
        <v>745</v>
      </c>
    </row>
    <row r="149" spans="1:24" x14ac:dyDescent="0.35">
      <c r="A149" s="34">
        <v>2023</v>
      </c>
      <c r="B149" s="34" t="s">
        <v>621</v>
      </c>
      <c r="C149" s="34" t="s">
        <v>966</v>
      </c>
      <c r="D149" s="34" t="s">
        <v>504</v>
      </c>
      <c r="E149" s="34" t="s">
        <v>790</v>
      </c>
      <c r="F149" s="34" t="s">
        <v>102</v>
      </c>
      <c r="G149" s="34"/>
      <c r="H149" s="34">
        <v>32.781489999999998</v>
      </c>
      <c r="I149" s="34">
        <v>-115.5035</v>
      </c>
      <c r="J149" s="34"/>
      <c r="K149" s="105">
        <v>110012876557</v>
      </c>
      <c r="L149" s="34">
        <v>6515</v>
      </c>
      <c r="M149" s="48" t="str">
        <f>VLOOKUP(L149, '2017 SIC to NAICS'!A:D, 2)</f>
        <v>Mobile Home Site Operators</v>
      </c>
      <c r="N149" s="34">
        <f>VLOOKUP(L149,'2017 SIC to NAICS'!A:D,3)</f>
        <v>531190</v>
      </c>
      <c r="O149" s="34" t="str">
        <f>VLOOKUP(L149,'2017 SIC to NAICS'!A:D,4)</f>
        <v>Lessors of Other Real Estate Property</v>
      </c>
      <c r="P149" s="36" t="s">
        <v>754</v>
      </c>
      <c r="Q149" s="137" t="s">
        <v>755</v>
      </c>
      <c r="R149" s="45" t="s">
        <v>39</v>
      </c>
      <c r="S149" s="138">
        <f>COUNTIFS('Raw Non-zero DMR Data'!$A:$A, A149, 'Raw Non-zero DMR Data'!$C:$C, U149, 'Raw Non-zero DMR Data'!$V:$V, V149)</f>
        <v>1</v>
      </c>
      <c r="T149" s="34">
        <f>SUMIFS('Raw Non-zero DMR Data'!$X:$X, 'Raw Non-zero DMR Data'!$A:$A, A149, 'Raw Non-zero DMR Data'!$C:$C, U149, 'Raw Non-zero DMR Data'!V:V, V149)</f>
        <v>7.94376875E-3</v>
      </c>
      <c r="U149" s="34" t="s">
        <v>966</v>
      </c>
      <c r="V149" s="34" t="s">
        <v>791</v>
      </c>
      <c r="W149" s="139">
        <v>181002040701</v>
      </c>
      <c r="X149" s="140" t="s">
        <v>739</v>
      </c>
    </row>
    <row r="150" spans="1:24" x14ac:dyDescent="0.35">
      <c r="A150" s="34">
        <v>2019</v>
      </c>
      <c r="B150" s="34" t="s">
        <v>522</v>
      </c>
      <c r="C150" s="34" t="s">
        <v>967</v>
      </c>
      <c r="D150" s="34" t="s">
        <v>523</v>
      </c>
      <c r="E150" s="34" t="s">
        <v>790</v>
      </c>
      <c r="F150" s="34" t="s">
        <v>102</v>
      </c>
      <c r="G150" s="34"/>
      <c r="H150" s="34">
        <v>33.227348999999997</v>
      </c>
      <c r="I150" s="34">
        <v>-115.528569</v>
      </c>
      <c r="J150" s="34"/>
      <c r="K150" s="105">
        <v>110001177958</v>
      </c>
      <c r="L150" s="34">
        <v>4952</v>
      </c>
      <c r="M150" s="48" t="str">
        <f>VLOOKUP(L150, '2017 SIC to NAICS'!A:D, 2)</f>
        <v>Sewerage Systems</v>
      </c>
      <c r="N150" s="34">
        <f>VLOOKUP(L150,'2017 SIC to NAICS'!A:D,3)</f>
        <v>221320</v>
      </c>
      <c r="O150" s="34" t="str">
        <f>VLOOKUP(L150,'2017 SIC to NAICS'!A:D,4)</f>
        <v>Sewage Treatment Facilities</v>
      </c>
      <c r="P150" s="36" t="s">
        <v>742</v>
      </c>
      <c r="Q150" s="137" t="s">
        <v>743</v>
      </c>
      <c r="R150" s="45" t="s">
        <v>38</v>
      </c>
      <c r="S150" s="138">
        <f>COUNTIFS('Raw Non-zero DMR Data'!$A:$A, A150, 'Raw Non-zero DMR Data'!$C:$C, U150, 'Raw Non-zero DMR Data'!$V:$V, V150)</f>
        <v>1</v>
      </c>
      <c r="T150" s="34">
        <f>SUMIFS('Raw Non-zero DMR Data'!$X:$X, 'Raw Non-zero DMR Data'!$A:$A, A150, 'Raw Non-zero DMR Data'!$C:$C, U150, 'Raw Non-zero DMR Data'!V:V, V150)</f>
        <v>4.1445750000000003E-2</v>
      </c>
      <c r="U150" s="34" t="s">
        <v>967</v>
      </c>
      <c r="V150" s="34" t="s">
        <v>968</v>
      </c>
      <c r="W150" s="139">
        <v>181002041109</v>
      </c>
      <c r="X150" s="140" t="s">
        <v>745</v>
      </c>
    </row>
    <row r="151" spans="1:24" x14ac:dyDescent="0.35">
      <c r="A151" s="34">
        <v>2019</v>
      </c>
      <c r="B151" s="34" t="s">
        <v>518</v>
      </c>
      <c r="C151" s="34" t="s">
        <v>969</v>
      </c>
      <c r="D151" s="34" t="s">
        <v>519</v>
      </c>
      <c r="E151" s="34" t="s">
        <v>790</v>
      </c>
      <c r="F151" s="34" t="s">
        <v>102</v>
      </c>
      <c r="G151" s="34"/>
      <c r="H151" s="34">
        <v>33.017359999999996</v>
      </c>
      <c r="I151" s="34">
        <v>-115.50923</v>
      </c>
      <c r="J151" s="34"/>
      <c r="K151" s="105">
        <v>110030476465</v>
      </c>
      <c r="L151" s="34">
        <v>4952</v>
      </c>
      <c r="M151" s="48" t="str">
        <f>VLOOKUP(L151, '2017 SIC to NAICS'!A:D, 2)</f>
        <v>Sewerage Systems</v>
      </c>
      <c r="N151" s="34">
        <f>VLOOKUP(L151,'2017 SIC to NAICS'!A:D,3)</f>
        <v>221320</v>
      </c>
      <c r="O151" s="34" t="str">
        <f>VLOOKUP(L151,'2017 SIC to NAICS'!A:D,4)</f>
        <v>Sewage Treatment Facilities</v>
      </c>
      <c r="P151" s="36" t="s">
        <v>742</v>
      </c>
      <c r="Q151" s="137" t="s">
        <v>743</v>
      </c>
      <c r="R151" s="45" t="s">
        <v>38</v>
      </c>
      <c r="S151" s="138">
        <f>COUNTIFS('Raw Non-zero DMR Data'!$A:$A, A151, 'Raw Non-zero DMR Data'!$C:$C, U151, 'Raw Non-zero DMR Data'!$V:$V, V151)</f>
        <v>1</v>
      </c>
      <c r="T151" s="34">
        <f>SUMIFS('Raw Non-zero DMR Data'!$X:$X, 'Raw Non-zero DMR Data'!$A:$A, A151, 'Raw Non-zero DMR Data'!$C:$C, U151, 'Raw Non-zero DMR Data'!V:V, V151)</f>
        <v>4.1860207500000003E-2</v>
      </c>
      <c r="U151" s="34" t="s">
        <v>969</v>
      </c>
      <c r="V151" s="34" t="s">
        <v>970</v>
      </c>
      <c r="W151" s="139">
        <v>181002040705</v>
      </c>
      <c r="X151" s="140" t="s">
        <v>745</v>
      </c>
    </row>
    <row r="152" spans="1:24" x14ac:dyDescent="0.35">
      <c r="A152" s="34">
        <v>2023</v>
      </c>
      <c r="B152" s="34" t="s">
        <v>661</v>
      </c>
      <c r="C152" s="34" t="s">
        <v>971</v>
      </c>
      <c r="D152" s="34" t="s">
        <v>504</v>
      </c>
      <c r="E152" s="34" t="s">
        <v>790</v>
      </c>
      <c r="F152" s="34" t="s">
        <v>102</v>
      </c>
      <c r="G152" s="34"/>
      <c r="H152" s="34">
        <v>32.796432000000003</v>
      </c>
      <c r="I152" s="34">
        <v>-115.667761</v>
      </c>
      <c r="J152" s="34"/>
      <c r="K152" s="105">
        <v>110013128169</v>
      </c>
      <c r="L152" s="34">
        <v>4952</v>
      </c>
      <c r="M152" s="48" t="str">
        <f>VLOOKUP(L152, '2017 SIC to NAICS'!A:D, 2)</f>
        <v>Sewerage Systems</v>
      </c>
      <c r="N152" s="34">
        <f>VLOOKUP(L152,'2017 SIC to NAICS'!A:D,3)</f>
        <v>221320</v>
      </c>
      <c r="O152" s="34" t="str">
        <f>VLOOKUP(L152,'2017 SIC to NAICS'!A:D,4)</f>
        <v>Sewage Treatment Facilities</v>
      </c>
      <c r="P152" s="36" t="s">
        <v>742</v>
      </c>
      <c r="Q152" s="137" t="s">
        <v>743</v>
      </c>
      <c r="R152" s="45" t="s">
        <v>38</v>
      </c>
      <c r="S152" s="138">
        <f>COUNTIFS('Raw Non-zero DMR Data'!$A:$A, A152, 'Raw Non-zero DMR Data'!$C:$C, U152, 'Raw Non-zero DMR Data'!$V:$V, V152)</f>
        <v>1</v>
      </c>
      <c r="T152" s="34">
        <f>SUMIFS('Raw Non-zero DMR Data'!$X:$X, 'Raw Non-zero DMR Data'!$A:$A, A152, 'Raw Non-zero DMR Data'!$C:$C, U152, 'Raw Non-zero DMR Data'!V:V, V152)</f>
        <v>2.0722875000000001E-3</v>
      </c>
      <c r="U152" s="34" t="s">
        <v>971</v>
      </c>
      <c r="V152" s="34" t="s">
        <v>972</v>
      </c>
      <c r="W152" s="139">
        <v>181002040902</v>
      </c>
      <c r="X152" s="140" t="s">
        <v>745</v>
      </c>
    </row>
    <row r="153" spans="1:24" x14ac:dyDescent="0.35">
      <c r="A153" s="34">
        <v>2019</v>
      </c>
      <c r="B153" s="34" t="s">
        <v>646</v>
      </c>
      <c r="C153" s="34" t="s">
        <v>973</v>
      </c>
      <c r="D153" s="34" t="s">
        <v>647</v>
      </c>
      <c r="E153" s="34" t="s">
        <v>790</v>
      </c>
      <c r="F153" s="34" t="s">
        <v>102</v>
      </c>
      <c r="G153" s="34"/>
      <c r="H153" s="34">
        <v>33.147531999999998</v>
      </c>
      <c r="I153" s="34">
        <v>-115.54533000000001</v>
      </c>
      <c r="J153" s="34"/>
      <c r="K153" s="105">
        <v>110002043217</v>
      </c>
      <c r="L153" s="34">
        <v>4952</v>
      </c>
      <c r="M153" s="48" t="str">
        <f>VLOOKUP(L153, '2017 SIC to NAICS'!A:D, 2)</f>
        <v>Sewerage Systems</v>
      </c>
      <c r="N153" s="34">
        <f>VLOOKUP(L153,'2017 SIC to NAICS'!A:D,3)</f>
        <v>221320</v>
      </c>
      <c r="O153" s="34" t="str">
        <f>VLOOKUP(L153,'2017 SIC to NAICS'!A:D,4)</f>
        <v>Sewage Treatment Facilities</v>
      </c>
      <c r="P153" s="36" t="s">
        <v>742</v>
      </c>
      <c r="Q153" s="137" t="s">
        <v>743</v>
      </c>
      <c r="R153" s="45" t="s">
        <v>38</v>
      </c>
      <c r="S153" s="138">
        <f>COUNTIFS('Raw Non-zero DMR Data'!$A:$A, A153, 'Raw Non-zero DMR Data'!$C:$C, U153, 'Raw Non-zero DMR Data'!$V:$V, V153)</f>
        <v>1</v>
      </c>
      <c r="T153" s="34">
        <f>SUMIFS('Raw Non-zero DMR Data'!$X:$X, 'Raw Non-zero DMR Data'!$A:$A, A153, 'Raw Non-zero DMR Data'!$C:$C, U153, 'Raw Non-zero DMR Data'!V:V, V153)</f>
        <v>4.1445750000000002E-3</v>
      </c>
      <c r="U153" s="34" t="s">
        <v>973</v>
      </c>
      <c r="V153" s="34" t="s">
        <v>974</v>
      </c>
      <c r="W153" s="139">
        <v>181002040707</v>
      </c>
      <c r="X153" s="140" t="s">
        <v>745</v>
      </c>
    </row>
    <row r="154" spans="1:24" x14ac:dyDescent="0.35">
      <c r="A154" s="34">
        <v>2021</v>
      </c>
      <c r="B154" s="34" t="s">
        <v>646</v>
      </c>
      <c r="C154" s="34" t="s">
        <v>973</v>
      </c>
      <c r="D154" s="34" t="s">
        <v>647</v>
      </c>
      <c r="E154" s="34" t="s">
        <v>790</v>
      </c>
      <c r="F154" s="34" t="s">
        <v>102</v>
      </c>
      <c r="G154" s="34"/>
      <c r="H154" s="34">
        <v>33.147531999999998</v>
      </c>
      <c r="I154" s="34">
        <v>-115.54533000000001</v>
      </c>
      <c r="J154" s="34"/>
      <c r="K154" s="105">
        <v>110002043217</v>
      </c>
      <c r="L154" s="34">
        <v>4952</v>
      </c>
      <c r="M154" s="48" t="str">
        <f>VLOOKUP(L154, '2017 SIC to NAICS'!A:D, 2)</f>
        <v>Sewerage Systems</v>
      </c>
      <c r="N154" s="34">
        <f>VLOOKUP(L154,'2017 SIC to NAICS'!A:D,3)</f>
        <v>221320</v>
      </c>
      <c r="O154" s="34" t="str">
        <f>VLOOKUP(L154,'2017 SIC to NAICS'!A:D,4)</f>
        <v>Sewage Treatment Facilities</v>
      </c>
      <c r="P154" s="36" t="s">
        <v>742</v>
      </c>
      <c r="Q154" s="137" t="s">
        <v>743</v>
      </c>
      <c r="R154" s="45" t="s">
        <v>38</v>
      </c>
      <c r="S154" s="138">
        <f>COUNTIFS('Raw Non-zero DMR Data'!$A:$A, A154, 'Raw Non-zero DMR Data'!$C:$C, U154, 'Raw Non-zero DMR Data'!$V:$V, V154)</f>
        <v>1</v>
      </c>
      <c r="T154" s="34">
        <f>SUMIFS('Raw Non-zero DMR Data'!$X:$X, 'Raw Non-zero DMR Data'!$A:$A, A154, 'Raw Non-zero DMR Data'!$C:$C, U154, 'Raw Non-zero DMR Data'!V:V, V154)</f>
        <v>3.8959005000000001E-3</v>
      </c>
      <c r="U154" s="34" t="s">
        <v>973</v>
      </c>
      <c r="V154" s="34" t="s">
        <v>974</v>
      </c>
      <c r="W154" s="139">
        <v>181002040707</v>
      </c>
      <c r="X154" s="140" t="s">
        <v>745</v>
      </c>
    </row>
    <row r="155" spans="1:24" x14ac:dyDescent="0.35">
      <c r="A155" s="34">
        <v>2022</v>
      </c>
      <c r="B155" s="34" t="s">
        <v>646</v>
      </c>
      <c r="C155" s="34" t="s">
        <v>973</v>
      </c>
      <c r="D155" s="34" t="s">
        <v>647</v>
      </c>
      <c r="E155" s="34" t="s">
        <v>790</v>
      </c>
      <c r="F155" s="34" t="s">
        <v>102</v>
      </c>
      <c r="G155" s="34"/>
      <c r="H155" s="34">
        <v>33.147531999999998</v>
      </c>
      <c r="I155" s="34">
        <v>-115.54533000000001</v>
      </c>
      <c r="J155" s="34"/>
      <c r="K155" s="105">
        <v>110002043217</v>
      </c>
      <c r="L155" s="34">
        <v>4952</v>
      </c>
      <c r="M155" s="48" t="str">
        <f>VLOOKUP(L155, '2017 SIC to NAICS'!A:D, 2)</f>
        <v>Sewerage Systems</v>
      </c>
      <c r="N155" s="34">
        <f>VLOOKUP(L155,'2017 SIC to NAICS'!A:D,3)</f>
        <v>221320</v>
      </c>
      <c r="O155" s="34" t="str">
        <f>VLOOKUP(L155,'2017 SIC to NAICS'!A:D,4)</f>
        <v>Sewage Treatment Facilities</v>
      </c>
      <c r="P155" s="36" t="s">
        <v>742</v>
      </c>
      <c r="Q155" s="137" t="s">
        <v>743</v>
      </c>
      <c r="R155" s="45" t="s">
        <v>38</v>
      </c>
      <c r="S155" s="138">
        <f>COUNTIFS('Raw Non-zero DMR Data'!$A:$A, A155, 'Raw Non-zero DMR Data'!$C:$C, U155, 'Raw Non-zero DMR Data'!$V:$V, V155)</f>
        <v>1</v>
      </c>
      <c r="T155" s="34">
        <f>SUMIFS('Raw Non-zero DMR Data'!$X:$X, 'Raw Non-zero DMR Data'!$A:$A, A155, 'Raw Non-zero DMR Data'!$C:$C, U155, 'Raw Non-zero DMR Data'!V:V, V155)</f>
        <v>3.757748E-3</v>
      </c>
      <c r="U155" s="34" t="s">
        <v>973</v>
      </c>
      <c r="V155" s="34" t="s">
        <v>974</v>
      </c>
      <c r="W155" s="139">
        <v>181002040707</v>
      </c>
      <c r="X155" s="140" t="s">
        <v>745</v>
      </c>
    </row>
    <row r="156" spans="1:24" x14ac:dyDescent="0.35">
      <c r="A156" s="34">
        <v>2023</v>
      </c>
      <c r="B156" s="34" t="s">
        <v>646</v>
      </c>
      <c r="C156" s="34" t="s">
        <v>973</v>
      </c>
      <c r="D156" s="34" t="s">
        <v>647</v>
      </c>
      <c r="E156" s="34" t="s">
        <v>790</v>
      </c>
      <c r="F156" s="34" t="s">
        <v>102</v>
      </c>
      <c r="G156" s="34"/>
      <c r="H156" s="34">
        <v>33.147531999999998</v>
      </c>
      <c r="I156" s="34">
        <v>-115.54533000000001</v>
      </c>
      <c r="J156" s="34"/>
      <c r="K156" s="105">
        <v>110002043217</v>
      </c>
      <c r="L156" s="34">
        <v>4952</v>
      </c>
      <c r="M156" s="48" t="str">
        <f>VLOOKUP(L156, '2017 SIC to NAICS'!A:D, 2)</f>
        <v>Sewerage Systems</v>
      </c>
      <c r="N156" s="34">
        <f>VLOOKUP(L156,'2017 SIC to NAICS'!A:D,3)</f>
        <v>221320</v>
      </c>
      <c r="O156" s="34" t="str">
        <f>VLOOKUP(L156,'2017 SIC to NAICS'!A:D,4)</f>
        <v>Sewage Treatment Facilities</v>
      </c>
      <c r="P156" s="36" t="s">
        <v>742</v>
      </c>
      <c r="Q156" s="137" t="s">
        <v>743</v>
      </c>
      <c r="R156" s="45" t="s">
        <v>38</v>
      </c>
      <c r="S156" s="138">
        <f>COUNTIFS('Raw Non-zero DMR Data'!$A:$A, A156, 'Raw Non-zero DMR Data'!$C:$C, U156, 'Raw Non-zero DMR Data'!$V:$V, V156)</f>
        <v>1</v>
      </c>
      <c r="T156" s="34">
        <f>SUMIFS('Raw Non-zero DMR Data'!$X:$X, 'Raw Non-zero DMR Data'!$A:$A, A156, 'Raw Non-zero DMR Data'!$C:$C, U156, 'Raw Non-zero DMR Data'!V:V, V156)</f>
        <v>3.813009E-3</v>
      </c>
      <c r="U156" s="34" t="s">
        <v>973</v>
      </c>
      <c r="V156" s="34" t="s">
        <v>974</v>
      </c>
      <c r="W156" s="139">
        <v>181002040707</v>
      </c>
      <c r="X156" s="140" t="s">
        <v>745</v>
      </c>
    </row>
    <row r="157" spans="1:24" x14ac:dyDescent="0.35">
      <c r="A157" s="34">
        <v>2019</v>
      </c>
      <c r="B157" s="34" t="s">
        <v>242</v>
      </c>
      <c r="C157" s="34" t="s">
        <v>975</v>
      </c>
      <c r="D157" s="34" t="s">
        <v>243</v>
      </c>
      <c r="E157" s="34" t="s">
        <v>964</v>
      </c>
      <c r="F157" s="34" t="s">
        <v>102</v>
      </c>
      <c r="G157" s="34"/>
      <c r="H157" s="34">
        <v>34.055900000000001</v>
      </c>
      <c r="I157" s="34">
        <v>-117.36134</v>
      </c>
      <c r="J157" s="34"/>
      <c r="K157" s="105">
        <v>110000525842</v>
      </c>
      <c r="L157" s="34">
        <v>4952</v>
      </c>
      <c r="M157" s="48" t="str">
        <f>VLOOKUP(L157, '2017 SIC to NAICS'!A:D, 2)</f>
        <v>Sewerage Systems</v>
      </c>
      <c r="N157" s="34">
        <f>VLOOKUP(L157,'2017 SIC to NAICS'!A:D,3)</f>
        <v>221320</v>
      </c>
      <c r="O157" s="34" t="str">
        <f>VLOOKUP(L157,'2017 SIC to NAICS'!A:D,4)</f>
        <v>Sewage Treatment Facilities</v>
      </c>
      <c r="P157" s="36" t="s">
        <v>742</v>
      </c>
      <c r="Q157" s="137" t="s">
        <v>743</v>
      </c>
      <c r="R157" s="45" t="s">
        <v>38</v>
      </c>
      <c r="S157" s="138">
        <f>COUNTIFS('Raw Non-zero DMR Data'!$A:$A, A157, 'Raw Non-zero DMR Data'!$C:$C, U157, 'Raw Non-zero DMR Data'!$V:$V, V157)</f>
        <v>1</v>
      </c>
      <c r="T157" s="34">
        <f>SUMIFS('Raw Non-zero DMR Data'!$X:$X, 'Raw Non-zero DMR Data'!$A:$A, A157, 'Raw Non-zero DMR Data'!$C:$C, U157, 'Raw Non-zero DMR Data'!V:V, V157)</f>
        <v>1.627694303125</v>
      </c>
      <c r="U157" s="34" t="s">
        <v>975</v>
      </c>
      <c r="V157" s="34" t="s">
        <v>976</v>
      </c>
      <c r="W157" s="139">
        <v>180702030804</v>
      </c>
      <c r="X157" s="140" t="s">
        <v>745</v>
      </c>
    </row>
    <row r="158" spans="1:24" x14ac:dyDescent="0.35">
      <c r="A158" s="34">
        <v>2020</v>
      </c>
      <c r="B158" s="34" t="s">
        <v>242</v>
      </c>
      <c r="C158" s="34" t="s">
        <v>975</v>
      </c>
      <c r="D158" s="34" t="s">
        <v>243</v>
      </c>
      <c r="E158" s="34" t="s">
        <v>964</v>
      </c>
      <c r="F158" s="34" t="s">
        <v>102</v>
      </c>
      <c r="G158" s="34"/>
      <c r="H158" s="34">
        <v>34.055900000000001</v>
      </c>
      <c r="I158" s="34">
        <v>-117.36134</v>
      </c>
      <c r="J158" s="34"/>
      <c r="K158" s="105">
        <v>110000525842</v>
      </c>
      <c r="L158" s="34">
        <v>4952</v>
      </c>
      <c r="M158" s="48" t="str">
        <f>VLOOKUP(L158, '2017 SIC to NAICS'!A:D, 2)</f>
        <v>Sewerage Systems</v>
      </c>
      <c r="N158" s="34">
        <f>VLOOKUP(L158,'2017 SIC to NAICS'!A:D,3)</f>
        <v>221320</v>
      </c>
      <c r="O158" s="34" t="str">
        <f>VLOOKUP(L158,'2017 SIC to NAICS'!A:D,4)</f>
        <v>Sewage Treatment Facilities</v>
      </c>
      <c r="P158" s="36" t="s">
        <v>742</v>
      </c>
      <c r="Q158" s="137" t="s">
        <v>743</v>
      </c>
      <c r="R158" s="45" t="s">
        <v>38</v>
      </c>
      <c r="S158" s="138">
        <f>COUNTIFS('Raw Non-zero DMR Data'!$A:$A, A158, 'Raw Non-zero DMR Data'!$C:$C, U158, 'Raw Non-zero DMR Data'!$V:$V, V158)</f>
        <v>1</v>
      </c>
      <c r="T158" s="34">
        <f>SUMIFS('Raw Non-zero DMR Data'!$X:$X, 'Raw Non-zero DMR Data'!$A:$A, A158, 'Raw Non-zero DMR Data'!$C:$C, U158, 'Raw Non-zero DMR Data'!V:V, V158)</f>
        <v>2.38767924875</v>
      </c>
      <c r="U158" s="34" t="s">
        <v>975</v>
      </c>
      <c r="V158" s="34" t="s">
        <v>976</v>
      </c>
      <c r="W158" s="139">
        <v>180702030804</v>
      </c>
      <c r="X158" s="140" t="s">
        <v>745</v>
      </c>
    </row>
    <row r="159" spans="1:24" x14ac:dyDescent="0.35">
      <c r="A159" s="34">
        <v>2021</v>
      </c>
      <c r="B159" s="34" t="s">
        <v>242</v>
      </c>
      <c r="C159" s="34" t="s">
        <v>975</v>
      </c>
      <c r="D159" s="34" t="s">
        <v>243</v>
      </c>
      <c r="E159" s="34" t="s">
        <v>964</v>
      </c>
      <c r="F159" s="34" t="s">
        <v>102</v>
      </c>
      <c r="G159" s="34"/>
      <c r="H159" s="34">
        <v>34.055900000000001</v>
      </c>
      <c r="I159" s="34">
        <v>-117.36134</v>
      </c>
      <c r="J159" s="34"/>
      <c r="K159" s="105">
        <v>110000525842</v>
      </c>
      <c r="L159" s="34">
        <v>4952</v>
      </c>
      <c r="M159" s="48" t="str">
        <f>VLOOKUP(L159, '2017 SIC to NAICS'!A:D, 2)</f>
        <v>Sewerage Systems</v>
      </c>
      <c r="N159" s="34">
        <f>VLOOKUP(L159,'2017 SIC to NAICS'!A:D,3)</f>
        <v>221320</v>
      </c>
      <c r="O159" s="34" t="str">
        <f>VLOOKUP(L159,'2017 SIC to NAICS'!A:D,4)</f>
        <v>Sewage Treatment Facilities</v>
      </c>
      <c r="P159" s="36" t="s">
        <v>742</v>
      </c>
      <c r="Q159" s="137" t="s">
        <v>743</v>
      </c>
      <c r="R159" s="45" t="s">
        <v>38</v>
      </c>
      <c r="S159" s="138">
        <f>COUNTIFS('Raw Non-zero DMR Data'!$A:$A, A159, 'Raw Non-zero DMR Data'!$C:$C, U159, 'Raw Non-zero DMR Data'!$V:$V, V159)</f>
        <v>1</v>
      </c>
      <c r="T159" s="34">
        <f>SUMIFS('Raw Non-zero DMR Data'!$X:$X, 'Raw Non-zero DMR Data'!$A:$A, A159, 'Raw Non-zero DMR Data'!$C:$C, U159, 'Raw Non-zero DMR Data'!V:V, V159)</f>
        <v>2.4102596125</v>
      </c>
      <c r="U159" s="34" t="s">
        <v>975</v>
      </c>
      <c r="V159" s="34" t="s">
        <v>976</v>
      </c>
      <c r="W159" s="139">
        <v>180702030804</v>
      </c>
      <c r="X159" s="140" t="s">
        <v>745</v>
      </c>
    </row>
    <row r="160" spans="1:24" x14ac:dyDescent="0.35">
      <c r="A160" s="34">
        <v>2022</v>
      </c>
      <c r="B160" s="34" t="s">
        <v>242</v>
      </c>
      <c r="C160" s="34" t="s">
        <v>975</v>
      </c>
      <c r="D160" s="34" t="s">
        <v>243</v>
      </c>
      <c r="E160" s="34" t="s">
        <v>964</v>
      </c>
      <c r="F160" s="34" t="s">
        <v>102</v>
      </c>
      <c r="G160" s="34"/>
      <c r="H160" s="34">
        <v>34.055900000000001</v>
      </c>
      <c r="I160" s="34">
        <v>-117.36134</v>
      </c>
      <c r="J160" s="34"/>
      <c r="K160" s="105">
        <v>110000525842</v>
      </c>
      <c r="L160" s="34">
        <v>4952</v>
      </c>
      <c r="M160" s="48" t="str">
        <f>VLOOKUP(L160, '2017 SIC to NAICS'!A:D, 2)</f>
        <v>Sewerage Systems</v>
      </c>
      <c r="N160" s="34">
        <f>VLOOKUP(L160,'2017 SIC to NAICS'!A:D,3)</f>
        <v>221320</v>
      </c>
      <c r="O160" s="34" t="str">
        <f>VLOOKUP(L160,'2017 SIC to NAICS'!A:D,4)</f>
        <v>Sewage Treatment Facilities</v>
      </c>
      <c r="P160" s="36" t="s">
        <v>742</v>
      </c>
      <c r="Q160" s="137" t="s">
        <v>743</v>
      </c>
      <c r="R160" s="45" t="s">
        <v>38</v>
      </c>
      <c r="S160" s="138">
        <f>COUNTIFS('Raw Non-zero DMR Data'!$A:$A, A160, 'Raw Non-zero DMR Data'!$C:$C, U160, 'Raw Non-zero DMR Data'!$V:$V, V160)</f>
        <v>1</v>
      </c>
      <c r="T160" s="34">
        <f>SUMIFS('Raw Non-zero DMR Data'!$X:$X, 'Raw Non-zero DMR Data'!$A:$A, A160, 'Raw Non-zero DMR Data'!$C:$C, U160, 'Raw Non-zero DMR Data'!V:V, V160)</f>
        <v>2.3969326275</v>
      </c>
      <c r="U160" s="34" t="s">
        <v>975</v>
      </c>
      <c r="V160" s="34" t="s">
        <v>976</v>
      </c>
      <c r="W160" s="139">
        <v>180702030804</v>
      </c>
      <c r="X160" s="140" t="s">
        <v>745</v>
      </c>
    </row>
    <row r="161" spans="1:24" x14ac:dyDescent="0.35">
      <c r="A161" s="34">
        <v>2023</v>
      </c>
      <c r="B161" s="34" t="s">
        <v>242</v>
      </c>
      <c r="C161" s="34" t="s">
        <v>975</v>
      </c>
      <c r="D161" s="34" t="s">
        <v>243</v>
      </c>
      <c r="E161" s="34" t="s">
        <v>964</v>
      </c>
      <c r="F161" s="34" t="s">
        <v>102</v>
      </c>
      <c r="G161" s="34"/>
      <c r="H161" s="34">
        <v>34.055900000000001</v>
      </c>
      <c r="I161" s="34">
        <v>-117.36134</v>
      </c>
      <c r="J161" s="34"/>
      <c r="K161" s="105">
        <v>110000525842</v>
      </c>
      <c r="L161" s="34">
        <v>4952</v>
      </c>
      <c r="M161" s="48" t="str">
        <f>VLOOKUP(L161, '2017 SIC to NAICS'!A:D, 2)</f>
        <v>Sewerage Systems</v>
      </c>
      <c r="N161" s="34">
        <f>VLOOKUP(L161,'2017 SIC to NAICS'!A:D,3)</f>
        <v>221320</v>
      </c>
      <c r="O161" s="34" t="str">
        <f>VLOOKUP(L161,'2017 SIC to NAICS'!A:D,4)</f>
        <v>Sewage Treatment Facilities</v>
      </c>
      <c r="P161" s="36" t="s">
        <v>742</v>
      </c>
      <c r="Q161" s="137" t="s">
        <v>743</v>
      </c>
      <c r="R161" s="45" t="s">
        <v>38</v>
      </c>
      <c r="S161" s="138">
        <f>COUNTIFS('Raw Non-zero DMR Data'!$A:$A, A161, 'Raw Non-zero DMR Data'!$C:$C, U161, 'Raw Non-zero DMR Data'!$V:$V, V161)</f>
        <v>1</v>
      </c>
      <c r="T161" s="34">
        <f>SUMIFS('Raw Non-zero DMR Data'!$X:$X, 'Raw Non-zero DMR Data'!$A:$A, A161, 'Raw Non-zero DMR Data'!$C:$C, U161, 'Raw Non-zero DMR Data'!V:V, V161)</f>
        <v>2.4338193449999999</v>
      </c>
      <c r="U161" s="34" t="s">
        <v>975</v>
      </c>
      <c r="V161" s="34" t="s">
        <v>976</v>
      </c>
      <c r="W161" s="139">
        <v>180702030804</v>
      </c>
      <c r="X161" s="140" t="s">
        <v>745</v>
      </c>
    </row>
    <row r="162" spans="1:24" x14ac:dyDescent="0.35">
      <c r="A162" s="34">
        <v>2020</v>
      </c>
      <c r="B162" s="34" t="s">
        <v>291</v>
      </c>
      <c r="C162" s="34" t="s">
        <v>977</v>
      </c>
      <c r="D162" s="34" t="s">
        <v>292</v>
      </c>
      <c r="E162" s="34" t="s">
        <v>978</v>
      </c>
      <c r="F162" s="34" t="s">
        <v>102</v>
      </c>
      <c r="G162" s="34"/>
      <c r="H162" s="34">
        <v>33.926245999999999</v>
      </c>
      <c r="I162" s="34">
        <v>-116.992552</v>
      </c>
      <c r="J162" s="34"/>
      <c r="K162" s="105">
        <v>110055992993</v>
      </c>
      <c r="L162" s="34">
        <v>4952</v>
      </c>
      <c r="M162" s="48" t="str">
        <f>VLOOKUP(L162, '2017 SIC to NAICS'!A:D, 2)</f>
        <v>Sewerage Systems</v>
      </c>
      <c r="N162" s="34">
        <f>VLOOKUP(L162,'2017 SIC to NAICS'!A:D,3)</f>
        <v>221320</v>
      </c>
      <c r="O162" s="34" t="str">
        <f>VLOOKUP(L162,'2017 SIC to NAICS'!A:D,4)</f>
        <v>Sewage Treatment Facilities</v>
      </c>
      <c r="P162" s="36" t="s">
        <v>742</v>
      </c>
      <c r="Q162" s="137" t="s">
        <v>743</v>
      </c>
      <c r="R162" s="45" t="s">
        <v>38</v>
      </c>
      <c r="S162" s="138">
        <f>COUNTIFS('Raw Non-zero DMR Data'!$A:$A, A162, 'Raw Non-zero DMR Data'!$C:$C, U162, 'Raw Non-zero DMR Data'!$V:$V, V162)</f>
        <v>1</v>
      </c>
      <c r="T162" s="34">
        <f>SUMIFS('Raw Non-zero DMR Data'!$X:$X, 'Raw Non-zero DMR Data'!$A:$A, A162, 'Raw Non-zero DMR Data'!$C:$C, U162, 'Raw Non-zero DMR Data'!V:V, V162)</f>
        <v>0.26313215912499999</v>
      </c>
      <c r="U162" s="34" t="s">
        <v>977</v>
      </c>
      <c r="V162" s="34" t="s">
        <v>979</v>
      </c>
      <c r="W162" s="139">
        <v>180702030401</v>
      </c>
      <c r="X162" s="140" t="s">
        <v>745</v>
      </c>
    </row>
    <row r="163" spans="1:24" x14ac:dyDescent="0.35">
      <c r="A163" s="34">
        <v>2021</v>
      </c>
      <c r="B163" s="34" t="s">
        <v>291</v>
      </c>
      <c r="C163" s="34" t="s">
        <v>977</v>
      </c>
      <c r="D163" s="34" t="s">
        <v>292</v>
      </c>
      <c r="E163" s="34" t="s">
        <v>978</v>
      </c>
      <c r="F163" s="34" t="s">
        <v>102</v>
      </c>
      <c r="G163" s="34"/>
      <c r="H163" s="34">
        <v>33.926245999999999</v>
      </c>
      <c r="I163" s="34">
        <v>-116.992552</v>
      </c>
      <c r="J163" s="34"/>
      <c r="K163" s="105">
        <v>110055992993</v>
      </c>
      <c r="L163" s="34">
        <v>4952</v>
      </c>
      <c r="M163" s="48" t="str">
        <f>VLOOKUP(L163, '2017 SIC to NAICS'!A:D, 2)</f>
        <v>Sewerage Systems</v>
      </c>
      <c r="N163" s="34">
        <f>VLOOKUP(L163,'2017 SIC to NAICS'!A:D,3)</f>
        <v>221320</v>
      </c>
      <c r="O163" s="34" t="str">
        <f>VLOOKUP(L163,'2017 SIC to NAICS'!A:D,4)</f>
        <v>Sewage Treatment Facilities</v>
      </c>
      <c r="P163" s="36" t="s">
        <v>742</v>
      </c>
      <c r="Q163" s="137" t="s">
        <v>743</v>
      </c>
      <c r="R163" s="45" t="s">
        <v>38</v>
      </c>
      <c r="S163" s="138">
        <f>COUNTIFS('Raw Non-zero DMR Data'!$A:$A, A163, 'Raw Non-zero DMR Data'!$C:$C, U163, 'Raw Non-zero DMR Data'!$V:$V, V163)</f>
        <v>1</v>
      </c>
      <c r="T163" s="34">
        <f>SUMIFS('Raw Non-zero DMR Data'!$X:$X, 'Raw Non-zero DMR Data'!$A:$A, A163, 'Raw Non-zero DMR Data'!$C:$C, U163, 'Raw Non-zero DMR Data'!V:V, V163)</f>
        <v>0.24656767437499999</v>
      </c>
      <c r="U163" s="34" t="s">
        <v>977</v>
      </c>
      <c r="V163" s="34" t="s">
        <v>979</v>
      </c>
      <c r="W163" s="139">
        <v>180702030401</v>
      </c>
      <c r="X163" s="140" t="s">
        <v>745</v>
      </c>
    </row>
    <row r="164" spans="1:24" x14ac:dyDescent="0.35">
      <c r="A164" s="34">
        <v>2023</v>
      </c>
      <c r="B164" s="34" t="s">
        <v>291</v>
      </c>
      <c r="C164" s="34" t="s">
        <v>977</v>
      </c>
      <c r="D164" s="34" t="s">
        <v>292</v>
      </c>
      <c r="E164" s="34" t="s">
        <v>978</v>
      </c>
      <c r="F164" s="34" t="s">
        <v>102</v>
      </c>
      <c r="G164" s="34"/>
      <c r="H164" s="34">
        <v>33.926245999999999</v>
      </c>
      <c r="I164" s="34">
        <v>-116.992552</v>
      </c>
      <c r="J164" s="34"/>
      <c r="K164" s="105">
        <v>110055992993</v>
      </c>
      <c r="L164" s="34">
        <v>4952</v>
      </c>
      <c r="M164" s="48" t="str">
        <f>VLOOKUP(L164, '2017 SIC to NAICS'!A:D, 2)</f>
        <v>Sewerage Systems</v>
      </c>
      <c r="N164" s="34">
        <f>VLOOKUP(L164,'2017 SIC to NAICS'!A:D,3)</f>
        <v>221320</v>
      </c>
      <c r="O164" s="34" t="str">
        <f>VLOOKUP(L164,'2017 SIC to NAICS'!A:D,4)</f>
        <v>Sewage Treatment Facilities</v>
      </c>
      <c r="P164" s="36" t="s">
        <v>742</v>
      </c>
      <c r="Q164" s="137" t="s">
        <v>743</v>
      </c>
      <c r="R164" s="45" t="s">
        <v>38</v>
      </c>
      <c r="S164" s="138">
        <f>COUNTIFS('Raw Non-zero DMR Data'!$A:$A, A164, 'Raw Non-zero DMR Data'!$C:$C, U164, 'Raw Non-zero DMR Data'!$V:$V, V164)</f>
        <v>1</v>
      </c>
      <c r="T164" s="34">
        <f>SUMIFS('Raw Non-zero DMR Data'!$X:$X, 'Raw Non-zero DMR Data'!$A:$A, A164, 'Raw Non-zero DMR Data'!$C:$C, U164, 'Raw Non-zero DMR Data'!V:V, V164)</f>
        <v>1.178440825</v>
      </c>
      <c r="U164" s="34" t="s">
        <v>977</v>
      </c>
      <c r="V164" s="34" t="s">
        <v>979</v>
      </c>
      <c r="W164" s="139">
        <v>180702030401</v>
      </c>
      <c r="X164" s="140" t="s">
        <v>745</v>
      </c>
    </row>
    <row r="165" spans="1:24" x14ac:dyDescent="0.35">
      <c r="A165" s="34">
        <v>2019</v>
      </c>
      <c r="B165" s="34" t="s">
        <v>412</v>
      </c>
      <c r="C165" s="34" t="s">
        <v>980</v>
      </c>
      <c r="D165" s="34" t="s">
        <v>413</v>
      </c>
      <c r="E165" s="34" t="s">
        <v>790</v>
      </c>
      <c r="F165" s="34" t="s">
        <v>102</v>
      </c>
      <c r="G165" s="34"/>
      <c r="H165" s="34">
        <v>32.664450000000002</v>
      </c>
      <c r="I165" s="34">
        <v>-115.55970499999999</v>
      </c>
      <c r="J165" s="34"/>
      <c r="K165" s="105">
        <v>110000730825</v>
      </c>
      <c r="L165" s="34">
        <v>4952</v>
      </c>
      <c r="M165" s="48" t="str">
        <f>VLOOKUP(L165, '2017 SIC to NAICS'!A:D, 2)</f>
        <v>Sewerage Systems</v>
      </c>
      <c r="N165" s="34">
        <f>VLOOKUP(L165,'2017 SIC to NAICS'!A:D,3)</f>
        <v>221320</v>
      </c>
      <c r="O165" s="34" t="str">
        <f>VLOOKUP(L165,'2017 SIC to NAICS'!A:D,4)</f>
        <v>Sewage Treatment Facilities</v>
      </c>
      <c r="P165" s="36" t="s">
        <v>742</v>
      </c>
      <c r="Q165" s="137" t="s">
        <v>743</v>
      </c>
      <c r="R165" s="45" t="s">
        <v>38</v>
      </c>
      <c r="S165" s="138">
        <f>COUNTIFS('Raw Non-zero DMR Data'!$A:$A, A165, 'Raw Non-zero DMR Data'!$C:$C, U165, 'Raw Non-zero DMR Data'!$V:$V, V165)</f>
        <v>1</v>
      </c>
      <c r="T165" s="34">
        <f>SUMIFS('Raw Non-zero DMR Data'!$X:$X, 'Raw Non-zero DMR Data'!$A:$A, A165, 'Raw Non-zero DMR Data'!$C:$C, U165, 'Raw Non-zero DMR Data'!V:V, V165)</f>
        <v>8.5136478124999998E-2</v>
      </c>
      <c r="U165" s="34" t="s">
        <v>980</v>
      </c>
      <c r="V165" s="34" t="s">
        <v>972</v>
      </c>
      <c r="W165" s="139">
        <v>181002040902</v>
      </c>
      <c r="X165" s="140" t="s">
        <v>745</v>
      </c>
    </row>
    <row r="166" spans="1:24" x14ac:dyDescent="0.35">
      <c r="A166" s="34">
        <v>2020</v>
      </c>
      <c r="B166" s="34" t="s">
        <v>412</v>
      </c>
      <c r="C166" s="34" t="s">
        <v>980</v>
      </c>
      <c r="D166" s="34" t="s">
        <v>413</v>
      </c>
      <c r="E166" s="34" t="s">
        <v>790</v>
      </c>
      <c r="F166" s="34" t="s">
        <v>102</v>
      </c>
      <c r="G166" s="34"/>
      <c r="H166" s="34">
        <v>32.664450000000002</v>
      </c>
      <c r="I166" s="34">
        <v>-115.55970499999999</v>
      </c>
      <c r="J166" s="34"/>
      <c r="K166" s="105">
        <v>110000730825</v>
      </c>
      <c r="L166" s="34">
        <v>4952</v>
      </c>
      <c r="M166" s="48" t="str">
        <f>VLOOKUP(L166, '2017 SIC to NAICS'!A:D, 2)</f>
        <v>Sewerage Systems</v>
      </c>
      <c r="N166" s="34">
        <f>VLOOKUP(L166,'2017 SIC to NAICS'!A:D,3)</f>
        <v>221320</v>
      </c>
      <c r="O166" s="34" t="str">
        <f>VLOOKUP(L166,'2017 SIC to NAICS'!A:D,4)</f>
        <v>Sewage Treatment Facilities</v>
      </c>
      <c r="P166" s="36" t="s">
        <v>742</v>
      </c>
      <c r="Q166" s="137" t="s">
        <v>743</v>
      </c>
      <c r="R166" s="45" t="s">
        <v>38</v>
      </c>
      <c r="S166" s="138">
        <f>COUNTIFS('Raw Non-zero DMR Data'!$A:$A, A166, 'Raw Non-zero DMR Data'!$C:$C, U166, 'Raw Non-zero DMR Data'!$V:$V, V166)</f>
        <v>1</v>
      </c>
      <c r="T166" s="34">
        <f>SUMIFS('Raw Non-zero DMR Data'!$X:$X, 'Raw Non-zero DMR Data'!$A:$A, A166, 'Raw Non-zero DMR Data'!$C:$C, U166, 'Raw Non-zero DMR Data'!V:V, V166)</f>
        <v>8.1958970625000002E-2</v>
      </c>
      <c r="U166" s="34" t="s">
        <v>980</v>
      </c>
      <c r="V166" s="34" t="s">
        <v>972</v>
      </c>
      <c r="W166" s="139">
        <v>181002040902</v>
      </c>
      <c r="X166" s="140" t="s">
        <v>745</v>
      </c>
    </row>
    <row r="167" spans="1:24" x14ac:dyDescent="0.35">
      <c r="A167" s="34">
        <v>2021</v>
      </c>
      <c r="B167" s="34" t="s">
        <v>412</v>
      </c>
      <c r="C167" s="34" t="s">
        <v>980</v>
      </c>
      <c r="D167" s="34" t="s">
        <v>413</v>
      </c>
      <c r="E167" s="34" t="s">
        <v>790</v>
      </c>
      <c r="F167" s="34" t="s">
        <v>102</v>
      </c>
      <c r="G167" s="34"/>
      <c r="H167" s="34">
        <v>32.664450000000002</v>
      </c>
      <c r="I167" s="34">
        <v>-115.55970499999999</v>
      </c>
      <c r="J167" s="34"/>
      <c r="K167" s="105">
        <v>110000730825</v>
      </c>
      <c r="L167" s="34">
        <v>4952</v>
      </c>
      <c r="M167" s="48" t="str">
        <f>VLOOKUP(L167, '2017 SIC to NAICS'!A:D, 2)</f>
        <v>Sewerage Systems</v>
      </c>
      <c r="N167" s="34">
        <f>VLOOKUP(L167,'2017 SIC to NAICS'!A:D,3)</f>
        <v>221320</v>
      </c>
      <c r="O167" s="34" t="str">
        <f>VLOOKUP(L167,'2017 SIC to NAICS'!A:D,4)</f>
        <v>Sewage Treatment Facilities</v>
      </c>
      <c r="P167" s="36" t="s">
        <v>742</v>
      </c>
      <c r="Q167" s="137" t="s">
        <v>743</v>
      </c>
      <c r="R167" s="45" t="s">
        <v>38</v>
      </c>
      <c r="S167" s="138">
        <f>COUNTIFS('Raw Non-zero DMR Data'!$A:$A, A167, 'Raw Non-zero DMR Data'!$C:$C, U167, 'Raw Non-zero DMR Data'!$V:$V, V167)</f>
        <v>1</v>
      </c>
      <c r="T167" s="34">
        <f>SUMIFS('Raw Non-zero DMR Data'!$X:$X, 'Raw Non-zero DMR Data'!$A:$A, A167, 'Raw Non-zero DMR Data'!$C:$C, U167, 'Raw Non-zero DMR Data'!V:V, V167)</f>
        <v>7.9334073125000001E-2</v>
      </c>
      <c r="U167" s="34" t="s">
        <v>980</v>
      </c>
      <c r="V167" s="34" t="s">
        <v>972</v>
      </c>
      <c r="W167" s="139">
        <v>181002040902</v>
      </c>
      <c r="X167" s="140" t="s">
        <v>745</v>
      </c>
    </row>
    <row r="168" spans="1:24" x14ac:dyDescent="0.35">
      <c r="A168" s="34">
        <v>2022</v>
      </c>
      <c r="B168" s="34" t="s">
        <v>412</v>
      </c>
      <c r="C168" s="34" t="s">
        <v>980</v>
      </c>
      <c r="D168" s="34" t="s">
        <v>413</v>
      </c>
      <c r="E168" s="34" t="s">
        <v>790</v>
      </c>
      <c r="F168" s="34" t="s">
        <v>102</v>
      </c>
      <c r="G168" s="34"/>
      <c r="H168" s="34">
        <v>32.664450000000002</v>
      </c>
      <c r="I168" s="34">
        <v>-115.55970499999999</v>
      </c>
      <c r="J168" s="34"/>
      <c r="K168" s="105">
        <v>110000730825</v>
      </c>
      <c r="L168" s="34">
        <v>4952</v>
      </c>
      <c r="M168" s="48" t="str">
        <f>VLOOKUP(L168, '2017 SIC to NAICS'!A:D, 2)</f>
        <v>Sewerage Systems</v>
      </c>
      <c r="N168" s="34">
        <f>VLOOKUP(L168,'2017 SIC to NAICS'!A:D,3)</f>
        <v>221320</v>
      </c>
      <c r="O168" s="34" t="str">
        <f>VLOOKUP(L168,'2017 SIC to NAICS'!A:D,4)</f>
        <v>Sewage Treatment Facilities</v>
      </c>
      <c r="P168" s="36" t="s">
        <v>742</v>
      </c>
      <c r="Q168" s="137" t="s">
        <v>743</v>
      </c>
      <c r="R168" s="45" t="s">
        <v>38</v>
      </c>
      <c r="S168" s="138">
        <f>COUNTIFS('Raw Non-zero DMR Data'!$A:$A, A168, 'Raw Non-zero DMR Data'!$C:$C, U168, 'Raw Non-zero DMR Data'!$V:$V, V168)</f>
        <v>1</v>
      </c>
      <c r="T168" s="34">
        <f>SUMIFS('Raw Non-zero DMR Data'!$X:$X, 'Raw Non-zero DMR Data'!$A:$A, A168, 'Raw Non-zero DMR Data'!$C:$C, U168, 'Raw Non-zero DMR Data'!V:V, V168)</f>
        <v>7.6329256250000005E-2</v>
      </c>
      <c r="U168" s="34" t="s">
        <v>980</v>
      </c>
      <c r="V168" s="34" t="s">
        <v>972</v>
      </c>
      <c r="W168" s="139">
        <v>181002040902</v>
      </c>
      <c r="X168" s="140" t="s">
        <v>745</v>
      </c>
    </row>
    <row r="169" spans="1:24" x14ac:dyDescent="0.35">
      <c r="A169" s="34">
        <v>2023</v>
      </c>
      <c r="B169" s="34" t="s">
        <v>412</v>
      </c>
      <c r="C169" s="34" t="s">
        <v>980</v>
      </c>
      <c r="D169" s="34" t="s">
        <v>413</v>
      </c>
      <c r="E169" s="34" t="s">
        <v>790</v>
      </c>
      <c r="F169" s="34" t="s">
        <v>102</v>
      </c>
      <c r="G169" s="34"/>
      <c r="H169" s="34">
        <v>32.664450000000002</v>
      </c>
      <c r="I169" s="34">
        <v>-115.55970499999999</v>
      </c>
      <c r="J169" s="34"/>
      <c r="K169" s="105">
        <v>110000730825</v>
      </c>
      <c r="L169" s="34">
        <v>4952</v>
      </c>
      <c r="M169" s="48" t="str">
        <f>VLOOKUP(L169, '2017 SIC to NAICS'!A:D, 2)</f>
        <v>Sewerage Systems</v>
      </c>
      <c r="N169" s="34">
        <f>VLOOKUP(L169,'2017 SIC to NAICS'!A:D,3)</f>
        <v>221320</v>
      </c>
      <c r="O169" s="34" t="str">
        <f>VLOOKUP(L169,'2017 SIC to NAICS'!A:D,4)</f>
        <v>Sewage Treatment Facilities</v>
      </c>
      <c r="P169" s="36" t="s">
        <v>742</v>
      </c>
      <c r="Q169" s="137" t="s">
        <v>743</v>
      </c>
      <c r="R169" s="45" t="s">
        <v>38</v>
      </c>
      <c r="S169" s="138">
        <f>COUNTIFS('Raw Non-zero DMR Data'!$A:$A, A169, 'Raw Non-zero DMR Data'!$C:$C, U169, 'Raw Non-zero DMR Data'!$V:$V, V169)</f>
        <v>1</v>
      </c>
      <c r="T169" s="34">
        <f>SUMIFS('Raw Non-zero DMR Data'!$X:$X, 'Raw Non-zero DMR Data'!$A:$A, A169, 'Raw Non-zero DMR Data'!$C:$C, U169, 'Raw Non-zero DMR Data'!V:V, V169)</f>
        <v>0.18484804499999999</v>
      </c>
      <c r="U169" s="34" t="s">
        <v>980</v>
      </c>
      <c r="V169" s="34" t="s">
        <v>972</v>
      </c>
      <c r="W169" s="139">
        <v>181002040902</v>
      </c>
      <c r="X169" s="140" t="s">
        <v>745</v>
      </c>
    </row>
    <row r="170" spans="1:24" x14ac:dyDescent="0.35">
      <c r="A170" s="34">
        <v>2020</v>
      </c>
      <c r="B170" s="34" t="s">
        <v>442</v>
      </c>
      <c r="C170" s="34" t="s">
        <v>981</v>
      </c>
      <c r="D170" s="34" t="s">
        <v>443</v>
      </c>
      <c r="E170" s="34" t="s">
        <v>982</v>
      </c>
      <c r="F170" s="34" t="s">
        <v>102</v>
      </c>
      <c r="G170" s="34"/>
      <c r="H170" s="34">
        <v>38.627777999999999</v>
      </c>
      <c r="I170" s="34">
        <v>-120.984167</v>
      </c>
      <c r="J170" s="34"/>
      <c r="K170" s="105">
        <v>110070619860</v>
      </c>
      <c r="L170" s="34">
        <v>4952</v>
      </c>
      <c r="M170" s="48" t="str">
        <f>VLOOKUP(L170, '2017 SIC to NAICS'!A:D, 2)</f>
        <v>Sewerage Systems</v>
      </c>
      <c r="N170" s="34">
        <f>VLOOKUP(L170,'2017 SIC to NAICS'!A:D,3)</f>
        <v>221320</v>
      </c>
      <c r="O170" s="34" t="str">
        <f>VLOOKUP(L170,'2017 SIC to NAICS'!A:D,4)</f>
        <v>Sewage Treatment Facilities</v>
      </c>
      <c r="P170" s="36" t="s">
        <v>742</v>
      </c>
      <c r="Q170" s="137" t="s">
        <v>743</v>
      </c>
      <c r="R170" s="45" t="s">
        <v>38</v>
      </c>
      <c r="S170" s="138">
        <f>COUNTIFS('Raw Non-zero DMR Data'!$A:$A, A170, 'Raw Non-zero DMR Data'!$C:$C, U170, 'Raw Non-zero DMR Data'!$V:$V, V170)</f>
        <v>1</v>
      </c>
      <c r="T170" s="34">
        <f>SUMIFS('Raw Non-zero DMR Data'!$X:$X, 'Raw Non-zero DMR Data'!$A:$A, A170, 'Raw Non-zero DMR Data'!$C:$C, U170, 'Raw Non-zero DMR Data'!V:V, V170)</f>
        <v>5.2668275000000001E-2</v>
      </c>
      <c r="U170" s="34" t="s">
        <v>981</v>
      </c>
      <c r="V170" s="34" t="s">
        <v>983</v>
      </c>
      <c r="W170" s="139">
        <v>180400130502</v>
      </c>
      <c r="X170" s="140" t="s">
        <v>745</v>
      </c>
    </row>
    <row r="171" spans="1:24" x14ac:dyDescent="0.35">
      <c r="A171" s="34">
        <v>2021</v>
      </c>
      <c r="B171" s="34" t="s">
        <v>442</v>
      </c>
      <c r="C171" s="34" t="s">
        <v>981</v>
      </c>
      <c r="D171" s="34" t="s">
        <v>443</v>
      </c>
      <c r="E171" s="34" t="s">
        <v>982</v>
      </c>
      <c r="F171" s="34" t="s">
        <v>102</v>
      </c>
      <c r="G171" s="34"/>
      <c r="H171" s="34">
        <v>38.627777999999999</v>
      </c>
      <c r="I171" s="34">
        <v>-120.984167</v>
      </c>
      <c r="J171" s="34"/>
      <c r="K171" s="105">
        <v>110070619860</v>
      </c>
      <c r="L171" s="34">
        <v>4952</v>
      </c>
      <c r="M171" s="48" t="str">
        <f>VLOOKUP(L171, '2017 SIC to NAICS'!A:D, 2)</f>
        <v>Sewerage Systems</v>
      </c>
      <c r="N171" s="34">
        <f>VLOOKUP(L171,'2017 SIC to NAICS'!A:D,3)</f>
        <v>221320</v>
      </c>
      <c r="O171" s="34" t="str">
        <f>VLOOKUP(L171,'2017 SIC to NAICS'!A:D,4)</f>
        <v>Sewage Treatment Facilities</v>
      </c>
      <c r="P171" s="36" t="s">
        <v>742</v>
      </c>
      <c r="Q171" s="137" t="s">
        <v>743</v>
      </c>
      <c r="R171" s="45" t="s">
        <v>38</v>
      </c>
      <c r="S171" s="138">
        <f>COUNTIFS('Raw Non-zero DMR Data'!$A:$A, A171, 'Raw Non-zero DMR Data'!$C:$C, U171, 'Raw Non-zero DMR Data'!$V:$V, V171)</f>
        <v>1</v>
      </c>
      <c r="T171" s="34">
        <f>SUMIFS('Raw Non-zero DMR Data'!$X:$X, 'Raw Non-zero DMR Data'!$A:$A, A171, 'Raw Non-zero DMR Data'!$C:$C, U171, 'Raw Non-zero DMR Data'!V:V, V171)</f>
        <v>0.12769038150000001</v>
      </c>
      <c r="U171" s="34" t="s">
        <v>981</v>
      </c>
      <c r="V171" s="34" t="s">
        <v>983</v>
      </c>
      <c r="W171" s="139">
        <v>180400130502</v>
      </c>
      <c r="X171" s="140" t="s">
        <v>745</v>
      </c>
    </row>
    <row r="172" spans="1:24" x14ac:dyDescent="0.35">
      <c r="A172" s="34">
        <v>2021</v>
      </c>
      <c r="B172" s="34" t="s">
        <v>447</v>
      </c>
      <c r="C172" s="34" t="s">
        <v>984</v>
      </c>
      <c r="D172" s="34" t="s">
        <v>448</v>
      </c>
      <c r="E172" s="34" t="s">
        <v>982</v>
      </c>
      <c r="F172" s="34" t="s">
        <v>102</v>
      </c>
      <c r="G172" s="34"/>
      <c r="H172" s="34">
        <v>38.730832999999997</v>
      </c>
      <c r="I172" s="34">
        <v>-120.846667</v>
      </c>
      <c r="J172" s="34"/>
      <c r="K172" s="105">
        <v>110039757992</v>
      </c>
      <c r="L172" s="34">
        <v>4952</v>
      </c>
      <c r="M172" s="48" t="str">
        <f>VLOOKUP(L172, '2017 SIC to NAICS'!A:D, 2)</f>
        <v>Sewerage Systems</v>
      </c>
      <c r="N172" s="34">
        <f>VLOOKUP(L172,'2017 SIC to NAICS'!A:D,3)</f>
        <v>221320</v>
      </c>
      <c r="O172" s="34" t="str">
        <f>VLOOKUP(L172,'2017 SIC to NAICS'!A:D,4)</f>
        <v>Sewage Treatment Facilities</v>
      </c>
      <c r="P172" s="36" t="s">
        <v>742</v>
      </c>
      <c r="Q172" s="137" t="s">
        <v>743</v>
      </c>
      <c r="R172" s="45" t="s">
        <v>38</v>
      </c>
      <c r="S172" s="138">
        <f>COUNTIFS('Raw Non-zero DMR Data'!$A:$A, A172, 'Raw Non-zero DMR Data'!$C:$C, U172, 'Raw Non-zero DMR Data'!$V:$V, V172)</f>
        <v>1</v>
      </c>
      <c r="T172" s="34">
        <f>SUMIFS('Raw Non-zero DMR Data'!$X:$X, 'Raw Non-zero DMR Data'!$A:$A, A172, 'Raw Non-zero DMR Data'!$C:$C, U172, 'Raw Non-zero DMR Data'!V:V, V172)</f>
        <v>0.119509104</v>
      </c>
      <c r="U172" s="34" t="s">
        <v>984</v>
      </c>
      <c r="V172" s="34" t="s">
        <v>985</v>
      </c>
      <c r="W172" s="139">
        <v>180201290603</v>
      </c>
      <c r="X172" s="140" t="s">
        <v>745</v>
      </c>
    </row>
    <row r="173" spans="1:24" x14ac:dyDescent="0.35">
      <c r="A173" s="34">
        <v>2022</v>
      </c>
      <c r="B173" s="34" t="s">
        <v>447</v>
      </c>
      <c r="C173" s="34" t="s">
        <v>984</v>
      </c>
      <c r="D173" s="34" t="s">
        <v>448</v>
      </c>
      <c r="E173" s="34" t="s">
        <v>982</v>
      </c>
      <c r="F173" s="34" t="s">
        <v>102</v>
      </c>
      <c r="G173" s="34"/>
      <c r="H173" s="34">
        <v>38.730832999999997</v>
      </c>
      <c r="I173" s="34">
        <v>-120.846667</v>
      </c>
      <c r="J173" s="34"/>
      <c r="K173" s="105">
        <v>110039757992</v>
      </c>
      <c r="L173" s="34">
        <v>4952</v>
      </c>
      <c r="M173" s="48" t="str">
        <f>VLOOKUP(L173, '2017 SIC to NAICS'!A:D, 2)</f>
        <v>Sewerage Systems</v>
      </c>
      <c r="N173" s="34">
        <f>VLOOKUP(L173,'2017 SIC to NAICS'!A:D,3)</f>
        <v>221320</v>
      </c>
      <c r="O173" s="34" t="str">
        <f>VLOOKUP(L173,'2017 SIC to NAICS'!A:D,4)</f>
        <v>Sewage Treatment Facilities</v>
      </c>
      <c r="P173" s="36" t="s">
        <v>742</v>
      </c>
      <c r="Q173" s="137" t="s">
        <v>743</v>
      </c>
      <c r="R173" s="45" t="s">
        <v>38</v>
      </c>
      <c r="S173" s="138">
        <f>COUNTIFS('Raw Non-zero DMR Data'!$A:$A, A173, 'Raw Non-zero DMR Data'!$C:$C, U173, 'Raw Non-zero DMR Data'!$V:$V, V173)</f>
        <v>1</v>
      </c>
      <c r="T173" s="34">
        <f>SUMIFS('Raw Non-zero DMR Data'!$X:$X, 'Raw Non-zero DMR Data'!$A:$A, A173, 'Raw Non-zero DMR Data'!$C:$C, U173, 'Raw Non-zero DMR Data'!V:V, V173)</f>
        <v>4.8473548749999998E-2</v>
      </c>
      <c r="U173" s="34" t="s">
        <v>984</v>
      </c>
      <c r="V173" s="34" t="s">
        <v>985</v>
      </c>
      <c r="W173" s="139">
        <v>180201290603</v>
      </c>
      <c r="X173" s="140" t="s">
        <v>745</v>
      </c>
    </row>
    <row r="174" spans="1:24" x14ac:dyDescent="0.35">
      <c r="A174" s="34">
        <v>2021</v>
      </c>
      <c r="B174" s="34" t="s">
        <v>641</v>
      </c>
      <c r="C174" s="34" t="s">
        <v>986</v>
      </c>
      <c r="D174" s="34" t="s">
        <v>623</v>
      </c>
      <c r="E174" s="34" t="s">
        <v>623</v>
      </c>
      <c r="F174" s="34" t="s">
        <v>492</v>
      </c>
      <c r="G174" s="34"/>
      <c r="H174" s="34">
        <v>39.754530000000003</v>
      </c>
      <c r="I174" s="34">
        <v>-105.00681</v>
      </c>
      <c r="J174" s="34"/>
      <c r="K174" s="105">
        <v>110056125376</v>
      </c>
      <c r="L174" s="34">
        <v>1799</v>
      </c>
      <c r="M174" s="48" t="str">
        <f>VLOOKUP(L174, '2017 SIC to NAICS'!A:D, 2)</f>
        <v>Special Trade Contractors, Nec</v>
      </c>
      <c r="N174" s="34">
        <f>VLOOKUP(L174,'2017 SIC to NAICS'!A:D,3)</f>
        <v>562910</v>
      </c>
      <c r="O174" s="34" t="str">
        <f>VLOOKUP(L174,'2017 SIC to NAICS'!A:D,4)</f>
        <v>Remediation Services</v>
      </c>
      <c r="P174" s="36" t="s">
        <v>754</v>
      </c>
      <c r="Q174" s="137" t="s">
        <v>755</v>
      </c>
      <c r="R174" s="45" t="s">
        <v>41</v>
      </c>
      <c r="S174" s="138">
        <f>COUNTIFS('Raw Non-zero DMR Data'!$A:$A, A174, 'Raw Non-zero DMR Data'!$C:$C, U174, 'Raw Non-zero DMR Data'!$V:$V, V174)</f>
        <v>1</v>
      </c>
      <c r="T174" s="34">
        <f>SUMIFS('Raw Non-zero DMR Data'!$X:$X, 'Raw Non-zero DMR Data'!$A:$A, A174, 'Raw Non-zero DMR Data'!$C:$C, U174, 'Raw Non-zero DMR Data'!V:V, V174)</f>
        <v>1.2431454000000001E-3</v>
      </c>
      <c r="U174" s="34" t="s">
        <v>986</v>
      </c>
      <c r="V174" s="34" t="s">
        <v>987</v>
      </c>
      <c r="W174" s="139">
        <v>101900030304</v>
      </c>
      <c r="X174" s="140" t="s">
        <v>739</v>
      </c>
    </row>
    <row r="175" spans="1:24" x14ac:dyDescent="0.35">
      <c r="A175" s="34">
        <v>2022</v>
      </c>
      <c r="B175" s="34" t="s">
        <v>641</v>
      </c>
      <c r="C175" s="34" t="s">
        <v>986</v>
      </c>
      <c r="D175" s="34" t="s">
        <v>623</v>
      </c>
      <c r="E175" s="34" t="s">
        <v>623</v>
      </c>
      <c r="F175" s="34" t="s">
        <v>492</v>
      </c>
      <c r="G175" s="34"/>
      <c r="H175" s="34">
        <v>39.754530000000003</v>
      </c>
      <c r="I175" s="34">
        <v>-105.00681</v>
      </c>
      <c r="J175" s="34"/>
      <c r="K175" s="105">
        <v>110056125376</v>
      </c>
      <c r="L175" s="34">
        <v>1799</v>
      </c>
      <c r="M175" s="48" t="str">
        <f>VLOOKUP(L175, '2017 SIC to NAICS'!A:D, 2)</f>
        <v>Special Trade Contractors, Nec</v>
      </c>
      <c r="N175" s="34">
        <f>VLOOKUP(L175,'2017 SIC to NAICS'!A:D,3)</f>
        <v>562910</v>
      </c>
      <c r="O175" s="34" t="str">
        <f>VLOOKUP(L175,'2017 SIC to NAICS'!A:D,4)</f>
        <v>Remediation Services</v>
      </c>
      <c r="P175" s="36" t="s">
        <v>754</v>
      </c>
      <c r="Q175" s="137" t="s">
        <v>755</v>
      </c>
      <c r="R175" s="45" t="s">
        <v>41</v>
      </c>
      <c r="S175" s="138">
        <f>COUNTIFS('Raw Non-zero DMR Data'!$A:$A, A175, 'Raw Non-zero DMR Data'!$C:$C, U175, 'Raw Non-zero DMR Data'!$V:$V, V175)</f>
        <v>1</v>
      </c>
      <c r="T175" s="34">
        <f>SUMIFS('Raw Non-zero DMR Data'!$X:$X, 'Raw Non-zero DMR Data'!$A:$A, A175, 'Raw Non-zero DMR Data'!$C:$C, U175, 'Raw Non-zero DMR Data'!V:V, V175)</f>
        <v>3.4282069750000001E-3</v>
      </c>
      <c r="U175" s="34" t="s">
        <v>986</v>
      </c>
      <c r="V175" s="34" t="s">
        <v>987</v>
      </c>
      <c r="W175" s="139">
        <v>101900030304</v>
      </c>
      <c r="X175" s="140" t="s">
        <v>739</v>
      </c>
    </row>
    <row r="176" spans="1:24" x14ac:dyDescent="0.35">
      <c r="A176" s="34">
        <v>2023</v>
      </c>
      <c r="B176" s="34" t="s">
        <v>641</v>
      </c>
      <c r="C176" s="34" t="s">
        <v>986</v>
      </c>
      <c r="D176" s="34" t="s">
        <v>623</v>
      </c>
      <c r="E176" s="34" t="s">
        <v>623</v>
      </c>
      <c r="F176" s="34" t="s">
        <v>492</v>
      </c>
      <c r="G176" s="34"/>
      <c r="H176" s="34">
        <v>39.754530000000003</v>
      </c>
      <c r="I176" s="34">
        <v>-105.00681</v>
      </c>
      <c r="J176" s="34"/>
      <c r="K176" s="105">
        <v>110056125376</v>
      </c>
      <c r="L176" s="34">
        <v>1799</v>
      </c>
      <c r="M176" s="48" t="str">
        <f>VLOOKUP(L176, '2017 SIC to NAICS'!A:D, 2)</f>
        <v>Special Trade Contractors, Nec</v>
      </c>
      <c r="N176" s="34">
        <f>VLOOKUP(L176,'2017 SIC to NAICS'!A:D,3)</f>
        <v>562910</v>
      </c>
      <c r="O176" s="34" t="str">
        <f>VLOOKUP(L176,'2017 SIC to NAICS'!A:D,4)</f>
        <v>Remediation Services</v>
      </c>
      <c r="P176" s="36" t="s">
        <v>754</v>
      </c>
      <c r="Q176" s="137" t="s">
        <v>755</v>
      </c>
      <c r="R176" s="45" t="s">
        <v>41</v>
      </c>
      <c r="S176" s="138">
        <f>COUNTIFS('Raw Non-zero DMR Data'!$A:$A, A176, 'Raw Non-zero DMR Data'!$C:$C, U176, 'Raw Non-zero DMR Data'!$V:$V, V176)</f>
        <v>1</v>
      </c>
      <c r="T176" s="34">
        <f>SUMIFS('Raw Non-zero DMR Data'!$X:$X, 'Raw Non-zero DMR Data'!$A:$A, A176, 'Raw Non-zero DMR Data'!$C:$C, U176, 'Raw Non-zero DMR Data'!V:V, V176)</f>
        <v>4.4653348250000002E-3</v>
      </c>
      <c r="U176" s="34" t="s">
        <v>986</v>
      </c>
      <c r="V176" s="34" t="s">
        <v>987</v>
      </c>
      <c r="W176" s="139">
        <v>101900030304</v>
      </c>
      <c r="X176" s="140" t="s">
        <v>739</v>
      </c>
    </row>
    <row r="177" spans="1:24" x14ac:dyDescent="0.35">
      <c r="A177" s="34">
        <v>2019</v>
      </c>
      <c r="B177" s="34" t="s">
        <v>622</v>
      </c>
      <c r="C177" s="34" t="s">
        <v>988</v>
      </c>
      <c r="D177" s="34" t="s">
        <v>623</v>
      </c>
      <c r="E177" s="34" t="s">
        <v>623</v>
      </c>
      <c r="F177" s="34" t="s">
        <v>492</v>
      </c>
      <c r="G177" s="34"/>
      <c r="H177" s="34">
        <v>39.781474000000003</v>
      </c>
      <c r="I177" s="34">
        <v>-104.97438</v>
      </c>
      <c r="J177" s="34"/>
      <c r="K177" s="105">
        <v>110070162955</v>
      </c>
      <c r="L177" s="34">
        <v>1629</v>
      </c>
      <c r="M177" s="48" t="str">
        <f>VLOOKUP(L177, '2017 SIC to NAICS'!A:D, 2)</f>
        <v>Heavy Construction, Nec</v>
      </c>
      <c r="N177" s="34">
        <f>VLOOKUP(L177,'2017 SIC to NAICS'!A:D,3)</f>
        <v>238910</v>
      </c>
      <c r="O177" s="34" t="str">
        <f>VLOOKUP(L177,'2017 SIC to NAICS'!A:D,4)</f>
        <v>Site Preparation Contractors</v>
      </c>
      <c r="P177" s="36" t="s">
        <v>731</v>
      </c>
      <c r="Q177" s="137" t="s">
        <v>732</v>
      </c>
      <c r="R177" s="45" t="s">
        <v>41</v>
      </c>
      <c r="S177" s="138">
        <f>COUNTIFS('Raw Non-zero DMR Data'!$A:$A, A177, 'Raw Non-zero DMR Data'!$C:$C, U177, 'Raw Non-zero DMR Data'!$V:$V, V177)</f>
        <v>1</v>
      </c>
      <c r="T177" s="34">
        <f>SUMIFS('Raw Non-zero DMR Data'!$X:$X, 'Raw Non-zero DMR Data'!$A:$A, A177, 'Raw Non-zero DMR Data'!$C:$C, U177, 'Raw Non-zero DMR Data'!V:V, V177)</f>
        <v>5.7151531800000001E-4</v>
      </c>
      <c r="U177" s="34" t="s">
        <v>988</v>
      </c>
      <c r="V177" s="34" t="s">
        <v>987</v>
      </c>
      <c r="W177" s="139">
        <v>101900030304</v>
      </c>
      <c r="X177" s="140" t="s">
        <v>734</v>
      </c>
    </row>
    <row r="178" spans="1:24" x14ac:dyDescent="0.35">
      <c r="A178" s="34">
        <v>2020</v>
      </c>
      <c r="B178" s="34" t="s">
        <v>622</v>
      </c>
      <c r="C178" s="34" t="s">
        <v>988</v>
      </c>
      <c r="D178" s="34" t="s">
        <v>623</v>
      </c>
      <c r="E178" s="34" t="s">
        <v>623</v>
      </c>
      <c r="F178" s="34" t="s">
        <v>492</v>
      </c>
      <c r="G178" s="34"/>
      <c r="H178" s="34">
        <v>39.781474000000003</v>
      </c>
      <c r="I178" s="34">
        <v>-104.97438</v>
      </c>
      <c r="J178" s="34"/>
      <c r="K178" s="105">
        <v>110070162955</v>
      </c>
      <c r="L178" s="34">
        <v>1629</v>
      </c>
      <c r="M178" s="48" t="str">
        <f>VLOOKUP(L178, '2017 SIC to NAICS'!A:D, 2)</f>
        <v>Heavy Construction, Nec</v>
      </c>
      <c r="N178" s="34">
        <f>VLOOKUP(L178,'2017 SIC to NAICS'!A:D,3)</f>
        <v>238910</v>
      </c>
      <c r="O178" s="34" t="str">
        <f>VLOOKUP(L178,'2017 SIC to NAICS'!A:D,4)</f>
        <v>Site Preparation Contractors</v>
      </c>
      <c r="P178" s="36" t="s">
        <v>731</v>
      </c>
      <c r="Q178" s="137" t="s">
        <v>732</v>
      </c>
      <c r="R178" s="45" t="s">
        <v>41</v>
      </c>
      <c r="S178" s="138">
        <f>COUNTIFS('Raw Non-zero DMR Data'!$A:$A, A178, 'Raw Non-zero DMR Data'!$C:$C, U178, 'Raw Non-zero DMR Data'!$V:$V, V178)</f>
        <v>1</v>
      </c>
      <c r="T178" s="34">
        <f>SUMIFS('Raw Non-zero DMR Data'!$X:$X, 'Raw Non-zero DMR Data'!$A:$A, A178, 'Raw Non-zero DMR Data'!$C:$C, U178, 'Raw Non-zero DMR Data'!V:V, V178)</f>
        <v>1.5783450000000001E-3</v>
      </c>
      <c r="U178" s="34" t="s">
        <v>988</v>
      </c>
      <c r="V178" s="34" t="s">
        <v>987</v>
      </c>
      <c r="W178" s="139">
        <v>101900030304</v>
      </c>
      <c r="X178" s="140" t="s">
        <v>734</v>
      </c>
    </row>
    <row r="179" spans="1:24" x14ac:dyDescent="0.35">
      <c r="A179" s="34">
        <v>2021</v>
      </c>
      <c r="B179" s="34" t="s">
        <v>622</v>
      </c>
      <c r="C179" s="34" t="s">
        <v>988</v>
      </c>
      <c r="D179" s="34" t="s">
        <v>623</v>
      </c>
      <c r="E179" s="34" t="s">
        <v>623</v>
      </c>
      <c r="F179" s="34" t="s">
        <v>492</v>
      </c>
      <c r="G179" s="34"/>
      <c r="H179" s="34">
        <v>39.781474000000003</v>
      </c>
      <c r="I179" s="34">
        <v>-104.97438</v>
      </c>
      <c r="J179" s="34"/>
      <c r="K179" s="105">
        <v>110070162955</v>
      </c>
      <c r="L179" s="34">
        <v>1629</v>
      </c>
      <c r="M179" s="48" t="str">
        <f>VLOOKUP(L179, '2017 SIC to NAICS'!A:D, 2)</f>
        <v>Heavy Construction, Nec</v>
      </c>
      <c r="N179" s="34">
        <f>VLOOKUP(L179,'2017 SIC to NAICS'!A:D,3)</f>
        <v>238910</v>
      </c>
      <c r="O179" s="34" t="str">
        <f>VLOOKUP(L179,'2017 SIC to NAICS'!A:D,4)</f>
        <v>Site Preparation Contractors</v>
      </c>
      <c r="P179" s="36" t="s">
        <v>731</v>
      </c>
      <c r="Q179" s="137" t="s">
        <v>732</v>
      </c>
      <c r="R179" s="45" t="s">
        <v>41</v>
      </c>
      <c r="S179" s="138">
        <f>COUNTIFS('Raw Non-zero DMR Data'!$A:$A, A179, 'Raw Non-zero DMR Data'!$C:$C, U179, 'Raw Non-zero DMR Data'!$V:$V, V179)</f>
        <v>1</v>
      </c>
      <c r="T179" s="34">
        <f>SUMIFS('Raw Non-zero DMR Data'!$X:$X, 'Raw Non-zero DMR Data'!$A:$A, A179, 'Raw Non-zero DMR Data'!$C:$C, U179, 'Raw Non-zero DMR Data'!V:V, V179)</f>
        <v>3.0584692500000002E-3</v>
      </c>
      <c r="U179" s="34" t="s">
        <v>988</v>
      </c>
      <c r="V179" s="34" t="s">
        <v>987</v>
      </c>
      <c r="W179" s="139">
        <v>101900030304</v>
      </c>
      <c r="X179" s="140" t="s">
        <v>734</v>
      </c>
    </row>
    <row r="180" spans="1:24" x14ac:dyDescent="0.35">
      <c r="A180" s="34">
        <v>2022</v>
      </c>
      <c r="B180" s="34" t="s">
        <v>622</v>
      </c>
      <c r="C180" s="34" t="s">
        <v>988</v>
      </c>
      <c r="D180" s="34" t="s">
        <v>623</v>
      </c>
      <c r="E180" s="34" t="s">
        <v>623</v>
      </c>
      <c r="F180" s="34" t="s">
        <v>492</v>
      </c>
      <c r="G180" s="34"/>
      <c r="H180" s="34">
        <v>39.781474000000003</v>
      </c>
      <c r="I180" s="34">
        <v>-104.97438</v>
      </c>
      <c r="J180" s="34"/>
      <c r="K180" s="105">
        <v>110070162955</v>
      </c>
      <c r="L180" s="34">
        <v>1629</v>
      </c>
      <c r="M180" s="48" t="str">
        <f>VLOOKUP(L180, '2017 SIC to NAICS'!A:D, 2)</f>
        <v>Heavy Construction, Nec</v>
      </c>
      <c r="N180" s="34">
        <f>VLOOKUP(L180,'2017 SIC to NAICS'!A:D,3)</f>
        <v>238910</v>
      </c>
      <c r="O180" s="34" t="str">
        <f>VLOOKUP(L180,'2017 SIC to NAICS'!A:D,4)</f>
        <v>Site Preparation Contractors</v>
      </c>
      <c r="P180" s="36" t="s">
        <v>731</v>
      </c>
      <c r="Q180" s="137" t="s">
        <v>732</v>
      </c>
      <c r="R180" s="45" t="s">
        <v>41</v>
      </c>
      <c r="S180" s="138">
        <f>COUNTIFS('Raw Non-zero DMR Data'!$A:$A, A180, 'Raw Non-zero DMR Data'!$C:$C, U180, 'Raw Non-zero DMR Data'!$V:$V, V180)</f>
        <v>1</v>
      </c>
      <c r="T180" s="34">
        <f>SUMIFS('Raw Non-zero DMR Data'!$X:$X, 'Raw Non-zero DMR Data'!$A:$A, A180, 'Raw Non-zero DMR Data'!$C:$C, U180, 'Raw Non-zero DMR Data'!V:V, V180)</f>
        <v>7.8992950000000006E-3</v>
      </c>
      <c r="U180" s="34" t="s">
        <v>988</v>
      </c>
      <c r="V180" s="34" t="s">
        <v>987</v>
      </c>
      <c r="W180" s="139">
        <v>101900030304</v>
      </c>
      <c r="X180" s="140" t="s">
        <v>734</v>
      </c>
    </row>
    <row r="181" spans="1:24" x14ac:dyDescent="0.35">
      <c r="A181" s="34">
        <v>2023</v>
      </c>
      <c r="B181" s="34" t="s">
        <v>622</v>
      </c>
      <c r="C181" s="34" t="s">
        <v>988</v>
      </c>
      <c r="D181" s="34" t="s">
        <v>623</v>
      </c>
      <c r="E181" s="34" t="s">
        <v>623</v>
      </c>
      <c r="F181" s="34" t="s">
        <v>492</v>
      </c>
      <c r="G181" s="34"/>
      <c r="H181" s="34">
        <v>39.781474000000003</v>
      </c>
      <c r="I181" s="34">
        <v>-104.97438</v>
      </c>
      <c r="J181" s="34"/>
      <c r="K181" s="105">
        <v>110070162955</v>
      </c>
      <c r="L181" s="34">
        <v>1629</v>
      </c>
      <c r="M181" s="48" t="str">
        <f>VLOOKUP(L181, '2017 SIC to NAICS'!A:D, 2)</f>
        <v>Heavy Construction, Nec</v>
      </c>
      <c r="N181" s="34">
        <f>VLOOKUP(L181,'2017 SIC to NAICS'!A:D,3)</f>
        <v>238910</v>
      </c>
      <c r="O181" s="34" t="str">
        <f>VLOOKUP(L181,'2017 SIC to NAICS'!A:D,4)</f>
        <v>Site Preparation Contractors</v>
      </c>
      <c r="P181" s="36" t="s">
        <v>731</v>
      </c>
      <c r="Q181" s="137" t="s">
        <v>732</v>
      </c>
      <c r="R181" s="45" t="s">
        <v>41</v>
      </c>
      <c r="S181" s="138">
        <f>COUNTIFS('Raw Non-zero DMR Data'!$A:$A, A181, 'Raw Non-zero DMR Data'!$C:$C, U181, 'Raw Non-zero DMR Data'!$V:$V, V181)</f>
        <v>1</v>
      </c>
      <c r="T181" s="34">
        <f>SUMIFS('Raw Non-zero DMR Data'!$X:$X, 'Raw Non-zero DMR Data'!$A:$A, A181, 'Raw Non-zero DMR Data'!$C:$C, U181, 'Raw Non-zero DMR Data'!V:V, V181)</f>
        <v>2.5072994424999999E-3</v>
      </c>
      <c r="U181" s="34" t="s">
        <v>988</v>
      </c>
      <c r="V181" s="34" t="s">
        <v>987</v>
      </c>
      <c r="W181" s="139">
        <v>101900030304</v>
      </c>
      <c r="X181" s="140" t="s">
        <v>734</v>
      </c>
    </row>
    <row r="182" spans="1:24" x14ac:dyDescent="0.35">
      <c r="A182" s="34">
        <v>2021</v>
      </c>
      <c r="B182" s="34" t="s">
        <v>691</v>
      </c>
      <c r="C182" s="34" t="s">
        <v>989</v>
      </c>
      <c r="D182" s="34" t="s">
        <v>623</v>
      </c>
      <c r="E182" s="34" t="s">
        <v>623</v>
      </c>
      <c r="F182" s="34" t="s">
        <v>492</v>
      </c>
      <c r="G182" s="34"/>
      <c r="H182" s="34">
        <v>39.744531000000002</v>
      </c>
      <c r="I182" s="34">
        <v>-104.95984</v>
      </c>
      <c r="J182" s="34"/>
      <c r="K182" s="105">
        <v>110070097711</v>
      </c>
      <c r="L182" s="34">
        <v>6513</v>
      </c>
      <c r="M182" s="48" t="str">
        <f>VLOOKUP(L182, '2017 SIC to NAICS'!A:D, 2)</f>
        <v>Apartment Building Operators</v>
      </c>
      <c r="N182" s="34">
        <f>VLOOKUP(L182,'2017 SIC to NAICS'!A:D,3)</f>
        <v>531110</v>
      </c>
      <c r="O182" s="34" t="str">
        <f>VLOOKUP(L182,'2017 SIC to NAICS'!A:D,4)</f>
        <v>Lessors of Residential Buildings and
Dwellings</v>
      </c>
      <c r="P182" s="36" t="s">
        <v>754</v>
      </c>
      <c r="Q182" s="137" t="s">
        <v>755</v>
      </c>
      <c r="R182" s="45" t="s">
        <v>41</v>
      </c>
      <c r="S182" s="138">
        <f>COUNTIFS('Raw Non-zero DMR Data'!$A:$A, A182, 'Raw Non-zero DMR Data'!$C:$C, U182, 'Raw Non-zero DMR Data'!$V:$V, V182)</f>
        <v>1</v>
      </c>
      <c r="T182" s="34">
        <f>SUMIFS('Raw Non-zero DMR Data'!$X:$X, 'Raw Non-zero DMR Data'!$A:$A, A182, 'Raw Non-zero DMR Data'!$C:$C, U182, 'Raw Non-zero DMR Data'!V:V, V182)</f>
        <v>3.2778100000000003E-4</v>
      </c>
      <c r="U182" s="34" t="s">
        <v>989</v>
      </c>
      <c r="V182" s="34" t="s">
        <v>987</v>
      </c>
      <c r="W182" s="139">
        <v>101900030304</v>
      </c>
      <c r="X182" s="140" t="s">
        <v>739</v>
      </c>
    </row>
    <row r="183" spans="1:24" x14ac:dyDescent="0.35">
      <c r="A183" s="34">
        <v>2019</v>
      </c>
      <c r="B183" s="34" t="s">
        <v>490</v>
      </c>
      <c r="C183" s="34" t="s">
        <v>990</v>
      </c>
      <c r="D183" s="34" t="s">
        <v>491</v>
      </c>
      <c r="E183" s="34" t="s">
        <v>991</v>
      </c>
      <c r="F183" s="34" t="s">
        <v>492</v>
      </c>
      <c r="G183" s="34"/>
      <c r="H183" s="34">
        <v>40.393799999999999</v>
      </c>
      <c r="I183" s="34">
        <v>-105.074</v>
      </c>
      <c r="J183" s="34"/>
      <c r="K183" s="105">
        <v>110070053140</v>
      </c>
      <c r="L183" s="34">
        <v>7521</v>
      </c>
      <c r="M183" s="48" t="str">
        <f>VLOOKUP(L183, '2017 SIC to NAICS'!A:D, 2)</f>
        <v>Automobile Parking</v>
      </c>
      <c r="N183" s="34">
        <f>VLOOKUP(L183,'2017 SIC to NAICS'!A:D,3)</f>
        <v>812930</v>
      </c>
      <c r="O183" s="34" t="str">
        <f>VLOOKUP(L183,'2017 SIC to NAICS'!A:D,4)</f>
        <v>Parking Lots and Garages</v>
      </c>
      <c r="P183" s="36" t="s">
        <v>737</v>
      </c>
      <c r="Q183" s="137" t="s">
        <v>737</v>
      </c>
      <c r="R183" s="45" t="s">
        <v>41</v>
      </c>
      <c r="S183" s="138">
        <f>COUNTIFS('Raw Non-zero DMR Data'!$A:$A, A183, 'Raw Non-zero DMR Data'!$C:$C, U183, 'Raw Non-zero DMR Data'!$V:$V, V183)</f>
        <v>1</v>
      </c>
      <c r="T183" s="34">
        <f>SUMIFS('Raw Non-zero DMR Data'!$X:$X, 'Raw Non-zero DMR Data'!$A:$A, A183, 'Raw Non-zero DMR Data'!$C:$C, U183, 'Raw Non-zero DMR Data'!V:V, V183)</f>
        <v>5.0143680000000003E-2</v>
      </c>
      <c r="U183" s="34" t="s">
        <v>990</v>
      </c>
      <c r="V183" s="34" t="s">
        <v>992</v>
      </c>
      <c r="W183" s="139">
        <v>101900060605</v>
      </c>
      <c r="X183" s="140" t="s">
        <v>792</v>
      </c>
    </row>
    <row r="184" spans="1:24" x14ac:dyDescent="0.35">
      <c r="A184" s="34">
        <v>2020</v>
      </c>
      <c r="B184" s="34" t="s">
        <v>490</v>
      </c>
      <c r="C184" s="34" t="s">
        <v>990</v>
      </c>
      <c r="D184" s="34" t="s">
        <v>491</v>
      </c>
      <c r="E184" s="34" t="s">
        <v>991</v>
      </c>
      <c r="F184" s="34" t="s">
        <v>492</v>
      </c>
      <c r="G184" s="34"/>
      <c r="H184" s="34">
        <v>40.393799999999999</v>
      </c>
      <c r="I184" s="34">
        <v>-105.074</v>
      </c>
      <c r="J184" s="34"/>
      <c r="K184" s="105">
        <v>110070053140</v>
      </c>
      <c r="L184" s="34">
        <v>7521</v>
      </c>
      <c r="M184" s="48" t="str">
        <f>VLOOKUP(L184, '2017 SIC to NAICS'!A:D, 2)</f>
        <v>Automobile Parking</v>
      </c>
      <c r="N184" s="34">
        <f>VLOOKUP(L184,'2017 SIC to NAICS'!A:D,3)</f>
        <v>812930</v>
      </c>
      <c r="O184" s="34" t="str">
        <f>VLOOKUP(L184,'2017 SIC to NAICS'!A:D,4)</f>
        <v>Parking Lots and Garages</v>
      </c>
      <c r="P184" s="36" t="s">
        <v>737</v>
      </c>
      <c r="Q184" s="137" t="s">
        <v>737</v>
      </c>
      <c r="R184" s="45" t="s">
        <v>41</v>
      </c>
      <c r="S184" s="138">
        <f>COUNTIFS('Raw Non-zero DMR Data'!$A:$A, A184, 'Raw Non-zero DMR Data'!$C:$C, U184, 'Raw Non-zero DMR Data'!$V:$V, V184)</f>
        <v>1</v>
      </c>
      <c r="T184" s="34">
        <f>SUMIFS('Raw Non-zero DMR Data'!$X:$X, 'Raw Non-zero DMR Data'!$A:$A, A184, 'Raw Non-zero DMR Data'!$C:$C, U184, 'Raw Non-zero DMR Data'!V:V, V184)</f>
        <v>5.4609980000000002E-2</v>
      </c>
      <c r="U184" s="34" t="s">
        <v>990</v>
      </c>
      <c r="V184" s="34" t="s">
        <v>992</v>
      </c>
      <c r="W184" s="139">
        <v>101900060605</v>
      </c>
      <c r="X184" s="140" t="s">
        <v>792</v>
      </c>
    </row>
    <row r="185" spans="1:24" x14ac:dyDescent="0.35">
      <c r="A185" s="34">
        <v>2021</v>
      </c>
      <c r="B185" s="34" t="s">
        <v>490</v>
      </c>
      <c r="C185" s="34" t="s">
        <v>990</v>
      </c>
      <c r="D185" s="34" t="s">
        <v>491</v>
      </c>
      <c r="E185" s="34" t="s">
        <v>991</v>
      </c>
      <c r="F185" s="34" t="s">
        <v>492</v>
      </c>
      <c r="G185" s="34"/>
      <c r="H185" s="34">
        <v>40.393799999999999</v>
      </c>
      <c r="I185" s="34">
        <v>-105.074</v>
      </c>
      <c r="J185" s="34"/>
      <c r="K185" s="105">
        <v>110070053140</v>
      </c>
      <c r="L185" s="34">
        <v>7521</v>
      </c>
      <c r="M185" s="48" t="str">
        <f>VLOOKUP(L185, '2017 SIC to NAICS'!A:D, 2)</f>
        <v>Automobile Parking</v>
      </c>
      <c r="N185" s="34">
        <f>VLOOKUP(L185,'2017 SIC to NAICS'!A:D,3)</f>
        <v>812930</v>
      </c>
      <c r="O185" s="34" t="str">
        <f>VLOOKUP(L185,'2017 SIC to NAICS'!A:D,4)</f>
        <v>Parking Lots and Garages</v>
      </c>
      <c r="P185" s="36" t="s">
        <v>737</v>
      </c>
      <c r="Q185" s="137" t="s">
        <v>737</v>
      </c>
      <c r="R185" s="45" t="s">
        <v>41</v>
      </c>
      <c r="S185" s="138">
        <f>COUNTIFS('Raw Non-zero DMR Data'!$A:$A, A185, 'Raw Non-zero DMR Data'!$C:$C, U185, 'Raw Non-zero DMR Data'!$V:$V, V185)</f>
        <v>1</v>
      </c>
      <c r="T185" s="34">
        <f>SUMIFS('Raw Non-zero DMR Data'!$X:$X, 'Raw Non-zero DMR Data'!$A:$A, A185, 'Raw Non-zero DMR Data'!$C:$C, U185, 'Raw Non-zero DMR Data'!V:V, V185)</f>
        <v>3.9208815000000001E-2</v>
      </c>
      <c r="U185" s="34" t="s">
        <v>990</v>
      </c>
      <c r="V185" s="34" t="s">
        <v>992</v>
      </c>
      <c r="W185" s="139">
        <v>101900060605</v>
      </c>
      <c r="X185" s="140" t="s">
        <v>792</v>
      </c>
    </row>
    <row r="186" spans="1:24" x14ac:dyDescent="0.35">
      <c r="A186" s="34">
        <v>2022</v>
      </c>
      <c r="B186" s="34" t="s">
        <v>490</v>
      </c>
      <c r="C186" s="34" t="s">
        <v>990</v>
      </c>
      <c r="D186" s="34" t="s">
        <v>491</v>
      </c>
      <c r="E186" s="34" t="s">
        <v>991</v>
      </c>
      <c r="F186" s="34" t="s">
        <v>492</v>
      </c>
      <c r="G186" s="34"/>
      <c r="H186" s="34">
        <v>40.393799999999999</v>
      </c>
      <c r="I186" s="34">
        <v>-105.074</v>
      </c>
      <c r="J186" s="34"/>
      <c r="K186" s="105">
        <v>110070053140</v>
      </c>
      <c r="L186" s="34">
        <v>7521</v>
      </c>
      <c r="M186" s="48" t="str">
        <f>VLOOKUP(L186, '2017 SIC to NAICS'!A:D, 2)</f>
        <v>Automobile Parking</v>
      </c>
      <c r="N186" s="34">
        <f>VLOOKUP(L186,'2017 SIC to NAICS'!A:D,3)</f>
        <v>812930</v>
      </c>
      <c r="O186" s="34" t="str">
        <f>VLOOKUP(L186,'2017 SIC to NAICS'!A:D,4)</f>
        <v>Parking Lots and Garages</v>
      </c>
      <c r="P186" s="36" t="s">
        <v>737</v>
      </c>
      <c r="Q186" s="137" t="s">
        <v>737</v>
      </c>
      <c r="R186" s="45" t="s">
        <v>41</v>
      </c>
      <c r="S186" s="138">
        <f>COUNTIFS('Raw Non-zero DMR Data'!$A:$A, A186, 'Raw Non-zero DMR Data'!$C:$C, U186, 'Raw Non-zero DMR Data'!$V:$V, V186)</f>
        <v>1</v>
      </c>
      <c r="T186" s="34">
        <f>SUMIFS('Raw Non-zero DMR Data'!$X:$X, 'Raw Non-zero DMR Data'!$A:$A, A186, 'Raw Non-zero DMR Data'!$C:$C, U186, 'Raw Non-zero DMR Data'!V:V, V186)</f>
        <v>1.9553310000000001E-2</v>
      </c>
      <c r="U186" s="34" t="s">
        <v>990</v>
      </c>
      <c r="V186" s="34" t="s">
        <v>992</v>
      </c>
      <c r="W186" s="139">
        <v>101900060605</v>
      </c>
      <c r="X186" s="140" t="s">
        <v>792</v>
      </c>
    </row>
    <row r="187" spans="1:24" x14ac:dyDescent="0.35">
      <c r="A187" s="34">
        <v>2023</v>
      </c>
      <c r="B187" s="34" t="s">
        <v>490</v>
      </c>
      <c r="C187" s="34" t="s">
        <v>990</v>
      </c>
      <c r="D187" s="34" t="s">
        <v>491</v>
      </c>
      <c r="E187" s="34" t="s">
        <v>991</v>
      </c>
      <c r="F187" s="34" t="s">
        <v>492</v>
      </c>
      <c r="G187" s="34"/>
      <c r="H187" s="34">
        <v>40.393799999999999</v>
      </c>
      <c r="I187" s="34">
        <v>-105.074</v>
      </c>
      <c r="J187" s="34"/>
      <c r="K187" s="105">
        <v>110070053140</v>
      </c>
      <c r="L187" s="34">
        <v>7521</v>
      </c>
      <c r="M187" s="48" t="str">
        <f>VLOOKUP(L187, '2017 SIC to NAICS'!A:D, 2)</f>
        <v>Automobile Parking</v>
      </c>
      <c r="N187" s="34">
        <f>VLOOKUP(L187,'2017 SIC to NAICS'!A:D,3)</f>
        <v>812930</v>
      </c>
      <c r="O187" s="34" t="str">
        <f>VLOOKUP(L187,'2017 SIC to NAICS'!A:D,4)</f>
        <v>Parking Lots and Garages</v>
      </c>
      <c r="P187" s="36" t="s">
        <v>737</v>
      </c>
      <c r="Q187" s="137" t="s">
        <v>737</v>
      </c>
      <c r="R187" s="45" t="s">
        <v>41</v>
      </c>
      <c r="S187" s="138">
        <f>COUNTIFS('Raw Non-zero DMR Data'!$A:$A, A187, 'Raw Non-zero DMR Data'!$C:$C, U187, 'Raw Non-zero DMR Data'!$V:$V, V187)</f>
        <v>1</v>
      </c>
      <c r="T187" s="34">
        <f>SUMIFS('Raw Non-zero DMR Data'!$X:$X, 'Raw Non-zero DMR Data'!$A:$A, A187, 'Raw Non-zero DMR Data'!$C:$C, U187, 'Raw Non-zero DMR Data'!V:V, V187)</f>
        <v>5.8727870750000001E-2</v>
      </c>
      <c r="U187" s="34" t="s">
        <v>990</v>
      </c>
      <c r="V187" s="34" t="s">
        <v>992</v>
      </c>
      <c r="W187" s="139">
        <v>101900060605</v>
      </c>
      <c r="X187" s="140" t="s">
        <v>792</v>
      </c>
    </row>
    <row r="188" spans="1:24" x14ac:dyDescent="0.35">
      <c r="A188" s="34">
        <v>2023</v>
      </c>
      <c r="B188" s="34" t="s">
        <v>663</v>
      </c>
      <c r="C188" s="34" t="s">
        <v>993</v>
      </c>
      <c r="D188" s="34" t="s">
        <v>664</v>
      </c>
      <c r="E188" s="34" t="s">
        <v>991</v>
      </c>
      <c r="F188" s="34" t="s">
        <v>492</v>
      </c>
      <c r="G188" s="34"/>
      <c r="H188" s="34">
        <v>40.49682</v>
      </c>
      <c r="I188" s="34">
        <v>-105.11552</v>
      </c>
      <c r="J188" s="34"/>
      <c r="K188" s="105">
        <v>110012150858</v>
      </c>
      <c r="L188" s="34">
        <v>4953</v>
      </c>
      <c r="M188" s="48" t="str">
        <f>VLOOKUP(L188, '2017 SIC to NAICS'!A:D, 2)</f>
        <v>Refuse Systems</v>
      </c>
      <c r="N188" s="34">
        <f>VLOOKUP(L188,'2017 SIC to NAICS'!A:D,3)</f>
        <v>562920</v>
      </c>
      <c r="O188" s="34" t="str">
        <f>VLOOKUP(L188,'2017 SIC to NAICS'!A:D,4)</f>
        <v>Materials Recovery Facilities</v>
      </c>
      <c r="P188" s="36" t="s">
        <v>754</v>
      </c>
      <c r="Q188" s="137" t="s">
        <v>755</v>
      </c>
      <c r="R188" s="45" t="s">
        <v>39</v>
      </c>
      <c r="S188" s="138">
        <f>COUNTIFS('Raw Non-zero DMR Data'!$A:$A, A188, 'Raw Non-zero DMR Data'!$C:$C, U188, 'Raw Non-zero DMR Data'!$V:$V, V188)</f>
        <v>1</v>
      </c>
      <c r="T188" s="34">
        <f>SUMIFS('Raw Non-zero DMR Data'!$X:$X, 'Raw Non-zero DMR Data'!$A:$A, A188, 'Raw Non-zero DMR Data'!$C:$C, U188, 'Raw Non-zero DMR Data'!V:V, V188)</f>
        <v>1.7898783272727199E-3</v>
      </c>
      <c r="U188" s="34" t="s">
        <v>993</v>
      </c>
      <c r="V188" s="34" t="s">
        <v>994</v>
      </c>
      <c r="W188" s="139">
        <v>101900071002</v>
      </c>
      <c r="X188" s="140" t="s">
        <v>745</v>
      </c>
    </row>
    <row r="189" spans="1:24" x14ac:dyDescent="0.35">
      <c r="A189" s="34">
        <v>2019</v>
      </c>
      <c r="B189" s="34" t="s">
        <v>632</v>
      </c>
      <c r="C189" s="34" t="s">
        <v>995</v>
      </c>
      <c r="D189" s="34" t="s">
        <v>623</v>
      </c>
      <c r="E189" s="34" t="s">
        <v>623</v>
      </c>
      <c r="F189" s="34" t="s">
        <v>492</v>
      </c>
      <c r="G189" s="34"/>
      <c r="H189" s="34">
        <v>39.751111000000002</v>
      </c>
      <c r="I189" s="34">
        <v>-105.00194399999999</v>
      </c>
      <c r="J189" s="34"/>
      <c r="K189" s="105">
        <v>110031267304</v>
      </c>
      <c r="L189" s="34">
        <v>1799</v>
      </c>
      <c r="M189" s="48" t="str">
        <f>VLOOKUP(L189, '2017 SIC to NAICS'!A:D, 2)</f>
        <v>Special Trade Contractors, Nec</v>
      </c>
      <c r="N189" s="34">
        <f>VLOOKUP(L189,'2017 SIC to NAICS'!A:D,3)</f>
        <v>562910</v>
      </c>
      <c r="O189" s="34" t="str">
        <f>VLOOKUP(L189,'2017 SIC to NAICS'!A:D,4)</f>
        <v>Remediation Services</v>
      </c>
      <c r="P189" s="36" t="s">
        <v>754</v>
      </c>
      <c r="Q189" s="137" t="s">
        <v>755</v>
      </c>
      <c r="R189" s="45" t="s">
        <v>41</v>
      </c>
      <c r="S189" s="138">
        <f>COUNTIFS('Raw Non-zero DMR Data'!$A:$A, A189, 'Raw Non-zero DMR Data'!$C:$C, U189, 'Raw Non-zero DMR Data'!$V:$V, V189)</f>
        <v>1</v>
      </c>
      <c r="T189" s="34">
        <f>SUMIFS('Raw Non-zero DMR Data'!$X:$X, 'Raw Non-zero DMR Data'!$A:$A, A189, 'Raw Non-zero DMR Data'!$C:$C, U189, 'Raw Non-zero DMR Data'!V:V, V189)</f>
        <v>5.9681880000000001E-3</v>
      </c>
      <c r="U189" s="34" t="s">
        <v>995</v>
      </c>
      <c r="V189" s="34" t="s">
        <v>987</v>
      </c>
      <c r="W189" s="139">
        <v>101900030304</v>
      </c>
      <c r="X189" s="140" t="s">
        <v>739</v>
      </c>
    </row>
    <row r="190" spans="1:24" x14ac:dyDescent="0.35">
      <c r="A190" s="34">
        <v>2020</v>
      </c>
      <c r="B190" s="34" t="s">
        <v>632</v>
      </c>
      <c r="C190" s="34" t="s">
        <v>995</v>
      </c>
      <c r="D190" s="34" t="s">
        <v>623</v>
      </c>
      <c r="E190" s="34" t="s">
        <v>623</v>
      </c>
      <c r="F190" s="34" t="s">
        <v>492</v>
      </c>
      <c r="G190" s="34"/>
      <c r="H190" s="34">
        <v>39.751111000000002</v>
      </c>
      <c r="I190" s="34">
        <v>-105.00194399999999</v>
      </c>
      <c r="J190" s="34"/>
      <c r="K190" s="105">
        <v>110031267304</v>
      </c>
      <c r="L190" s="34">
        <v>1799</v>
      </c>
      <c r="M190" s="48" t="str">
        <f>VLOOKUP(L190, '2017 SIC to NAICS'!A:D, 2)</f>
        <v>Special Trade Contractors, Nec</v>
      </c>
      <c r="N190" s="34">
        <f>VLOOKUP(L190,'2017 SIC to NAICS'!A:D,3)</f>
        <v>562910</v>
      </c>
      <c r="O190" s="34" t="str">
        <f>VLOOKUP(L190,'2017 SIC to NAICS'!A:D,4)</f>
        <v>Remediation Services</v>
      </c>
      <c r="P190" s="36" t="s">
        <v>754</v>
      </c>
      <c r="Q190" s="137" t="s">
        <v>755</v>
      </c>
      <c r="R190" s="45" t="s">
        <v>41</v>
      </c>
      <c r="S190" s="138">
        <f>COUNTIFS('Raw Non-zero DMR Data'!$A:$A, A190, 'Raw Non-zero DMR Data'!$C:$C, U190, 'Raw Non-zero DMR Data'!$V:$V, V190)</f>
        <v>1</v>
      </c>
      <c r="T190" s="34">
        <f>SUMIFS('Raw Non-zero DMR Data'!$X:$X, 'Raw Non-zero DMR Data'!$A:$A, A190, 'Raw Non-zero DMR Data'!$C:$C, U190, 'Raw Non-zero DMR Data'!V:V, V190)</f>
        <v>5.9681880000000001E-3</v>
      </c>
      <c r="U190" s="34" t="s">
        <v>995</v>
      </c>
      <c r="V190" s="34" t="s">
        <v>987</v>
      </c>
      <c r="W190" s="139">
        <v>101900030304</v>
      </c>
      <c r="X190" s="140" t="s">
        <v>739</v>
      </c>
    </row>
    <row r="191" spans="1:24" x14ac:dyDescent="0.35">
      <c r="A191" s="34">
        <v>2019</v>
      </c>
      <c r="B191" s="34" t="s">
        <v>679</v>
      </c>
      <c r="C191" s="34" t="s">
        <v>996</v>
      </c>
      <c r="D191" s="34" t="s">
        <v>680</v>
      </c>
      <c r="E191" s="34" t="s">
        <v>997</v>
      </c>
      <c r="F191" s="34" t="s">
        <v>515</v>
      </c>
      <c r="G191" s="34"/>
      <c r="H191" s="34">
        <v>38.631867</v>
      </c>
      <c r="I191" s="34">
        <v>-75.628372999999996</v>
      </c>
      <c r="J191" s="34"/>
      <c r="K191" s="105">
        <v>110000339027</v>
      </c>
      <c r="L191" s="34">
        <v>2821</v>
      </c>
      <c r="M191" s="48" t="str">
        <f>VLOOKUP(L191, '2017 SIC to NAICS'!A:D, 2)</f>
        <v>Plastics Materials and Resins</v>
      </c>
      <c r="N191" s="34">
        <f>VLOOKUP(L191,'2017 SIC to NAICS'!A:D,3)</f>
        <v>325211</v>
      </c>
      <c r="O191" s="34" t="str">
        <f>VLOOKUP(L191,'2017 SIC to NAICS'!A:D,4)</f>
        <v>Plastics Material and Resin Manufacturing</v>
      </c>
      <c r="P191" s="36" t="s">
        <v>796</v>
      </c>
      <c r="Q191" s="137" t="s">
        <v>797</v>
      </c>
      <c r="R191" s="45" t="s">
        <v>41</v>
      </c>
      <c r="S191" s="138">
        <f>COUNTIFS('Raw Non-zero DMR Data'!$A:$A, A191, 'Raw Non-zero DMR Data'!$C:$C, U191, 'Raw Non-zero DMR Data'!$V:$V, V191)</f>
        <v>1</v>
      </c>
      <c r="T191" s="34">
        <f>SUMIFS('Raw Non-zero DMR Data'!$X:$X, 'Raw Non-zero DMR Data'!$A:$A, A191, 'Raw Non-zero DMR Data'!$C:$C, U191, 'Raw Non-zero DMR Data'!V:V, V191)</f>
        <v>9.1481E-5</v>
      </c>
      <c r="U191" s="34" t="s">
        <v>996</v>
      </c>
      <c r="V191" s="34" t="s">
        <v>998</v>
      </c>
      <c r="W191" s="139">
        <v>20801090405</v>
      </c>
      <c r="X191" s="140" t="s">
        <v>812</v>
      </c>
    </row>
    <row r="192" spans="1:24" x14ac:dyDescent="0.35">
      <c r="A192" s="34">
        <v>2020</v>
      </c>
      <c r="B192" s="34" t="s">
        <v>679</v>
      </c>
      <c r="C192" s="34" t="s">
        <v>996</v>
      </c>
      <c r="D192" s="34" t="s">
        <v>680</v>
      </c>
      <c r="E192" s="34" t="s">
        <v>997</v>
      </c>
      <c r="F192" s="34" t="s">
        <v>515</v>
      </c>
      <c r="G192" s="34"/>
      <c r="H192" s="34">
        <v>38.631867</v>
      </c>
      <c r="I192" s="34">
        <v>-75.628372999999996</v>
      </c>
      <c r="J192" s="34"/>
      <c r="K192" s="105">
        <v>110000339027</v>
      </c>
      <c r="L192" s="34">
        <v>2821</v>
      </c>
      <c r="M192" s="48" t="str">
        <f>VLOOKUP(L192, '2017 SIC to NAICS'!A:D, 2)</f>
        <v>Plastics Materials and Resins</v>
      </c>
      <c r="N192" s="34">
        <f>VLOOKUP(L192,'2017 SIC to NAICS'!A:D,3)</f>
        <v>325211</v>
      </c>
      <c r="O192" s="34" t="str">
        <f>VLOOKUP(L192,'2017 SIC to NAICS'!A:D,4)</f>
        <v>Plastics Material and Resin Manufacturing</v>
      </c>
      <c r="P192" s="36" t="s">
        <v>796</v>
      </c>
      <c r="Q192" s="137" t="s">
        <v>797</v>
      </c>
      <c r="R192" s="45" t="s">
        <v>41</v>
      </c>
      <c r="S192" s="138">
        <f>COUNTIFS('Raw Non-zero DMR Data'!$A:$A, A192, 'Raw Non-zero DMR Data'!$C:$C, U192, 'Raw Non-zero DMR Data'!$V:$V, V192)</f>
        <v>1</v>
      </c>
      <c r="T192" s="34">
        <f>SUMIFS('Raw Non-zero DMR Data'!$X:$X, 'Raw Non-zero DMR Data'!$A:$A, A192, 'Raw Non-zero DMR Data'!$C:$C, U192, 'Raw Non-zero DMR Data'!V:V, V192)</f>
        <v>7.0370000000000003E-4</v>
      </c>
      <c r="U192" s="34" t="s">
        <v>996</v>
      </c>
      <c r="V192" s="34" t="s">
        <v>998</v>
      </c>
      <c r="W192" s="139">
        <v>20801090405</v>
      </c>
      <c r="X192" s="140" t="s">
        <v>812</v>
      </c>
    </row>
    <row r="193" spans="1:24" x14ac:dyDescent="0.35">
      <c r="A193" s="34">
        <v>2021</v>
      </c>
      <c r="B193" s="34" t="s">
        <v>679</v>
      </c>
      <c r="C193" s="34" t="s">
        <v>996</v>
      </c>
      <c r="D193" s="34" t="s">
        <v>680</v>
      </c>
      <c r="E193" s="34" t="s">
        <v>997</v>
      </c>
      <c r="F193" s="34" t="s">
        <v>515</v>
      </c>
      <c r="G193" s="34"/>
      <c r="H193" s="34">
        <v>38.631867</v>
      </c>
      <c r="I193" s="34">
        <v>-75.628372999999996</v>
      </c>
      <c r="J193" s="34"/>
      <c r="K193" s="105">
        <v>110000339027</v>
      </c>
      <c r="L193" s="34">
        <v>2821</v>
      </c>
      <c r="M193" s="48" t="str">
        <f>VLOOKUP(L193, '2017 SIC to NAICS'!A:D, 2)</f>
        <v>Plastics Materials and Resins</v>
      </c>
      <c r="N193" s="34">
        <f>VLOOKUP(L193,'2017 SIC to NAICS'!A:D,3)</f>
        <v>325211</v>
      </c>
      <c r="O193" s="34" t="str">
        <f>VLOOKUP(L193,'2017 SIC to NAICS'!A:D,4)</f>
        <v>Plastics Material and Resin Manufacturing</v>
      </c>
      <c r="P193" s="36" t="s">
        <v>796</v>
      </c>
      <c r="Q193" s="137" t="s">
        <v>797</v>
      </c>
      <c r="R193" s="45" t="s">
        <v>41</v>
      </c>
      <c r="S193" s="138">
        <f>COUNTIFS('Raw Non-zero DMR Data'!$A:$A, A193, 'Raw Non-zero DMR Data'!$C:$C, U193, 'Raw Non-zero DMR Data'!$V:$V, V193)</f>
        <v>1</v>
      </c>
      <c r="T193" s="34">
        <f>SUMIFS('Raw Non-zero DMR Data'!$X:$X, 'Raw Non-zero DMR Data'!$A:$A, A193, 'Raw Non-zero DMR Data'!$C:$C, U193, 'Raw Non-zero DMR Data'!V:V, V193)</f>
        <v>3.5185000000000001E-4</v>
      </c>
      <c r="U193" s="34" t="s">
        <v>996</v>
      </c>
      <c r="V193" s="34" t="s">
        <v>998</v>
      </c>
      <c r="W193" s="139">
        <v>20801090405</v>
      </c>
      <c r="X193" s="140" t="s">
        <v>812</v>
      </c>
    </row>
    <row r="194" spans="1:24" x14ac:dyDescent="0.35">
      <c r="A194" s="34">
        <v>2022</v>
      </c>
      <c r="B194" s="34" t="s">
        <v>679</v>
      </c>
      <c r="C194" s="34" t="s">
        <v>996</v>
      </c>
      <c r="D194" s="34" t="s">
        <v>680</v>
      </c>
      <c r="E194" s="34" t="s">
        <v>997</v>
      </c>
      <c r="F194" s="34" t="s">
        <v>515</v>
      </c>
      <c r="G194" s="34"/>
      <c r="H194" s="34">
        <v>38.631867</v>
      </c>
      <c r="I194" s="34">
        <v>-75.628372999999996</v>
      </c>
      <c r="J194" s="34"/>
      <c r="K194" s="105">
        <v>110000339027</v>
      </c>
      <c r="L194" s="34">
        <v>2821</v>
      </c>
      <c r="M194" s="48" t="str">
        <f>VLOOKUP(L194, '2017 SIC to NAICS'!A:D, 2)</f>
        <v>Plastics Materials and Resins</v>
      </c>
      <c r="N194" s="34">
        <f>VLOOKUP(L194,'2017 SIC to NAICS'!A:D,3)</f>
        <v>325211</v>
      </c>
      <c r="O194" s="34" t="str">
        <f>VLOOKUP(L194,'2017 SIC to NAICS'!A:D,4)</f>
        <v>Plastics Material and Resin Manufacturing</v>
      </c>
      <c r="P194" s="36" t="s">
        <v>796</v>
      </c>
      <c r="Q194" s="137" t="s">
        <v>797</v>
      </c>
      <c r="R194" s="45" t="s">
        <v>41</v>
      </c>
      <c r="S194" s="138">
        <f>COUNTIFS('Raw Non-zero DMR Data'!$A:$A, A194, 'Raw Non-zero DMR Data'!$C:$C, U194, 'Raw Non-zero DMR Data'!$V:$V, V194)</f>
        <v>1</v>
      </c>
      <c r="T194" s="34">
        <f>SUMIFS('Raw Non-zero DMR Data'!$X:$X, 'Raw Non-zero DMR Data'!$A:$A, A194, 'Raw Non-zero DMR Data'!$C:$C, U194, 'Raw Non-zero DMR Data'!V:V, V194)</f>
        <v>1.4073999999999999E-5</v>
      </c>
      <c r="U194" s="34" t="s">
        <v>996</v>
      </c>
      <c r="V194" s="34" t="s">
        <v>998</v>
      </c>
      <c r="W194" s="141" t="s">
        <v>999</v>
      </c>
      <c r="X194" s="140" t="s">
        <v>812</v>
      </c>
    </row>
    <row r="195" spans="1:24" x14ac:dyDescent="0.35">
      <c r="A195" s="34">
        <v>2023</v>
      </c>
      <c r="B195" s="34" t="s">
        <v>679</v>
      </c>
      <c r="C195" s="34" t="s">
        <v>996</v>
      </c>
      <c r="D195" s="34" t="s">
        <v>680</v>
      </c>
      <c r="E195" s="34" t="s">
        <v>997</v>
      </c>
      <c r="F195" s="34" t="s">
        <v>515</v>
      </c>
      <c r="G195" s="34"/>
      <c r="H195" s="34">
        <v>38.631867</v>
      </c>
      <c r="I195" s="34">
        <v>-75.628372999999996</v>
      </c>
      <c r="J195" s="34"/>
      <c r="K195" s="105">
        <v>110000339027</v>
      </c>
      <c r="L195" s="34">
        <v>2821</v>
      </c>
      <c r="M195" s="48" t="str">
        <f>VLOOKUP(L195, '2017 SIC to NAICS'!A:D, 2)</f>
        <v>Plastics Materials and Resins</v>
      </c>
      <c r="N195" s="34">
        <f>VLOOKUP(L195,'2017 SIC to NAICS'!A:D,3)</f>
        <v>325211</v>
      </c>
      <c r="O195" s="34" t="str">
        <f>VLOOKUP(L195,'2017 SIC to NAICS'!A:D,4)</f>
        <v>Plastics Material and Resin Manufacturing</v>
      </c>
      <c r="P195" s="36" t="s">
        <v>796</v>
      </c>
      <c r="Q195" s="137" t="s">
        <v>797</v>
      </c>
      <c r="R195" s="45" t="s">
        <v>41</v>
      </c>
      <c r="S195" s="138">
        <f>COUNTIFS('Raw Non-zero DMR Data'!$A:$A, A195, 'Raw Non-zero DMR Data'!$C:$C, U195, 'Raw Non-zero DMR Data'!$V:$V, V195)</f>
        <v>1</v>
      </c>
      <c r="T195" s="34">
        <f>SUMIFS('Raw Non-zero DMR Data'!$X:$X, 'Raw Non-zero DMR Data'!$A:$A, A195, 'Raw Non-zero DMR Data'!$C:$C, U195, 'Raw Non-zero DMR Data'!V:V, V195)</f>
        <v>4.9258999999999997E-5</v>
      </c>
      <c r="U195" s="34" t="s">
        <v>996</v>
      </c>
      <c r="V195" s="34" t="s">
        <v>998</v>
      </c>
      <c r="W195" s="141" t="s">
        <v>999</v>
      </c>
      <c r="X195" s="140" t="s">
        <v>812</v>
      </c>
    </row>
    <row r="196" spans="1:24" x14ac:dyDescent="0.35">
      <c r="A196" s="34">
        <v>2019</v>
      </c>
      <c r="B196" s="34" t="s">
        <v>513</v>
      </c>
      <c r="C196" s="34" t="s">
        <v>1000</v>
      </c>
      <c r="D196" s="34" t="s">
        <v>514</v>
      </c>
      <c r="E196" s="34" t="s">
        <v>1001</v>
      </c>
      <c r="F196" s="34" t="s">
        <v>515</v>
      </c>
      <c r="G196" s="34"/>
      <c r="H196" s="34">
        <v>39.585099999999997</v>
      </c>
      <c r="I196" s="34">
        <v>-75.649199999999993</v>
      </c>
      <c r="J196" s="34"/>
      <c r="K196" s="105">
        <v>110000338536</v>
      </c>
      <c r="L196" s="34">
        <v>2821</v>
      </c>
      <c r="M196" s="48" t="str">
        <f>VLOOKUP(L196, '2017 SIC to NAICS'!A:D, 2)</f>
        <v>Plastics Materials and Resins</v>
      </c>
      <c r="N196" s="34">
        <f>VLOOKUP(L196,'2017 SIC to NAICS'!A:D,3)</f>
        <v>325211</v>
      </c>
      <c r="O196" s="34" t="str">
        <f>VLOOKUP(L196,'2017 SIC to NAICS'!A:D,4)</f>
        <v>Plastics Material and Resin Manufacturing</v>
      </c>
      <c r="P196" s="36" t="s">
        <v>796</v>
      </c>
      <c r="Q196" s="137" t="s">
        <v>797</v>
      </c>
      <c r="R196" s="45" t="s">
        <v>41</v>
      </c>
      <c r="S196" s="138">
        <f>COUNTIFS('Raw Non-zero DMR Data'!$A:$A, A196, 'Raw Non-zero DMR Data'!$C:$C, U196, 'Raw Non-zero DMR Data'!$V:$V, V196)</f>
        <v>1</v>
      </c>
      <c r="T196" s="34">
        <f>SUMIFS('Raw Non-zero DMR Data'!$X:$X, 'Raw Non-zero DMR Data'!$A:$A, A196, 'Raw Non-zero DMR Data'!$C:$C, U196, 'Raw Non-zero DMR Data'!V:V, V196)</f>
        <v>4.2562500000000003E-2</v>
      </c>
      <c r="U196" s="34" t="s">
        <v>1000</v>
      </c>
      <c r="V196" s="34" t="s">
        <v>1002</v>
      </c>
      <c r="W196" s="139">
        <v>20402050704</v>
      </c>
      <c r="X196" s="140" t="s">
        <v>812</v>
      </c>
    </row>
    <row r="197" spans="1:24" x14ac:dyDescent="0.35">
      <c r="A197" s="34">
        <v>2020</v>
      </c>
      <c r="B197" s="34" t="s">
        <v>513</v>
      </c>
      <c r="C197" s="34" t="s">
        <v>1000</v>
      </c>
      <c r="D197" s="34" t="s">
        <v>514</v>
      </c>
      <c r="E197" s="34" t="s">
        <v>1001</v>
      </c>
      <c r="F197" s="34" t="s">
        <v>515</v>
      </c>
      <c r="G197" s="34"/>
      <c r="H197" s="34">
        <v>39.585099999999997</v>
      </c>
      <c r="I197" s="34">
        <v>-75.649199999999993</v>
      </c>
      <c r="J197" s="34"/>
      <c r="K197" s="105">
        <v>110000338536</v>
      </c>
      <c r="L197" s="34">
        <v>2821</v>
      </c>
      <c r="M197" s="48" t="str">
        <f>VLOOKUP(L197, '2017 SIC to NAICS'!A:D, 2)</f>
        <v>Plastics Materials and Resins</v>
      </c>
      <c r="N197" s="34">
        <f>VLOOKUP(L197,'2017 SIC to NAICS'!A:D,3)</f>
        <v>325211</v>
      </c>
      <c r="O197" s="34" t="str">
        <f>VLOOKUP(L197,'2017 SIC to NAICS'!A:D,4)</f>
        <v>Plastics Material and Resin Manufacturing</v>
      </c>
      <c r="P197" s="36" t="s">
        <v>796</v>
      </c>
      <c r="Q197" s="137" t="s">
        <v>797</v>
      </c>
      <c r="R197" s="45" t="s">
        <v>41</v>
      </c>
      <c r="S197" s="138">
        <f>COUNTIFS('Raw Non-zero DMR Data'!$A:$A, A197, 'Raw Non-zero DMR Data'!$C:$C, U197, 'Raw Non-zero DMR Data'!$V:$V, V197)</f>
        <v>1</v>
      </c>
      <c r="T197" s="34">
        <f>SUMIFS('Raw Non-zero DMR Data'!$X:$X, 'Raw Non-zero DMR Data'!$A:$A, A197, 'Raw Non-zero DMR Data'!$C:$C, U197, 'Raw Non-zero DMR Data'!V:V, V197)</f>
        <v>1.0555500000000001E-2</v>
      </c>
      <c r="U197" s="34" t="s">
        <v>1000</v>
      </c>
      <c r="V197" s="34" t="s">
        <v>1002</v>
      </c>
      <c r="W197" s="139">
        <v>20402050704</v>
      </c>
      <c r="X197" s="140" t="s">
        <v>812</v>
      </c>
    </row>
    <row r="198" spans="1:24" x14ac:dyDescent="0.35">
      <c r="A198" s="34">
        <v>2019</v>
      </c>
      <c r="B198" s="34" t="s">
        <v>565</v>
      </c>
      <c r="C198" s="34" t="s">
        <v>1003</v>
      </c>
      <c r="D198" s="34" t="s">
        <v>566</v>
      </c>
      <c r="E198" s="34" t="s">
        <v>1004</v>
      </c>
      <c r="F198" s="34" t="s">
        <v>567</v>
      </c>
      <c r="G198" s="34"/>
      <c r="H198" s="34">
        <v>34.632592000000002</v>
      </c>
      <c r="I198" s="34">
        <v>-84.927667999999997</v>
      </c>
      <c r="J198" s="34"/>
      <c r="K198" s="105">
        <v>110000611703</v>
      </c>
      <c r="L198" s="34">
        <v>2821</v>
      </c>
      <c r="M198" s="48" t="str">
        <f>VLOOKUP(L198, '2017 SIC to NAICS'!A:D, 2)</f>
        <v>Plastics Materials and Resins</v>
      </c>
      <c r="N198" s="34">
        <f>VLOOKUP(L198,'2017 SIC to NAICS'!A:D,3)</f>
        <v>325211</v>
      </c>
      <c r="O198" s="34" t="str">
        <f>VLOOKUP(L198,'2017 SIC to NAICS'!A:D,4)</f>
        <v>Plastics Material and Resin Manufacturing</v>
      </c>
      <c r="P198" s="36" t="s">
        <v>796</v>
      </c>
      <c r="Q198" s="137" t="s">
        <v>797</v>
      </c>
      <c r="R198" s="45" t="s">
        <v>41</v>
      </c>
      <c r="S198" s="138">
        <f>COUNTIFS('Raw Non-zero DMR Data'!$A:$A, A198, 'Raw Non-zero DMR Data'!$C:$C, U198, 'Raw Non-zero DMR Data'!$V:$V, V198)</f>
        <v>1</v>
      </c>
      <c r="T198" s="34">
        <f>SUMIFS('Raw Non-zero DMR Data'!$X:$X, 'Raw Non-zero DMR Data'!$A:$A, A198, 'Raw Non-zero DMR Data'!$C:$C, U198, 'Raw Non-zero DMR Data'!V:V, V198)</f>
        <v>2.1111000000000001E-2</v>
      </c>
      <c r="U198" s="34" t="s">
        <v>1003</v>
      </c>
      <c r="V198" s="34" t="s">
        <v>1005</v>
      </c>
      <c r="W198" s="139">
        <v>31501010504</v>
      </c>
      <c r="X198" s="140" t="s">
        <v>1006</v>
      </c>
    </row>
    <row r="199" spans="1:24" x14ac:dyDescent="0.35">
      <c r="A199" s="34">
        <v>2020</v>
      </c>
      <c r="B199" s="34" t="s">
        <v>565</v>
      </c>
      <c r="C199" s="34" t="s">
        <v>1003</v>
      </c>
      <c r="D199" s="34" t="s">
        <v>566</v>
      </c>
      <c r="E199" s="34" t="s">
        <v>1004</v>
      </c>
      <c r="F199" s="34" t="s">
        <v>567</v>
      </c>
      <c r="G199" s="34"/>
      <c r="H199" s="34">
        <v>34.632592000000002</v>
      </c>
      <c r="I199" s="34">
        <v>-84.927667999999997</v>
      </c>
      <c r="J199" s="34"/>
      <c r="K199" s="105">
        <v>110000611703</v>
      </c>
      <c r="L199" s="34">
        <v>2821</v>
      </c>
      <c r="M199" s="48" t="str">
        <f>VLOOKUP(L199, '2017 SIC to NAICS'!A:D, 2)</f>
        <v>Plastics Materials and Resins</v>
      </c>
      <c r="N199" s="34">
        <f>VLOOKUP(L199,'2017 SIC to NAICS'!A:D,3)</f>
        <v>325211</v>
      </c>
      <c r="O199" s="34" t="str">
        <f>VLOOKUP(L199,'2017 SIC to NAICS'!A:D,4)</f>
        <v>Plastics Material and Resin Manufacturing</v>
      </c>
      <c r="P199" s="36" t="s">
        <v>796</v>
      </c>
      <c r="Q199" s="137" t="s">
        <v>797</v>
      </c>
      <c r="R199" s="45" t="s">
        <v>41</v>
      </c>
      <c r="S199" s="138">
        <f>COUNTIFS('Raw Non-zero DMR Data'!$A:$A, A199, 'Raw Non-zero DMR Data'!$C:$C, U199, 'Raw Non-zero DMR Data'!$V:$V, V199)</f>
        <v>1</v>
      </c>
      <c r="T199" s="34">
        <f>SUMIFS('Raw Non-zero DMR Data'!$X:$X, 'Raw Non-zero DMR Data'!$A:$A, A199, 'Raw Non-zero DMR Data'!$C:$C, U199, 'Raw Non-zero DMR Data'!V:V, V199)</f>
        <v>1.4074E-2</v>
      </c>
      <c r="U199" s="34" t="s">
        <v>1003</v>
      </c>
      <c r="V199" s="34" t="s">
        <v>1005</v>
      </c>
      <c r="W199" s="139">
        <v>31501010504</v>
      </c>
      <c r="X199" s="140" t="s">
        <v>1006</v>
      </c>
    </row>
    <row r="200" spans="1:24" x14ac:dyDescent="0.35">
      <c r="A200" s="34">
        <v>2021</v>
      </c>
      <c r="B200" s="34" t="s">
        <v>565</v>
      </c>
      <c r="C200" s="34" t="s">
        <v>1003</v>
      </c>
      <c r="D200" s="34" t="s">
        <v>566</v>
      </c>
      <c r="E200" s="34" t="s">
        <v>1004</v>
      </c>
      <c r="F200" s="34" t="s">
        <v>567</v>
      </c>
      <c r="G200" s="34"/>
      <c r="H200" s="34">
        <v>34.632592000000002</v>
      </c>
      <c r="I200" s="34">
        <v>-84.927667999999997</v>
      </c>
      <c r="J200" s="34"/>
      <c r="K200" s="105">
        <v>110000611703</v>
      </c>
      <c r="L200" s="34">
        <v>2821</v>
      </c>
      <c r="M200" s="48" t="str">
        <f>VLOOKUP(L200, '2017 SIC to NAICS'!A:D, 2)</f>
        <v>Plastics Materials and Resins</v>
      </c>
      <c r="N200" s="34">
        <f>VLOOKUP(L200,'2017 SIC to NAICS'!A:D,3)</f>
        <v>325211</v>
      </c>
      <c r="O200" s="34" t="str">
        <f>VLOOKUP(L200,'2017 SIC to NAICS'!A:D,4)</f>
        <v>Plastics Material and Resin Manufacturing</v>
      </c>
      <c r="P200" s="36" t="s">
        <v>796</v>
      </c>
      <c r="Q200" s="137" t="s">
        <v>797</v>
      </c>
      <c r="R200" s="45" t="s">
        <v>41</v>
      </c>
      <c r="S200" s="138">
        <f>COUNTIFS('Raw Non-zero DMR Data'!$A:$A, A200, 'Raw Non-zero DMR Data'!$C:$C, U200, 'Raw Non-zero DMR Data'!$V:$V, V200)</f>
        <v>1</v>
      </c>
      <c r="T200" s="34">
        <f>SUMIFS('Raw Non-zero DMR Data'!$X:$X, 'Raw Non-zero DMR Data'!$A:$A, A200, 'Raw Non-zero DMR Data'!$C:$C, U200, 'Raw Non-zero DMR Data'!V:V, V200)</f>
        <v>7.0369999999999999E-3</v>
      </c>
      <c r="U200" s="34" t="s">
        <v>1003</v>
      </c>
      <c r="V200" s="34" t="s">
        <v>1005</v>
      </c>
      <c r="W200" s="139">
        <v>31501010504</v>
      </c>
      <c r="X200" s="140" t="s">
        <v>1006</v>
      </c>
    </row>
    <row r="201" spans="1:24" x14ac:dyDescent="0.35">
      <c r="A201" s="34">
        <v>2019</v>
      </c>
      <c r="B201" s="34" t="s">
        <v>154</v>
      </c>
      <c r="C201" s="34" t="s">
        <v>1007</v>
      </c>
      <c r="D201" s="34" t="s">
        <v>155</v>
      </c>
      <c r="E201" s="34" t="s">
        <v>1008</v>
      </c>
      <c r="F201" s="34" t="s">
        <v>156</v>
      </c>
      <c r="G201" s="34"/>
      <c r="H201" s="34">
        <v>21.304500000000001</v>
      </c>
      <c r="I201" s="34">
        <v>-157.88205600000001</v>
      </c>
      <c r="J201" s="34"/>
      <c r="K201" s="105">
        <v>110005726802</v>
      </c>
      <c r="L201" s="34">
        <v>4952</v>
      </c>
      <c r="M201" s="48" t="str">
        <f>VLOOKUP(L201, '2017 SIC to NAICS'!A:D, 2)</f>
        <v>Sewerage Systems</v>
      </c>
      <c r="N201" s="34">
        <f>VLOOKUP(L201,'2017 SIC to NAICS'!A:D,3)</f>
        <v>221320</v>
      </c>
      <c r="O201" s="34" t="str">
        <f>VLOOKUP(L201,'2017 SIC to NAICS'!A:D,4)</f>
        <v>Sewage Treatment Facilities</v>
      </c>
      <c r="P201" s="36" t="s">
        <v>742</v>
      </c>
      <c r="Q201" s="137" t="s">
        <v>743</v>
      </c>
      <c r="R201" s="45" t="s">
        <v>38</v>
      </c>
      <c r="S201" s="138">
        <f>COUNTIFS('Raw Non-zero DMR Data'!$A:$A, A201, 'Raw Non-zero DMR Data'!$C:$C, U201, 'Raw Non-zero DMR Data'!$V:$V, V201)</f>
        <v>1</v>
      </c>
      <c r="T201" s="34">
        <f>SUMIFS('Raw Non-zero DMR Data'!$X:$X, 'Raw Non-zero DMR Data'!$A:$A, A201, 'Raw Non-zero DMR Data'!$C:$C, U201, 'Raw Non-zero DMR Data'!V:V, V201)</f>
        <v>0.75884102399999998</v>
      </c>
      <c r="U201" s="34" t="s">
        <v>1007</v>
      </c>
      <c r="V201" s="34" t="s">
        <v>1009</v>
      </c>
      <c r="W201" s="139">
        <v>200600000304</v>
      </c>
      <c r="X201" s="140" t="s">
        <v>745</v>
      </c>
    </row>
    <row r="202" spans="1:24" x14ac:dyDescent="0.35">
      <c r="A202" s="34">
        <v>2020</v>
      </c>
      <c r="B202" s="34" t="s">
        <v>154</v>
      </c>
      <c r="C202" s="34" t="s">
        <v>1007</v>
      </c>
      <c r="D202" s="34" t="s">
        <v>155</v>
      </c>
      <c r="E202" s="34" t="s">
        <v>1008</v>
      </c>
      <c r="F202" s="34" t="s">
        <v>156</v>
      </c>
      <c r="G202" s="34"/>
      <c r="H202" s="34">
        <v>21.304500000000001</v>
      </c>
      <c r="I202" s="34">
        <v>-157.88205600000001</v>
      </c>
      <c r="J202" s="34"/>
      <c r="K202" s="105">
        <v>110005726802</v>
      </c>
      <c r="L202" s="34">
        <v>4952</v>
      </c>
      <c r="M202" s="48" t="str">
        <f>VLOOKUP(L202, '2017 SIC to NAICS'!A:D, 2)</f>
        <v>Sewerage Systems</v>
      </c>
      <c r="N202" s="34">
        <f>VLOOKUP(L202,'2017 SIC to NAICS'!A:D,3)</f>
        <v>221320</v>
      </c>
      <c r="O202" s="34" t="str">
        <f>VLOOKUP(L202,'2017 SIC to NAICS'!A:D,4)</f>
        <v>Sewage Treatment Facilities</v>
      </c>
      <c r="P202" s="36" t="s">
        <v>742</v>
      </c>
      <c r="Q202" s="137" t="s">
        <v>743</v>
      </c>
      <c r="R202" s="45" t="s">
        <v>38</v>
      </c>
      <c r="S202" s="138">
        <f>COUNTIFS('Raw Non-zero DMR Data'!$A:$A, A202, 'Raw Non-zero DMR Data'!$C:$C, U202, 'Raw Non-zero DMR Data'!$V:$V, V202)</f>
        <v>1</v>
      </c>
      <c r="T202" s="34">
        <f>SUMIFS('Raw Non-zero DMR Data'!$X:$X, 'Raw Non-zero DMR Data'!$A:$A, A202, 'Raw Non-zero DMR Data'!$C:$C, U202, 'Raw Non-zero DMR Data'!V:V, V202)</f>
        <v>10.42988544</v>
      </c>
      <c r="U202" s="34" t="s">
        <v>1007</v>
      </c>
      <c r="V202" s="34" t="s">
        <v>1009</v>
      </c>
      <c r="W202" s="139">
        <v>200600000304</v>
      </c>
      <c r="X202" s="140" t="s">
        <v>745</v>
      </c>
    </row>
    <row r="203" spans="1:24" x14ac:dyDescent="0.35">
      <c r="A203" s="34">
        <v>2020</v>
      </c>
      <c r="B203" s="34" t="s">
        <v>365</v>
      </c>
      <c r="C203" s="34" t="s">
        <v>1010</v>
      </c>
      <c r="D203" s="34" t="s">
        <v>366</v>
      </c>
      <c r="E203" s="34" t="s">
        <v>1011</v>
      </c>
      <c r="F203" s="34" t="s">
        <v>156</v>
      </c>
      <c r="G203" s="34"/>
      <c r="H203" s="34">
        <v>22.079093</v>
      </c>
      <c r="I203" s="34">
        <v>-159.35138900000001</v>
      </c>
      <c r="J203" s="34"/>
      <c r="K203" s="105">
        <v>110010731262</v>
      </c>
      <c r="L203" s="34">
        <v>4952</v>
      </c>
      <c r="M203" s="48" t="str">
        <f>VLOOKUP(L203, '2017 SIC to NAICS'!A:D, 2)</f>
        <v>Sewerage Systems</v>
      </c>
      <c r="N203" s="34">
        <f>VLOOKUP(L203,'2017 SIC to NAICS'!A:D,3)</f>
        <v>221320</v>
      </c>
      <c r="O203" s="34" t="str">
        <f>VLOOKUP(L203,'2017 SIC to NAICS'!A:D,4)</f>
        <v>Sewage Treatment Facilities</v>
      </c>
      <c r="P203" s="36" t="s">
        <v>742</v>
      </c>
      <c r="Q203" s="137" t="s">
        <v>743</v>
      </c>
      <c r="R203" s="45" t="s">
        <v>38</v>
      </c>
      <c r="S203" s="138">
        <f>COUNTIFS('Raw Non-zero DMR Data'!$A:$A, A203, 'Raw Non-zero DMR Data'!$C:$C, U203, 'Raw Non-zero DMR Data'!$V:$V, V203)</f>
        <v>1</v>
      </c>
      <c r="T203" s="34">
        <f>SUMIFS('Raw Non-zero DMR Data'!$X:$X, 'Raw Non-zero DMR Data'!$A:$A, A203, 'Raw Non-zero DMR Data'!$C:$C, U203, 'Raw Non-zero DMR Data'!V:V, V203)</f>
        <v>0.1692368125</v>
      </c>
      <c r="U203" s="34" t="s">
        <v>1010</v>
      </c>
      <c r="V203" s="34" t="s">
        <v>1012</v>
      </c>
      <c r="W203" s="139">
        <v>200700000202</v>
      </c>
      <c r="X203" s="140" t="s">
        <v>745</v>
      </c>
    </row>
    <row r="204" spans="1:24" x14ac:dyDescent="0.35">
      <c r="A204" s="34">
        <v>2021</v>
      </c>
      <c r="B204" s="34" t="s">
        <v>365</v>
      </c>
      <c r="C204" s="34" t="s">
        <v>1010</v>
      </c>
      <c r="D204" s="34" t="s">
        <v>366</v>
      </c>
      <c r="E204" s="34" t="s">
        <v>1011</v>
      </c>
      <c r="F204" s="34" t="s">
        <v>156</v>
      </c>
      <c r="G204" s="34"/>
      <c r="H204" s="34">
        <v>22.079093</v>
      </c>
      <c r="I204" s="34">
        <v>-159.35138900000001</v>
      </c>
      <c r="J204" s="34"/>
      <c r="K204" s="105">
        <v>110010731262</v>
      </c>
      <c r="L204" s="34">
        <v>4952</v>
      </c>
      <c r="M204" s="48" t="str">
        <f>VLOOKUP(L204, '2017 SIC to NAICS'!A:D, 2)</f>
        <v>Sewerage Systems</v>
      </c>
      <c r="N204" s="34">
        <f>VLOOKUP(L204,'2017 SIC to NAICS'!A:D,3)</f>
        <v>221320</v>
      </c>
      <c r="O204" s="34" t="str">
        <f>VLOOKUP(L204,'2017 SIC to NAICS'!A:D,4)</f>
        <v>Sewage Treatment Facilities</v>
      </c>
      <c r="P204" s="36" t="s">
        <v>742</v>
      </c>
      <c r="Q204" s="137" t="s">
        <v>743</v>
      </c>
      <c r="R204" s="45" t="s">
        <v>38</v>
      </c>
      <c r="S204" s="138">
        <f>COUNTIFS('Raw Non-zero DMR Data'!$A:$A, A204, 'Raw Non-zero DMR Data'!$C:$C, U204, 'Raw Non-zero DMR Data'!$V:$V, V204)</f>
        <v>1</v>
      </c>
      <c r="T204" s="34">
        <f>SUMIFS('Raw Non-zero DMR Data'!$X:$X, 'Raw Non-zero DMR Data'!$A:$A, A204, 'Raw Non-zero DMR Data'!$C:$C, U204, 'Raw Non-zero DMR Data'!V:V, V204)</f>
        <v>0.16474685624999999</v>
      </c>
      <c r="U204" s="34" t="s">
        <v>1010</v>
      </c>
      <c r="V204" s="34" t="s">
        <v>1012</v>
      </c>
      <c r="W204" s="139">
        <v>200700000202</v>
      </c>
      <c r="X204" s="140" t="s">
        <v>745</v>
      </c>
    </row>
    <row r="205" spans="1:24" x14ac:dyDescent="0.35">
      <c r="A205" s="34">
        <v>2022</v>
      </c>
      <c r="B205" s="34" t="s">
        <v>365</v>
      </c>
      <c r="C205" s="34" t="s">
        <v>1010</v>
      </c>
      <c r="D205" s="34" t="s">
        <v>366</v>
      </c>
      <c r="E205" s="34" t="s">
        <v>1011</v>
      </c>
      <c r="F205" s="34" t="s">
        <v>156</v>
      </c>
      <c r="G205" s="34"/>
      <c r="H205" s="34">
        <v>22.079093</v>
      </c>
      <c r="I205" s="34">
        <v>-159.35138900000001</v>
      </c>
      <c r="J205" s="34"/>
      <c r="K205" s="105">
        <v>110010731262</v>
      </c>
      <c r="L205" s="34">
        <v>4952</v>
      </c>
      <c r="M205" s="48" t="str">
        <f>VLOOKUP(L205, '2017 SIC to NAICS'!A:D, 2)</f>
        <v>Sewerage Systems</v>
      </c>
      <c r="N205" s="34">
        <f>VLOOKUP(L205,'2017 SIC to NAICS'!A:D,3)</f>
        <v>221320</v>
      </c>
      <c r="O205" s="34" t="str">
        <f>VLOOKUP(L205,'2017 SIC to NAICS'!A:D,4)</f>
        <v>Sewage Treatment Facilities</v>
      </c>
      <c r="P205" s="36" t="s">
        <v>742</v>
      </c>
      <c r="Q205" s="137" t="s">
        <v>743</v>
      </c>
      <c r="R205" s="45" t="s">
        <v>38</v>
      </c>
      <c r="S205" s="138">
        <f>COUNTIFS('Raw Non-zero DMR Data'!$A:$A, A205, 'Raw Non-zero DMR Data'!$C:$C, U205, 'Raw Non-zero DMR Data'!$V:$V, V205)</f>
        <v>1</v>
      </c>
      <c r="T205" s="34">
        <f>SUMIFS('Raw Non-zero DMR Data'!$X:$X, 'Raw Non-zero DMR Data'!$A:$A, A205, 'Raw Non-zero DMR Data'!$C:$C, U205, 'Raw Non-zero DMR Data'!V:V, V205)</f>
        <v>0.40810248500000001</v>
      </c>
      <c r="U205" s="34" t="s">
        <v>1010</v>
      </c>
      <c r="V205" s="34" t="s">
        <v>1012</v>
      </c>
      <c r="W205" s="139">
        <v>200700000202</v>
      </c>
      <c r="X205" s="140" t="s">
        <v>745</v>
      </c>
    </row>
    <row r="206" spans="1:24" x14ac:dyDescent="0.35">
      <c r="A206" s="34">
        <v>2023</v>
      </c>
      <c r="B206" s="34" t="s">
        <v>365</v>
      </c>
      <c r="C206" s="34" t="s">
        <v>1010</v>
      </c>
      <c r="D206" s="34" t="s">
        <v>366</v>
      </c>
      <c r="E206" s="34" t="s">
        <v>1011</v>
      </c>
      <c r="F206" s="34" t="s">
        <v>156</v>
      </c>
      <c r="G206" s="34"/>
      <c r="H206" s="34">
        <v>22.079093</v>
      </c>
      <c r="I206" s="34">
        <v>-159.35138900000001</v>
      </c>
      <c r="J206" s="34"/>
      <c r="K206" s="105">
        <v>110010731262</v>
      </c>
      <c r="L206" s="34">
        <v>4952</v>
      </c>
      <c r="M206" s="48" t="str">
        <f>VLOOKUP(L206, '2017 SIC to NAICS'!A:D, 2)</f>
        <v>Sewerage Systems</v>
      </c>
      <c r="N206" s="34">
        <f>VLOOKUP(L206,'2017 SIC to NAICS'!A:D,3)</f>
        <v>221320</v>
      </c>
      <c r="O206" s="34" t="str">
        <f>VLOOKUP(L206,'2017 SIC to NAICS'!A:D,4)</f>
        <v>Sewage Treatment Facilities</v>
      </c>
      <c r="P206" s="36" t="s">
        <v>742</v>
      </c>
      <c r="Q206" s="137" t="s">
        <v>743</v>
      </c>
      <c r="R206" s="45" t="s">
        <v>38</v>
      </c>
      <c r="S206" s="138">
        <f>COUNTIFS('Raw Non-zero DMR Data'!$A:$A, A206, 'Raw Non-zero DMR Data'!$C:$C, U206, 'Raw Non-zero DMR Data'!$V:$V, V206)</f>
        <v>1</v>
      </c>
      <c r="T206" s="34">
        <f>SUMIFS('Raw Non-zero DMR Data'!$X:$X, 'Raw Non-zero DMR Data'!$A:$A, A206, 'Raw Non-zero DMR Data'!$C:$C, U206, 'Raw Non-zero DMR Data'!V:V, V206)</f>
        <v>5.9018748000000003E-2</v>
      </c>
      <c r="U206" s="34" t="s">
        <v>1010</v>
      </c>
      <c r="V206" s="34" t="s">
        <v>1012</v>
      </c>
      <c r="W206" s="139">
        <v>200700000202</v>
      </c>
      <c r="X206" s="140" t="s">
        <v>745</v>
      </c>
    </row>
    <row r="207" spans="1:24" x14ac:dyDescent="0.35">
      <c r="A207" s="34">
        <v>2019</v>
      </c>
      <c r="B207" s="34" t="s">
        <v>392</v>
      </c>
      <c r="C207" s="34" t="s">
        <v>1013</v>
      </c>
      <c r="D207" s="34" t="s">
        <v>393</v>
      </c>
      <c r="E207" s="34" t="s">
        <v>155</v>
      </c>
      <c r="F207" s="34" t="s">
        <v>156</v>
      </c>
      <c r="G207" s="34"/>
      <c r="H207" s="34">
        <v>21.329699999999999</v>
      </c>
      <c r="I207" s="34">
        <v>-158.03559999999999</v>
      </c>
      <c r="J207" s="34"/>
      <c r="K207" s="105">
        <v>110020728943</v>
      </c>
      <c r="L207" s="34">
        <v>4952</v>
      </c>
      <c r="M207" s="48" t="str">
        <f>VLOOKUP(L207, '2017 SIC to NAICS'!A:D, 2)</f>
        <v>Sewerage Systems</v>
      </c>
      <c r="N207" s="34">
        <f>VLOOKUP(L207,'2017 SIC to NAICS'!A:D,3)</f>
        <v>221320</v>
      </c>
      <c r="O207" s="34" t="str">
        <f>VLOOKUP(L207,'2017 SIC to NAICS'!A:D,4)</f>
        <v>Sewage Treatment Facilities</v>
      </c>
      <c r="P207" s="36" t="s">
        <v>742</v>
      </c>
      <c r="Q207" s="137" t="s">
        <v>743</v>
      </c>
      <c r="R207" s="45" t="s">
        <v>38</v>
      </c>
      <c r="S207" s="138">
        <f>COUNTIFS('Raw Non-zero DMR Data'!$A:$A, A207, 'Raw Non-zero DMR Data'!$C:$C, U207, 'Raw Non-zero DMR Data'!$V:$V, V207)</f>
        <v>1</v>
      </c>
      <c r="T207" s="34">
        <f>SUMIFS('Raw Non-zero DMR Data'!$X:$X, 'Raw Non-zero DMR Data'!$A:$A, A207, 'Raw Non-zero DMR Data'!$C:$C, U207, 'Raw Non-zero DMR Data'!V:V, V207)</f>
        <v>0.25944340032000002</v>
      </c>
      <c r="U207" s="34" t="s">
        <v>1013</v>
      </c>
      <c r="V207" s="34" t="s">
        <v>1014</v>
      </c>
      <c r="W207" s="139">
        <v>200600000405</v>
      </c>
      <c r="X207" s="140" t="s">
        <v>745</v>
      </c>
    </row>
    <row r="208" spans="1:24" x14ac:dyDescent="0.35">
      <c r="A208" s="34">
        <v>2021</v>
      </c>
      <c r="B208" s="34" t="s">
        <v>250</v>
      </c>
      <c r="C208" s="34" t="s">
        <v>1015</v>
      </c>
      <c r="D208" s="34" t="s">
        <v>251</v>
      </c>
      <c r="E208" s="34" t="s">
        <v>1016</v>
      </c>
      <c r="F208" s="34" t="s">
        <v>156</v>
      </c>
      <c r="G208" s="34"/>
      <c r="H208" s="34">
        <v>19.713750000000001</v>
      </c>
      <c r="I208" s="34">
        <v>-155.01927800000001</v>
      </c>
      <c r="J208" s="34"/>
      <c r="K208" s="105">
        <v>110013786698</v>
      </c>
      <c r="L208" s="34">
        <v>4952</v>
      </c>
      <c r="M208" s="48" t="str">
        <f>VLOOKUP(L208, '2017 SIC to NAICS'!A:D, 2)</f>
        <v>Sewerage Systems</v>
      </c>
      <c r="N208" s="34">
        <f>VLOOKUP(L208,'2017 SIC to NAICS'!A:D,3)</f>
        <v>221320</v>
      </c>
      <c r="O208" s="34" t="str">
        <f>VLOOKUP(L208,'2017 SIC to NAICS'!A:D,4)</f>
        <v>Sewage Treatment Facilities</v>
      </c>
      <c r="P208" s="36" t="s">
        <v>742</v>
      </c>
      <c r="Q208" s="137" t="s">
        <v>743</v>
      </c>
      <c r="R208" s="45" t="s">
        <v>38</v>
      </c>
      <c r="S208" s="138">
        <f>COUNTIFS('Raw Non-zero DMR Data'!$A:$A, A208, 'Raw Non-zero DMR Data'!$C:$C, U208, 'Raw Non-zero DMR Data'!$V:$V, V208)</f>
        <v>1</v>
      </c>
      <c r="T208" s="34">
        <f>SUMIFS('Raw Non-zero DMR Data'!$X:$X, 'Raw Non-zero DMR Data'!$A:$A, A208, 'Raw Non-zero DMR Data'!$C:$C, U208, 'Raw Non-zero DMR Data'!V:V, V208)</f>
        <v>2.305765225</v>
      </c>
      <c r="U208" s="34" t="s">
        <v>1015</v>
      </c>
      <c r="V208" s="34" t="s">
        <v>1017</v>
      </c>
      <c r="W208" s="139">
        <v>200100000407</v>
      </c>
      <c r="X208" s="140" t="s">
        <v>745</v>
      </c>
    </row>
    <row r="209" spans="1:24" x14ac:dyDescent="0.35">
      <c r="A209" s="34">
        <v>2022</v>
      </c>
      <c r="B209" s="34" t="s">
        <v>250</v>
      </c>
      <c r="C209" s="34" t="s">
        <v>1015</v>
      </c>
      <c r="D209" s="34" t="s">
        <v>251</v>
      </c>
      <c r="E209" s="34" t="s">
        <v>1016</v>
      </c>
      <c r="F209" s="34" t="s">
        <v>156</v>
      </c>
      <c r="G209" s="34"/>
      <c r="H209" s="34">
        <v>19.713750000000001</v>
      </c>
      <c r="I209" s="34">
        <v>-155.01927800000001</v>
      </c>
      <c r="J209" s="34"/>
      <c r="K209" s="105">
        <v>110013786698</v>
      </c>
      <c r="L209" s="34">
        <v>4952</v>
      </c>
      <c r="M209" s="48" t="str">
        <f>VLOOKUP(L209, '2017 SIC to NAICS'!A:D, 2)</f>
        <v>Sewerage Systems</v>
      </c>
      <c r="N209" s="34">
        <f>VLOOKUP(L209,'2017 SIC to NAICS'!A:D,3)</f>
        <v>221320</v>
      </c>
      <c r="O209" s="34" t="str">
        <f>VLOOKUP(L209,'2017 SIC to NAICS'!A:D,4)</f>
        <v>Sewage Treatment Facilities</v>
      </c>
      <c r="P209" s="36" t="s">
        <v>742</v>
      </c>
      <c r="Q209" s="137" t="s">
        <v>743</v>
      </c>
      <c r="R209" s="45" t="s">
        <v>38</v>
      </c>
      <c r="S209" s="138">
        <f>COUNTIFS('Raw Non-zero DMR Data'!$A:$A, A209, 'Raw Non-zero DMR Data'!$C:$C, U209, 'Raw Non-zero DMR Data'!$V:$V, V209)</f>
        <v>1</v>
      </c>
      <c r="T209" s="34">
        <f>SUMIFS('Raw Non-zero DMR Data'!$X:$X, 'Raw Non-zero DMR Data'!$A:$A, A209, 'Raw Non-zero DMR Data'!$C:$C, U209, 'Raw Non-zero DMR Data'!V:V, V209)</f>
        <v>2.0032112500000001</v>
      </c>
      <c r="U209" s="34" t="s">
        <v>1015</v>
      </c>
      <c r="V209" s="34" t="s">
        <v>1017</v>
      </c>
      <c r="W209" s="139">
        <v>200100000407</v>
      </c>
      <c r="X209" s="140" t="s">
        <v>745</v>
      </c>
    </row>
    <row r="210" spans="1:24" x14ac:dyDescent="0.35">
      <c r="A210" s="34">
        <v>2023</v>
      </c>
      <c r="B210" s="34" t="s">
        <v>250</v>
      </c>
      <c r="C210" s="34" t="s">
        <v>1015</v>
      </c>
      <c r="D210" s="34" t="s">
        <v>251</v>
      </c>
      <c r="E210" s="34" t="s">
        <v>1016</v>
      </c>
      <c r="F210" s="34" t="s">
        <v>156</v>
      </c>
      <c r="G210" s="34"/>
      <c r="H210" s="34">
        <v>19.713750000000001</v>
      </c>
      <c r="I210" s="34">
        <v>-155.01927800000001</v>
      </c>
      <c r="J210" s="34"/>
      <c r="K210" s="105">
        <v>110013786698</v>
      </c>
      <c r="L210" s="34">
        <v>4952</v>
      </c>
      <c r="M210" s="48" t="str">
        <f>VLOOKUP(L210, '2017 SIC to NAICS'!A:D, 2)</f>
        <v>Sewerage Systems</v>
      </c>
      <c r="N210" s="34">
        <f>VLOOKUP(L210,'2017 SIC to NAICS'!A:D,3)</f>
        <v>221320</v>
      </c>
      <c r="O210" s="34" t="str">
        <f>VLOOKUP(L210,'2017 SIC to NAICS'!A:D,4)</f>
        <v>Sewage Treatment Facilities</v>
      </c>
      <c r="P210" s="36" t="s">
        <v>742</v>
      </c>
      <c r="Q210" s="137" t="s">
        <v>743</v>
      </c>
      <c r="R210" s="45" t="s">
        <v>38</v>
      </c>
      <c r="S210" s="138">
        <f>COUNTIFS('Raw Non-zero DMR Data'!$A:$A, A210, 'Raw Non-zero DMR Data'!$C:$C, U210, 'Raw Non-zero DMR Data'!$V:$V, V210)</f>
        <v>1</v>
      </c>
      <c r="T210" s="34">
        <f>SUMIFS('Raw Non-zero DMR Data'!$X:$X, 'Raw Non-zero DMR Data'!$A:$A, A210, 'Raw Non-zero DMR Data'!$C:$C, U210, 'Raw Non-zero DMR Data'!V:V, V210)</f>
        <v>2.2691548125000001</v>
      </c>
      <c r="U210" s="34" t="s">
        <v>1015</v>
      </c>
      <c r="V210" s="34" t="s">
        <v>1017</v>
      </c>
      <c r="W210" s="139">
        <v>200100000407</v>
      </c>
      <c r="X210" s="140" t="s">
        <v>745</v>
      </c>
    </row>
    <row r="211" spans="1:24" x14ac:dyDescent="0.35">
      <c r="A211" s="34">
        <v>2021</v>
      </c>
      <c r="B211" s="34" t="s">
        <v>230</v>
      </c>
      <c r="C211" s="34" t="s">
        <v>1018</v>
      </c>
      <c r="D211" s="34" t="s">
        <v>231</v>
      </c>
      <c r="E211" s="34" t="s">
        <v>1011</v>
      </c>
      <c r="F211" s="34" t="s">
        <v>156</v>
      </c>
      <c r="G211" s="34"/>
      <c r="H211" s="34">
        <v>21.994944</v>
      </c>
      <c r="I211" s="34">
        <v>-159.75363899999999</v>
      </c>
      <c r="J211" s="34"/>
      <c r="K211" s="105">
        <v>110006777247</v>
      </c>
      <c r="L211" s="34">
        <v>913</v>
      </c>
      <c r="M211" s="48" t="str">
        <f>VLOOKUP(L211, '2017 SIC to NAICS'!A:D, 2)</f>
        <v>Shellfish</v>
      </c>
      <c r="N211" s="34">
        <f>VLOOKUP(L211,'2017 SIC to NAICS'!A:D,3)</f>
        <v>114112</v>
      </c>
      <c r="O211" s="34" t="str">
        <f>VLOOKUP(L211,'2017 SIC to NAICS'!A:D,4)</f>
        <v>Shellfish Fishing</v>
      </c>
      <c r="P211" s="36" t="s">
        <v>737</v>
      </c>
      <c r="Q211" s="137" t="s">
        <v>737</v>
      </c>
      <c r="R211" s="45" t="s">
        <v>39</v>
      </c>
      <c r="S211" s="138">
        <f>COUNTIFS('Raw Non-zero DMR Data'!$A:$A, A211, 'Raw Non-zero DMR Data'!$C:$C, U211, 'Raw Non-zero DMR Data'!$V:$V, V211)</f>
        <v>1</v>
      </c>
      <c r="T211" s="34">
        <f>SUMIFS('Raw Non-zero DMR Data'!$X:$X, 'Raw Non-zero DMR Data'!$A:$A, A211, 'Raw Non-zero DMR Data'!$C:$C, U211, 'Raw Non-zero DMR Data'!V:V, V211)</f>
        <v>0.48491527499999998</v>
      </c>
      <c r="U211" s="34" t="s">
        <v>1018</v>
      </c>
      <c r="V211" s="34" t="s">
        <v>1019</v>
      </c>
      <c r="W211" s="139">
        <v>200700000501</v>
      </c>
      <c r="X211" s="140" t="s">
        <v>745</v>
      </c>
    </row>
    <row r="212" spans="1:24" x14ac:dyDescent="0.35">
      <c r="A212" s="34">
        <v>2022</v>
      </c>
      <c r="B212" s="34" t="s">
        <v>230</v>
      </c>
      <c r="C212" s="34" t="s">
        <v>1018</v>
      </c>
      <c r="D212" s="34" t="s">
        <v>231</v>
      </c>
      <c r="E212" s="34" t="s">
        <v>1011</v>
      </c>
      <c r="F212" s="34" t="s">
        <v>156</v>
      </c>
      <c r="G212" s="34"/>
      <c r="H212" s="34">
        <v>21.994944</v>
      </c>
      <c r="I212" s="34">
        <v>-159.75363899999999</v>
      </c>
      <c r="J212" s="34"/>
      <c r="K212" s="105">
        <v>110006777247</v>
      </c>
      <c r="L212" s="34">
        <v>913</v>
      </c>
      <c r="M212" s="48" t="str">
        <f>VLOOKUP(L212, '2017 SIC to NAICS'!A:D, 2)</f>
        <v>Shellfish</v>
      </c>
      <c r="N212" s="34">
        <f>VLOOKUP(L212,'2017 SIC to NAICS'!A:D,3)</f>
        <v>114112</v>
      </c>
      <c r="O212" s="34" t="str">
        <f>VLOOKUP(L212,'2017 SIC to NAICS'!A:D,4)</f>
        <v>Shellfish Fishing</v>
      </c>
      <c r="P212" s="36" t="s">
        <v>737</v>
      </c>
      <c r="Q212" s="137" t="s">
        <v>737</v>
      </c>
      <c r="R212" s="45" t="s">
        <v>39</v>
      </c>
      <c r="S212" s="138">
        <f>COUNTIFS('Raw Non-zero DMR Data'!$A:$A, A212, 'Raw Non-zero DMR Data'!$C:$C, U212, 'Raw Non-zero DMR Data'!$V:$V, V212)</f>
        <v>1</v>
      </c>
      <c r="T212" s="34">
        <f>SUMIFS('Raw Non-zero DMR Data'!$X:$X, 'Raw Non-zero DMR Data'!$A:$A, A212, 'Raw Non-zero DMR Data'!$C:$C, U212, 'Raw Non-zero DMR Data'!V:V, V212)</f>
        <v>2.866664375</v>
      </c>
      <c r="U212" s="34" t="s">
        <v>1018</v>
      </c>
      <c r="V212" s="34" t="s">
        <v>1019</v>
      </c>
      <c r="W212" s="139">
        <v>200700000501</v>
      </c>
      <c r="X212" s="140" t="s">
        <v>745</v>
      </c>
    </row>
    <row r="213" spans="1:24" x14ac:dyDescent="0.35">
      <c r="A213" s="34">
        <v>2023</v>
      </c>
      <c r="B213" s="34" t="s">
        <v>230</v>
      </c>
      <c r="C213" s="34" t="s">
        <v>1018</v>
      </c>
      <c r="D213" s="34" t="s">
        <v>231</v>
      </c>
      <c r="E213" s="34" t="s">
        <v>1011</v>
      </c>
      <c r="F213" s="34" t="s">
        <v>156</v>
      </c>
      <c r="G213" s="34"/>
      <c r="H213" s="34">
        <v>21.994944</v>
      </c>
      <c r="I213" s="34">
        <v>-159.75363899999999</v>
      </c>
      <c r="J213" s="34"/>
      <c r="K213" s="105">
        <v>110006777247</v>
      </c>
      <c r="L213" s="34">
        <v>913</v>
      </c>
      <c r="M213" s="48" t="str">
        <f>VLOOKUP(L213, '2017 SIC to NAICS'!A:D, 2)</f>
        <v>Shellfish</v>
      </c>
      <c r="N213" s="34">
        <f>VLOOKUP(L213,'2017 SIC to NAICS'!A:D,3)</f>
        <v>114112</v>
      </c>
      <c r="O213" s="34" t="str">
        <f>VLOOKUP(L213,'2017 SIC to NAICS'!A:D,4)</f>
        <v>Shellfish Fishing</v>
      </c>
      <c r="P213" s="36" t="s">
        <v>737</v>
      </c>
      <c r="Q213" s="137" t="s">
        <v>737</v>
      </c>
      <c r="R213" s="45" t="s">
        <v>39</v>
      </c>
      <c r="S213" s="138">
        <f>COUNTIFS('Raw Non-zero DMR Data'!$A:$A, A213, 'Raw Non-zero DMR Data'!$C:$C, U213, 'Raw Non-zero DMR Data'!$V:$V, V213)</f>
        <v>1</v>
      </c>
      <c r="T213" s="34">
        <f>SUMIFS('Raw Non-zero DMR Data'!$X:$X, 'Raw Non-zero DMR Data'!$A:$A, A213, 'Raw Non-zero DMR Data'!$C:$C, U213, 'Raw Non-zero DMR Data'!V:V, V213)</f>
        <v>0.99677028749999996</v>
      </c>
      <c r="U213" s="34" t="s">
        <v>1018</v>
      </c>
      <c r="V213" s="34" t="s">
        <v>1019</v>
      </c>
      <c r="W213" s="139">
        <v>200700000501</v>
      </c>
      <c r="X213" s="140" t="s">
        <v>745</v>
      </c>
    </row>
    <row r="214" spans="1:24" x14ac:dyDescent="0.35">
      <c r="A214" s="34">
        <v>2021</v>
      </c>
      <c r="B214" s="34" t="s">
        <v>174</v>
      </c>
      <c r="C214" s="34" t="s">
        <v>1020</v>
      </c>
      <c r="D214" s="34" t="s">
        <v>155</v>
      </c>
      <c r="E214" s="34" t="s">
        <v>155</v>
      </c>
      <c r="F214" s="34" t="s">
        <v>156</v>
      </c>
      <c r="G214" s="34"/>
      <c r="H214" s="34">
        <v>21.27167</v>
      </c>
      <c r="I214" s="34">
        <v>-157.77395999999999</v>
      </c>
      <c r="J214" s="34"/>
      <c r="K214" s="105">
        <v>110006777210</v>
      </c>
      <c r="L214" s="34"/>
      <c r="M214" s="48" t="e">
        <f>VLOOKUP(L214, '2017 SIC to NAICS'!A:D, 2)</f>
        <v>#N/A</v>
      </c>
      <c r="N214" s="34" t="e">
        <f>VLOOKUP(L214,'2017 SIC to NAICS'!A:D,3)</f>
        <v>#N/A</v>
      </c>
      <c r="O214" s="34" t="e">
        <f>VLOOKUP(L214,'2017 SIC to NAICS'!A:D,4)</f>
        <v>#N/A</v>
      </c>
      <c r="P214" s="36" t="s">
        <v>737</v>
      </c>
      <c r="Q214" s="137" t="s">
        <v>737</v>
      </c>
      <c r="R214" s="45" t="s">
        <v>41</v>
      </c>
      <c r="S214" s="138">
        <f>COUNTIFS('Raw Non-zero DMR Data'!$A:$A, A214, 'Raw Non-zero DMR Data'!$C:$C, U214, 'Raw Non-zero DMR Data'!$V:$V, V214)</f>
        <v>1</v>
      </c>
      <c r="T214" s="34">
        <f>SUMIFS('Raw Non-zero DMR Data'!$X:$X, 'Raw Non-zero DMR Data'!$A:$A, A214, 'Raw Non-zero DMR Data'!$C:$C, U214, 'Raw Non-zero DMR Data'!V:V, V214)</f>
        <v>6.7440745444000001</v>
      </c>
      <c r="U214" s="34" t="s">
        <v>1020</v>
      </c>
      <c r="V214" s="34" t="s">
        <v>1021</v>
      </c>
      <c r="W214" s="139">
        <v>200600000302</v>
      </c>
      <c r="X214" s="140" t="s">
        <v>1022</v>
      </c>
    </row>
    <row r="215" spans="1:24" x14ac:dyDescent="0.35">
      <c r="A215" s="34">
        <v>2020</v>
      </c>
      <c r="B215" s="34" t="s">
        <v>267</v>
      </c>
      <c r="C215" s="34" t="s">
        <v>1023</v>
      </c>
      <c r="D215" s="34" t="s">
        <v>268</v>
      </c>
      <c r="E215" s="34" t="s">
        <v>155</v>
      </c>
      <c r="F215" s="34" t="s">
        <v>156</v>
      </c>
      <c r="G215" s="34"/>
      <c r="H215" s="34">
        <v>21.438638999999998</v>
      </c>
      <c r="I215" s="34">
        <v>-157.75847200000001</v>
      </c>
      <c r="J215" s="34"/>
      <c r="K215" s="105">
        <v>110041973460</v>
      </c>
      <c r="L215" s="34">
        <v>4952</v>
      </c>
      <c r="M215" s="48" t="str">
        <f>VLOOKUP(L215, '2017 SIC to NAICS'!A:D, 2)</f>
        <v>Sewerage Systems</v>
      </c>
      <c r="N215" s="34">
        <f>VLOOKUP(L215,'2017 SIC to NAICS'!A:D,3)</f>
        <v>221320</v>
      </c>
      <c r="O215" s="34" t="str">
        <f>VLOOKUP(L215,'2017 SIC to NAICS'!A:D,4)</f>
        <v>Sewage Treatment Facilities</v>
      </c>
      <c r="P215" s="36" t="s">
        <v>742</v>
      </c>
      <c r="Q215" s="137" t="s">
        <v>743</v>
      </c>
      <c r="R215" s="45" t="s">
        <v>38</v>
      </c>
      <c r="S215" s="138">
        <f>COUNTIFS('Raw Non-zero DMR Data'!$A:$A, A215, 'Raw Non-zero DMR Data'!$C:$C, U215, 'Raw Non-zero DMR Data'!$V:$V, V215)</f>
        <v>1</v>
      </c>
      <c r="T215" s="34">
        <f>SUMIFS('Raw Non-zero DMR Data'!$X:$X, 'Raw Non-zero DMR Data'!$A:$A, A215, 'Raw Non-zero DMR Data'!$C:$C, U215, 'Raw Non-zero DMR Data'!V:V, V215)</f>
        <v>0.99055342499999999</v>
      </c>
      <c r="U215" s="34" t="s">
        <v>1023</v>
      </c>
      <c r="V215" s="34" t="s">
        <v>1024</v>
      </c>
      <c r="W215" s="139">
        <v>200600000205</v>
      </c>
      <c r="X215" s="140" t="s">
        <v>745</v>
      </c>
    </row>
    <row r="216" spans="1:24" x14ac:dyDescent="0.35">
      <c r="A216" s="34">
        <v>2021</v>
      </c>
      <c r="B216" s="34" t="s">
        <v>267</v>
      </c>
      <c r="C216" s="34" t="s">
        <v>1023</v>
      </c>
      <c r="D216" s="34" t="s">
        <v>268</v>
      </c>
      <c r="E216" s="34" t="s">
        <v>155</v>
      </c>
      <c r="F216" s="34" t="s">
        <v>156</v>
      </c>
      <c r="G216" s="34"/>
      <c r="H216" s="34">
        <v>21.438638999999998</v>
      </c>
      <c r="I216" s="34">
        <v>-157.75847200000001</v>
      </c>
      <c r="J216" s="34"/>
      <c r="K216" s="105">
        <v>110041973460</v>
      </c>
      <c r="L216" s="34">
        <v>4952</v>
      </c>
      <c r="M216" s="48" t="str">
        <f>VLOOKUP(L216, '2017 SIC to NAICS'!A:D, 2)</f>
        <v>Sewerage Systems</v>
      </c>
      <c r="N216" s="34">
        <f>VLOOKUP(L216,'2017 SIC to NAICS'!A:D,3)</f>
        <v>221320</v>
      </c>
      <c r="O216" s="34" t="str">
        <f>VLOOKUP(L216,'2017 SIC to NAICS'!A:D,4)</f>
        <v>Sewage Treatment Facilities</v>
      </c>
      <c r="P216" s="36" t="s">
        <v>742</v>
      </c>
      <c r="Q216" s="137" t="s">
        <v>743</v>
      </c>
      <c r="R216" s="45" t="s">
        <v>38</v>
      </c>
      <c r="S216" s="138">
        <f>COUNTIFS('Raw Non-zero DMR Data'!$A:$A, A216, 'Raw Non-zero DMR Data'!$C:$C, U216, 'Raw Non-zero DMR Data'!$V:$V, V216)</f>
        <v>1</v>
      </c>
      <c r="T216" s="34">
        <f>SUMIFS('Raw Non-zero DMR Data'!$X:$X, 'Raw Non-zero DMR Data'!$A:$A, A216, 'Raw Non-zero DMR Data'!$C:$C, U216, 'Raw Non-zero DMR Data'!V:V, V216)</f>
        <v>1.747629125</v>
      </c>
      <c r="U216" s="34" t="s">
        <v>1023</v>
      </c>
      <c r="V216" s="34" t="s">
        <v>1024</v>
      </c>
      <c r="W216" s="139">
        <v>200600000205</v>
      </c>
      <c r="X216" s="140" t="s">
        <v>745</v>
      </c>
    </row>
    <row r="217" spans="1:24" x14ac:dyDescent="0.35">
      <c r="A217" s="34">
        <v>2022</v>
      </c>
      <c r="B217" s="34" t="s">
        <v>267</v>
      </c>
      <c r="C217" s="34" t="s">
        <v>1023</v>
      </c>
      <c r="D217" s="34" t="s">
        <v>268</v>
      </c>
      <c r="E217" s="34" t="s">
        <v>155</v>
      </c>
      <c r="F217" s="34" t="s">
        <v>156</v>
      </c>
      <c r="G217" s="34"/>
      <c r="H217" s="34">
        <v>21.438638999999998</v>
      </c>
      <c r="I217" s="34">
        <v>-157.75847200000001</v>
      </c>
      <c r="J217" s="34"/>
      <c r="K217" s="105">
        <v>110041973460</v>
      </c>
      <c r="L217" s="34">
        <v>4952</v>
      </c>
      <c r="M217" s="48" t="str">
        <f>VLOOKUP(L217, '2017 SIC to NAICS'!A:D, 2)</f>
        <v>Sewerage Systems</v>
      </c>
      <c r="N217" s="34">
        <f>VLOOKUP(L217,'2017 SIC to NAICS'!A:D,3)</f>
        <v>221320</v>
      </c>
      <c r="O217" s="34" t="str">
        <f>VLOOKUP(L217,'2017 SIC to NAICS'!A:D,4)</f>
        <v>Sewage Treatment Facilities</v>
      </c>
      <c r="P217" s="36" t="s">
        <v>742</v>
      </c>
      <c r="Q217" s="137" t="s">
        <v>743</v>
      </c>
      <c r="R217" s="45" t="s">
        <v>38</v>
      </c>
      <c r="S217" s="138">
        <f>COUNTIFS('Raw Non-zero DMR Data'!$A:$A, A217, 'Raw Non-zero DMR Data'!$C:$C, U217, 'Raw Non-zero DMR Data'!$V:$V, V217)</f>
        <v>1</v>
      </c>
      <c r="T217" s="34">
        <f>SUMIFS('Raw Non-zero DMR Data'!$X:$X, 'Raw Non-zero DMR Data'!$A:$A, A217, 'Raw Non-zero DMR Data'!$C:$C, U217, 'Raw Non-zero DMR Data'!V:V, V217)</f>
        <v>1.2924166374999999</v>
      </c>
      <c r="U217" s="34" t="s">
        <v>1023</v>
      </c>
      <c r="V217" s="34" t="s">
        <v>1024</v>
      </c>
      <c r="W217" s="139">
        <v>200600000205</v>
      </c>
      <c r="X217" s="140" t="s">
        <v>745</v>
      </c>
    </row>
    <row r="218" spans="1:24" x14ac:dyDescent="0.35">
      <c r="A218" s="34">
        <v>2023</v>
      </c>
      <c r="B218" s="34" t="s">
        <v>267</v>
      </c>
      <c r="C218" s="34" t="s">
        <v>1023</v>
      </c>
      <c r="D218" s="34" t="s">
        <v>268</v>
      </c>
      <c r="E218" s="34" t="s">
        <v>155</v>
      </c>
      <c r="F218" s="34" t="s">
        <v>156</v>
      </c>
      <c r="G218" s="34"/>
      <c r="H218" s="34">
        <v>21.438638999999998</v>
      </c>
      <c r="I218" s="34">
        <v>-157.75847200000001</v>
      </c>
      <c r="J218" s="34"/>
      <c r="K218" s="105">
        <v>110041973460</v>
      </c>
      <c r="L218" s="34">
        <v>4952</v>
      </c>
      <c r="M218" s="48" t="str">
        <f>VLOOKUP(L218, '2017 SIC to NAICS'!A:D, 2)</f>
        <v>Sewerage Systems</v>
      </c>
      <c r="N218" s="34">
        <f>VLOOKUP(L218,'2017 SIC to NAICS'!A:D,3)</f>
        <v>221320</v>
      </c>
      <c r="O218" s="34" t="str">
        <f>VLOOKUP(L218,'2017 SIC to NAICS'!A:D,4)</f>
        <v>Sewage Treatment Facilities</v>
      </c>
      <c r="P218" s="36" t="s">
        <v>742</v>
      </c>
      <c r="Q218" s="137" t="s">
        <v>743</v>
      </c>
      <c r="R218" s="45" t="s">
        <v>38</v>
      </c>
      <c r="S218" s="138">
        <f>COUNTIFS('Raw Non-zero DMR Data'!$A:$A, A218, 'Raw Non-zero DMR Data'!$C:$C, U218, 'Raw Non-zero DMR Data'!$V:$V, V218)</f>
        <v>1</v>
      </c>
      <c r="T218" s="34">
        <f>SUMIFS('Raw Non-zero DMR Data'!$X:$X, 'Raw Non-zero DMR Data'!$A:$A, A218, 'Raw Non-zero DMR Data'!$C:$C, U218, 'Raw Non-zero DMR Data'!V:V, V218)</f>
        <v>1.6523038999999999</v>
      </c>
      <c r="U218" s="34" t="s">
        <v>1023</v>
      </c>
      <c r="V218" s="34" t="s">
        <v>1024</v>
      </c>
      <c r="W218" s="139">
        <v>200600000205</v>
      </c>
      <c r="X218" s="140" t="s">
        <v>745</v>
      </c>
    </row>
    <row r="219" spans="1:24" x14ac:dyDescent="0.35">
      <c r="A219" s="34">
        <v>2020</v>
      </c>
      <c r="B219" s="34" t="s">
        <v>214</v>
      </c>
      <c r="C219" s="34" t="s">
        <v>1025</v>
      </c>
      <c r="D219" s="34" t="s">
        <v>215</v>
      </c>
      <c r="E219" s="34" t="s">
        <v>155</v>
      </c>
      <c r="F219" s="34" t="s">
        <v>156</v>
      </c>
      <c r="G219" s="34"/>
      <c r="H219" s="34">
        <v>21.348472000000001</v>
      </c>
      <c r="I219" s="34">
        <v>-157.94414699999999</v>
      </c>
      <c r="J219" s="34"/>
      <c r="K219" s="105">
        <v>110022302417</v>
      </c>
      <c r="L219" s="34">
        <v>4952</v>
      </c>
      <c r="M219" s="48" t="str">
        <f>VLOOKUP(L219, '2017 SIC to NAICS'!A:D, 2)</f>
        <v>Sewerage Systems</v>
      </c>
      <c r="N219" s="34">
        <f>VLOOKUP(L219,'2017 SIC to NAICS'!A:D,3)</f>
        <v>221320</v>
      </c>
      <c r="O219" s="34" t="str">
        <f>VLOOKUP(L219,'2017 SIC to NAICS'!A:D,4)</f>
        <v>Sewage Treatment Facilities</v>
      </c>
      <c r="P219" s="36" t="s">
        <v>742</v>
      </c>
      <c r="Q219" s="137" t="s">
        <v>743</v>
      </c>
      <c r="R219" s="45" t="s">
        <v>38</v>
      </c>
      <c r="S219" s="138">
        <f>COUNTIFS('Raw Non-zero DMR Data'!$A:$A, A219, 'Raw Non-zero DMR Data'!$C:$C, U219, 'Raw Non-zero DMR Data'!$V:$V, V219)</f>
        <v>1</v>
      </c>
      <c r="T219" s="34">
        <f>SUMIFS('Raw Non-zero DMR Data'!$X:$X, 'Raw Non-zero DMR Data'!$A:$A, A219, 'Raw Non-zero DMR Data'!$C:$C, U219, 'Raw Non-zero DMR Data'!V:V, V219)</f>
        <v>3.8682699999999999</v>
      </c>
      <c r="U219" s="34" t="s">
        <v>1025</v>
      </c>
      <c r="V219" s="34" t="s">
        <v>1026</v>
      </c>
      <c r="W219" s="139">
        <v>200600000401</v>
      </c>
      <c r="X219" s="140" t="s">
        <v>745</v>
      </c>
    </row>
    <row r="220" spans="1:24" x14ac:dyDescent="0.35">
      <c r="A220" s="34">
        <v>2019</v>
      </c>
      <c r="B220" s="34" t="s">
        <v>121</v>
      </c>
      <c r="C220" s="34" t="s">
        <v>1027</v>
      </c>
      <c r="D220" s="34" t="s">
        <v>122</v>
      </c>
      <c r="E220" s="34" t="s">
        <v>1028</v>
      </c>
      <c r="F220" s="34" t="s">
        <v>111</v>
      </c>
      <c r="G220" s="34"/>
      <c r="H220" s="34">
        <v>39.795811999999998</v>
      </c>
      <c r="I220" s="34">
        <v>-88.347945999999993</v>
      </c>
      <c r="J220" s="34"/>
      <c r="K220" s="105">
        <v>110000746211</v>
      </c>
      <c r="L220" s="34">
        <v>2869</v>
      </c>
      <c r="M220" s="48" t="str">
        <f>VLOOKUP(L220, '2017 SIC to NAICS'!A:D, 2)</f>
        <v>Industrial Organic Chemicals, Nec</v>
      </c>
      <c r="N220" s="34">
        <f>VLOOKUP(L220,'2017 SIC to NAICS'!A:D,3)</f>
        <v>325998</v>
      </c>
      <c r="O220" s="34" t="str">
        <f>VLOOKUP(L220,'2017 SIC to NAICS'!A:D,4)</f>
        <v>All Other Miscellaneous Chemical Product and Preparation Manufacturing</v>
      </c>
      <c r="P220" s="36" t="s">
        <v>748</v>
      </c>
      <c r="Q220" s="137" t="s">
        <v>749</v>
      </c>
      <c r="R220" s="45" t="s">
        <v>41</v>
      </c>
      <c r="S220" s="138">
        <f>COUNTIFS('Raw Non-zero DMR Data'!$A:$A, A220, 'Raw Non-zero DMR Data'!$C:$C, U220, 'Raw Non-zero DMR Data'!$V:$V, V220)</f>
        <v>1</v>
      </c>
      <c r="T220" s="34">
        <f>SUMIFS('Raw Non-zero DMR Data'!$X:$X, 'Raw Non-zero DMR Data'!$A:$A, A220, 'Raw Non-zero DMR Data'!$C:$C, U220, 'Raw Non-zero DMR Data'!V:V, V220)</f>
        <v>13.671075</v>
      </c>
      <c r="U220" s="34" t="s">
        <v>1027</v>
      </c>
      <c r="V220" s="34" t="s">
        <v>1029</v>
      </c>
      <c r="W220" s="139">
        <v>71402010206</v>
      </c>
      <c r="X220" s="140" t="s">
        <v>1030</v>
      </c>
    </row>
    <row r="221" spans="1:24" x14ac:dyDescent="0.35">
      <c r="A221" s="34">
        <v>2020</v>
      </c>
      <c r="B221" s="34" t="s">
        <v>121</v>
      </c>
      <c r="C221" s="34" t="s">
        <v>1027</v>
      </c>
      <c r="D221" s="34" t="s">
        <v>122</v>
      </c>
      <c r="E221" s="34" t="s">
        <v>1028</v>
      </c>
      <c r="F221" s="34" t="s">
        <v>111</v>
      </c>
      <c r="G221" s="34"/>
      <c r="H221" s="34">
        <v>39.795811999999998</v>
      </c>
      <c r="I221" s="34">
        <v>-88.347945999999993</v>
      </c>
      <c r="J221" s="34"/>
      <c r="K221" s="105">
        <v>110000746211</v>
      </c>
      <c r="L221" s="34">
        <v>2869</v>
      </c>
      <c r="M221" s="48" t="str">
        <f>VLOOKUP(L221, '2017 SIC to NAICS'!A:D, 2)</f>
        <v>Industrial Organic Chemicals, Nec</v>
      </c>
      <c r="N221" s="34">
        <f>VLOOKUP(L221,'2017 SIC to NAICS'!A:D,3)</f>
        <v>325998</v>
      </c>
      <c r="O221" s="34" t="str">
        <f>VLOOKUP(L221,'2017 SIC to NAICS'!A:D,4)</f>
        <v>All Other Miscellaneous Chemical Product and Preparation Manufacturing</v>
      </c>
      <c r="P221" s="36" t="s">
        <v>748</v>
      </c>
      <c r="Q221" s="137" t="s">
        <v>749</v>
      </c>
      <c r="R221" s="45" t="s">
        <v>41</v>
      </c>
      <c r="S221" s="138">
        <f>COUNTIFS('Raw Non-zero DMR Data'!$A:$A, A221, 'Raw Non-zero DMR Data'!$C:$C, U221, 'Raw Non-zero DMR Data'!$V:$V, V221)</f>
        <v>1</v>
      </c>
      <c r="T221" s="34">
        <f>SUMIFS('Raw Non-zero DMR Data'!$X:$X, 'Raw Non-zero DMR Data'!$A:$A, A221, 'Raw Non-zero DMR Data'!$C:$C, U221, 'Raw Non-zero DMR Data'!V:V, V221)</f>
        <v>28.0687246153846</v>
      </c>
      <c r="U221" s="34" t="s">
        <v>1027</v>
      </c>
      <c r="V221" s="34" t="s">
        <v>1029</v>
      </c>
      <c r="W221" s="139">
        <v>71402010206</v>
      </c>
      <c r="X221" s="140" t="s">
        <v>1030</v>
      </c>
    </row>
    <row r="222" spans="1:24" x14ac:dyDescent="0.35">
      <c r="A222" s="34">
        <v>2021</v>
      </c>
      <c r="B222" s="34" t="s">
        <v>121</v>
      </c>
      <c r="C222" s="34" t="s">
        <v>1027</v>
      </c>
      <c r="D222" s="34" t="s">
        <v>122</v>
      </c>
      <c r="E222" s="34" t="s">
        <v>1028</v>
      </c>
      <c r="F222" s="34" t="s">
        <v>111</v>
      </c>
      <c r="G222" s="34"/>
      <c r="H222" s="34">
        <v>39.795811999999998</v>
      </c>
      <c r="I222" s="34">
        <v>-88.347945999999993</v>
      </c>
      <c r="J222" s="34"/>
      <c r="K222" s="105">
        <v>110000746211</v>
      </c>
      <c r="L222" s="34">
        <v>2869</v>
      </c>
      <c r="M222" s="48" t="str">
        <f>VLOOKUP(L222, '2017 SIC to NAICS'!A:D, 2)</f>
        <v>Industrial Organic Chemicals, Nec</v>
      </c>
      <c r="N222" s="34">
        <f>VLOOKUP(L222,'2017 SIC to NAICS'!A:D,3)</f>
        <v>325998</v>
      </c>
      <c r="O222" s="34" t="str">
        <f>VLOOKUP(L222,'2017 SIC to NAICS'!A:D,4)</f>
        <v>All Other Miscellaneous Chemical Product and Preparation Manufacturing</v>
      </c>
      <c r="P222" s="36" t="s">
        <v>748</v>
      </c>
      <c r="Q222" s="137" t="s">
        <v>749</v>
      </c>
      <c r="R222" s="45" t="s">
        <v>41</v>
      </c>
      <c r="S222" s="138">
        <f>COUNTIFS('Raw Non-zero DMR Data'!$A:$A, A222, 'Raw Non-zero DMR Data'!$C:$C, U222, 'Raw Non-zero DMR Data'!$V:$V, V222)</f>
        <v>1</v>
      </c>
      <c r="T222" s="34">
        <f>SUMIFS('Raw Non-zero DMR Data'!$X:$X, 'Raw Non-zero DMR Data'!$A:$A, A222, 'Raw Non-zero DMR Data'!$C:$C, U222, 'Raw Non-zero DMR Data'!V:V, V222)</f>
        <v>20.348279999999999</v>
      </c>
      <c r="U222" s="34" t="s">
        <v>1027</v>
      </c>
      <c r="V222" s="34" t="s">
        <v>1029</v>
      </c>
      <c r="W222" s="139">
        <v>71402010206</v>
      </c>
      <c r="X222" s="140" t="s">
        <v>1030</v>
      </c>
    </row>
    <row r="223" spans="1:24" x14ac:dyDescent="0.35">
      <c r="A223" s="34">
        <v>2022</v>
      </c>
      <c r="B223" s="34" t="s">
        <v>121</v>
      </c>
      <c r="C223" s="34" t="s">
        <v>1027</v>
      </c>
      <c r="D223" s="34" t="s">
        <v>122</v>
      </c>
      <c r="E223" s="34" t="s">
        <v>1028</v>
      </c>
      <c r="F223" s="34" t="s">
        <v>111</v>
      </c>
      <c r="G223" s="34"/>
      <c r="H223" s="34">
        <v>39.795811999999998</v>
      </c>
      <c r="I223" s="34">
        <v>-88.347945999999993</v>
      </c>
      <c r="J223" s="34"/>
      <c r="K223" s="105">
        <v>110000746211</v>
      </c>
      <c r="L223" s="34">
        <v>2869</v>
      </c>
      <c r="M223" s="48" t="str">
        <f>VLOOKUP(L223, '2017 SIC to NAICS'!A:D, 2)</f>
        <v>Industrial Organic Chemicals, Nec</v>
      </c>
      <c r="N223" s="34">
        <f>VLOOKUP(L223,'2017 SIC to NAICS'!A:D,3)</f>
        <v>325998</v>
      </c>
      <c r="O223" s="34" t="str">
        <f>VLOOKUP(L223,'2017 SIC to NAICS'!A:D,4)</f>
        <v>All Other Miscellaneous Chemical Product and Preparation Manufacturing</v>
      </c>
      <c r="P223" s="36" t="s">
        <v>748</v>
      </c>
      <c r="Q223" s="137" t="s">
        <v>749</v>
      </c>
      <c r="R223" s="45" t="s">
        <v>41</v>
      </c>
      <c r="S223" s="138">
        <f>COUNTIFS('Raw Non-zero DMR Data'!$A:$A, A223, 'Raw Non-zero DMR Data'!$C:$C, U223, 'Raw Non-zero DMR Data'!$V:$V, V223)</f>
        <v>1</v>
      </c>
      <c r="T223" s="34">
        <f>SUMIFS('Raw Non-zero DMR Data'!$X:$X, 'Raw Non-zero DMR Data'!$A:$A, A223, 'Raw Non-zero DMR Data'!$C:$C, U223, 'Raw Non-zero DMR Data'!V:V, V223)</f>
        <v>18.096893999999999</v>
      </c>
      <c r="U223" s="34" t="s">
        <v>1027</v>
      </c>
      <c r="V223" s="34" t="s">
        <v>1029</v>
      </c>
      <c r="W223" s="141" t="s">
        <v>1031</v>
      </c>
      <c r="X223" s="140" t="s">
        <v>1030</v>
      </c>
    </row>
    <row r="224" spans="1:24" x14ac:dyDescent="0.35">
      <c r="A224" s="34">
        <v>2019</v>
      </c>
      <c r="B224" s="34" t="s">
        <v>351</v>
      </c>
      <c r="C224" s="34" t="s">
        <v>1032</v>
      </c>
      <c r="D224" s="34" t="s">
        <v>352</v>
      </c>
      <c r="E224" s="34" t="s">
        <v>1033</v>
      </c>
      <c r="F224" s="34" t="s">
        <v>111</v>
      </c>
      <c r="G224" s="34"/>
      <c r="H224" s="34">
        <v>41.441667000000002</v>
      </c>
      <c r="I224" s="34">
        <v>-88.159719999999993</v>
      </c>
      <c r="J224" s="34"/>
      <c r="K224" s="105">
        <v>110000432504</v>
      </c>
      <c r="L224" s="34">
        <v>2843</v>
      </c>
      <c r="M224" s="48" t="str">
        <f>VLOOKUP(L224, '2017 SIC to NAICS'!A:D, 2)</f>
        <v>Surface Active Agents</v>
      </c>
      <c r="N224" s="34">
        <f>VLOOKUP(L224,'2017 SIC to NAICS'!A:D,3)</f>
        <v>325613</v>
      </c>
      <c r="O224" s="34" t="str">
        <f>VLOOKUP(L224,'2017 SIC to NAICS'!A:D,4)</f>
        <v>Surface Active Agent Manufacturing</v>
      </c>
      <c r="P224" s="36" t="s">
        <v>1034</v>
      </c>
      <c r="Q224" s="137" t="s">
        <v>1035</v>
      </c>
      <c r="R224" s="45" t="s">
        <v>41</v>
      </c>
      <c r="S224" s="138">
        <f>COUNTIFS('Raw Non-zero DMR Data'!$A:$A, A224, 'Raw Non-zero DMR Data'!$C:$C, U224, 'Raw Non-zero DMR Data'!$V:$V, V224)</f>
        <v>1</v>
      </c>
      <c r="T224" s="34">
        <f>SUMIFS('Raw Non-zero DMR Data'!$X:$X, 'Raw Non-zero DMR Data'!$A:$A, A224, 'Raw Non-zero DMR Data'!$C:$C, U224, 'Raw Non-zero DMR Data'!V:V, V224)</f>
        <v>0.57930400000000004</v>
      </c>
      <c r="U224" s="34" t="s">
        <v>1032</v>
      </c>
      <c r="V224" s="34" t="s">
        <v>1036</v>
      </c>
      <c r="W224" s="139">
        <v>71200040905</v>
      </c>
      <c r="X224" s="140" t="s">
        <v>1037</v>
      </c>
    </row>
    <row r="225" spans="1:24" x14ac:dyDescent="0.35">
      <c r="A225" s="34">
        <v>2020</v>
      </c>
      <c r="B225" s="34" t="s">
        <v>351</v>
      </c>
      <c r="C225" s="34" t="s">
        <v>1032</v>
      </c>
      <c r="D225" s="34" t="s">
        <v>352</v>
      </c>
      <c r="E225" s="34" t="s">
        <v>1033</v>
      </c>
      <c r="F225" s="34" t="s">
        <v>111</v>
      </c>
      <c r="G225" s="34"/>
      <c r="H225" s="34">
        <v>41.441667000000002</v>
      </c>
      <c r="I225" s="34">
        <v>-88.159719999999993</v>
      </c>
      <c r="J225" s="34"/>
      <c r="K225" s="105">
        <v>110000432504</v>
      </c>
      <c r="L225" s="34">
        <v>2843</v>
      </c>
      <c r="M225" s="48" t="str">
        <f>VLOOKUP(L225, '2017 SIC to NAICS'!A:D, 2)</f>
        <v>Surface Active Agents</v>
      </c>
      <c r="N225" s="34">
        <f>VLOOKUP(L225,'2017 SIC to NAICS'!A:D,3)</f>
        <v>325613</v>
      </c>
      <c r="O225" s="34" t="str">
        <f>VLOOKUP(L225,'2017 SIC to NAICS'!A:D,4)</f>
        <v>Surface Active Agent Manufacturing</v>
      </c>
      <c r="P225" s="36" t="s">
        <v>1034</v>
      </c>
      <c r="Q225" s="137" t="s">
        <v>1035</v>
      </c>
      <c r="R225" s="45" t="s">
        <v>41</v>
      </c>
      <c r="S225" s="138">
        <f>COUNTIFS('Raw Non-zero DMR Data'!$A:$A, A225, 'Raw Non-zero DMR Data'!$C:$C, U225, 'Raw Non-zero DMR Data'!$V:$V, V225)</f>
        <v>1</v>
      </c>
      <c r="T225" s="34">
        <f>SUMIFS('Raw Non-zero DMR Data'!$X:$X, 'Raw Non-zero DMR Data'!$A:$A, A225, 'Raw Non-zero DMR Data'!$C:$C, U225, 'Raw Non-zero DMR Data'!V:V, V225)</f>
        <v>0.57930400000000004</v>
      </c>
      <c r="U225" s="34" t="s">
        <v>1032</v>
      </c>
      <c r="V225" s="34" t="s">
        <v>1036</v>
      </c>
      <c r="W225" s="139">
        <v>71200040905</v>
      </c>
      <c r="X225" s="140" t="s">
        <v>1037</v>
      </c>
    </row>
    <row r="226" spans="1:24" x14ac:dyDescent="0.35">
      <c r="A226" s="34">
        <v>2021</v>
      </c>
      <c r="B226" s="34" t="s">
        <v>351</v>
      </c>
      <c r="C226" s="34" t="s">
        <v>1032</v>
      </c>
      <c r="D226" s="34" t="s">
        <v>352</v>
      </c>
      <c r="E226" s="34" t="s">
        <v>1033</v>
      </c>
      <c r="F226" s="34" t="s">
        <v>111</v>
      </c>
      <c r="G226" s="34"/>
      <c r="H226" s="34">
        <v>41.441667000000002</v>
      </c>
      <c r="I226" s="34">
        <v>-88.159719999999993</v>
      </c>
      <c r="J226" s="34"/>
      <c r="K226" s="105">
        <v>110000432504</v>
      </c>
      <c r="L226" s="34">
        <v>2843</v>
      </c>
      <c r="M226" s="48" t="str">
        <f>VLOOKUP(L226, '2017 SIC to NAICS'!A:D, 2)</f>
        <v>Surface Active Agents</v>
      </c>
      <c r="N226" s="34">
        <f>VLOOKUP(L226,'2017 SIC to NAICS'!A:D,3)</f>
        <v>325613</v>
      </c>
      <c r="O226" s="34" t="str">
        <f>VLOOKUP(L226,'2017 SIC to NAICS'!A:D,4)</f>
        <v>Surface Active Agent Manufacturing</v>
      </c>
      <c r="P226" s="36" t="s">
        <v>1034</v>
      </c>
      <c r="Q226" s="137" t="s">
        <v>1035</v>
      </c>
      <c r="R226" s="45" t="s">
        <v>41</v>
      </c>
      <c r="S226" s="138">
        <f>COUNTIFS('Raw Non-zero DMR Data'!$A:$A, A226, 'Raw Non-zero DMR Data'!$C:$C, U226, 'Raw Non-zero DMR Data'!$V:$V, V226)</f>
        <v>1</v>
      </c>
      <c r="T226" s="34">
        <f>SUMIFS('Raw Non-zero DMR Data'!$X:$X, 'Raw Non-zero DMR Data'!$A:$A, A226, 'Raw Non-zero DMR Data'!$C:$C, U226, 'Raw Non-zero DMR Data'!V:V, V226)</f>
        <v>0.33005800000000002</v>
      </c>
      <c r="U226" s="34" t="s">
        <v>1032</v>
      </c>
      <c r="V226" s="34" t="s">
        <v>1036</v>
      </c>
      <c r="W226" s="139">
        <v>71200040905</v>
      </c>
      <c r="X226" s="140" t="s">
        <v>1037</v>
      </c>
    </row>
    <row r="227" spans="1:24" x14ac:dyDescent="0.35">
      <c r="A227" s="34">
        <v>2022</v>
      </c>
      <c r="B227" s="34" t="s">
        <v>351</v>
      </c>
      <c r="C227" s="34" t="s">
        <v>1032</v>
      </c>
      <c r="D227" s="34" t="s">
        <v>352</v>
      </c>
      <c r="E227" s="34" t="s">
        <v>1033</v>
      </c>
      <c r="F227" s="34" t="s">
        <v>111</v>
      </c>
      <c r="G227" s="34"/>
      <c r="H227" s="34">
        <v>41.441667000000002</v>
      </c>
      <c r="I227" s="34">
        <v>-88.159719999999993</v>
      </c>
      <c r="J227" s="34"/>
      <c r="K227" s="105">
        <v>110000432504</v>
      </c>
      <c r="L227" s="34">
        <v>2843</v>
      </c>
      <c r="M227" s="48" t="str">
        <f>VLOOKUP(L227, '2017 SIC to NAICS'!A:D, 2)</f>
        <v>Surface Active Agents</v>
      </c>
      <c r="N227" s="34">
        <f>VLOOKUP(L227,'2017 SIC to NAICS'!A:D,3)</f>
        <v>325613</v>
      </c>
      <c r="O227" s="34" t="str">
        <f>VLOOKUP(L227,'2017 SIC to NAICS'!A:D,4)</f>
        <v>Surface Active Agent Manufacturing</v>
      </c>
      <c r="P227" s="36" t="s">
        <v>1034</v>
      </c>
      <c r="Q227" s="137" t="s">
        <v>1035</v>
      </c>
      <c r="R227" s="45" t="s">
        <v>41</v>
      </c>
      <c r="S227" s="138">
        <f>COUNTIFS('Raw Non-zero DMR Data'!$A:$A, A227, 'Raw Non-zero DMR Data'!$C:$C, U227, 'Raw Non-zero DMR Data'!$V:$V, V227)</f>
        <v>1</v>
      </c>
      <c r="T227" s="34">
        <f>SUMIFS('Raw Non-zero DMR Data'!$X:$X, 'Raw Non-zero DMR Data'!$A:$A, A227, 'Raw Non-zero DMR Data'!$C:$C, U227, 'Raw Non-zero DMR Data'!V:V, V227)</f>
        <v>0.41495599999999999</v>
      </c>
      <c r="U227" s="34" t="s">
        <v>1032</v>
      </c>
      <c r="V227" s="34" t="s">
        <v>1036</v>
      </c>
      <c r="W227" s="141" t="s">
        <v>1038</v>
      </c>
      <c r="X227" s="140" t="s">
        <v>1037</v>
      </c>
    </row>
    <row r="228" spans="1:24" x14ac:dyDescent="0.35">
      <c r="A228" s="34">
        <v>2023</v>
      </c>
      <c r="B228" s="34" t="s">
        <v>351</v>
      </c>
      <c r="C228" s="34" t="s">
        <v>1032</v>
      </c>
      <c r="D228" s="34" t="s">
        <v>352</v>
      </c>
      <c r="E228" s="34" t="s">
        <v>1033</v>
      </c>
      <c r="F228" s="34" t="s">
        <v>111</v>
      </c>
      <c r="G228" s="34"/>
      <c r="H228" s="34">
        <v>41.441667000000002</v>
      </c>
      <c r="I228" s="34">
        <v>-88.159719999999993</v>
      </c>
      <c r="J228" s="34"/>
      <c r="K228" s="105">
        <v>110000432504</v>
      </c>
      <c r="L228" s="34">
        <v>2843</v>
      </c>
      <c r="M228" s="48" t="str">
        <f>VLOOKUP(L228, '2017 SIC to NAICS'!A:D, 2)</f>
        <v>Surface Active Agents</v>
      </c>
      <c r="N228" s="34">
        <f>VLOOKUP(L228,'2017 SIC to NAICS'!A:D,3)</f>
        <v>325613</v>
      </c>
      <c r="O228" s="34" t="str">
        <f>VLOOKUP(L228,'2017 SIC to NAICS'!A:D,4)</f>
        <v>Surface Active Agent Manufacturing</v>
      </c>
      <c r="P228" s="36" t="s">
        <v>1034</v>
      </c>
      <c r="Q228" s="137" t="s">
        <v>1035</v>
      </c>
      <c r="R228" s="45" t="s">
        <v>41</v>
      </c>
      <c r="S228" s="138">
        <f>COUNTIFS('Raw Non-zero DMR Data'!$A:$A, A228, 'Raw Non-zero DMR Data'!$C:$C, U228, 'Raw Non-zero DMR Data'!$V:$V, V228)</f>
        <v>1</v>
      </c>
      <c r="T228" s="34">
        <f>SUMIFS('Raw Non-zero DMR Data'!$X:$X, 'Raw Non-zero DMR Data'!$A:$A, A228, 'Raw Non-zero DMR Data'!$C:$C, U228, 'Raw Non-zero DMR Data'!V:V, V228)</f>
        <v>0.49713000000000002</v>
      </c>
      <c r="U228" s="34" t="s">
        <v>1032</v>
      </c>
      <c r="V228" s="34" t="s">
        <v>1036</v>
      </c>
      <c r="W228" s="141" t="s">
        <v>1038</v>
      </c>
      <c r="X228" s="140" t="s">
        <v>1037</v>
      </c>
    </row>
    <row r="229" spans="1:24" x14ac:dyDescent="0.35">
      <c r="A229" s="34">
        <v>2020</v>
      </c>
      <c r="B229" s="34" t="s">
        <v>353</v>
      </c>
      <c r="C229" s="34" t="s">
        <v>800</v>
      </c>
      <c r="D229" s="34" t="s">
        <v>354</v>
      </c>
      <c r="E229" s="34" t="s">
        <v>801</v>
      </c>
      <c r="F229" s="34" t="s">
        <v>111</v>
      </c>
      <c r="G229" s="34"/>
      <c r="H229" s="34">
        <v>42.304209</v>
      </c>
      <c r="I229" s="34">
        <v>-89.055548999999999</v>
      </c>
      <c r="J229" s="34"/>
      <c r="K229" s="105">
        <v>110005812371</v>
      </c>
      <c r="L229" s="34">
        <v>3728</v>
      </c>
      <c r="M229" s="48" t="str">
        <f>VLOOKUP(L229, '2017 SIC to NAICS'!A:D, 2)</f>
        <v>Aircraft Parts and Auxiliary Equipment, NEC (research and development not
producing prototypes)</v>
      </c>
      <c r="N229" s="34">
        <f>VLOOKUP(L229,'2017 SIC to NAICS'!A:D,3)</f>
        <v>541713</v>
      </c>
      <c r="O229" s="34" t="str">
        <f>VLOOKUP(L229,'2017 SIC to NAICS'!A:D,4)</f>
        <v>Research and Development in Nanotechnology</v>
      </c>
      <c r="P229" s="36" t="s">
        <v>754</v>
      </c>
      <c r="Q229" s="137" t="s">
        <v>755</v>
      </c>
      <c r="R229" s="45" t="s">
        <v>41</v>
      </c>
      <c r="S229" s="138">
        <f>COUNTIFS('Raw Non-zero DMR Data'!$A:$A, A229, 'Raw Non-zero DMR Data'!$C:$C, U229, 'Raw Non-zero DMR Data'!$V:$V, V229)</f>
        <v>1</v>
      </c>
      <c r="T229" s="34">
        <f>SUMIFS('Raw Non-zero DMR Data'!$X:$X, 'Raw Non-zero DMR Data'!$A:$A, A229, 'Raw Non-zero DMR Data'!$C:$C, U229, 'Raw Non-zero DMR Data'!V:V, V229)</f>
        <v>1.4643408E-2</v>
      </c>
      <c r="U229" s="34" t="s">
        <v>800</v>
      </c>
      <c r="V229" s="34" t="s">
        <v>802</v>
      </c>
      <c r="W229" s="139">
        <v>70900050107</v>
      </c>
      <c r="X229" s="140" t="s">
        <v>803</v>
      </c>
    </row>
    <row r="230" spans="1:24" x14ac:dyDescent="0.35">
      <c r="A230" s="34">
        <v>2021</v>
      </c>
      <c r="B230" s="34" t="s">
        <v>353</v>
      </c>
      <c r="C230" s="34" t="s">
        <v>800</v>
      </c>
      <c r="D230" s="34" t="s">
        <v>354</v>
      </c>
      <c r="E230" s="34" t="s">
        <v>801</v>
      </c>
      <c r="F230" s="34" t="s">
        <v>111</v>
      </c>
      <c r="G230" s="34"/>
      <c r="H230" s="34">
        <v>42.304209</v>
      </c>
      <c r="I230" s="34">
        <v>-89.055548999999999</v>
      </c>
      <c r="J230" s="34"/>
      <c r="K230" s="105">
        <v>110005812371</v>
      </c>
      <c r="L230" s="34">
        <v>3728</v>
      </c>
      <c r="M230" s="48" t="str">
        <f>VLOOKUP(L230, '2017 SIC to NAICS'!A:D, 2)</f>
        <v>Aircraft Parts and Auxiliary Equipment, NEC (research and development not
producing prototypes)</v>
      </c>
      <c r="N230" s="34">
        <f>VLOOKUP(L230,'2017 SIC to NAICS'!A:D,3)</f>
        <v>541713</v>
      </c>
      <c r="O230" s="34" t="str">
        <f>VLOOKUP(L230,'2017 SIC to NAICS'!A:D,4)</f>
        <v>Research and Development in Nanotechnology</v>
      </c>
      <c r="P230" s="36" t="s">
        <v>754</v>
      </c>
      <c r="Q230" s="137" t="s">
        <v>755</v>
      </c>
      <c r="R230" s="45" t="s">
        <v>41</v>
      </c>
      <c r="S230" s="138">
        <f>COUNTIFS('Raw Non-zero DMR Data'!$A:$A, A230, 'Raw Non-zero DMR Data'!$C:$C, U230, 'Raw Non-zero DMR Data'!$V:$V, V230)</f>
        <v>1</v>
      </c>
      <c r="T230" s="34">
        <f>SUMIFS('Raw Non-zero DMR Data'!$X:$X, 'Raw Non-zero DMR Data'!$A:$A, A230, 'Raw Non-zero DMR Data'!$C:$C, U230, 'Raw Non-zero DMR Data'!V:V, V230)</f>
        <v>2.2070713499999998E-2</v>
      </c>
      <c r="U230" s="34" t="s">
        <v>800</v>
      </c>
      <c r="V230" s="34" t="s">
        <v>802</v>
      </c>
      <c r="W230" s="139">
        <v>70900050107</v>
      </c>
      <c r="X230" s="140" t="s">
        <v>803</v>
      </c>
    </row>
    <row r="231" spans="1:24" x14ac:dyDescent="0.35">
      <c r="A231" s="34">
        <v>2022</v>
      </c>
      <c r="B231" s="34" t="s">
        <v>353</v>
      </c>
      <c r="C231" s="34" t="s">
        <v>800</v>
      </c>
      <c r="D231" s="34" t="s">
        <v>354</v>
      </c>
      <c r="E231" s="34" t="s">
        <v>801</v>
      </c>
      <c r="F231" s="34" t="s">
        <v>111</v>
      </c>
      <c r="G231" s="34"/>
      <c r="H231" s="34">
        <v>42.304209</v>
      </c>
      <c r="I231" s="34">
        <v>-89.055548999999999</v>
      </c>
      <c r="J231" s="34"/>
      <c r="K231" s="105">
        <v>110005812371</v>
      </c>
      <c r="L231" s="34">
        <v>3728</v>
      </c>
      <c r="M231" s="48" t="str">
        <f>VLOOKUP(L231, '2017 SIC to NAICS'!A:D, 2)</f>
        <v>Aircraft Parts and Auxiliary Equipment, NEC (research and development not
producing prototypes)</v>
      </c>
      <c r="N231" s="34">
        <f>VLOOKUP(L231,'2017 SIC to NAICS'!A:D,3)</f>
        <v>541713</v>
      </c>
      <c r="O231" s="34" t="str">
        <f>VLOOKUP(L231,'2017 SIC to NAICS'!A:D,4)</f>
        <v>Research and Development in Nanotechnology</v>
      </c>
      <c r="P231" s="36" t="s">
        <v>754</v>
      </c>
      <c r="Q231" s="137" t="s">
        <v>755</v>
      </c>
      <c r="R231" s="45" t="s">
        <v>41</v>
      </c>
      <c r="S231" s="138">
        <f>COUNTIFS('Raw Non-zero DMR Data'!$A:$A, A231, 'Raw Non-zero DMR Data'!$C:$C, U231, 'Raw Non-zero DMR Data'!$V:$V, V231)</f>
        <v>1</v>
      </c>
      <c r="T231" s="34">
        <f>SUMIFS('Raw Non-zero DMR Data'!$X:$X, 'Raw Non-zero DMR Data'!$A:$A, A231, 'Raw Non-zero DMR Data'!$C:$C, U231, 'Raw Non-zero DMR Data'!V:V, V231)</f>
        <v>1.50306135E-2</v>
      </c>
      <c r="U231" s="34" t="s">
        <v>800</v>
      </c>
      <c r="V231" s="34" t="s">
        <v>802</v>
      </c>
      <c r="W231" s="141" t="s">
        <v>1039</v>
      </c>
      <c r="X231" s="140" t="s">
        <v>803</v>
      </c>
    </row>
    <row r="232" spans="1:24" x14ac:dyDescent="0.35">
      <c r="A232" s="34">
        <v>2023</v>
      </c>
      <c r="B232" s="34" t="s">
        <v>353</v>
      </c>
      <c r="C232" s="34" t="s">
        <v>800</v>
      </c>
      <c r="D232" s="34" t="s">
        <v>354</v>
      </c>
      <c r="E232" s="34" t="s">
        <v>801</v>
      </c>
      <c r="F232" s="34" t="s">
        <v>111</v>
      </c>
      <c r="G232" s="34"/>
      <c r="H232" s="34">
        <v>42.304209</v>
      </c>
      <c r="I232" s="34">
        <v>-89.055548999999999</v>
      </c>
      <c r="J232" s="34"/>
      <c r="K232" s="105">
        <v>110005812371</v>
      </c>
      <c r="L232" s="34">
        <v>3728</v>
      </c>
      <c r="M232" s="48" t="str">
        <f>VLOOKUP(L232, '2017 SIC to NAICS'!A:D, 2)</f>
        <v>Aircraft Parts and Auxiliary Equipment, NEC (research and development not
producing prototypes)</v>
      </c>
      <c r="N232" s="34">
        <f>VLOOKUP(L232,'2017 SIC to NAICS'!A:D,3)</f>
        <v>541713</v>
      </c>
      <c r="O232" s="34" t="str">
        <f>VLOOKUP(L232,'2017 SIC to NAICS'!A:D,4)</f>
        <v>Research and Development in Nanotechnology</v>
      </c>
      <c r="P232" s="36" t="s">
        <v>754</v>
      </c>
      <c r="Q232" s="137" t="s">
        <v>755</v>
      </c>
      <c r="R232" s="45" t="s">
        <v>41</v>
      </c>
      <c r="S232" s="138">
        <f>COUNTIFS('Raw Non-zero DMR Data'!$A:$A, A232, 'Raw Non-zero DMR Data'!$C:$C, U232, 'Raw Non-zero DMR Data'!$V:$V, V232)</f>
        <v>1</v>
      </c>
      <c r="T232" s="34">
        <f>SUMIFS('Raw Non-zero DMR Data'!$X:$X, 'Raw Non-zero DMR Data'!$A:$A, A232, 'Raw Non-zero DMR Data'!$C:$C, U232, 'Raw Non-zero DMR Data'!V:V, V232)</f>
        <v>1.4361804000000001E-2</v>
      </c>
      <c r="U232" s="34" t="s">
        <v>800</v>
      </c>
      <c r="V232" s="34" t="s">
        <v>802</v>
      </c>
      <c r="W232" s="141" t="s">
        <v>1039</v>
      </c>
      <c r="X232" s="140" t="s">
        <v>803</v>
      </c>
    </row>
    <row r="233" spans="1:24" x14ac:dyDescent="0.35">
      <c r="A233" s="34">
        <v>2019</v>
      </c>
      <c r="B233" s="34" t="s">
        <v>109</v>
      </c>
      <c r="C233" s="34" t="s">
        <v>763</v>
      </c>
      <c r="D233" s="34" t="s">
        <v>110</v>
      </c>
      <c r="E233" s="34" t="s">
        <v>764</v>
      </c>
      <c r="F233" s="34" t="s">
        <v>111</v>
      </c>
      <c r="G233" s="34"/>
      <c r="H233" s="34">
        <v>41.692782000000001</v>
      </c>
      <c r="I233" s="34">
        <v>-87.951100999999994</v>
      </c>
      <c r="J233" s="34"/>
      <c r="K233" s="105">
        <v>110018199377</v>
      </c>
      <c r="L233" s="34">
        <v>4226</v>
      </c>
      <c r="M233" s="48" t="str">
        <f>VLOOKUP(L233, '2017 SIC to NAICS'!A:D, 2)</f>
        <v>Special Warehousing and Storage, Nec</v>
      </c>
      <c r="N233" s="34">
        <f>VLOOKUP(L233,'2017 SIC to NAICS'!A:D,3)</f>
        <v>493190</v>
      </c>
      <c r="O233" s="34" t="str">
        <f>VLOOKUP(L233,'2017 SIC to NAICS'!A:D,4)</f>
        <v>Other Warehousing and Storage</v>
      </c>
      <c r="P233" s="36" t="s">
        <v>765</v>
      </c>
      <c r="Q233" s="137" t="s">
        <v>766</v>
      </c>
      <c r="R233" s="45" t="s">
        <v>41</v>
      </c>
      <c r="S233" s="138">
        <f>COUNTIFS('Raw Non-zero DMR Data'!$A:$A, A233, 'Raw Non-zero DMR Data'!$C:$C, U233, 'Raw Non-zero DMR Data'!$V:$V, V233)</f>
        <v>1</v>
      </c>
      <c r="T233" s="34">
        <f>SUMIFS('Raw Non-zero DMR Data'!$X:$X, 'Raw Non-zero DMR Data'!$A:$A, A233, 'Raw Non-zero DMR Data'!$C:$C, U233, 'Raw Non-zero DMR Data'!V:V, V233)</f>
        <v>0.58896492499999997</v>
      </c>
      <c r="U233" s="34" t="s">
        <v>763</v>
      </c>
      <c r="V233" s="34" t="s">
        <v>767</v>
      </c>
      <c r="W233" s="139">
        <v>71200040705</v>
      </c>
      <c r="X233" s="140" t="s">
        <v>768</v>
      </c>
    </row>
    <row r="234" spans="1:24" x14ac:dyDescent="0.35">
      <c r="A234" s="34">
        <v>2019</v>
      </c>
      <c r="B234" s="34" t="s">
        <v>468</v>
      </c>
      <c r="C234" s="34" t="s">
        <v>1040</v>
      </c>
      <c r="D234" s="34" t="s">
        <v>260</v>
      </c>
      <c r="E234" s="34" t="s">
        <v>1041</v>
      </c>
      <c r="F234" s="34" t="s">
        <v>111</v>
      </c>
      <c r="G234" s="34"/>
      <c r="H234" s="34">
        <v>41.405655000000003</v>
      </c>
      <c r="I234" s="34">
        <v>-88.335212999999996</v>
      </c>
      <c r="J234" s="34"/>
      <c r="K234" s="105">
        <v>110000547196</v>
      </c>
      <c r="L234" s="34">
        <v>2869</v>
      </c>
      <c r="M234" s="48" t="str">
        <f>VLOOKUP(L234, '2017 SIC to NAICS'!A:D, 2)</f>
        <v>Industrial Organic Chemicals, Nec</v>
      </c>
      <c r="N234" s="34">
        <f>VLOOKUP(L234,'2017 SIC to NAICS'!A:D,3)</f>
        <v>325998</v>
      </c>
      <c r="O234" s="34" t="str">
        <f>VLOOKUP(L234,'2017 SIC to NAICS'!A:D,4)</f>
        <v>All Other Miscellaneous Chemical Product and Preparation Manufacturing</v>
      </c>
      <c r="P234" s="36" t="s">
        <v>748</v>
      </c>
      <c r="Q234" s="137" t="s">
        <v>749</v>
      </c>
      <c r="R234" s="45" t="s">
        <v>41</v>
      </c>
      <c r="S234" s="138">
        <f>COUNTIFS('Raw Non-zero DMR Data'!$A:$A, A234, 'Raw Non-zero DMR Data'!$C:$C, U234, 'Raw Non-zero DMR Data'!$V:$V, V234)</f>
        <v>1</v>
      </c>
      <c r="T234" s="34">
        <f>SUMIFS('Raw Non-zero DMR Data'!$X:$X, 'Raw Non-zero DMR Data'!$A:$A, A234, 'Raw Non-zero DMR Data'!$C:$C, U234, 'Raw Non-zero DMR Data'!V:V, V234)</f>
        <v>5.8121079999999999E-2</v>
      </c>
      <c r="U234" s="34" t="s">
        <v>1040</v>
      </c>
      <c r="V234" s="34" t="s">
        <v>798</v>
      </c>
      <c r="W234" s="139">
        <v>71200050106</v>
      </c>
      <c r="X234" s="140" t="s">
        <v>1042</v>
      </c>
    </row>
    <row r="235" spans="1:24" x14ac:dyDescent="0.35">
      <c r="A235" s="34">
        <v>2020</v>
      </c>
      <c r="B235" s="34" t="s">
        <v>468</v>
      </c>
      <c r="C235" s="34" t="s">
        <v>1040</v>
      </c>
      <c r="D235" s="34" t="s">
        <v>260</v>
      </c>
      <c r="E235" s="34" t="s">
        <v>1041</v>
      </c>
      <c r="F235" s="34" t="s">
        <v>111</v>
      </c>
      <c r="G235" s="34"/>
      <c r="H235" s="34">
        <v>41.405655000000003</v>
      </c>
      <c r="I235" s="34">
        <v>-88.335212999999996</v>
      </c>
      <c r="J235" s="34"/>
      <c r="K235" s="105">
        <v>110000547196</v>
      </c>
      <c r="L235" s="34">
        <v>2869</v>
      </c>
      <c r="M235" s="48" t="str">
        <f>VLOOKUP(L235, '2017 SIC to NAICS'!A:D, 2)</f>
        <v>Industrial Organic Chemicals, Nec</v>
      </c>
      <c r="N235" s="34">
        <f>VLOOKUP(L235,'2017 SIC to NAICS'!A:D,3)</f>
        <v>325998</v>
      </c>
      <c r="O235" s="34" t="str">
        <f>VLOOKUP(L235,'2017 SIC to NAICS'!A:D,4)</f>
        <v>All Other Miscellaneous Chemical Product and Preparation Manufacturing</v>
      </c>
      <c r="P235" s="36" t="s">
        <v>748</v>
      </c>
      <c r="Q235" s="137" t="s">
        <v>749</v>
      </c>
      <c r="R235" s="45" t="s">
        <v>41</v>
      </c>
      <c r="S235" s="138">
        <f>COUNTIFS('Raw Non-zero DMR Data'!$A:$A, A235, 'Raw Non-zero DMR Data'!$C:$C, U235, 'Raw Non-zero DMR Data'!$V:$V, V235)</f>
        <v>1</v>
      </c>
      <c r="T235" s="34">
        <f>SUMIFS('Raw Non-zero DMR Data'!$X:$X, 'Raw Non-zero DMR Data'!$A:$A, A235, 'Raw Non-zero DMR Data'!$C:$C, U235, 'Raw Non-zero DMR Data'!V:V, V235)</f>
        <v>6.2107200000000001E-2</v>
      </c>
      <c r="U235" s="34" t="s">
        <v>1040</v>
      </c>
      <c r="V235" s="34" t="s">
        <v>798</v>
      </c>
      <c r="W235" s="139">
        <v>71200050106</v>
      </c>
      <c r="X235" s="140" t="s">
        <v>1042</v>
      </c>
    </row>
    <row r="236" spans="1:24" x14ac:dyDescent="0.35">
      <c r="A236" s="34">
        <v>2021</v>
      </c>
      <c r="B236" s="34" t="s">
        <v>468</v>
      </c>
      <c r="C236" s="34" t="s">
        <v>1040</v>
      </c>
      <c r="D236" s="34" t="s">
        <v>260</v>
      </c>
      <c r="E236" s="34" t="s">
        <v>1041</v>
      </c>
      <c r="F236" s="34" t="s">
        <v>111</v>
      </c>
      <c r="G236" s="34"/>
      <c r="H236" s="34">
        <v>41.405655000000003</v>
      </c>
      <c r="I236" s="34">
        <v>-88.335212999999996</v>
      </c>
      <c r="J236" s="34"/>
      <c r="K236" s="105">
        <v>110000547196</v>
      </c>
      <c r="L236" s="34">
        <v>2869</v>
      </c>
      <c r="M236" s="48" t="str">
        <f>VLOOKUP(L236, '2017 SIC to NAICS'!A:D, 2)</f>
        <v>Industrial Organic Chemicals, Nec</v>
      </c>
      <c r="N236" s="34">
        <f>VLOOKUP(L236,'2017 SIC to NAICS'!A:D,3)</f>
        <v>325998</v>
      </c>
      <c r="O236" s="34" t="str">
        <f>VLOOKUP(L236,'2017 SIC to NAICS'!A:D,4)</f>
        <v>All Other Miscellaneous Chemical Product and Preparation Manufacturing</v>
      </c>
      <c r="P236" s="36" t="s">
        <v>748</v>
      </c>
      <c r="Q236" s="137" t="s">
        <v>749</v>
      </c>
      <c r="R236" s="45" t="s">
        <v>41</v>
      </c>
      <c r="S236" s="138">
        <f>COUNTIFS('Raw Non-zero DMR Data'!$A:$A, A236, 'Raw Non-zero DMR Data'!$C:$C, U236, 'Raw Non-zero DMR Data'!$V:$V, V236)</f>
        <v>1</v>
      </c>
      <c r="T236" s="34">
        <f>SUMIFS('Raw Non-zero DMR Data'!$X:$X, 'Raw Non-zero DMR Data'!$A:$A, A236, 'Raw Non-zero DMR Data'!$C:$C, U236, 'Raw Non-zero DMR Data'!V:V, V236)</f>
        <v>9.6620280000000003E-2</v>
      </c>
      <c r="U236" s="34" t="s">
        <v>1040</v>
      </c>
      <c r="V236" s="34" t="s">
        <v>798</v>
      </c>
      <c r="W236" s="139">
        <v>71200050106</v>
      </c>
      <c r="X236" s="140" t="s">
        <v>1042</v>
      </c>
    </row>
    <row r="237" spans="1:24" x14ac:dyDescent="0.35">
      <c r="A237" s="34">
        <v>2022</v>
      </c>
      <c r="B237" s="34" t="s">
        <v>468</v>
      </c>
      <c r="C237" s="34" t="s">
        <v>1040</v>
      </c>
      <c r="D237" s="34" t="s">
        <v>260</v>
      </c>
      <c r="E237" s="34" t="s">
        <v>1041</v>
      </c>
      <c r="F237" s="34" t="s">
        <v>111</v>
      </c>
      <c r="G237" s="34"/>
      <c r="H237" s="34">
        <v>41.405655000000003</v>
      </c>
      <c r="I237" s="34">
        <v>-88.335212999999996</v>
      </c>
      <c r="J237" s="34"/>
      <c r="K237" s="105">
        <v>110000547196</v>
      </c>
      <c r="L237" s="34">
        <v>2869</v>
      </c>
      <c r="M237" s="48" t="str">
        <f>VLOOKUP(L237, '2017 SIC to NAICS'!A:D, 2)</f>
        <v>Industrial Organic Chemicals, Nec</v>
      </c>
      <c r="N237" s="34">
        <f>VLOOKUP(L237,'2017 SIC to NAICS'!A:D,3)</f>
        <v>325998</v>
      </c>
      <c r="O237" s="34" t="str">
        <f>VLOOKUP(L237,'2017 SIC to NAICS'!A:D,4)</f>
        <v>All Other Miscellaneous Chemical Product and Preparation Manufacturing</v>
      </c>
      <c r="P237" s="36" t="s">
        <v>748</v>
      </c>
      <c r="Q237" s="137" t="s">
        <v>749</v>
      </c>
      <c r="R237" s="45" t="s">
        <v>41</v>
      </c>
      <c r="S237" s="138">
        <f>COUNTIFS('Raw Non-zero DMR Data'!$A:$A, A237, 'Raw Non-zero DMR Data'!$C:$C, U237, 'Raw Non-zero DMR Data'!$V:$V, V237)</f>
        <v>1</v>
      </c>
      <c r="T237" s="34">
        <f>SUMIFS('Raw Non-zero DMR Data'!$X:$X, 'Raw Non-zero DMR Data'!$A:$A, A237, 'Raw Non-zero DMR Data'!$C:$C, U237, 'Raw Non-zero DMR Data'!V:V, V237)</f>
        <v>6.6828799999999994E-2</v>
      </c>
      <c r="U237" s="34" t="s">
        <v>1040</v>
      </c>
      <c r="V237" s="34" t="s">
        <v>798</v>
      </c>
      <c r="W237" s="141" t="s">
        <v>799</v>
      </c>
      <c r="X237" s="140" t="s">
        <v>1042</v>
      </c>
    </row>
    <row r="238" spans="1:24" x14ac:dyDescent="0.35">
      <c r="A238" s="34">
        <v>2023</v>
      </c>
      <c r="B238" s="34" t="s">
        <v>468</v>
      </c>
      <c r="C238" s="34" t="s">
        <v>1040</v>
      </c>
      <c r="D238" s="34" t="s">
        <v>260</v>
      </c>
      <c r="E238" s="34" t="s">
        <v>1041</v>
      </c>
      <c r="F238" s="34" t="s">
        <v>111</v>
      </c>
      <c r="G238" s="34"/>
      <c r="H238" s="34">
        <v>41.405655000000003</v>
      </c>
      <c r="I238" s="34">
        <v>-88.335212999999996</v>
      </c>
      <c r="J238" s="34"/>
      <c r="K238" s="105">
        <v>110000547196</v>
      </c>
      <c r="L238" s="34">
        <v>2869</v>
      </c>
      <c r="M238" s="48" t="str">
        <f>VLOOKUP(L238, '2017 SIC to NAICS'!A:D, 2)</f>
        <v>Industrial Organic Chemicals, Nec</v>
      </c>
      <c r="N238" s="34">
        <f>VLOOKUP(L238,'2017 SIC to NAICS'!A:D,3)</f>
        <v>325998</v>
      </c>
      <c r="O238" s="34" t="str">
        <f>VLOOKUP(L238,'2017 SIC to NAICS'!A:D,4)</f>
        <v>All Other Miscellaneous Chemical Product and Preparation Manufacturing</v>
      </c>
      <c r="P238" s="36" t="s">
        <v>748</v>
      </c>
      <c r="Q238" s="137" t="s">
        <v>749</v>
      </c>
      <c r="R238" s="45" t="s">
        <v>41</v>
      </c>
      <c r="S238" s="138">
        <f>COUNTIFS('Raw Non-zero DMR Data'!$A:$A, A238, 'Raw Non-zero DMR Data'!$C:$C, U238, 'Raw Non-zero DMR Data'!$V:$V, V238)</f>
        <v>1</v>
      </c>
      <c r="T238" s="34">
        <f>SUMIFS('Raw Non-zero DMR Data'!$X:$X, 'Raw Non-zero DMR Data'!$A:$A, A238, 'Raw Non-zero DMR Data'!$C:$C, U238, 'Raw Non-zero DMR Data'!V:V, V238)</f>
        <v>4.451016E-2</v>
      </c>
      <c r="U238" s="34" t="s">
        <v>1040</v>
      </c>
      <c r="V238" s="34" t="s">
        <v>798</v>
      </c>
      <c r="W238" s="141" t="s">
        <v>799</v>
      </c>
      <c r="X238" s="140" t="s">
        <v>1042</v>
      </c>
    </row>
    <row r="239" spans="1:24" x14ac:dyDescent="0.35">
      <c r="A239" s="34">
        <v>2019</v>
      </c>
      <c r="B239" s="34" t="s">
        <v>112</v>
      </c>
      <c r="C239" s="34" t="s">
        <v>1043</v>
      </c>
      <c r="D239" s="34" t="s">
        <v>113</v>
      </c>
      <c r="E239" s="34" t="s">
        <v>1044</v>
      </c>
      <c r="F239" s="34" t="s">
        <v>111</v>
      </c>
      <c r="G239" s="34"/>
      <c r="H239" s="34">
        <v>42.437981999999998</v>
      </c>
      <c r="I239" s="34">
        <v>-88.253360999999998</v>
      </c>
      <c r="J239" s="34"/>
      <c r="K239" s="105">
        <v>110041049950</v>
      </c>
      <c r="L239" s="34">
        <v>3873</v>
      </c>
      <c r="M239" s="48" t="str">
        <f>VLOOKUP(L239, '2017 SIC to NAICS'!A:D, 2)</f>
        <v>Watches, Clocks, Watchcases, and Parts</v>
      </c>
      <c r="N239" s="34">
        <f>VLOOKUP(L239,'2017 SIC to NAICS'!A:D,3)</f>
        <v>334519</v>
      </c>
      <c r="O239" s="34" t="str">
        <f>VLOOKUP(L239,'2017 SIC to NAICS'!A:D,4)</f>
        <v>Other Measuring and Controlling Device
Manufacturing</v>
      </c>
      <c r="P239" s="36" t="s">
        <v>1045</v>
      </c>
      <c r="Q239" s="137" t="s">
        <v>1046</v>
      </c>
      <c r="R239" s="45" t="s">
        <v>41</v>
      </c>
      <c r="S239" s="138">
        <f>COUNTIFS('Raw Non-zero DMR Data'!$A:$A, A239, 'Raw Non-zero DMR Data'!$C:$C, U239, 'Raw Non-zero DMR Data'!$V:$V, V239)</f>
        <v>1</v>
      </c>
      <c r="T239" s="34">
        <f>SUMIFS('Raw Non-zero DMR Data'!$X:$X, 'Raw Non-zero DMR Data'!$A:$A, A239, 'Raw Non-zero DMR Data'!$C:$C, U239, 'Raw Non-zero DMR Data'!V:V, V239)</f>
        <v>84.481200000000001</v>
      </c>
      <c r="U239" s="34" t="s">
        <v>1043</v>
      </c>
      <c r="V239" s="34" t="s">
        <v>1047</v>
      </c>
      <c r="W239" s="139">
        <v>71200060907</v>
      </c>
      <c r="X239" s="140" t="s">
        <v>840</v>
      </c>
    </row>
    <row r="240" spans="1:24" x14ac:dyDescent="0.35">
      <c r="A240" s="34">
        <v>2020</v>
      </c>
      <c r="B240" s="34" t="s">
        <v>112</v>
      </c>
      <c r="C240" s="34" t="s">
        <v>1043</v>
      </c>
      <c r="D240" s="34" t="s">
        <v>113</v>
      </c>
      <c r="E240" s="34" t="s">
        <v>1044</v>
      </c>
      <c r="F240" s="34" t="s">
        <v>111</v>
      </c>
      <c r="G240" s="34"/>
      <c r="H240" s="34">
        <v>42.437981999999998</v>
      </c>
      <c r="I240" s="34">
        <v>-88.253360999999998</v>
      </c>
      <c r="J240" s="34"/>
      <c r="K240" s="105">
        <v>110041049950</v>
      </c>
      <c r="L240" s="34">
        <v>3873</v>
      </c>
      <c r="M240" s="48" t="str">
        <f>VLOOKUP(L240, '2017 SIC to NAICS'!A:D, 2)</f>
        <v>Watches, Clocks, Watchcases, and Parts</v>
      </c>
      <c r="N240" s="34">
        <f>VLOOKUP(L240,'2017 SIC to NAICS'!A:D,3)</f>
        <v>334519</v>
      </c>
      <c r="O240" s="34" t="str">
        <f>VLOOKUP(L240,'2017 SIC to NAICS'!A:D,4)</f>
        <v>Other Measuring and Controlling Device
Manufacturing</v>
      </c>
      <c r="P240" s="36" t="s">
        <v>1045</v>
      </c>
      <c r="Q240" s="137" t="s">
        <v>1046</v>
      </c>
      <c r="R240" s="45" t="s">
        <v>41</v>
      </c>
      <c r="S240" s="138">
        <f>COUNTIFS('Raw Non-zero DMR Data'!$A:$A, A240, 'Raw Non-zero DMR Data'!$C:$C, U240, 'Raw Non-zero DMR Data'!$V:$V, V240)</f>
        <v>1</v>
      </c>
      <c r="T240" s="34">
        <f>SUMIFS('Raw Non-zero DMR Data'!$X:$X, 'Raw Non-zero DMR Data'!$A:$A, A240, 'Raw Non-zero DMR Data'!$C:$C, U240, 'Raw Non-zero DMR Data'!V:V, V240)</f>
        <v>27.956009999999999</v>
      </c>
      <c r="U240" s="34" t="s">
        <v>1043</v>
      </c>
      <c r="V240" s="34" t="s">
        <v>1047</v>
      </c>
      <c r="W240" s="139">
        <v>71200060907</v>
      </c>
      <c r="X240" s="140" t="s">
        <v>840</v>
      </c>
    </row>
    <row r="241" spans="1:24" x14ac:dyDescent="0.35">
      <c r="A241" s="34">
        <v>2021</v>
      </c>
      <c r="B241" s="34" t="s">
        <v>112</v>
      </c>
      <c r="C241" s="34" t="s">
        <v>1043</v>
      </c>
      <c r="D241" s="34" t="s">
        <v>113</v>
      </c>
      <c r="E241" s="34" t="s">
        <v>1044</v>
      </c>
      <c r="F241" s="34" t="s">
        <v>111</v>
      </c>
      <c r="G241" s="34"/>
      <c r="H241" s="34">
        <v>42.437981999999998</v>
      </c>
      <c r="I241" s="34">
        <v>-88.253360999999998</v>
      </c>
      <c r="J241" s="34"/>
      <c r="K241" s="105">
        <v>110041049950</v>
      </c>
      <c r="L241" s="34">
        <v>3873</v>
      </c>
      <c r="M241" s="48" t="str">
        <f>VLOOKUP(L241, '2017 SIC to NAICS'!A:D, 2)</f>
        <v>Watches, Clocks, Watchcases, and Parts</v>
      </c>
      <c r="N241" s="34">
        <f>VLOOKUP(L241,'2017 SIC to NAICS'!A:D,3)</f>
        <v>334519</v>
      </c>
      <c r="O241" s="34" t="str">
        <f>VLOOKUP(L241,'2017 SIC to NAICS'!A:D,4)</f>
        <v>Other Measuring and Controlling Device
Manufacturing</v>
      </c>
      <c r="P241" s="36" t="s">
        <v>1045</v>
      </c>
      <c r="Q241" s="137" t="s">
        <v>1046</v>
      </c>
      <c r="R241" s="45" t="s">
        <v>41</v>
      </c>
      <c r="S241" s="138">
        <f>COUNTIFS('Raw Non-zero DMR Data'!$A:$A, A241, 'Raw Non-zero DMR Data'!$C:$C, U241, 'Raw Non-zero DMR Data'!$V:$V, V241)</f>
        <v>1</v>
      </c>
      <c r="T241" s="34">
        <f>SUMIFS('Raw Non-zero DMR Data'!$X:$X, 'Raw Non-zero DMR Data'!$A:$A, A241, 'Raw Non-zero DMR Data'!$C:$C, U241, 'Raw Non-zero DMR Data'!V:V, V241)</f>
        <v>1.3626</v>
      </c>
      <c r="U241" s="34" t="s">
        <v>1043</v>
      </c>
      <c r="V241" s="34" t="s">
        <v>1047</v>
      </c>
      <c r="W241" s="139">
        <v>71200060907</v>
      </c>
      <c r="X241" s="140" t="s">
        <v>840</v>
      </c>
    </row>
    <row r="242" spans="1:24" x14ac:dyDescent="0.35">
      <c r="A242" s="34">
        <v>2019</v>
      </c>
      <c r="B242" s="34" t="s">
        <v>454</v>
      </c>
      <c r="C242" s="34" t="s">
        <v>1048</v>
      </c>
      <c r="D242" s="34" t="s">
        <v>455</v>
      </c>
      <c r="E242" s="34" t="s">
        <v>801</v>
      </c>
      <c r="F242" s="34" t="s">
        <v>111</v>
      </c>
      <c r="G242" s="34"/>
      <c r="H242" s="34">
        <v>42.468611000000003</v>
      </c>
      <c r="I242" s="34">
        <v>-89.065550000000002</v>
      </c>
      <c r="J242" s="34"/>
      <c r="K242" s="105">
        <v>110000500459</v>
      </c>
      <c r="L242" s="34">
        <v>4225</v>
      </c>
      <c r="M242" s="48" t="str">
        <f>VLOOKUP(L242, '2017 SIC to NAICS'!A:D, 2)</f>
        <v>General Warehousing and Storage</v>
      </c>
      <c r="N242" s="34">
        <f>VLOOKUP(L242,'2017 SIC to NAICS'!A:D,3)</f>
        <v>531130</v>
      </c>
      <c r="O242" s="34" t="str">
        <f>VLOOKUP(L242,'2017 SIC to NAICS'!A:D,4)</f>
        <v>Lessors of Miniwarehouses and Self-
Storage Units</v>
      </c>
      <c r="P242" s="36" t="s">
        <v>737</v>
      </c>
      <c r="Q242" s="137" t="s">
        <v>737</v>
      </c>
      <c r="R242" s="45" t="s">
        <v>41</v>
      </c>
      <c r="S242" s="138">
        <f>COUNTIFS('Raw Non-zero DMR Data'!$A:$A, A242, 'Raw Non-zero DMR Data'!$C:$C, U242, 'Raw Non-zero DMR Data'!$V:$V, V242)</f>
        <v>1</v>
      </c>
      <c r="T242" s="34">
        <f>SUMIFS('Raw Non-zero DMR Data'!$X:$X, 'Raw Non-zero DMR Data'!$A:$A, A242, 'Raw Non-zero DMR Data'!$C:$C, U242, 'Raw Non-zero DMR Data'!V:V, V242)</f>
        <v>9.9973204999999996E-2</v>
      </c>
      <c r="U242" s="34" t="s">
        <v>1048</v>
      </c>
      <c r="V242" s="34" t="s">
        <v>1049</v>
      </c>
      <c r="W242" s="139">
        <v>70900021502</v>
      </c>
      <c r="X242" s="140" t="s">
        <v>1050</v>
      </c>
    </row>
    <row r="243" spans="1:24" x14ac:dyDescent="0.35">
      <c r="A243" s="34">
        <v>2020</v>
      </c>
      <c r="B243" s="34" t="s">
        <v>454</v>
      </c>
      <c r="C243" s="34" t="s">
        <v>1048</v>
      </c>
      <c r="D243" s="34" t="s">
        <v>455</v>
      </c>
      <c r="E243" s="34" t="s">
        <v>801</v>
      </c>
      <c r="F243" s="34" t="s">
        <v>111</v>
      </c>
      <c r="G243" s="34"/>
      <c r="H243" s="34">
        <v>42.468611000000003</v>
      </c>
      <c r="I243" s="34">
        <v>-89.065550000000002</v>
      </c>
      <c r="J243" s="34"/>
      <c r="K243" s="105">
        <v>110000500459</v>
      </c>
      <c r="L243" s="34">
        <v>4225</v>
      </c>
      <c r="M243" s="48" t="str">
        <f>VLOOKUP(L243, '2017 SIC to NAICS'!A:D, 2)</f>
        <v>General Warehousing and Storage</v>
      </c>
      <c r="N243" s="34">
        <f>VLOOKUP(L243,'2017 SIC to NAICS'!A:D,3)</f>
        <v>531130</v>
      </c>
      <c r="O243" s="34" t="str">
        <f>VLOOKUP(L243,'2017 SIC to NAICS'!A:D,4)</f>
        <v>Lessors of Miniwarehouses and Self-
Storage Units</v>
      </c>
      <c r="P243" s="36" t="s">
        <v>737</v>
      </c>
      <c r="Q243" s="137" t="s">
        <v>737</v>
      </c>
      <c r="R243" s="45" t="s">
        <v>41</v>
      </c>
      <c r="S243" s="138">
        <f>COUNTIFS('Raw Non-zero DMR Data'!$A:$A, A243, 'Raw Non-zero DMR Data'!$C:$C, U243, 'Raw Non-zero DMR Data'!$V:$V, V243)</f>
        <v>1</v>
      </c>
      <c r="T243" s="34">
        <f>SUMIFS('Raw Non-zero DMR Data'!$X:$X, 'Raw Non-zero DMR Data'!$A:$A, A243, 'Raw Non-zero DMR Data'!$C:$C, U243, 'Raw Non-zero DMR Data'!V:V, V243)</f>
        <v>0.1101226825</v>
      </c>
      <c r="U243" s="34" t="s">
        <v>1048</v>
      </c>
      <c r="V243" s="34" t="s">
        <v>1049</v>
      </c>
      <c r="W243" s="139">
        <v>70900021502</v>
      </c>
      <c r="X243" s="140" t="s">
        <v>1050</v>
      </c>
    </row>
    <row r="244" spans="1:24" x14ac:dyDescent="0.35">
      <c r="A244" s="34">
        <v>2019</v>
      </c>
      <c r="B244" s="34" t="s">
        <v>244</v>
      </c>
      <c r="C244" s="34" t="s">
        <v>1051</v>
      </c>
      <c r="D244" s="34" t="s">
        <v>245</v>
      </c>
      <c r="E244" s="34" t="s">
        <v>128</v>
      </c>
      <c r="F244" s="34" t="s">
        <v>111</v>
      </c>
      <c r="G244" s="34"/>
      <c r="H244" s="34">
        <v>38.2774</v>
      </c>
      <c r="I244" s="34">
        <v>-89.666899999999998</v>
      </c>
      <c r="J244" s="34"/>
      <c r="K244" s="105">
        <v>110044852068</v>
      </c>
      <c r="L244" s="34">
        <v>4911</v>
      </c>
      <c r="M244" s="48" t="str">
        <f>VLOOKUP(L244, '2017 SIC to NAICS'!A:D, 2)</f>
        <v>Electric Services</v>
      </c>
      <c r="N244" s="34">
        <f>VLOOKUP(L244,'2017 SIC to NAICS'!A:D,3)</f>
        <v>221122</v>
      </c>
      <c r="O244" s="34" t="str">
        <f>VLOOKUP(L244,'2017 SIC to NAICS'!A:D,4)</f>
        <v>Electric Power Distribution</v>
      </c>
      <c r="P244" s="36" t="s">
        <v>742</v>
      </c>
      <c r="Q244" s="137" t="s">
        <v>743</v>
      </c>
      <c r="R244" s="45" t="s">
        <v>41</v>
      </c>
      <c r="S244" s="138">
        <f>COUNTIFS('Raw Non-zero DMR Data'!$A:$A, A244, 'Raw Non-zero DMR Data'!$C:$C, U244, 'Raw Non-zero DMR Data'!$V:$V, V244)</f>
        <v>1</v>
      </c>
      <c r="T244" s="34">
        <f>SUMIFS('Raw Non-zero DMR Data'!$X:$X, 'Raw Non-zero DMR Data'!$A:$A, A244, 'Raw Non-zero DMR Data'!$C:$C, U244, 'Raw Non-zero DMR Data'!V:V, V244)</f>
        <v>2.0336048</v>
      </c>
      <c r="U244" s="34" t="s">
        <v>1051</v>
      </c>
      <c r="V244" s="34" t="s">
        <v>1052</v>
      </c>
      <c r="W244" s="139">
        <v>71402040302</v>
      </c>
      <c r="X244" s="140" t="s">
        <v>745</v>
      </c>
    </row>
    <row r="245" spans="1:24" x14ac:dyDescent="0.35">
      <c r="A245" s="34">
        <v>2020</v>
      </c>
      <c r="B245" s="34" t="s">
        <v>244</v>
      </c>
      <c r="C245" s="34" t="s">
        <v>1051</v>
      </c>
      <c r="D245" s="34" t="s">
        <v>245</v>
      </c>
      <c r="E245" s="34" t="s">
        <v>128</v>
      </c>
      <c r="F245" s="34" t="s">
        <v>111</v>
      </c>
      <c r="G245" s="34"/>
      <c r="H245" s="34">
        <v>38.2774</v>
      </c>
      <c r="I245" s="34">
        <v>-89.666899999999998</v>
      </c>
      <c r="J245" s="34"/>
      <c r="K245" s="105">
        <v>110044852068</v>
      </c>
      <c r="L245" s="34">
        <v>4911</v>
      </c>
      <c r="M245" s="48" t="str">
        <f>VLOOKUP(L245, '2017 SIC to NAICS'!A:D, 2)</f>
        <v>Electric Services</v>
      </c>
      <c r="N245" s="34">
        <f>VLOOKUP(L245,'2017 SIC to NAICS'!A:D,3)</f>
        <v>221122</v>
      </c>
      <c r="O245" s="34" t="str">
        <f>VLOOKUP(L245,'2017 SIC to NAICS'!A:D,4)</f>
        <v>Electric Power Distribution</v>
      </c>
      <c r="P245" s="36" t="s">
        <v>742</v>
      </c>
      <c r="Q245" s="137" t="s">
        <v>743</v>
      </c>
      <c r="R245" s="45" t="s">
        <v>41</v>
      </c>
      <c r="S245" s="138">
        <f>COUNTIFS('Raw Non-zero DMR Data'!$A:$A, A245, 'Raw Non-zero DMR Data'!$C:$C, U245, 'Raw Non-zero DMR Data'!$V:$V, V245)</f>
        <v>1</v>
      </c>
      <c r="T245" s="34">
        <f>SUMIFS('Raw Non-zero DMR Data'!$X:$X, 'Raw Non-zero DMR Data'!$A:$A, A245, 'Raw Non-zero DMR Data'!$C:$C, U245, 'Raw Non-zero DMR Data'!V:V, V245)</f>
        <v>2.0337429524999999</v>
      </c>
      <c r="U245" s="34" t="s">
        <v>1051</v>
      </c>
      <c r="V245" s="34" t="s">
        <v>1052</v>
      </c>
      <c r="W245" s="139">
        <v>71402040302</v>
      </c>
      <c r="X245" s="140" t="s">
        <v>745</v>
      </c>
    </row>
    <row r="246" spans="1:24" x14ac:dyDescent="0.35">
      <c r="A246" s="34">
        <v>2021</v>
      </c>
      <c r="B246" s="34" t="s">
        <v>244</v>
      </c>
      <c r="C246" s="34" t="s">
        <v>1051</v>
      </c>
      <c r="D246" s="34" t="s">
        <v>245</v>
      </c>
      <c r="E246" s="34" t="s">
        <v>128</v>
      </c>
      <c r="F246" s="34" t="s">
        <v>111</v>
      </c>
      <c r="G246" s="34"/>
      <c r="H246" s="34">
        <v>38.2774</v>
      </c>
      <c r="I246" s="34">
        <v>-89.666899999999998</v>
      </c>
      <c r="J246" s="34"/>
      <c r="K246" s="105">
        <v>110044852068</v>
      </c>
      <c r="L246" s="34">
        <v>4911</v>
      </c>
      <c r="M246" s="48" t="str">
        <f>VLOOKUP(L246, '2017 SIC to NAICS'!A:D, 2)</f>
        <v>Electric Services</v>
      </c>
      <c r="N246" s="34">
        <f>VLOOKUP(L246,'2017 SIC to NAICS'!A:D,3)</f>
        <v>221122</v>
      </c>
      <c r="O246" s="34" t="str">
        <f>VLOOKUP(L246,'2017 SIC to NAICS'!A:D,4)</f>
        <v>Electric Power Distribution</v>
      </c>
      <c r="P246" s="36" t="s">
        <v>742</v>
      </c>
      <c r="Q246" s="137" t="s">
        <v>743</v>
      </c>
      <c r="R246" s="45" t="s">
        <v>41</v>
      </c>
      <c r="S246" s="138">
        <f>COUNTIFS('Raw Non-zero DMR Data'!$A:$A, A246, 'Raw Non-zero DMR Data'!$C:$C, U246, 'Raw Non-zero DMR Data'!$V:$V, V246)</f>
        <v>1</v>
      </c>
      <c r="T246" s="34">
        <f>SUMIFS('Raw Non-zero DMR Data'!$X:$X, 'Raw Non-zero DMR Data'!$A:$A, A246, 'Raw Non-zero DMR Data'!$C:$C, U246, 'Raw Non-zero DMR Data'!V:V, V246)</f>
        <v>1.3066463450000001</v>
      </c>
      <c r="U246" s="34" t="s">
        <v>1051</v>
      </c>
      <c r="V246" s="34" t="s">
        <v>1052</v>
      </c>
      <c r="W246" s="139">
        <v>71402040302</v>
      </c>
      <c r="X246" s="140" t="s">
        <v>745</v>
      </c>
    </row>
    <row r="247" spans="1:24" x14ac:dyDescent="0.35">
      <c r="A247" s="34">
        <v>2023</v>
      </c>
      <c r="B247" s="34" t="s">
        <v>244</v>
      </c>
      <c r="C247" s="34" t="s">
        <v>1051</v>
      </c>
      <c r="D247" s="34" t="s">
        <v>245</v>
      </c>
      <c r="E247" s="34" t="s">
        <v>128</v>
      </c>
      <c r="F247" s="34" t="s">
        <v>111</v>
      </c>
      <c r="G247" s="34"/>
      <c r="H247" s="34">
        <v>38.2774</v>
      </c>
      <c r="I247" s="34">
        <v>-89.666899999999998</v>
      </c>
      <c r="J247" s="34"/>
      <c r="K247" s="105">
        <v>110044852068</v>
      </c>
      <c r="L247" s="34">
        <v>4911</v>
      </c>
      <c r="M247" s="48" t="str">
        <f>VLOOKUP(L247, '2017 SIC to NAICS'!A:D, 2)</f>
        <v>Electric Services</v>
      </c>
      <c r="N247" s="34">
        <f>VLOOKUP(L247,'2017 SIC to NAICS'!A:D,3)</f>
        <v>221122</v>
      </c>
      <c r="O247" s="34" t="str">
        <f>VLOOKUP(L247,'2017 SIC to NAICS'!A:D,4)</f>
        <v>Electric Power Distribution</v>
      </c>
      <c r="P247" s="36" t="s">
        <v>742</v>
      </c>
      <c r="Q247" s="137" t="s">
        <v>743</v>
      </c>
      <c r="R247" s="45" t="s">
        <v>41</v>
      </c>
      <c r="S247" s="138">
        <f>COUNTIFS('Raw Non-zero DMR Data'!$A:$A, A247, 'Raw Non-zero DMR Data'!$C:$C, U247, 'Raw Non-zero DMR Data'!$V:$V, V247)</f>
        <v>1</v>
      </c>
      <c r="T247" s="34">
        <f>SUMIFS('Raw Non-zero DMR Data'!$X:$X, 'Raw Non-zero DMR Data'!$A:$A, A247, 'Raw Non-zero DMR Data'!$C:$C, U247, 'Raw Non-zero DMR Data'!V:V, V247)</f>
        <v>2.4298261700000001</v>
      </c>
      <c r="U247" s="34" t="s">
        <v>1051</v>
      </c>
      <c r="V247" s="34" t="s">
        <v>1052</v>
      </c>
      <c r="W247" s="141" t="s">
        <v>1053</v>
      </c>
      <c r="X247" s="140" t="s">
        <v>745</v>
      </c>
    </row>
    <row r="248" spans="1:24" x14ac:dyDescent="0.35">
      <c r="A248" s="34">
        <v>2019</v>
      </c>
      <c r="B248" s="34" t="s">
        <v>407</v>
      </c>
      <c r="C248" s="34" t="s">
        <v>1054</v>
      </c>
      <c r="D248" s="34" t="s">
        <v>260</v>
      </c>
      <c r="E248" s="34" t="s">
        <v>795</v>
      </c>
      <c r="F248" s="34" t="s">
        <v>111</v>
      </c>
      <c r="G248" s="34"/>
      <c r="H248" s="34">
        <v>41.305320000000002</v>
      </c>
      <c r="I248" s="34">
        <v>-88.561769999999996</v>
      </c>
      <c r="J248" s="34"/>
      <c r="K248" s="105">
        <v>110000433022</v>
      </c>
      <c r="L248" s="34">
        <v>2821</v>
      </c>
      <c r="M248" s="48" t="str">
        <f>VLOOKUP(L248, '2017 SIC to NAICS'!A:D, 2)</f>
        <v>Plastics Materials and Resins</v>
      </c>
      <c r="N248" s="34">
        <f>VLOOKUP(L248,'2017 SIC to NAICS'!A:D,3)</f>
        <v>325211</v>
      </c>
      <c r="O248" s="34" t="str">
        <f>VLOOKUP(L248,'2017 SIC to NAICS'!A:D,4)</f>
        <v>Plastics Material and Resin Manufacturing</v>
      </c>
      <c r="P248" s="36" t="s">
        <v>796</v>
      </c>
      <c r="Q248" s="137" t="s">
        <v>797</v>
      </c>
      <c r="R248" s="45" t="s">
        <v>41</v>
      </c>
      <c r="S248" s="138">
        <f>COUNTIFS('Raw Non-zero DMR Data'!$A:$A, A248, 'Raw Non-zero DMR Data'!$C:$C, U248, 'Raw Non-zero DMR Data'!$V:$V, V248)</f>
        <v>1</v>
      </c>
      <c r="T248" s="34">
        <f>SUMIFS('Raw Non-zero DMR Data'!$X:$X, 'Raw Non-zero DMR Data'!$A:$A, A248, 'Raw Non-zero DMR Data'!$C:$C, U248, 'Raw Non-zero DMR Data'!V:V, V248)</f>
        <v>6.4544044999999994E-2</v>
      </c>
      <c r="U248" s="34" t="s">
        <v>1054</v>
      </c>
      <c r="V248" s="34" t="s">
        <v>1055</v>
      </c>
      <c r="W248" s="139">
        <v>71200050705</v>
      </c>
      <c r="X248" s="140" t="s">
        <v>751</v>
      </c>
    </row>
    <row r="249" spans="1:24" x14ac:dyDescent="0.35">
      <c r="A249" s="34">
        <v>2020</v>
      </c>
      <c r="B249" s="34" t="s">
        <v>407</v>
      </c>
      <c r="C249" s="34" t="s">
        <v>1054</v>
      </c>
      <c r="D249" s="34" t="s">
        <v>260</v>
      </c>
      <c r="E249" s="34" t="s">
        <v>795</v>
      </c>
      <c r="F249" s="34" t="s">
        <v>111</v>
      </c>
      <c r="G249" s="34"/>
      <c r="H249" s="34">
        <v>41.305320000000002</v>
      </c>
      <c r="I249" s="34">
        <v>-88.561769999999996</v>
      </c>
      <c r="J249" s="34"/>
      <c r="K249" s="105">
        <v>110000433022</v>
      </c>
      <c r="L249" s="34">
        <v>2821</v>
      </c>
      <c r="M249" s="48" t="str">
        <f>VLOOKUP(L249, '2017 SIC to NAICS'!A:D, 2)</f>
        <v>Plastics Materials and Resins</v>
      </c>
      <c r="N249" s="34">
        <f>VLOOKUP(L249,'2017 SIC to NAICS'!A:D,3)</f>
        <v>325211</v>
      </c>
      <c r="O249" s="34" t="str">
        <f>VLOOKUP(L249,'2017 SIC to NAICS'!A:D,4)</f>
        <v>Plastics Material and Resin Manufacturing</v>
      </c>
      <c r="P249" s="36" t="s">
        <v>796</v>
      </c>
      <c r="Q249" s="137" t="s">
        <v>797</v>
      </c>
      <c r="R249" s="45" t="s">
        <v>41</v>
      </c>
      <c r="S249" s="138">
        <f>COUNTIFS('Raw Non-zero DMR Data'!$A:$A, A249, 'Raw Non-zero DMR Data'!$C:$C, U249, 'Raw Non-zero DMR Data'!$V:$V, V249)</f>
        <v>1</v>
      </c>
      <c r="T249" s="34">
        <f>SUMIFS('Raw Non-zero DMR Data'!$X:$X, 'Raw Non-zero DMR Data'!$A:$A, A249, 'Raw Non-zero DMR Data'!$C:$C, U249, 'Raw Non-zero DMR Data'!V:V, V249)</f>
        <v>0.20465185</v>
      </c>
      <c r="U249" s="34" t="s">
        <v>1054</v>
      </c>
      <c r="V249" s="34" t="s">
        <v>1055</v>
      </c>
      <c r="W249" s="139">
        <v>71200050705</v>
      </c>
      <c r="X249" s="140" t="s">
        <v>751</v>
      </c>
    </row>
    <row r="250" spans="1:24" x14ac:dyDescent="0.35">
      <c r="A250" s="34">
        <v>2021</v>
      </c>
      <c r="B250" s="34" t="s">
        <v>407</v>
      </c>
      <c r="C250" s="34" t="s">
        <v>1054</v>
      </c>
      <c r="D250" s="34" t="s">
        <v>260</v>
      </c>
      <c r="E250" s="34" t="s">
        <v>795</v>
      </c>
      <c r="F250" s="34" t="s">
        <v>111</v>
      </c>
      <c r="G250" s="34"/>
      <c r="H250" s="34">
        <v>41.305320000000002</v>
      </c>
      <c r="I250" s="34">
        <v>-88.561769999999996</v>
      </c>
      <c r="J250" s="34"/>
      <c r="K250" s="105">
        <v>110000433022</v>
      </c>
      <c r="L250" s="34">
        <v>2821</v>
      </c>
      <c r="M250" s="48" t="str">
        <f>VLOOKUP(L250, '2017 SIC to NAICS'!A:D, 2)</f>
        <v>Plastics Materials and Resins</v>
      </c>
      <c r="N250" s="34">
        <f>VLOOKUP(L250,'2017 SIC to NAICS'!A:D,3)</f>
        <v>325211</v>
      </c>
      <c r="O250" s="34" t="str">
        <f>VLOOKUP(L250,'2017 SIC to NAICS'!A:D,4)</f>
        <v>Plastics Material and Resin Manufacturing</v>
      </c>
      <c r="P250" s="36" t="s">
        <v>796</v>
      </c>
      <c r="Q250" s="137" t="s">
        <v>797</v>
      </c>
      <c r="R250" s="45" t="s">
        <v>41</v>
      </c>
      <c r="S250" s="138">
        <f>COUNTIFS('Raw Non-zero DMR Data'!$A:$A, A250, 'Raw Non-zero DMR Data'!$C:$C, U250, 'Raw Non-zero DMR Data'!$V:$V, V250)</f>
        <v>1</v>
      </c>
      <c r="T250" s="34">
        <f>SUMIFS('Raw Non-zero DMR Data'!$X:$X, 'Raw Non-zero DMR Data'!$A:$A, A250, 'Raw Non-zero DMR Data'!$C:$C, U250, 'Raw Non-zero DMR Data'!V:V, V250)</f>
        <v>2.81657287E-2</v>
      </c>
      <c r="U250" s="34" t="s">
        <v>1054</v>
      </c>
      <c r="V250" s="34" t="s">
        <v>1055</v>
      </c>
      <c r="W250" s="139">
        <v>71200050705</v>
      </c>
      <c r="X250" s="140" t="s">
        <v>751</v>
      </c>
    </row>
    <row r="251" spans="1:24" x14ac:dyDescent="0.35">
      <c r="A251" s="34">
        <v>2022</v>
      </c>
      <c r="B251" s="34" t="s">
        <v>407</v>
      </c>
      <c r="C251" s="34" t="s">
        <v>1054</v>
      </c>
      <c r="D251" s="34" t="s">
        <v>260</v>
      </c>
      <c r="E251" s="34" t="s">
        <v>795</v>
      </c>
      <c r="F251" s="34" t="s">
        <v>111</v>
      </c>
      <c r="G251" s="34"/>
      <c r="H251" s="34">
        <v>41.305320000000002</v>
      </c>
      <c r="I251" s="34">
        <v>-88.561769999999996</v>
      </c>
      <c r="J251" s="34"/>
      <c r="K251" s="105">
        <v>110000433022</v>
      </c>
      <c r="L251" s="34">
        <v>2821</v>
      </c>
      <c r="M251" s="48" t="str">
        <f>VLOOKUP(L251, '2017 SIC to NAICS'!A:D, 2)</f>
        <v>Plastics Materials and Resins</v>
      </c>
      <c r="N251" s="34">
        <f>VLOOKUP(L251,'2017 SIC to NAICS'!A:D,3)</f>
        <v>325211</v>
      </c>
      <c r="O251" s="34" t="str">
        <f>VLOOKUP(L251,'2017 SIC to NAICS'!A:D,4)</f>
        <v>Plastics Material and Resin Manufacturing</v>
      </c>
      <c r="P251" s="36" t="s">
        <v>796</v>
      </c>
      <c r="Q251" s="137" t="s">
        <v>797</v>
      </c>
      <c r="R251" s="45" t="s">
        <v>41</v>
      </c>
      <c r="S251" s="138">
        <f>COUNTIFS('Raw Non-zero DMR Data'!$A:$A, A251, 'Raw Non-zero DMR Data'!$C:$C, U251, 'Raw Non-zero DMR Data'!$V:$V, V251)</f>
        <v>1</v>
      </c>
      <c r="T251" s="34">
        <f>SUMIFS('Raw Non-zero DMR Data'!$X:$X, 'Raw Non-zero DMR Data'!$A:$A, A251, 'Raw Non-zero DMR Data'!$C:$C, U251, 'Raw Non-zero DMR Data'!V:V, V251)</f>
        <v>0.10356875</v>
      </c>
      <c r="U251" s="34" t="s">
        <v>1054</v>
      </c>
      <c r="V251" s="34" t="s">
        <v>1055</v>
      </c>
      <c r="W251" s="141" t="s">
        <v>1056</v>
      </c>
      <c r="X251" s="140" t="s">
        <v>751</v>
      </c>
    </row>
    <row r="252" spans="1:24" x14ac:dyDescent="0.35">
      <c r="A252" s="34">
        <v>2023</v>
      </c>
      <c r="B252" s="34" t="s">
        <v>407</v>
      </c>
      <c r="C252" s="34" t="s">
        <v>1054</v>
      </c>
      <c r="D252" s="34" t="s">
        <v>260</v>
      </c>
      <c r="E252" s="34" t="s">
        <v>795</v>
      </c>
      <c r="F252" s="34" t="s">
        <v>111</v>
      </c>
      <c r="G252" s="34"/>
      <c r="H252" s="34">
        <v>41.305320000000002</v>
      </c>
      <c r="I252" s="34">
        <v>-88.561769999999996</v>
      </c>
      <c r="J252" s="34"/>
      <c r="K252" s="105">
        <v>110000433022</v>
      </c>
      <c r="L252" s="34">
        <v>2821</v>
      </c>
      <c r="M252" s="48" t="str">
        <f>VLOOKUP(L252, '2017 SIC to NAICS'!A:D, 2)</f>
        <v>Plastics Materials and Resins</v>
      </c>
      <c r="N252" s="34">
        <f>VLOOKUP(L252,'2017 SIC to NAICS'!A:D,3)</f>
        <v>325211</v>
      </c>
      <c r="O252" s="34" t="str">
        <f>VLOOKUP(L252,'2017 SIC to NAICS'!A:D,4)</f>
        <v>Plastics Material and Resin Manufacturing</v>
      </c>
      <c r="P252" s="36" t="s">
        <v>796</v>
      </c>
      <c r="Q252" s="137" t="s">
        <v>797</v>
      </c>
      <c r="R252" s="45" t="s">
        <v>41</v>
      </c>
      <c r="S252" s="138">
        <f>COUNTIFS('Raw Non-zero DMR Data'!$A:$A, A252, 'Raw Non-zero DMR Data'!$C:$C, U252, 'Raw Non-zero DMR Data'!$V:$V, V252)</f>
        <v>1</v>
      </c>
      <c r="T252" s="34">
        <f>SUMIFS('Raw Non-zero DMR Data'!$X:$X, 'Raw Non-zero DMR Data'!$A:$A, A252, 'Raw Non-zero DMR Data'!$C:$C, U252, 'Raw Non-zero DMR Data'!V:V, V252)</f>
        <v>3.7533314999999998E-2</v>
      </c>
      <c r="U252" s="34" t="s">
        <v>1054</v>
      </c>
      <c r="V252" s="34" t="s">
        <v>1055</v>
      </c>
      <c r="W252" s="141" t="s">
        <v>1056</v>
      </c>
      <c r="X252" s="140" t="s">
        <v>751</v>
      </c>
    </row>
    <row r="253" spans="1:24" x14ac:dyDescent="0.35">
      <c r="A253" s="34">
        <v>2019</v>
      </c>
      <c r="B253" s="34" t="s">
        <v>149</v>
      </c>
      <c r="C253" s="34" t="s">
        <v>1057</v>
      </c>
      <c r="D253" s="34" t="s">
        <v>150</v>
      </c>
      <c r="E253" s="34" t="s">
        <v>1058</v>
      </c>
      <c r="F253" s="34" t="s">
        <v>151</v>
      </c>
      <c r="G253" s="34"/>
      <c r="H253" s="34">
        <v>37.907200000000003</v>
      </c>
      <c r="I253" s="34">
        <v>-87.927099999999996</v>
      </c>
      <c r="J253" s="34"/>
      <c r="K253" s="105">
        <v>110000403670</v>
      </c>
      <c r="L253" s="34">
        <v>2821</v>
      </c>
      <c r="M253" s="48" t="str">
        <f>VLOOKUP(L253, '2017 SIC to NAICS'!A:D, 2)</f>
        <v>Plastics Materials and Resins</v>
      </c>
      <c r="N253" s="34">
        <f>VLOOKUP(L253,'2017 SIC to NAICS'!A:D,3)</f>
        <v>325211</v>
      </c>
      <c r="O253" s="34" t="str">
        <f>VLOOKUP(L253,'2017 SIC to NAICS'!A:D,4)</f>
        <v>Plastics Material and Resin Manufacturing</v>
      </c>
      <c r="P253" s="36" t="s">
        <v>796</v>
      </c>
      <c r="Q253" s="137" t="s">
        <v>797</v>
      </c>
      <c r="R253" s="45" t="s">
        <v>41</v>
      </c>
      <c r="S253" s="138">
        <f>COUNTIFS('Raw Non-zero DMR Data'!$A:$A, A253, 'Raw Non-zero DMR Data'!$C:$C, U253, 'Raw Non-zero DMR Data'!$V:$V, V253)</f>
        <v>1</v>
      </c>
      <c r="T253" s="34">
        <f>SUMIFS('Raw Non-zero DMR Data'!$X:$X, 'Raw Non-zero DMR Data'!$A:$A, A253, 'Raw Non-zero DMR Data'!$C:$C, U253, 'Raw Non-zero DMR Data'!V:V, V253)</f>
        <v>10.859680000000001</v>
      </c>
      <c r="U253" s="34" t="s">
        <v>1057</v>
      </c>
      <c r="V253" s="34" t="s">
        <v>1059</v>
      </c>
      <c r="W253" s="139">
        <v>51402020605</v>
      </c>
      <c r="X253" s="140" t="s">
        <v>1060</v>
      </c>
    </row>
    <row r="254" spans="1:24" x14ac:dyDescent="0.35">
      <c r="A254" s="34">
        <v>2020</v>
      </c>
      <c r="B254" s="34" t="s">
        <v>149</v>
      </c>
      <c r="C254" s="34" t="s">
        <v>1057</v>
      </c>
      <c r="D254" s="34" t="s">
        <v>150</v>
      </c>
      <c r="E254" s="34" t="s">
        <v>1058</v>
      </c>
      <c r="F254" s="34" t="s">
        <v>151</v>
      </c>
      <c r="G254" s="34"/>
      <c r="H254" s="34">
        <v>37.907200000000003</v>
      </c>
      <c r="I254" s="34">
        <v>-87.927099999999996</v>
      </c>
      <c r="J254" s="34"/>
      <c r="K254" s="105">
        <v>110000403670</v>
      </c>
      <c r="L254" s="34">
        <v>2821</v>
      </c>
      <c r="M254" s="48" t="str">
        <f>VLOOKUP(L254, '2017 SIC to NAICS'!A:D, 2)</f>
        <v>Plastics Materials and Resins</v>
      </c>
      <c r="N254" s="34">
        <f>VLOOKUP(L254,'2017 SIC to NAICS'!A:D,3)</f>
        <v>325211</v>
      </c>
      <c r="O254" s="34" t="str">
        <f>VLOOKUP(L254,'2017 SIC to NAICS'!A:D,4)</f>
        <v>Plastics Material and Resin Manufacturing</v>
      </c>
      <c r="P254" s="36" t="s">
        <v>796</v>
      </c>
      <c r="Q254" s="137" t="s">
        <v>797</v>
      </c>
      <c r="R254" s="45" t="s">
        <v>41</v>
      </c>
      <c r="S254" s="138">
        <f>COUNTIFS('Raw Non-zero DMR Data'!$A:$A, A254, 'Raw Non-zero DMR Data'!$C:$C, U254, 'Raw Non-zero DMR Data'!$V:$V, V254)</f>
        <v>1</v>
      </c>
      <c r="T254" s="34">
        <f>SUMIFS('Raw Non-zero DMR Data'!$X:$X, 'Raw Non-zero DMR Data'!$A:$A, A254, 'Raw Non-zero DMR Data'!$C:$C, U254, 'Raw Non-zero DMR Data'!V:V, V254)</f>
        <v>7.5182399999999996</v>
      </c>
      <c r="U254" s="34" t="s">
        <v>1057</v>
      </c>
      <c r="V254" s="34" t="s">
        <v>1059</v>
      </c>
      <c r="W254" s="139">
        <v>51402020605</v>
      </c>
      <c r="X254" s="140" t="s">
        <v>1060</v>
      </c>
    </row>
    <row r="255" spans="1:24" x14ac:dyDescent="0.35">
      <c r="A255" s="34">
        <v>2021</v>
      </c>
      <c r="B255" s="34" t="s">
        <v>149</v>
      </c>
      <c r="C255" s="34" t="s">
        <v>1057</v>
      </c>
      <c r="D255" s="34" t="s">
        <v>150</v>
      </c>
      <c r="E255" s="34" t="s">
        <v>1058</v>
      </c>
      <c r="F255" s="34" t="s">
        <v>151</v>
      </c>
      <c r="G255" s="34"/>
      <c r="H255" s="34">
        <v>37.907200000000003</v>
      </c>
      <c r="I255" s="34">
        <v>-87.927099999999996</v>
      </c>
      <c r="J255" s="34"/>
      <c r="K255" s="105">
        <v>110000403670</v>
      </c>
      <c r="L255" s="34">
        <v>2821</v>
      </c>
      <c r="M255" s="48" t="str">
        <f>VLOOKUP(L255, '2017 SIC to NAICS'!A:D, 2)</f>
        <v>Plastics Materials and Resins</v>
      </c>
      <c r="N255" s="34">
        <f>VLOOKUP(L255,'2017 SIC to NAICS'!A:D,3)</f>
        <v>325211</v>
      </c>
      <c r="O255" s="34" t="str">
        <f>VLOOKUP(L255,'2017 SIC to NAICS'!A:D,4)</f>
        <v>Plastics Material and Resin Manufacturing</v>
      </c>
      <c r="P255" s="36" t="s">
        <v>796</v>
      </c>
      <c r="Q255" s="137" t="s">
        <v>797</v>
      </c>
      <c r="R255" s="45" t="s">
        <v>41</v>
      </c>
      <c r="S255" s="138">
        <f>COUNTIFS('Raw Non-zero DMR Data'!$A:$A, A255, 'Raw Non-zero DMR Data'!$C:$C, U255, 'Raw Non-zero DMR Data'!$V:$V, V255)</f>
        <v>1</v>
      </c>
      <c r="T255" s="34">
        <f>SUMIFS('Raw Non-zero DMR Data'!$X:$X, 'Raw Non-zero DMR Data'!$A:$A, A255, 'Raw Non-zero DMR Data'!$C:$C, U255, 'Raw Non-zero DMR Data'!V:V, V255)</f>
        <v>8.3536000000000001</v>
      </c>
      <c r="U255" s="34" t="s">
        <v>1057</v>
      </c>
      <c r="V255" s="34" t="s">
        <v>1059</v>
      </c>
      <c r="W255" s="139">
        <v>51402020605</v>
      </c>
      <c r="X255" s="140" t="s">
        <v>1060</v>
      </c>
    </row>
    <row r="256" spans="1:24" x14ac:dyDescent="0.35">
      <c r="A256" s="34">
        <v>2022</v>
      </c>
      <c r="B256" s="34" t="s">
        <v>149</v>
      </c>
      <c r="C256" s="34" t="s">
        <v>1057</v>
      </c>
      <c r="D256" s="34" t="s">
        <v>150</v>
      </c>
      <c r="E256" s="34" t="s">
        <v>1058</v>
      </c>
      <c r="F256" s="34" t="s">
        <v>151</v>
      </c>
      <c r="G256" s="34"/>
      <c r="H256" s="34">
        <v>37.907200000000003</v>
      </c>
      <c r="I256" s="34">
        <v>-87.927099999999996</v>
      </c>
      <c r="J256" s="34"/>
      <c r="K256" s="105">
        <v>110000403670</v>
      </c>
      <c r="L256" s="34">
        <v>2821</v>
      </c>
      <c r="M256" s="48" t="str">
        <f>VLOOKUP(L256, '2017 SIC to NAICS'!A:D, 2)</f>
        <v>Plastics Materials and Resins</v>
      </c>
      <c r="N256" s="34">
        <f>VLOOKUP(L256,'2017 SIC to NAICS'!A:D,3)</f>
        <v>325211</v>
      </c>
      <c r="O256" s="34" t="str">
        <f>VLOOKUP(L256,'2017 SIC to NAICS'!A:D,4)</f>
        <v>Plastics Material and Resin Manufacturing</v>
      </c>
      <c r="P256" s="36" t="s">
        <v>796</v>
      </c>
      <c r="Q256" s="137" t="s">
        <v>797</v>
      </c>
      <c r="R256" s="45" t="s">
        <v>41</v>
      </c>
      <c r="S256" s="138">
        <f>COUNTIFS('Raw Non-zero DMR Data'!$A:$A, A256, 'Raw Non-zero DMR Data'!$C:$C, U256, 'Raw Non-zero DMR Data'!$V:$V, V256)</f>
        <v>1</v>
      </c>
      <c r="T256" s="34">
        <f>SUMIFS('Raw Non-zero DMR Data'!$X:$X, 'Raw Non-zero DMR Data'!$A:$A, A256, 'Raw Non-zero DMR Data'!$C:$C, U256, 'Raw Non-zero DMR Data'!V:V, V256)</f>
        <v>6.6828799999999999</v>
      </c>
      <c r="U256" s="34" t="s">
        <v>1057</v>
      </c>
      <c r="V256" s="34" t="s">
        <v>1059</v>
      </c>
      <c r="W256" s="141" t="s">
        <v>1061</v>
      </c>
      <c r="X256" s="140" t="s">
        <v>1060</v>
      </c>
    </row>
    <row r="257" spans="1:24" x14ac:dyDescent="0.35">
      <c r="A257" s="34">
        <v>2023</v>
      </c>
      <c r="B257" s="34" t="s">
        <v>149</v>
      </c>
      <c r="C257" s="34" t="s">
        <v>1057</v>
      </c>
      <c r="D257" s="34" t="s">
        <v>150</v>
      </c>
      <c r="E257" s="34" t="s">
        <v>1058</v>
      </c>
      <c r="F257" s="34" t="s">
        <v>151</v>
      </c>
      <c r="G257" s="34"/>
      <c r="H257" s="34">
        <v>37.907200000000003</v>
      </c>
      <c r="I257" s="34">
        <v>-87.927099999999996</v>
      </c>
      <c r="J257" s="34"/>
      <c r="K257" s="105">
        <v>110000403670</v>
      </c>
      <c r="L257" s="34">
        <v>2821</v>
      </c>
      <c r="M257" s="48" t="str">
        <f>VLOOKUP(L257, '2017 SIC to NAICS'!A:D, 2)</f>
        <v>Plastics Materials and Resins</v>
      </c>
      <c r="N257" s="34">
        <f>VLOOKUP(L257,'2017 SIC to NAICS'!A:D,3)</f>
        <v>325211</v>
      </c>
      <c r="O257" s="34" t="str">
        <f>VLOOKUP(L257,'2017 SIC to NAICS'!A:D,4)</f>
        <v>Plastics Material and Resin Manufacturing</v>
      </c>
      <c r="P257" s="36" t="s">
        <v>796</v>
      </c>
      <c r="Q257" s="137" t="s">
        <v>797</v>
      </c>
      <c r="R257" s="45" t="s">
        <v>41</v>
      </c>
      <c r="S257" s="138">
        <f>COUNTIFS('Raw Non-zero DMR Data'!$A:$A, A257, 'Raw Non-zero DMR Data'!$C:$C, U257, 'Raw Non-zero DMR Data'!$V:$V, V257)</f>
        <v>1</v>
      </c>
      <c r="T257" s="34">
        <f>SUMIFS('Raw Non-zero DMR Data'!$X:$X, 'Raw Non-zero DMR Data'!$A:$A, A257, 'Raw Non-zero DMR Data'!$C:$C, U257, 'Raw Non-zero DMR Data'!V:V, V257)</f>
        <v>3.34144</v>
      </c>
      <c r="U257" s="34" t="s">
        <v>1057</v>
      </c>
      <c r="V257" s="34" t="s">
        <v>1059</v>
      </c>
      <c r="W257" s="141" t="s">
        <v>1061</v>
      </c>
      <c r="X257" s="140" t="s">
        <v>1060</v>
      </c>
    </row>
    <row r="258" spans="1:24" x14ac:dyDescent="0.35">
      <c r="A258" s="34">
        <v>2021</v>
      </c>
      <c r="B258" s="34" t="s">
        <v>652</v>
      </c>
      <c r="C258" s="34" t="s">
        <v>1062</v>
      </c>
      <c r="D258" s="34" t="s">
        <v>201</v>
      </c>
      <c r="E258" s="34" t="s">
        <v>1063</v>
      </c>
      <c r="F258" s="34" t="s">
        <v>151</v>
      </c>
      <c r="G258" s="34"/>
      <c r="H258" s="34">
        <v>39.264667000000003</v>
      </c>
      <c r="I258" s="34">
        <v>-85.231278000000003</v>
      </c>
      <c r="J258" s="34"/>
      <c r="K258" s="105">
        <v>110009974117</v>
      </c>
      <c r="L258" s="34">
        <v>4953</v>
      </c>
      <c r="M258" s="48" t="str">
        <f>VLOOKUP(L258, '2017 SIC to NAICS'!A:D, 2)</f>
        <v>Refuse Systems</v>
      </c>
      <c r="N258" s="34">
        <f>VLOOKUP(L258,'2017 SIC to NAICS'!A:D,3)</f>
        <v>562920</v>
      </c>
      <c r="O258" s="34" t="str">
        <f>VLOOKUP(L258,'2017 SIC to NAICS'!A:D,4)</f>
        <v>Materials Recovery Facilities</v>
      </c>
      <c r="P258" s="36" t="s">
        <v>754</v>
      </c>
      <c r="Q258" s="137" t="s">
        <v>755</v>
      </c>
      <c r="R258" s="45" t="s">
        <v>41</v>
      </c>
      <c r="S258" s="138">
        <f>COUNTIFS('Raw Non-zero DMR Data'!$A:$A, A258, 'Raw Non-zero DMR Data'!$C:$C, U258, 'Raw Non-zero DMR Data'!$V:$V, V258)</f>
        <v>1</v>
      </c>
      <c r="T258" s="34">
        <f>SUMIFS('Raw Non-zero DMR Data'!$X:$X, 'Raw Non-zero DMR Data'!$A:$A, A258, 'Raw Non-zero DMR Data'!$C:$C, U258, 'Raw Non-zero DMR Data'!V:V, V258)</f>
        <v>3.372435E-3</v>
      </c>
      <c r="U258" s="34" t="s">
        <v>1062</v>
      </c>
      <c r="V258" s="34" t="s">
        <v>1064</v>
      </c>
      <c r="W258" s="139">
        <v>50902030502</v>
      </c>
      <c r="X258" s="140" t="s">
        <v>745</v>
      </c>
    </row>
    <row r="259" spans="1:24" x14ac:dyDescent="0.35">
      <c r="A259" s="34">
        <v>2022</v>
      </c>
      <c r="B259" s="34" t="s">
        <v>652</v>
      </c>
      <c r="C259" s="34" t="s">
        <v>1062</v>
      </c>
      <c r="D259" s="34" t="s">
        <v>201</v>
      </c>
      <c r="E259" s="34" t="s">
        <v>1063</v>
      </c>
      <c r="F259" s="34" t="s">
        <v>151</v>
      </c>
      <c r="G259" s="34"/>
      <c r="H259" s="34">
        <v>39.264667000000003</v>
      </c>
      <c r="I259" s="34">
        <v>-85.231278000000003</v>
      </c>
      <c r="J259" s="34"/>
      <c r="K259" s="105">
        <v>110009974117</v>
      </c>
      <c r="L259" s="34">
        <v>4953</v>
      </c>
      <c r="M259" s="48" t="str">
        <f>VLOOKUP(L259, '2017 SIC to NAICS'!A:D, 2)</f>
        <v>Refuse Systems</v>
      </c>
      <c r="N259" s="34">
        <f>VLOOKUP(L259,'2017 SIC to NAICS'!A:D,3)</f>
        <v>562920</v>
      </c>
      <c r="O259" s="34" t="str">
        <f>VLOOKUP(L259,'2017 SIC to NAICS'!A:D,4)</f>
        <v>Materials Recovery Facilities</v>
      </c>
      <c r="P259" s="36" t="s">
        <v>754</v>
      </c>
      <c r="Q259" s="137" t="s">
        <v>755</v>
      </c>
      <c r="R259" s="45" t="s">
        <v>41</v>
      </c>
      <c r="S259" s="138">
        <f>COUNTIFS('Raw Non-zero DMR Data'!$A:$A, A259, 'Raw Non-zero DMR Data'!$C:$C, U259, 'Raw Non-zero DMR Data'!$V:$V, V259)</f>
        <v>1</v>
      </c>
      <c r="T259" s="34">
        <f>SUMIFS('Raw Non-zero DMR Data'!$X:$X, 'Raw Non-zero DMR Data'!$A:$A, A259, 'Raw Non-zero DMR Data'!$C:$C, U259, 'Raw Non-zero DMR Data'!V:V, V259)</f>
        <v>3.6790199999999999E-3</v>
      </c>
      <c r="U259" s="34" t="s">
        <v>1062</v>
      </c>
      <c r="V259" s="34" t="s">
        <v>1064</v>
      </c>
      <c r="W259" s="141" t="s">
        <v>1065</v>
      </c>
      <c r="X259" s="140" t="s">
        <v>745</v>
      </c>
    </row>
    <row r="260" spans="1:24" x14ac:dyDescent="0.35">
      <c r="A260" s="34">
        <v>2023</v>
      </c>
      <c r="B260" s="34" t="s">
        <v>652</v>
      </c>
      <c r="C260" s="34" t="s">
        <v>1062</v>
      </c>
      <c r="D260" s="34" t="s">
        <v>201</v>
      </c>
      <c r="E260" s="34" t="s">
        <v>1063</v>
      </c>
      <c r="F260" s="34" t="s">
        <v>151</v>
      </c>
      <c r="G260" s="34"/>
      <c r="H260" s="34">
        <v>39.264667000000003</v>
      </c>
      <c r="I260" s="34">
        <v>-85.231278000000003</v>
      </c>
      <c r="J260" s="34"/>
      <c r="K260" s="105">
        <v>110009974117</v>
      </c>
      <c r="L260" s="34">
        <v>4953</v>
      </c>
      <c r="M260" s="48" t="str">
        <f>VLOOKUP(L260, '2017 SIC to NAICS'!A:D, 2)</f>
        <v>Refuse Systems</v>
      </c>
      <c r="N260" s="34">
        <f>VLOOKUP(L260,'2017 SIC to NAICS'!A:D,3)</f>
        <v>562920</v>
      </c>
      <c r="O260" s="34" t="str">
        <f>VLOOKUP(L260,'2017 SIC to NAICS'!A:D,4)</f>
        <v>Materials Recovery Facilities</v>
      </c>
      <c r="P260" s="36" t="s">
        <v>754</v>
      </c>
      <c r="Q260" s="137" t="s">
        <v>755</v>
      </c>
      <c r="R260" s="45" t="s">
        <v>41</v>
      </c>
      <c r="S260" s="138">
        <f>COUNTIFS('Raw Non-zero DMR Data'!$A:$A, A260, 'Raw Non-zero DMR Data'!$C:$C, U260, 'Raw Non-zero DMR Data'!$V:$V, V260)</f>
        <v>1</v>
      </c>
      <c r="T260" s="34">
        <f>SUMIFS('Raw Non-zero DMR Data'!$X:$X, 'Raw Non-zero DMR Data'!$A:$A, A260, 'Raw Non-zero DMR Data'!$C:$C, U260, 'Raw Non-zero DMR Data'!V:V, V260)</f>
        <v>2.7498393810399999E-3</v>
      </c>
      <c r="U260" s="34" t="s">
        <v>1062</v>
      </c>
      <c r="V260" s="34" t="s">
        <v>1064</v>
      </c>
      <c r="W260" s="141" t="s">
        <v>1065</v>
      </c>
      <c r="X260" s="140" t="s">
        <v>745</v>
      </c>
    </row>
    <row r="261" spans="1:24" x14ac:dyDescent="0.35">
      <c r="A261" s="34">
        <v>2019</v>
      </c>
      <c r="B261" s="34" t="s">
        <v>580</v>
      </c>
      <c r="C261" s="34" t="s">
        <v>1066</v>
      </c>
      <c r="D261" s="34" t="s">
        <v>581</v>
      </c>
      <c r="E261" s="34" t="s">
        <v>1067</v>
      </c>
      <c r="F261" s="34" t="s">
        <v>151</v>
      </c>
      <c r="G261" s="34"/>
      <c r="H261" s="34">
        <v>40.86168</v>
      </c>
      <c r="I261" s="34">
        <v>-85.599149999999995</v>
      </c>
      <c r="J261" s="34"/>
      <c r="K261" s="105">
        <v>110000400012</v>
      </c>
      <c r="L261" s="34">
        <v>3714</v>
      </c>
      <c r="M261" s="48" t="str">
        <f>VLOOKUP(L261, '2017 SIC to NAICS'!A:D, 2)</f>
        <v>Motor Vehicle Parts and Accessories</v>
      </c>
      <c r="N261" s="34">
        <f>VLOOKUP(L261,'2017 SIC to NAICS'!A:D,3)</f>
        <v>336390</v>
      </c>
      <c r="O261" s="34" t="str">
        <f>VLOOKUP(L261,'2017 SIC to NAICS'!A:D,4)</f>
        <v>Other Motor Vehicle Parts Manufacturing</v>
      </c>
      <c r="P261" s="36" t="s">
        <v>832</v>
      </c>
      <c r="Q261" s="137" t="s">
        <v>833</v>
      </c>
      <c r="R261" s="45" t="s">
        <v>41</v>
      </c>
      <c r="S261" s="138">
        <f>COUNTIFS('Raw Non-zero DMR Data'!$A:$A, A261, 'Raw Non-zero DMR Data'!$C:$C, U261, 'Raw Non-zero DMR Data'!$V:$V, V261)</f>
        <v>1</v>
      </c>
      <c r="T261" s="34">
        <f>SUMIFS('Raw Non-zero DMR Data'!$X:$X, 'Raw Non-zero DMR Data'!$A:$A, A261, 'Raw Non-zero DMR Data'!$C:$C, U261, 'Raw Non-zero DMR Data'!V:V, V261)</f>
        <v>1.5904948499999998E-2</v>
      </c>
      <c r="U261" s="34" t="s">
        <v>1066</v>
      </c>
      <c r="V261" s="34" t="s">
        <v>1068</v>
      </c>
      <c r="W261" s="139">
        <v>51201011303</v>
      </c>
      <c r="X261" s="140" t="s">
        <v>812</v>
      </c>
    </row>
    <row r="262" spans="1:24" x14ac:dyDescent="0.35">
      <c r="A262" s="34">
        <v>2020</v>
      </c>
      <c r="B262" s="34" t="s">
        <v>580</v>
      </c>
      <c r="C262" s="34" t="s">
        <v>1066</v>
      </c>
      <c r="D262" s="34" t="s">
        <v>581</v>
      </c>
      <c r="E262" s="34" t="s">
        <v>1067</v>
      </c>
      <c r="F262" s="34" t="s">
        <v>151</v>
      </c>
      <c r="G262" s="34"/>
      <c r="H262" s="34">
        <v>40.86168</v>
      </c>
      <c r="I262" s="34">
        <v>-85.599149999999995</v>
      </c>
      <c r="J262" s="34"/>
      <c r="K262" s="105">
        <v>110000400012</v>
      </c>
      <c r="L262" s="34">
        <v>3714</v>
      </c>
      <c r="M262" s="48" t="str">
        <f>VLOOKUP(L262, '2017 SIC to NAICS'!A:D, 2)</f>
        <v>Motor Vehicle Parts and Accessories</v>
      </c>
      <c r="N262" s="34">
        <f>VLOOKUP(L262,'2017 SIC to NAICS'!A:D,3)</f>
        <v>336390</v>
      </c>
      <c r="O262" s="34" t="str">
        <f>VLOOKUP(L262,'2017 SIC to NAICS'!A:D,4)</f>
        <v>Other Motor Vehicle Parts Manufacturing</v>
      </c>
      <c r="P262" s="36" t="s">
        <v>832</v>
      </c>
      <c r="Q262" s="137" t="s">
        <v>833</v>
      </c>
      <c r="R262" s="45" t="s">
        <v>41</v>
      </c>
      <c r="S262" s="138">
        <f>COUNTIFS('Raw Non-zero DMR Data'!$A:$A, A262, 'Raw Non-zero DMR Data'!$C:$C, U262, 'Raw Non-zero DMR Data'!$V:$V, V262)</f>
        <v>1</v>
      </c>
      <c r="T262" s="34">
        <f>SUMIFS('Raw Non-zero DMR Data'!$X:$X, 'Raw Non-zero DMR Data'!$A:$A, A262, 'Raw Non-zero DMR Data'!$C:$C, U262, 'Raw Non-zero DMR Data'!V:V, V262)</f>
        <v>1.2553330999999999E-2</v>
      </c>
      <c r="U262" s="34" t="s">
        <v>1066</v>
      </c>
      <c r="V262" s="34" t="s">
        <v>1068</v>
      </c>
      <c r="W262" s="139">
        <v>51201011303</v>
      </c>
      <c r="X262" s="140" t="s">
        <v>812</v>
      </c>
    </row>
    <row r="263" spans="1:24" x14ac:dyDescent="0.35">
      <c r="A263" s="34">
        <v>2021</v>
      </c>
      <c r="B263" s="34" t="s">
        <v>580</v>
      </c>
      <c r="C263" s="34" t="s">
        <v>1066</v>
      </c>
      <c r="D263" s="34" t="s">
        <v>581</v>
      </c>
      <c r="E263" s="34" t="s">
        <v>1067</v>
      </c>
      <c r="F263" s="34" t="s">
        <v>151</v>
      </c>
      <c r="G263" s="34"/>
      <c r="H263" s="34">
        <v>40.86168</v>
      </c>
      <c r="I263" s="34">
        <v>-85.599149999999995</v>
      </c>
      <c r="J263" s="34"/>
      <c r="K263" s="105">
        <v>110000400012</v>
      </c>
      <c r="L263" s="34">
        <v>3714</v>
      </c>
      <c r="M263" s="48" t="str">
        <f>VLOOKUP(L263, '2017 SIC to NAICS'!A:D, 2)</f>
        <v>Motor Vehicle Parts and Accessories</v>
      </c>
      <c r="N263" s="34">
        <f>VLOOKUP(L263,'2017 SIC to NAICS'!A:D,3)</f>
        <v>336390</v>
      </c>
      <c r="O263" s="34" t="str">
        <f>VLOOKUP(L263,'2017 SIC to NAICS'!A:D,4)</f>
        <v>Other Motor Vehicle Parts Manufacturing</v>
      </c>
      <c r="P263" s="36" t="s">
        <v>832</v>
      </c>
      <c r="Q263" s="137" t="s">
        <v>833</v>
      </c>
      <c r="R263" s="45" t="s">
        <v>41</v>
      </c>
      <c r="S263" s="138">
        <f>COUNTIFS('Raw Non-zero DMR Data'!$A:$A, A263, 'Raw Non-zero DMR Data'!$C:$C, U263, 'Raw Non-zero DMR Data'!$V:$V, V263)</f>
        <v>1</v>
      </c>
      <c r="T263" s="34">
        <f>SUMIFS('Raw Non-zero DMR Data'!$X:$X, 'Raw Non-zero DMR Data'!$A:$A, A263, 'Raw Non-zero DMR Data'!$C:$C, U263, 'Raw Non-zero DMR Data'!V:V, V263)</f>
        <v>1.3839133349999999E-2</v>
      </c>
      <c r="U263" s="34" t="s">
        <v>1066</v>
      </c>
      <c r="V263" s="34" t="s">
        <v>1068</v>
      </c>
      <c r="W263" s="139">
        <v>51201011303</v>
      </c>
      <c r="X263" s="140" t="s">
        <v>812</v>
      </c>
    </row>
    <row r="264" spans="1:24" x14ac:dyDescent="0.35">
      <c r="A264" s="34">
        <v>2022</v>
      </c>
      <c r="B264" s="34" t="s">
        <v>580</v>
      </c>
      <c r="C264" s="34" t="s">
        <v>1066</v>
      </c>
      <c r="D264" s="34" t="s">
        <v>581</v>
      </c>
      <c r="E264" s="34" t="s">
        <v>1067</v>
      </c>
      <c r="F264" s="34" t="s">
        <v>151</v>
      </c>
      <c r="G264" s="34"/>
      <c r="H264" s="34">
        <v>40.86168</v>
      </c>
      <c r="I264" s="34">
        <v>-85.599149999999995</v>
      </c>
      <c r="J264" s="34"/>
      <c r="K264" s="105">
        <v>110000400012</v>
      </c>
      <c r="L264" s="34">
        <v>3714</v>
      </c>
      <c r="M264" s="48" t="str">
        <f>VLOOKUP(L264, '2017 SIC to NAICS'!A:D, 2)</f>
        <v>Motor Vehicle Parts and Accessories</v>
      </c>
      <c r="N264" s="34">
        <f>VLOOKUP(L264,'2017 SIC to NAICS'!A:D,3)</f>
        <v>336390</v>
      </c>
      <c r="O264" s="34" t="str">
        <f>VLOOKUP(L264,'2017 SIC to NAICS'!A:D,4)</f>
        <v>Other Motor Vehicle Parts Manufacturing</v>
      </c>
      <c r="P264" s="36" t="s">
        <v>832</v>
      </c>
      <c r="Q264" s="137" t="s">
        <v>833</v>
      </c>
      <c r="R264" s="45" t="s">
        <v>41</v>
      </c>
      <c r="S264" s="138">
        <f>COUNTIFS('Raw Non-zero DMR Data'!$A:$A, A264, 'Raw Non-zero DMR Data'!$C:$C, U264, 'Raw Non-zero DMR Data'!$V:$V, V264)</f>
        <v>1</v>
      </c>
      <c r="T264" s="34">
        <f>SUMIFS('Raw Non-zero DMR Data'!$X:$X, 'Raw Non-zero DMR Data'!$A:$A, A264, 'Raw Non-zero DMR Data'!$C:$C, U264, 'Raw Non-zero DMR Data'!V:V, V264)</f>
        <v>1.6350670099999999E-2</v>
      </c>
      <c r="U264" s="34" t="s">
        <v>1066</v>
      </c>
      <c r="V264" s="34" t="s">
        <v>1068</v>
      </c>
      <c r="W264" s="141" t="s">
        <v>1069</v>
      </c>
      <c r="X264" s="140" t="s">
        <v>812</v>
      </c>
    </row>
    <row r="265" spans="1:24" x14ac:dyDescent="0.35">
      <c r="A265" s="34">
        <v>2023</v>
      </c>
      <c r="B265" s="34" t="s">
        <v>580</v>
      </c>
      <c r="C265" s="34" t="s">
        <v>1066</v>
      </c>
      <c r="D265" s="34" t="s">
        <v>581</v>
      </c>
      <c r="E265" s="34" t="s">
        <v>1067</v>
      </c>
      <c r="F265" s="34" t="s">
        <v>151</v>
      </c>
      <c r="G265" s="34"/>
      <c r="H265" s="34">
        <v>40.86168</v>
      </c>
      <c r="I265" s="34">
        <v>-85.599149999999995</v>
      </c>
      <c r="J265" s="34"/>
      <c r="K265" s="105">
        <v>110000400012</v>
      </c>
      <c r="L265" s="34">
        <v>3714</v>
      </c>
      <c r="M265" s="48" t="str">
        <f>VLOOKUP(L265, '2017 SIC to NAICS'!A:D, 2)</f>
        <v>Motor Vehicle Parts and Accessories</v>
      </c>
      <c r="N265" s="34">
        <f>VLOOKUP(L265,'2017 SIC to NAICS'!A:D,3)</f>
        <v>336390</v>
      </c>
      <c r="O265" s="34" t="str">
        <f>VLOOKUP(L265,'2017 SIC to NAICS'!A:D,4)</f>
        <v>Other Motor Vehicle Parts Manufacturing</v>
      </c>
      <c r="P265" s="36" t="s">
        <v>832</v>
      </c>
      <c r="Q265" s="137" t="s">
        <v>833</v>
      </c>
      <c r="R265" s="45" t="s">
        <v>41</v>
      </c>
      <c r="S265" s="138">
        <f>COUNTIFS('Raw Non-zero DMR Data'!$A:$A, A265, 'Raw Non-zero DMR Data'!$C:$C, U265, 'Raw Non-zero DMR Data'!$V:$V, V265)</f>
        <v>1</v>
      </c>
      <c r="T265" s="34">
        <f>SUMIFS('Raw Non-zero DMR Data'!$X:$X, 'Raw Non-zero DMR Data'!$A:$A, A265, 'Raw Non-zero DMR Data'!$C:$C, U265, 'Raw Non-zero DMR Data'!V:V, V265)</f>
        <v>1.7399523408767499E-2</v>
      </c>
      <c r="U265" s="34" t="s">
        <v>1066</v>
      </c>
      <c r="V265" s="34" t="s">
        <v>1068</v>
      </c>
      <c r="W265" s="141" t="s">
        <v>1069</v>
      </c>
      <c r="X265" s="140" t="s">
        <v>812</v>
      </c>
    </row>
    <row r="266" spans="1:24" x14ac:dyDescent="0.35">
      <c r="A266" s="34">
        <v>2019</v>
      </c>
      <c r="B266" s="34" t="s">
        <v>306</v>
      </c>
      <c r="C266" s="34" t="s">
        <v>804</v>
      </c>
      <c r="D266" s="34" t="s">
        <v>107</v>
      </c>
      <c r="E266" s="34" t="s">
        <v>782</v>
      </c>
      <c r="F266" s="34" t="s">
        <v>108</v>
      </c>
      <c r="G266" s="34"/>
      <c r="H266" s="34">
        <v>38.195278000000002</v>
      </c>
      <c r="I266" s="34">
        <v>-85.872221999999994</v>
      </c>
      <c r="J266" s="34"/>
      <c r="K266" s="105">
        <v>110000378467</v>
      </c>
      <c r="L266" s="34">
        <v>2869</v>
      </c>
      <c r="M266" s="48" t="str">
        <f>VLOOKUP(L266, '2017 SIC to NAICS'!A:D, 2)</f>
        <v>Industrial Organic Chemicals, Nec</v>
      </c>
      <c r="N266" s="34">
        <f>VLOOKUP(L266,'2017 SIC to NAICS'!A:D,3)</f>
        <v>325998</v>
      </c>
      <c r="O266" s="34" t="str">
        <f>VLOOKUP(L266,'2017 SIC to NAICS'!A:D,4)</f>
        <v>All Other Miscellaneous Chemical Product and Preparation Manufacturing</v>
      </c>
      <c r="P266" s="36" t="s">
        <v>748</v>
      </c>
      <c r="Q266" s="137" t="s">
        <v>749</v>
      </c>
      <c r="R266" s="45" t="s">
        <v>41</v>
      </c>
      <c r="S266" s="138">
        <f>COUNTIFS('Raw Non-zero DMR Data'!$A:$A, A266, 'Raw Non-zero DMR Data'!$C:$C, U266, 'Raw Non-zero DMR Data'!$V:$V, V266)</f>
        <v>1</v>
      </c>
      <c r="T266" s="34">
        <f>SUMIFS('Raw Non-zero DMR Data'!$X:$X, 'Raw Non-zero DMR Data'!$A:$A, A266, 'Raw Non-zero DMR Data'!$C:$C, U266, 'Raw Non-zero DMR Data'!V:V, V266)</f>
        <v>0.72526500000000005</v>
      </c>
      <c r="U266" s="34" t="s">
        <v>804</v>
      </c>
      <c r="V266" s="34" t="s">
        <v>805</v>
      </c>
      <c r="W266" s="139">
        <v>51401010903</v>
      </c>
      <c r="X266" s="140" t="s">
        <v>751</v>
      </c>
    </row>
    <row r="267" spans="1:24" x14ac:dyDescent="0.35">
      <c r="A267" s="34">
        <v>2021</v>
      </c>
      <c r="B267" s="34" t="s">
        <v>306</v>
      </c>
      <c r="C267" s="34" t="s">
        <v>804</v>
      </c>
      <c r="D267" s="34" t="s">
        <v>107</v>
      </c>
      <c r="E267" s="34" t="s">
        <v>782</v>
      </c>
      <c r="F267" s="34" t="s">
        <v>108</v>
      </c>
      <c r="G267" s="34"/>
      <c r="H267" s="34">
        <v>38.195278000000002</v>
      </c>
      <c r="I267" s="34">
        <v>-85.872221999999994</v>
      </c>
      <c r="J267" s="34"/>
      <c r="K267" s="105">
        <v>110000378467</v>
      </c>
      <c r="L267" s="34">
        <v>2869</v>
      </c>
      <c r="M267" s="48" t="str">
        <f>VLOOKUP(L267, '2017 SIC to NAICS'!A:D, 2)</f>
        <v>Industrial Organic Chemicals, Nec</v>
      </c>
      <c r="N267" s="34">
        <f>VLOOKUP(L267,'2017 SIC to NAICS'!A:D,3)</f>
        <v>325998</v>
      </c>
      <c r="O267" s="34" t="str">
        <f>VLOOKUP(L267,'2017 SIC to NAICS'!A:D,4)</f>
        <v>All Other Miscellaneous Chemical Product and Preparation Manufacturing</v>
      </c>
      <c r="P267" s="36" t="s">
        <v>748</v>
      </c>
      <c r="Q267" s="137" t="s">
        <v>749</v>
      </c>
      <c r="R267" s="45" t="s">
        <v>41</v>
      </c>
      <c r="S267" s="138">
        <f>COUNTIFS('Raw Non-zero DMR Data'!$A:$A, A267, 'Raw Non-zero DMR Data'!$C:$C, U267, 'Raw Non-zero DMR Data'!$V:$V, V267)</f>
        <v>1</v>
      </c>
      <c r="T267" s="34">
        <f>SUMIFS('Raw Non-zero DMR Data'!$X:$X, 'Raw Non-zero DMR Data'!$A:$A, A267, 'Raw Non-zero DMR Data'!$C:$C, U267, 'Raw Non-zero DMR Data'!V:V, V267)</f>
        <v>0.24856500000000001</v>
      </c>
      <c r="U267" s="34" t="s">
        <v>804</v>
      </c>
      <c r="V267" s="34" t="s">
        <v>805</v>
      </c>
      <c r="W267" s="139">
        <v>51401010903</v>
      </c>
      <c r="X267" s="140" t="s">
        <v>751</v>
      </c>
    </row>
    <row r="268" spans="1:24" x14ac:dyDescent="0.35">
      <c r="A268" s="34">
        <v>2022</v>
      </c>
      <c r="B268" s="34" t="s">
        <v>306</v>
      </c>
      <c r="C268" s="34" t="s">
        <v>804</v>
      </c>
      <c r="D268" s="34" t="s">
        <v>107</v>
      </c>
      <c r="E268" s="34" t="s">
        <v>782</v>
      </c>
      <c r="F268" s="34" t="s">
        <v>108</v>
      </c>
      <c r="G268" s="34"/>
      <c r="H268" s="34">
        <v>38.195278000000002</v>
      </c>
      <c r="I268" s="34">
        <v>-85.872221999999994</v>
      </c>
      <c r="J268" s="34"/>
      <c r="K268" s="105">
        <v>110000378467</v>
      </c>
      <c r="L268" s="34">
        <v>2869</v>
      </c>
      <c r="M268" s="48" t="str">
        <f>VLOOKUP(L268, '2017 SIC to NAICS'!A:D, 2)</f>
        <v>Industrial Organic Chemicals, Nec</v>
      </c>
      <c r="N268" s="34">
        <f>VLOOKUP(L268,'2017 SIC to NAICS'!A:D,3)</f>
        <v>325998</v>
      </c>
      <c r="O268" s="34" t="str">
        <f>VLOOKUP(L268,'2017 SIC to NAICS'!A:D,4)</f>
        <v>All Other Miscellaneous Chemical Product and Preparation Manufacturing</v>
      </c>
      <c r="P268" s="36" t="s">
        <v>748</v>
      </c>
      <c r="Q268" s="137" t="s">
        <v>749</v>
      </c>
      <c r="R268" s="45" t="s">
        <v>41</v>
      </c>
      <c r="S268" s="138">
        <f>COUNTIFS('Raw Non-zero DMR Data'!$A:$A, A268, 'Raw Non-zero DMR Data'!$C:$C, U268, 'Raw Non-zero DMR Data'!$V:$V, V268)</f>
        <v>1</v>
      </c>
      <c r="T268" s="34">
        <f>SUMIFS('Raw Non-zero DMR Data'!$X:$X, 'Raw Non-zero DMR Data'!$A:$A, A268, 'Raw Non-zero DMR Data'!$C:$C, U268, 'Raw Non-zero DMR Data'!V:V, V268)</f>
        <v>0.16571</v>
      </c>
      <c r="U268" s="34" t="s">
        <v>804</v>
      </c>
      <c r="V268" s="34" t="s">
        <v>805</v>
      </c>
      <c r="W268" s="141" t="s">
        <v>1070</v>
      </c>
      <c r="X268" s="140" t="s">
        <v>751</v>
      </c>
    </row>
    <row r="269" spans="1:24" x14ac:dyDescent="0.35">
      <c r="A269" s="34">
        <v>2023</v>
      </c>
      <c r="B269" s="34" t="s">
        <v>306</v>
      </c>
      <c r="C269" s="34" t="s">
        <v>804</v>
      </c>
      <c r="D269" s="34" t="s">
        <v>107</v>
      </c>
      <c r="E269" s="34" t="s">
        <v>782</v>
      </c>
      <c r="F269" s="34" t="s">
        <v>108</v>
      </c>
      <c r="G269" s="34"/>
      <c r="H269" s="34">
        <v>38.195278000000002</v>
      </c>
      <c r="I269" s="34">
        <v>-85.872221999999994</v>
      </c>
      <c r="J269" s="34"/>
      <c r="K269" s="105">
        <v>110000378467</v>
      </c>
      <c r="L269" s="34">
        <v>2869</v>
      </c>
      <c r="M269" s="48" t="str">
        <f>VLOOKUP(L269, '2017 SIC to NAICS'!A:D, 2)</f>
        <v>Industrial Organic Chemicals, Nec</v>
      </c>
      <c r="N269" s="34">
        <f>VLOOKUP(L269,'2017 SIC to NAICS'!A:D,3)</f>
        <v>325998</v>
      </c>
      <c r="O269" s="34" t="str">
        <f>VLOOKUP(L269,'2017 SIC to NAICS'!A:D,4)</f>
        <v>All Other Miscellaneous Chemical Product and Preparation Manufacturing</v>
      </c>
      <c r="P269" s="36" t="s">
        <v>748</v>
      </c>
      <c r="Q269" s="137" t="s">
        <v>749</v>
      </c>
      <c r="R269" s="45" t="s">
        <v>41</v>
      </c>
      <c r="S269" s="138">
        <f>COUNTIFS('Raw Non-zero DMR Data'!$A:$A, A269, 'Raw Non-zero DMR Data'!$C:$C, U269, 'Raw Non-zero DMR Data'!$V:$V, V269)</f>
        <v>1</v>
      </c>
      <c r="T269" s="34">
        <f>SUMIFS('Raw Non-zero DMR Data'!$X:$X, 'Raw Non-zero DMR Data'!$A:$A, A269, 'Raw Non-zero DMR Data'!$C:$C, U269, 'Raw Non-zero DMR Data'!V:V, V269)</f>
        <v>0.91140500000000002</v>
      </c>
      <c r="U269" s="34" t="s">
        <v>804</v>
      </c>
      <c r="V269" s="34" t="s">
        <v>805</v>
      </c>
      <c r="W269" s="141" t="s">
        <v>1070</v>
      </c>
      <c r="X269" s="140" t="s">
        <v>751</v>
      </c>
    </row>
    <row r="270" spans="1:24" x14ac:dyDescent="0.35">
      <c r="A270" s="34">
        <v>2019</v>
      </c>
      <c r="B270" s="34" t="s">
        <v>312</v>
      </c>
      <c r="C270" s="34" t="s">
        <v>1071</v>
      </c>
      <c r="D270" s="34" t="s">
        <v>115</v>
      </c>
      <c r="E270" s="34" t="s">
        <v>1072</v>
      </c>
      <c r="F270" s="34" t="s">
        <v>108</v>
      </c>
      <c r="G270" s="34"/>
      <c r="H270" s="34">
        <v>37.8125</v>
      </c>
      <c r="I270" s="34">
        <v>-87.05</v>
      </c>
      <c r="J270" s="34"/>
      <c r="K270" s="105">
        <v>110000747835</v>
      </c>
      <c r="L270" s="34">
        <v>2821</v>
      </c>
      <c r="M270" s="48" t="str">
        <f>VLOOKUP(L270, '2017 SIC to NAICS'!A:D, 2)</f>
        <v>Plastics Materials and Resins</v>
      </c>
      <c r="N270" s="34">
        <f>VLOOKUP(L270,'2017 SIC to NAICS'!A:D,3)</f>
        <v>325211</v>
      </c>
      <c r="O270" s="34" t="str">
        <f>VLOOKUP(L270,'2017 SIC to NAICS'!A:D,4)</f>
        <v>Plastics Material and Resin Manufacturing</v>
      </c>
      <c r="P270" s="36" t="s">
        <v>796</v>
      </c>
      <c r="Q270" s="137" t="s">
        <v>797</v>
      </c>
      <c r="R270" s="45" t="s">
        <v>41</v>
      </c>
      <c r="S270" s="138">
        <f>COUNTIFS('Raw Non-zero DMR Data'!$A:$A, A270, 'Raw Non-zero DMR Data'!$C:$C, U270, 'Raw Non-zero DMR Data'!$V:$V, V270)</f>
        <v>1</v>
      </c>
      <c r="T270" s="34">
        <f>SUMIFS('Raw Non-zero DMR Data'!$X:$X, 'Raw Non-zero DMR Data'!$A:$A, A270, 'Raw Non-zero DMR Data'!$C:$C, U270, 'Raw Non-zero DMR Data'!V:V, V270)</f>
        <v>0.19305215000000001</v>
      </c>
      <c r="U270" s="34" t="s">
        <v>1071</v>
      </c>
      <c r="V270" s="34" t="s">
        <v>1073</v>
      </c>
      <c r="W270" s="139">
        <v>51402011202</v>
      </c>
      <c r="X270" s="140" t="s">
        <v>1074</v>
      </c>
    </row>
    <row r="271" spans="1:24" x14ac:dyDescent="0.35">
      <c r="A271" s="34">
        <v>2020</v>
      </c>
      <c r="B271" s="34" t="s">
        <v>312</v>
      </c>
      <c r="C271" s="34" t="s">
        <v>1071</v>
      </c>
      <c r="D271" s="34" t="s">
        <v>115</v>
      </c>
      <c r="E271" s="34" t="s">
        <v>1072</v>
      </c>
      <c r="F271" s="34" t="s">
        <v>108</v>
      </c>
      <c r="G271" s="34"/>
      <c r="H271" s="34">
        <v>37.8125</v>
      </c>
      <c r="I271" s="34">
        <v>-87.05</v>
      </c>
      <c r="J271" s="34"/>
      <c r="K271" s="105">
        <v>110000747835</v>
      </c>
      <c r="L271" s="34">
        <v>2821</v>
      </c>
      <c r="M271" s="48" t="str">
        <f>VLOOKUP(L271, '2017 SIC to NAICS'!A:D, 2)</f>
        <v>Plastics Materials and Resins</v>
      </c>
      <c r="N271" s="34">
        <f>VLOOKUP(L271,'2017 SIC to NAICS'!A:D,3)</f>
        <v>325211</v>
      </c>
      <c r="O271" s="34" t="str">
        <f>VLOOKUP(L271,'2017 SIC to NAICS'!A:D,4)</f>
        <v>Plastics Material and Resin Manufacturing</v>
      </c>
      <c r="P271" s="36" t="s">
        <v>796</v>
      </c>
      <c r="Q271" s="137" t="s">
        <v>797</v>
      </c>
      <c r="R271" s="45" t="s">
        <v>41</v>
      </c>
      <c r="S271" s="138">
        <f>COUNTIFS('Raw Non-zero DMR Data'!$A:$A, A271, 'Raw Non-zero DMR Data'!$C:$C, U271, 'Raw Non-zero DMR Data'!$V:$V, V271)</f>
        <v>1</v>
      </c>
      <c r="T271" s="34">
        <f>SUMIFS('Raw Non-zero DMR Data'!$X:$X, 'Raw Non-zero DMR Data'!$A:$A, A271, 'Raw Non-zero DMR Data'!$C:$C, U271, 'Raw Non-zero DMR Data'!V:V, V271)</f>
        <v>0.67941099999999999</v>
      </c>
      <c r="U271" s="34" t="s">
        <v>1071</v>
      </c>
      <c r="V271" s="34" t="s">
        <v>1073</v>
      </c>
      <c r="W271" s="139">
        <v>51402011202</v>
      </c>
      <c r="X271" s="140" t="s">
        <v>1074</v>
      </c>
    </row>
    <row r="272" spans="1:24" x14ac:dyDescent="0.35">
      <c r="A272" s="34">
        <v>2021</v>
      </c>
      <c r="B272" s="34" t="s">
        <v>312</v>
      </c>
      <c r="C272" s="34" t="s">
        <v>1071</v>
      </c>
      <c r="D272" s="34" t="s">
        <v>115</v>
      </c>
      <c r="E272" s="34" t="s">
        <v>1072</v>
      </c>
      <c r="F272" s="34" t="s">
        <v>108</v>
      </c>
      <c r="G272" s="34"/>
      <c r="H272" s="34">
        <v>37.8125</v>
      </c>
      <c r="I272" s="34">
        <v>-87.05</v>
      </c>
      <c r="J272" s="34"/>
      <c r="K272" s="105">
        <v>110000747835</v>
      </c>
      <c r="L272" s="34">
        <v>2821</v>
      </c>
      <c r="M272" s="48" t="str">
        <f>VLOOKUP(L272, '2017 SIC to NAICS'!A:D, 2)</f>
        <v>Plastics Materials and Resins</v>
      </c>
      <c r="N272" s="34">
        <f>VLOOKUP(L272,'2017 SIC to NAICS'!A:D,3)</f>
        <v>325211</v>
      </c>
      <c r="O272" s="34" t="str">
        <f>VLOOKUP(L272,'2017 SIC to NAICS'!A:D,4)</f>
        <v>Plastics Material and Resin Manufacturing</v>
      </c>
      <c r="P272" s="36" t="s">
        <v>796</v>
      </c>
      <c r="Q272" s="137" t="s">
        <v>797</v>
      </c>
      <c r="R272" s="45" t="s">
        <v>41</v>
      </c>
      <c r="S272" s="138">
        <f>COUNTIFS('Raw Non-zero DMR Data'!$A:$A, A272, 'Raw Non-zero DMR Data'!$C:$C, U272, 'Raw Non-zero DMR Data'!$V:$V, V272)</f>
        <v>1</v>
      </c>
      <c r="T272" s="34">
        <f>SUMIFS('Raw Non-zero DMR Data'!$X:$X, 'Raw Non-zero DMR Data'!$A:$A, A272, 'Raw Non-zero DMR Data'!$C:$C, U272, 'Raw Non-zero DMR Data'!V:V, V272)</f>
        <v>1.6570999999999999E-2</v>
      </c>
      <c r="U272" s="34" t="s">
        <v>1071</v>
      </c>
      <c r="V272" s="34" t="s">
        <v>1073</v>
      </c>
      <c r="W272" s="139">
        <v>51402011202</v>
      </c>
      <c r="X272" s="140" t="s">
        <v>1074</v>
      </c>
    </row>
    <row r="273" spans="1:24" x14ac:dyDescent="0.35">
      <c r="A273" s="34">
        <v>2022</v>
      </c>
      <c r="B273" s="34" t="s">
        <v>312</v>
      </c>
      <c r="C273" s="34" t="s">
        <v>1071</v>
      </c>
      <c r="D273" s="34" t="s">
        <v>115</v>
      </c>
      <c r="E273" s="34" t="s">
        <v>1072</v>
      </c>
      <c r="F273" s="34" t="s">
        <v>108</v>
      </c>
      <c r="G273" s="34"/>
      <c r="H273" s="34">
        <v>37.8125</v>
      </c>
      <c r="I273" s="34">
        <v>-87.05</v>
      </c>
      <c r="J273" s="34"/>
      <c r="K273" s="105">
        <v>110000747835</v>
      </c>
      <c r="L273" s="34">
        <v>2821</v>
      </c>
      <c r="M273" s="48" t="str">
        <f>VLOOKUP(L273, '2017 SIC to NAICS'!A:D, 2)</f>
        <v>Plastics Materials and Resins</v>
      </c>
      <c r="N273" s="34">
        <f>VLOOKUP(L273,'2017 SIC to NAICS'!A:D,3)</f>
        <v>325211</v>
      </c>
      <c r="O273" s="34" t="str">
        <f>VLOOKUP(L273,'2017 SIC to NAICS'!A:D,4)</f>
        <v>Plastics Material and Resin Manufacturing</v>
      </c>
      <c r="P273" s="36" t="s">
        <v>796</v>
      </c>
      <c r="Q273" s="137" t="s">
        <v>797</v>
      </c>
      <c r="R273" s="45" t="s">
        <v>41</v>
      </c>
      <c r="S273" s="138">
        <f>COUNTIFS('Raw Non-zero DMR Data'!$A:$A, A273, 'Raw Non-zero DMR Data'!$C:$C, U273, 'Raw Non-zero DMR Data'!$V:$V, V273)</f>
        <v>1</v>
      </c>
      <c r="T273" s="34">
        <f>SUMIFS('Raw Non-zero DMR Data'!$X:$X, 'Raw Non-zero DMR Data'!$A:$A, A273, 'Raw Non-zero DMR Data'!$C:$C, U273, 'Raw Non-zero DMR Data'!V:V, V273)</f>
        <v>0.89140380299999999</v>
      </c>
      <c r="U273" s="34" t="s">
        <v>1071</v>
      </c>
      <c r="V273" s="34" t="s">
        <v>1073</v>
      </c>
      <c r="W273" s="141" t="s">
        <v>1075</v>
      </c>
      <c r="X273" s="140" t="s">
        <v>1074</v>
      </c>
    </row>
    <row r="274" spans="1:24" x14ac:dyDescent="0.35">
      <c r="A274" s="34">
        <v>2019</v>
      </c>
      <c r="B274" s="34" t="s">
        <v>168</v>
      </c>
      <c r="C274" s="34" t="s">
        <v>1076</v>
      </c>
      <c r="D274" s="34" t="s">
        <v>169</v>
      </c>
      <c r="E274" s="34" t="s">
        <v>1077</v>
      </c>
      <c r="F274" s="34" t="s">
        <v>108</v>
      </c>
      <c r="G274" s="34"/>
      <c r="H274" s="34">
        <v>37.047736999999998</v>
      </c>
      <c r="I274" s="34">
        <v>-88.35866</v>
      </c>
      <c r="J274" s="34"/>
      <c r="K274" s="105">
        <v>110000741608</v>
      </c>
      <c r="L274" s="34">
        <v>2869</v>
      </c>
      <c r="M274" s="48" t="str">
        <f>VLOOKUP(L274, '2017 SIC to NAICS'!A:D, 2)</f>
        <v>Industrial Organic Chemicals, Nec</v>
      </c>
      <c r="N274" s="34">
        <f>VLOOKUP(L274,'2017 SIC to NAICS'!A:D,3)</f>
        <v>325998</v>
      </c>
      <c r="O274" s="34" t="str">
        <f>VLOOKUP(L274,'2017 SIC to NAICS'!A:D,4)</f>
        <v>All Other Miscellaneous Chemical Product and Preparation Manufacturing</v>
      </c>
      <c r="P274" s="36" t="s">
        <v>748</v>
      </c>
      <c r="Q274" s="137" t="s">
        <v>749</v>
      </c>
      <c r="R274" s="45" t="s">
        <v>41</v>
      </c>
      <c r="S274" s="138">
        <f>COUNTIFS('Raw Non-zero DMR Data'!$A:$A, A274, 'Raw Non-zero DMR Data'!$C:$C, U274, 'Raw Non-zero DMR Data'!$V:$V, V274)</f>
        <v>1</v>
      </c>
      <c r="T274" s="34">
        <f>SUMIFS('Raw Non-zero DMR Data'!$X:$X, 'Raw Non-zero DMR Data'!$A:$A, A274, 'Raw Non-zero DMR Data'!$C:$C, U274, 'Raw Non-zero DMR Data'!V:V, V274)</f>
        <v>4.3084600000000002</v>
      </c>
      <c r="U274" s="34" t="s">
        <v>1076</v>
      </c>
      <c r="V274" s="34" t="s">
        <v>1078</v>
      </c>
      <c r="W274" s="139">
        <v>60400060503</v>
      </c>
      <c r="X274" s="140" t="s">
        <v>751</v>
      </c>
    </row>
    <row r="275" spans="1:24" x14ac:dyDescent="0.35">
      <c r="A275" s="34">
        <v>2020</v>
      </c>
      <c r="B275" s="34" t="s">
        <v>168</v>
      </c>
      <c r="C275" s="34" t="s">
        <v>1076</v>
      </c>
      <c r="D275" s="34" t="s">
        <v>169</v>
      </c>
      <c r="E275" s="34" t="s">
        <v>1077</v>
      </c>
      <c r="F275" s="34" t="s">
        <v>108</v>
      </c>
      <c r="G275" s="34"/>
      <c r="H275" s="34">
        <v>37.047736999999998</v>
      </c>
      <c r="I275" s="34">
        <v>-88.35866</v>
      </c>
      <c r="J275" s="34"/>
      <c r="K275" s="105">
        <v>110000741608</v>
      </c>
      <c r="L275" s="34">
        <v>2869</v>
      </c>
      <c r="M275" s="48" t="str">
        <f>VLOOKUP(L275, '2017 SIC to NAICS'!A:D, 2)</f>
        <v>Industrial Organic Chemicals, Nec</v>
      </c>
      <c r="N275" s="34">
        <f>VLOOKUP(L275,'2017 SIC to NAICS'!A:D,3)</f>
        <v>325998</v>
      </c>
      <c r="O275" s="34" t="str">
        <f>VLOOKUP(L275,'2017 SIC to NAICS'!A:D,4)</f>
        <v>All Other Miscellaneous Chemical Product and Preparation Manufacturing</v>
      </c>
      <c r="P275" s="36" t="s">
        <v>748</v>
      </c>
      <c r="Q275" s="137" t="s">
        <v>749</v>
      </c>
      <c r="R275" s="45" t="s">
        <v>41</v>
      </c>
      <c r="S275" s="138">
        <f>COUNTIFS('Raw Non-zero DMR Data'!$A:$A, A275, 'Raw Non-zero DMR Data'!$C:$C, U275, 'Raw Non-zero DMR Data'!$V:$V, V275)</f>
        <v>1</v>
      </c>
      <c r="T275" s="34">
        <f>SUMIFS('Raw Non-zero DMR Data'!$X:$X, 'Raw Non-zero DMR Data'!$A:$A, A275, 'Raw Non-zero DMR Data'!$C:$C, U275, 'Raw Non-zero DMR Data'!V:V, V275)</f>
        <v>5.3027199999999999</v>
      </c>
      <c r="U275" s="34" t="s">
        <v>1076</v>
      </c>
      <c r="V275" s="34" t="s">
        <v>1078</v>
      </c>
      <c r="W275" s="139">
        <v>60400060503</v>
      </c>
      <c r="X275" s="140" t="s">
        <v>751</v>
      </c>
    </row>
    <row r="276" spans="1:24" x14ac:dyDescent="0.35">
      <c r="A276" s="34">
        <v>2021</v>
      </c>
      <c r="B276" s="34" t="s">
        <v>168</v>
      </c>
      <c r="C276" s="34" t="s">
        <v>1076</v>
      </c>
      <c r="D276" s="34" t="s">
        <v>169</v>
      </c>
      <c r="E276" s="34" t="s">
        <v>1077</v>
      </c>
      <c r="F276" s="34" t="s">
        <v>108</v>
      </c>
      <c r="G276" s="34"/>
      <c r="H276" s="34">
        <v>37.047736999999998</v>
      </c>
      <c r="I276" s="34">
        <v>-88.35866</v>
      </c>
      <c r="J276" s="34"/>
      <c r="K276" s="105">
        <v>110000741608</v>
      </c>
      <c r="L276" s="34">
        <v>2869</v>
      </c>
      <c r="M276" s="48" t="str">
        <f>VLOOKUP(L276, '2017 SIC to NAICS'!A:D, 2)</f>
        <v>Industrial Organic Chemicals, Nec</v>
      </c>
      <c r="N276" s="34">
        <f>VLOOKUP(L276,'2017 SIC to NAICS'!A:D,3)</f>
        <v>325998</v>
      </c>
      <c r="O276" s="34" t="str">
        <f>VLOOKUP(L276,'2017 SIC to NAICS'!A:D,4)</f>
        <v>All Other Miscellaneous Chemical Product and Preparation Manufacturing</v>
      </c>
      <c r="P276" s="36" t="s">
        <v>748</v>
      </c>
      <c r="Q276" s="137" t="s">
        <v>749</v>
      </c>
      <c r="R276" s="45" t="s">
        <v>41</v>
      </c>
      <c r="S276" s="138">
        <f>COUNTIFS('Raw Non-zero DMR Data'!$A:$A, A276, 'Raw Non-zero DMR Data'!$C:$C, U276, 'Raw Non-zero DMR Data'!$V:$V, V276)</f>
        <v>1</v>
      </c>
      <c r="T276" s="34">
        <f>SUMIFS('Raw Non-zero DMR Data'!$X:$X, 'Raw Non-zero DMR Data'!$A:$A, A276, 'Raw Non-zero DMR Data'!$C:$C, U276, 'Raw Non-zero DMR Data'!V:V, V276)</f>
        <v>8.2026450000000004</v>
      </c>
      <c r="U276" s="34" t="s">
        <v>1076</v>
      </c>
      <c r="V276" s="34" t="s">
        <v>1078</v>
      </c>
      <c r="W276" s="139">
        <v>60400060503</v>
      </c>
      <c r="X276" s="140" t="s">
        <v>751</v>
      </c>
    </row>
    <row r="277" spans="1:24" x14ac:dyDescent="0.35">
      <c r="A277" s="34">
        <v>2022</v>
      </c>
      <c r="B277" s="34" t="s">
        <v>168</v>
      </c>
      <c r="C277" s="34" t="s">
        <v>1076</v>
      </c>
      <c r="D277" s="34" t="s">
        <v>169</v>
      </c>
      <c r="E277" s="34" t="s">
        <v>1077</v>
      </c>
      <c r="F277" s="34" t="s">
        <v>108</v>
      </c>
      <c r="G277" s="34"/>
      <c r="H277" s="34">
        <v>37.047736999999998</v>
      </c>
      <c r="I277" s="34">
        <v>-88.35866</v>
      </c>
      <c r="J277" s="34"/>
      <c r="K277" s="105">
        <v>110000741608</v>
      </c>
      <c r="L277" s="34">
        <v>2869</v>
      </c>
      <c r="M277" s="48" t="str">
        <f>VLOOKUP(L277, '2017 SIC to NAICS'!A:D, 2)</f>
        <v>Industrial Organic Chemicals, Nec</v>
      </c>
      <c r="N277" s="34">
        <f>VLOOKUP(L277,'2017 SIC to NAICS'!A:D,3)</f>
        <v>325998</v>
      </c>
      <c r="O277" s="34" t="str">
        <f>VLOOKUP(L277,'2017 SIC to NAICS'!A:D,4)</f>
        <v>All Other Miscellaneous Chemical Product and Preparation Manufacturing</v>
      </c>
      <c r="P277" s="36" t="s">
        <v>748</v>
      </c>
      <c r="Q277" s="137" t="s">
        <v>749</v>
      </c>
      <c r="R277" s="45" t="s">
        <v>41</v>
      </c>
      <c r="S277" s="138">
        <f>COUNTIFS('Raw Non-zero DMR Data'!$A:$A, A277, 'Raw Non-zero DMR Data'!$C:$C, U277, 'Raw Non-zero DMR Data'!$V:$V, V277)</f>
        <v>1</v>
      </c>
      <c r="T277" s="34">
        <f>SUMIFS('Raw Non-zero DMR Data'!$X:$X, 'Raw Non-zero DMR Data'!$A:$A, A277, 'Raw Non-zero DMR Data'!$C:$C, U277, 'Raw Non-zero DMR Data'!V:V, V277)</f>
        <v>1.2428250000000001</v>
      </c>
      <c r="U277" s="34" t="s">
        <v>1076</v>
      </c>
      <c r="V277" s="34" t="s">
        <v>1078</v>
      </c>
      <c r="W277" s="141" t="s">
        <v>1079</v>
      </c>
      <c r="X277" s="140" t="s">
        <v>751</v>
      </c>
    </row>
    <row r="278" spans="1:24" x14ac:dyDescent="0.35">
      <c r="A278" s="34">
        <v>2023</v>
      </c>
      <c r="B278" s="34" t="s">
        <v>168</v>
      </c>
      <c r="C278" s="34" t="s">
        <v>1076</v>
      </c>
      <c r="D278" s="34" t="s">
        <v>169</v>
      </c>
      <c r="E278" s="34" t="s">
        <v>1077</v>
      </c>
      <c r="F278" s="34" t="s">
        <v>108</v>
      </c>
      <c r="G278" s="34"/>
      <c r="H278" s="34">
        <v>37.047736999999998</v>
      </c>
      <c r="I278" s="34">
        <v>-88.35866</v>
      </c>
      <c r="J278" s="34"/>
      <c r="K278" s="105">
        <v>110000741608</v>
      </c>
      <c r="L278" s="34">
        <v>2869</v>
      </c>
      <c r="M278" s="48" t="str">
        <f>VLOOKUP(L278, '2017 SIC to NAICS'!A:D, 2)</f>
        <v>Industrial Organic Chemicals, Nec</v>
      </c>
      <c r="N278" s="34">
        <f>VLOOKUP(L278,'2017 SIC to NAICS'!A:D,3)</f>
        <v>325998</v>
      </c>
      <c r="O278" s="34" t="str">
        <f>VLOOKUP(L278,'2017 SIC to NAICS'!A:D,4)</f>
        <v>All Other Miscellaneous Chemical Product and Preparation Manufacturing</v>
      </c>
      <c r="P278" s="36" t="s">
        <v>748</v>
      </c>
      <c r="Q278" s="137" t="s">
        <v>749</v>
      </c>
      <c r="R278" s="45" t="s">
        <v>41</v>
      </c>
      <c r="S278" s="138">
        <f>COUNTIFS('Raw Non-zero DMR Data'!$A:$A, A278, 'Raw Non-zero DMR Data'!$C:$C, U278, 'Raw Non-zero DMR Data'!$V:$V, V278)</f>
        <v>1</v>
      </c>
      <c r="T278" s="34">
        <f>SUMIFS('Raw Non-zero DMR Data'!$X:$X, 'Raw Non-zero DMR Data'!$A:$A, A278, 'Raw Non-zero DMR Data'!$C:$C, U278, 'Raw Non-zero DMR Data'!V:V, V278)</f>
        <v>0.24856500000000001</v>
      </c>
      <c r="U278" s="34" t="s">
        <v>1076</v>
      </c>
      <c r="V278" s="34" t="s">
        <v>1078</v>
      </c>
      <c r="W278" s="141" t="s">
        <v>1079</v>
      </c>
      <c r="X278" s="140" t="s">
        <v>751</v>
      </c>
    </row>
    <row r="279" spans="1:24" x14ac:dyDescent="0.35">
      <c r="A279" s="34">
        <v>2019</v>
      </c>
      <c r="B279" s="34" t="s">
        <v>114</v>
      </c>
      <c r="C279" s="34" t="s">
        <v>1080</v>
      </c>
      <c r="D279" s="34" t="s">
        <v>115</v>
      </c>
      <c r="E279" s="34" t="s">
        <v>1072</v>
      </c>
      <c r="F279" s="34" t="s">
        <v>108</v>
      </c>
      <c r="G279" s="34"/>
      <c r="H279" s="34">
        <v>37.790278000000001</v>
      </c>
      <c r="I279" s="34">
        <v>-87.140277999999995</v>
      </c>
      <c r="J279" s="34"/>
      <c r="K279" s="105">
        <v>110039998214</v>
      </c>
      <c r="L279" s="34">
        <v>4952</v>
      </c>
      <c r="M279" s="48" t="str">
        <f>VLOOKUP(L279, '2017 SIC to NAICS'!A:D, 2)</f>
        <v>Sewerage Systems</v>
      </c>
      <c r="N279" s="34">
        <f>VLOOKUP(L279,'2017 SIC to NAICS'!A:D,3)</f>
        <v>221320</v>
      </c>
      <c r="O279" s="34" t="str">
        <f>VLOOKUP(L279,'2017 SIC to NAICS'!A:D,4)</f>
        <v>Sewage Treatment Facilities</v>
      </c>
      <c r="P279" s="36" t="s">
        <v>742</v>
      </c>
      <c r="Q279" s="137" t="s">
        <v>743</v>
      </c>
      <c r="R279" s="45" t="s">
        <v>38</v>
      </c>
      <c r="S279" s="138">
        <f>COUNTIFS('Raw Non-zero DMR Data'!$A:$A, A279, 'Raw Non-zero DMR Data'!$C:$C, U279, 'Raw Non-zero DMR Data'!$V:$V, V279)</f>
        <v>1</v>
      </c>
      <c r="T279" s="34">
        <f>SUMIFS('Raw Non-zero DMR Data'!$X:$X, 'Raw Non-zero DMR Data'!$A:$A, A279, 'Raw Non-zero DMR Data'!$C:$C, U279, 'Raw Non-zero DMR Data'!V:V, V279)</f>
        <v>18.809462875000001</v>
      </c>
      <c r="U279" s="34" t="s">
        <v>1080</v>
      </c>
      <c r="V279" s="34" t="s">
        <v>1073</v>
      </c>
      <c r="W279" s="139">
        <v>51402011202</v>
      </c>
      <c r="X279" s="140" t="s">
        <v>745</v>
      </c>
    </row>
    <row r="280" spans="1:24" x14ac:dyDescent="0.35">
      <c r="A280" s="34">
        <v>2020</v>
      </c>
      <c r="B280" s="34" t="s">
        <v>114</v>
      </c>
      <c r="C280" s="34" t="s">
        <v>1080</v>
      </c>
      <c r="D280" s="34" t="s">
        <v>115</v>
      </c>
      <c r="E280" s="34" t="s">
        <v>1072</v>
      </c>
      <c r="F280" s="34" t="s">
        <v>108</v>
      </c>
      <c r="G280" s="34"/>
      <c r="H280" s="34">
        <v>37.790278000000001</v>
      </c>
      <c r="I280" s="34">
        <v>-87.140277999999995</v>
      </c>
      <c r="J280" s="34"/>
      <c r="K280" s="105">
        <v>110039998214</v>
      </c>
      <c r="L280" s="34">
        <v>4952</v>
      </c>
      <c r="M280" s="48" t="str">
        <f>VLOOKUP(L280, '2017 SIC to NAICS'!A:D, 2)</f>
        <v>Sewerage Systems</v>
      </c>
      <c r="N280" s="34">
        <f>VLOOKUP(L280,'2017 SIC to NAICS'!A:D,3)</f>
        <v>221320</v>
      </c>
      <c r="O280" s="34" t="str">
        <f>VLOOKUP(L280,'2017 SIC to NAICS'!A:D,4)</f>
        <v>Sewage Treatment Facilities</v>
      </c>
      <c r="P280" s="36" t="s">
        <v>742</v>
      </c>
      <c r="Q280" s="137" t="s">
        <v>743</v>
      </c>
      <c r="R280" s="45" t="s">
        <v>38</v>
      </c>
      <c r="S280" s="138">
        <f>COUNTIFS('Raw Non-zero DMR Data'!$A:$A, A280, 'Raw Non-zero DMR Data'!$C:$C, U280, 'Raw Non-zero DMR Data'!$V:$V, V280)</f>
        <v>1</v>
      </c>
      <c r="T280" s="34">
        <f>SUMIFS('Raw Non-zero DMR Data'!$X:$X, 'Raw Non-zero DMR Data'!$A:$A, A280, 'Raw Non-zero DMR Data'!$C:$C, U280, 'Raw Non-zero DMR Data'!V:V, V280)</f>
        <v>49.955944000000002</v>
      </c>
      <c r="U280" s="34" t="s">
        <v>1080</v>
      </c>
      <c r="V280" s="34" t="s">
        <v>1073</v>
      </c>
      <c r="W280" s="139">
        <v>51402011202</v>
      </c>
      <c r="X280" s="140" t="s">
        <v>745</v>
      </c>
    </row>
    <row r="281" spans="1:24" x14ac:dyDescent="0.35">
      <c r="A281" s="34">
        <v>2021</v>
      </c>
      <c r="B281" s="34" t="s">
        <v>114</v>
      </c>
      <c r="C281" s="34" t="s">
        <v>1080</v>
      </c>
      <c r="D281" s="34" t="s">
        <v>115</v>
      </c>
      <c r="E281" s="34" t="s">
        <v>1072</v>
      </c>
      <c r="F281" s="34" t="s">
        <v>108</v>
      </c>
      <c r="G281" s="34"/>
      <c r="H281" s="34">
        <v>37.790278000000001</v>
      </c>
      <c r="I281" s="34">
        <v>-87.140277999999995</v>
      </c>
      <c r="J281" s="34"/>
      <c r="K281" s="105">
        <v>110039998214</v>
      </c>
      <c r="L281" s="34">
        <v>4952</v>
      </c>
      <c r="M281" s="48" t="str">
        <f>VLOOKUP(L281, '2017 SIC to NAICS'!A:D, 2)</f>
        <v>Sewerage Systems</v>
      </c>
      <c r="N281" s="34">
        <f>VLOOKUP(L281,'2017 SIC to NAICS'!A:D,3)</f>
        <v>221320</v>
      </c>
      <c r="O281" s="34" t="str">
        <f>VLOOKUP(L281,'2017 SIC to NAICS'!A:D,4)</f>
        <v>Sewage Treatment Facilities</v>
      </c>
      <c r="P281" s="36" t="s">
        <v>742</v>
      </c>
      <c r="Q281" s="137" t="s">
        <v>743</v>
      </c>
      <c r="R281" s="45" t="s">
        <v>38</v>
      </c>
      <c r="S281" s="138">
        <f>COUNTIFS('Raw Non-zero DMR Data'!$A:$A, A281, 'Raw Non-zero DMR Data'!$C:$C, U281, 'Raw Non-zero DMR Data'!$V:$V, V281)</f>
        <v>1</v>
      </c>
      <c r="T281" s="34">
        <f>SUMIFS('Raw Non-zero DMR Data'!$X:$X, 'Raw Non-zero DMR Data'!$A:$A, A281, 'Raw Non-zero DMR Data'!$C:$C, U281, 'Raw Non-zero DMR Data'!V:V, V281)</f>
        <v>29.688972249999999</v>
      </c>
      <c r="U281" s="34" t="s">
        <v>1080</v>
      </c>
      <c r="V281" s="34" t="s">
        <v>1073</v>
      </c>
      <c r="W281" s="139">
        <v>51402011202</v>
      </c>
      <c r="X281" s="140" t="s">
        <v>745</v>
      </c>
    </row>
    <row r="282" spans="1:24" x14ac:dyDescent="0.35">
      <c r="A282" s="34">
        <v>2022</v>
      </c>
      <c r="B282" s="34" t="s">
        <v>114</v>
      </c>
      <c r="C282" s="34" t="s">
        <v>1080</v>
      </c>
      <c r="D282" s="34" t="s">
        <v>115</v>
      </c>
      <c r="E282" s="34" t="s">
        <v>1072</v>
      </c>
      <c r="F282" s="34" t="s">
        <v>108</v>
      </c>
      <c r="G282" s="34"/>
      <c r="H282" s="34">
        <v>37.790278000000001</v>
      </c>
      <c r="I282" s="34">
        <v>-87.140277999999995</v>
      </c>
      <c r="J282" s="34"/>
      <c r="K282" s="105">
        <v>110039998214</v>
      </c>
      <c r="L282" s="34">
        <v>4952</v>
      </c>
      <c r="M282" s="48" t="str">
        <f>VLOOKUP(L282, '2017 SIC to NAICS'!A:D, 2)</f>
        <v>Sewerage Systems</v>
      </c>
      <c r="N282" s="34">
        <f>VLOOKUP(L282,'2017 SIC to NAICS'!A:D,3)</f>
        <v>221320</v>
      </c>
      <c r="O282" s="34" t="str">
        <f>VLOOKUP(L282,'2017 SIC to NAICS'!A:D,4)</f>
        <v>Sewage Treatment Facilities</v>
      </c>
      <c r="P282" s="36" t="s">
        <v>742</v>
      </c>
      <c r="Q282" s="137" t="s">
        <v>743</v>
      </c>
      <c r="R282" s="45" t="s">
        <v>38</v>
      </c>
      <c r="S282" s="138">
        <f>COUNTIFS('Raw Non-zero DMR Data'!$A:$A, A282, 'Raw Non-zero DMR Data'!$C:$C, U282, 'Raw Non-zero DMR Data'!$V:$V, V282)</f>
        <v>1</v>
      </c>
      <c r="T282" s="34">
        <f>SUMIFS('Raw Non-zero DMR Data'!$X:$X, 'Raw Non-zero DMR Data'!$A:$A, A282, 'Raw Non-zero DMR Data'!$C:$C, U282, 'Raw Non-zero DMR Data'!V:V, V282)</f>
        <v>1.24051274325</v>
      </c>
      <c r="U282" s="34" t="s">
        <v>1080</v>
      </c>
      <c r="V282" s="34" t="s">
        <v>1073</v>
      </c>
      <c r="W282" s="141" t="s">
        <v>1075</v>
      </c>
      <c r="X282" s="140" t="s">
        <v>745</v>
      </c>
    </row>
    <row r="283" spans="1:24" x14ac:dyDescent="0.35">
      <c r="A283" s="34">
        <v>2023</v>
      </c>
      <c r="B283" s="34" t="s">
        <v>114</v>
      </c>
      <c r="C283" s="34" t="s">
        <v>1080</v>
      </c>
      <c r="D283" s="34" t="s">
        <v>115</v>
      </c>
      <c r="E283" s="34" t="s">
        <v>1072</v>
      </c>
      <c r="F283" s="34" t="s">
        <v>108</v>
      </c>
      <c r="G283" s="34"/>
      <c r="H283" s="34">
        <v>37.790278000000001</v>
      </c>
      <c r="I283" s="34">
        <v>-87.140277999999995</v>
      </c>
      <c r="J283" s="34"/>
      <c r="K283" s="105">
        <v>110039998214</v>
      </c>
      <c r="L283" s="34">
        <v>4952</v>
      </c>
      <c r="M283" s="48" t="str">
        <f>VLOOKUP(L283, '2017 SIC to NAICS'!A:D, 2)</f>
        <v>Sewerage Systems</v>
      </c>
      <c r="N283" s="34">
        <f>VLOOKUP(L283,'2017 SIC to NAICS'!A:D,3)</f>
        <v>221320</v>
      </c>
      <c r="O283" s="34" t="str">
        <f>VLOOKUP(L283,'2017 SIC to NAICS'!A:D,4)</f>
        <v>Sewage Treatment Facilities</v>
      </c>
      <c r="P283" s="36" t="s">
        <v>742</v>
      </c>
      <c r="Q283" s="137" t="s">
        <v>743</v>
      </c>
      <c r="R283" s="45" t="s">
        <v>38</v>
      </c>
      <c r="S283" s="138">
        <f>COUNTIFS('Raw Non-zero DMR Data'!$A:$A, A283, 'Raw Non-zero DMR Data'!$C:$C, U283, 'Raw Non-zero DMR Data'!$V:$V, V283)</f>
        <v>1</v>
      </c>
      <c r="T283" s="34">
        <f>SUMIFS('Raw Non-zero DMR Data'!$X:$X, 'Raw Non-zero DMR Data'!$A:$A, A283, 'Raw Non-zero DMR Data'!$C:$C, U283, 'Raw Non-zero DMR Data'!V:V, V283)</f>
        <v>9.6015987500000008</v>
      </c>
      <c r="U283" s="34" t="s">
        <v>1080</v>
      </c>
      <c r="V283" s="34" t="s">
        <v>1073</v>
      </c>
      <c r="W283" s="141" t="s">
        <v>1075</v>
      </c>
      <c r="X283" s="140" t="s">
        <v>745</v>
      </c>
    </row>
    <row r="284" spans="1:24" x14ac:dyDescent="0.35">
      <c r="A284" s="34">
        <v>2022</v>
      </c>
      <c r="B284" s="34" t="s">
        <v>164</v>
      </c>
      <c r="C284" s="34" t="s">
        <v>1081</v>
      </c>
      <c r="D284" s="34" t="s">
        <v>165</v>
      </c>
      <c r="E284" s="34" t="s">
        <v>1082</v>
      </c>
      <c r="F284" s="34" t="s">
        <v>108</v>
      </c>
      <c r="G284" s="34"/>
      <c r="H284" s="34">
        <v>38.217222</v>
      </c>
      <c r="I284" s="34">
        <v>-84.564166999999998</v>
      </c>
      <c r="J284" s="34"/>
      <c r="K284" s="105">
        <v>110000732208</v>
      </c>
      <c r="L284" s="34">
        <v>4952</v>
      </c>
      <c r="M284" s="48" t="str">
        <f>VLOOKUP(L284, '2017 SIC to NAICS'!A:D, 2)</f>
        <v>Sewerage Systems</v>
      </c>
      <c r="N284" s="34">
        <f>VLOOKUP(L284,'2017 SIC to NAICS'!A:D,3)</f>
        <v>221320</v>
      </c>
      <c r="O284" s="34" t="str">
        <f>VLOOKUP(L284,'2017 SIC to NAICS'!A:D,4)</f>
        <v>Sewage Treatment Facilities</v>
      </c>
      <c r="P284" s="36" t="s">
        <v>742</v>
      </c>
      <c r="Q284" s="137" t="s">
        <v>743</v>
      </c>
      <c r="R284" s="45" t="s">
        <v>38</v>
      </c>
      <c r="S284" s="138">
        <f>COUNTIFS('Raw Non-zero DMR Data'!$A:$A, A284, 'Raw Non-zero DMR Data'!$C:$C, U284, 'Raw Non-zero DMR Data'!$V:$V, V284)</f>
        <v>1</v>
      </c>
      <c r="T284" s="34">
        <f>SUMIFS('Raw Non-zero DMR Data'!$X:$X, 'Raw Non-zero DMR Data'!$A:$A, A284, 'Raw Non-zero DMR Data'!$C:$C, U284, 'Raw Non-zero DMR Data'!V:V, V284)</f>
        <v>8.7726837500000006</v>
      </c>
      <c r="U284" s="34" t="s">
        <v>1081</v>
      </c>
      <c r="V284" s="34" t="s">
        <v>1083</v>
      </c>
      <c r="W284" s="141" t="s">
        <v>1084</v>
      </c>
      <c r="X284" s="140" t="s">
        <v>745</v>
      </c>
    </row>
    <row r="285" spans="1:24" x14ac:dyDescent="0.35">
      <c r="A285" s="34">
        <v>2023</v>
      </c>
      <c r="B285" s="34" t="s">
        <v>164</v>
      </c>
      <c r="C285" s="34" t="s">
        <v>1081</v>
      </c>
      <c r="D285" s="34" t="s">
        <v>165</v>
      </c>
      <c r="E285" s="34" t="s">
        <v>1082</v>
      </c>
      <c r="F285" s="34" t="s">
        <v>108</v>
      </c>
      <c r="G285" s="34"/>
      <c r="H285" s="34">
        <v>38.217222</v>
      </c>
      <c r="I285" s="34">
        <v>-84.564166999999998</v>
      </c>
      <c r="J285" s="34"/>
      <c r="K285" s="105">
        <v>110000732208</v>
      </c>
      <c r="L285" s="34">
        <v>4952</v>
      </c>
      <c r="M285" s="48" t="str">
        <f>VLOOKUP(L285, '2017 SIC to NAICS'!A:D, 2)</f>
        <v>Sewerage Systems</v>
      </c>
      <c r="N285" s="34">
        <f>VLOOKUP(L285,'2017 SIC to NAICS'!A:D,3)</f>
        <v>221320</v>
      </c>
      <c r="O285" s="34" t="str">
        <f>VLOOKUP(L285,'2017 SIC to NAICS'!A:D,4)</f>
        <v>Sewage Treatment Facilities</v>
      </c>
      <c r="P285" s="36" t="s">
        <v>742</v>
      </c>
      <c r="Q285" s="137" t="s">
        <v>743</v>
      </c>
      <c r="R285" s="45" t="s">
        <v>38</v>
      </c>
      <c r="S285" s="138">
        <f>COUNTIFS('Raw Non-zero DMR Data'!$A:$A, A285, 'Raw Non-zero DMR Data'!$C:$C, U285, 'Raw Non-zero DMR Data'!$V:$V, V285)</f>
        <v>1</v>
      </c>
      <c r="T285" s="34">
        <f>SUMIFS('Raw Non-zero DMR Data'!$X:$X, 'Raw Non-zero DMR Data'!$A:$A, A285, 'Raw Non-zero DMR Data'!$C:$C, U285, 'Raw Non-zero DMR Data'!V:V, V285)</f>
        <v>8.4618406250000007</v>
      </c>
      <c r="U285" s="34" t="s">
        <v>1081</v>
      </c>
      <c r="V285" s="34" t="s">
        <v>1083</v>
      </c>
      <c r="W285" s="141" t="s">
        <v>1084</v>
      </c>
      <c r="X285" s="140" t="s">
        <v>745</v>
      </c>
    </row>
    <row r="286" spans="1:24" x14ac:dyDescent="0.35">
      <c r="A286" s="34">
        <v>2019</v>
      </c>
      <c r="B286" s="34" t="s">
        <v>362</v>
      </c>
      <c r="C286" s="34" t="s">
        <v>1085</v>
      </c>
      <c r="D286" s="34" t="s">
        <v>363</v>
      </c>
      <c r="E286" s="34" t="s">
        <v>1086</v>
      </c>
      <c r="F286" s="34" t="s">
        <v>108</v>
      </c>
      <c r="G286" s="34"/>
      <c r="H286" s="34">
        <v>38.686529999999998</v>
      </c>
      <c r="I286" s="34">
        <v>-83.788679999999999</v>
      </c>
      <c r="J286" s="34"/>
      <c r="K286" s="105">
        <v>110000761104</v>
      </c>
      <c r="L286" s="34">
        <v>4952</v>
      </c>
      <c r="M286" s="48" t="str">
        <f>VLOOKUP(L286, '2017 SIC to NAICS'!A:D, 2)</f>
        <v>Sewerage Systems</v>
      </c>
      <c r="N286" s="34">
        <f>VLOOKUP(L286,'2017 SIC to NAICS'!A:D,3)</f>
        <v>221320</v>
      </c>
      <c r="O286" s="34" t="str">
        <f>VLOOKUP(L286,'2017 SIC to NAICS'!A:D,4)</f>
        <v>Sewage Treatment Facilities</v>
      </c>
      <c r="P286" s="36" t="s">
        <v>742</v>
      </c>
      <c r="Q286" s="137" t="s">
        <v>743</v>
      </c>
      <c r="R286" s="45" t="s">
        <v>38</v>
      </c>
      <c r="S286" s="138">
        <f>COUNTIFS('Raw Non-zero DMR Data'!$A:$A, A286, 'Raw Non-zero DMR Data'!$C:$C, U286, 'Raw Non-zero DMR Data'!$V:$V, V286)</f>
        <v>1</v>
      </c>
      <c r="T286" s="34">
        <f>SUMIFS('Raw Non-zero DMR Data'!$X:$X, 'Raw Non-zero DMR Data'!$A:$A, A286, 'Raw Non-zero DMR Data'!$C:$C, U286, 'Raw Non-zero DMR Data'!V:V, V286)</f>
        <v>0.46971849999999998</v>
      </c>
      <c r="U286" s="34" t="s">
        <v>1085</v>
      </c>
      <c r="V286" s="34" t="s">
        <v>1087</v>
      </c>
      <c r="W286" s="139">
        <v>50902010605</v>
      </c>
      <c r="X286" s="140" t="s">
        <v>745</v>
      </c>
    </row>
    <row r="287" spans="1:24" x14ac:dyDescent="0.35">
      <c r="A287" s="34">
        <v>2020</v>
      </c>
      <c r="B287" s="34" t="s">
        <v>184</v>
      </c>
      <c r="C287" s="34" t="s">
        <v>1088</v>
      </c>
      <c r="D287" s="34" t="s">
        <v>185</v>
      </c>
      <c r="E287" s="34" t="s">
        <v>1089</v>
      </c>
      <c r="F287" s="34" t="s">
        <v>108</v>
      </c>
      <c r="G287" s="34"/>
      <c r="H287" s="34">
        <v>38.057777999999999</v>
      </c>
      <c r="I287" s="34">
        <v>-84.743888999999996</v>
      </c>
      <c r="J287" s="34"/>
      <c r="K287" s="105">
        <v>110000732226</v>
      </c>
      <c r="L287" s="34">
        <v>4952</v>
      </c>
      <c r="M287" s="48" t="str">
        <f>VLOOKUP(L287, '2017 SIC to NAICS'!A:D, 2)</f>
        <v>Sewerage Systems</v>
      </c>
      <c r="N287" s="34">
        <f>VLOOKUP(L287,'2017 SIC to NAICS'!A:D,3)</f>
        <v>221320</v>
      </c>
      <c r="O287" s="34" t="str">
        <f>VLOOKUP(L287,'2017 SIC to NAICS'!A:D,4)</f>
        <v>Sewage Treatment Facilities</v>
      </c>
      <c r="P287" s="36" t="s">
        <v>742</v>
      </c>
      <c r="Q287" s="137" t="s">
        <v>743</v>
      </c>
      <c r="R287" s="45" t="s">
        <v>38</v>
      </c>
      <c r="S287" s="138">
        <f>COUNTIFS('Raw Non-zero DMR Data'!$A:$A, A287, 'Raw Non-zero DMR Data'!$C:$C, U287, 'Raw Non-zero DMR Data'!$V:$V, V287)</f>
        <v>1</v>
      </c>
      <c r="T287" s="34">
        <f>SUMIFS('Raw Non-zero DMR Data'!$X:$X, 'Raw Non-zero DMR Data'!$A:$A, A287, 'Raw Non-zero DMR Data'!$C:$C, U287, 'Raw Non-zero DMR Data'!V:V, V287)</f>
        <v>5.636622</v>
      </c>
      <c r="U287" s="34" t="s">
        <v>1088</v>
      </c>
      <c r="V287" s="34" t="s">
        <v>1090</v>
      </c>
      <c r="W287" s="139">
        <v>51002050709</v>
      </c>
      <c r="X287" s="140" t="s">
        <v>745</v>
      </c>
    </row>
    <row r="288" spans="1:24" x14ac:dyDescent="0.35">
      <c r="A288" s="34">
        <v>2019</v>
      </c>
      <c r="B288" s="34" t="s">
        <v>277</v>
      </c>
      <c r="C288" s="34" t="s">
        <v>1091</v>
      </c>
      <c r="D288" s="34" t="s">
        <v>278</v>
      </c>
      <c r="E288" s="34" t="s">
        <v>1092</v>
      </c>
      <c r="F288" s="34" t="s">
        <v>108</v>
      </c>
      <c r="G288" s="34"/>
      <c r="H288" s="34">
        <v>36.856732000000001</v>
      </c>
      <c r="I288" s="34">
        <v>-86.889048000000003</v>
      </c>
      <c r="J288" s="34"/>
      <c r="K288" s="105">
        <v>110000736730</v>
      </c>
      <c r="L288" s="34">
        <v>4952</v>
      </c>
      <c r="M288" s="48" t="str">
        <f>VLOOKUP(L288, '2017 SIC to NAICS'!A:D, 2)</f>
        <v>Sewerage Systems</v>
      </c>
      <c r="N288" s="34">
        <f>VLOOKUP(L288,'2017 SIC to NAICS'!A:D,3)</f>
        <v>221320</v>
      </c>
      <c r="O288" s="34" t="str">
        <f>VLOOKUP(L288,'2017 SIC to NAICS'!A:D,4)</f>
        <v>Sewage Treatment Facilities</v>
      </c>
      <c r="P288" s="36" t="s">
        <v>742</v>
      </c>
      <c r="Q288" s="137" t="s">
        <v>743</v>
      </c>
      <c r="R288" s="45" t="s">
        <v>38</v>
      </c>
      <c r="S288" s="138">
        <f>COUNTIFS('Raw Non-zero DMR Data'!$A:$A, A288, 'Raw Non-zero DMR Data'!$C:$C, U288, 'Raw Non-zero DMR Data'!$V:$V, V288)</f>
        <v>1</v>
      </c>
      <c r="T288" s="34">
        <f>SUMIFS('Raw Non-zero DMR Data'!$X:$X, 'Raw Non-zero DMR Data'!$A:$A, A288, 'Raw Non-zero DMR Data'!$C:$C, U288, 'Raw Non-zero DMR Data'!V:V, V288)</f>
        <v>1.4202077</v>
      </c>
      <c r="U288" s="34" t="s">
        <v>1091</v>
      </c>
      <c r="V288" s="34" t="s">
        <v>1093</v>
      </c>
      <c r="W288" s="139">
        <v>51100030204</v>
      </c>
      <c r="X288" s="140" t="s">
        <v>745</v>
      </c>
    </row>
    <row r="289" spans="1:24" x14ac:dyDescent="0.35">
      <c r="A289" s="34">
        <v>2020</v>
      </c>
      <c r="B289" s="34" t="s">
        <v>277</v>
      </c>
      <c r="C289" s="34" t="s">
        <v>1091</v>
      </c>
      <c r="D289" s="34" t="s">
        <v>278</v>
      </c>
      <c r="E289" s="34" t="s">
        <v>1092</v>
      </c>
      <c r="F289" s="34" t="s">
        <v>108</v>
      </c>
      <c r="G289" s="34"/>
      <c r="H289" s="34">
        <v>36.856732000000001</v>
      </c>
      <c r="I289" s="34">
        <v>-86.889048000000003</v>
      </c>
      <c r="J289" s="34"/>
      <c r="K289" s="105">
        <v>110000736730</v>
      </c>
      <c r="L289" s="34">
        <v>4952</v>
      </c>
      <c r="M289" s="48" t="str">
        <f>VLOOKUP(L289, '2017 SIC to NAICS'!A:D, 2)</f>
        <v>Sewerage Systems</v>
      </c>
      <c r="N289" s="34">
        <f>VLOOKUP(L289,'2017 SIC to NAICS'!A:D,3)</f>
        <v>221320</v>
      </c>
      <c r="O289" s="34" t="str">
        <f>VLOOKUP(L289,'2017 SIC to NAICS'!A:D,4)</f>
        <v>Sewage Treatment Facilities</v>
      </c>
      <c r="P289" s="36" t="s">
        <v>742</v>
      </c>
      <c r="Q289" s="137" t="s">
        <v>743</v>
      </c>
      <c r="R289" s="45" t="s">
        <v>38</v>
      </c>
      <c r="S289" s="138">
        <f>COUNTIFS('Raw Non-zero DMR Data'!$A:$A, A289, 'Raw Non-zero DMR Data'!$C:$C, U289, 'Raw Non-zero DMR Data'!$V:$V, V289)</f>
        <v>1</v>
      </c>
      <c r="T289" s="34">
        <f>SUMIFS('Raw Non-zero DMR Data'!$X:$X, 'Raw Non-zero DMR Data'!$A:$A, A289, 'Raw Non-zero DMR Data'!$C:$C, U289, 'Raw Non-zero DMR Data'!V:V, V289)</f>
        <v>0.6762564875</v>
      </c>
      <c r="U289" s="34" t="s">
        <v>1091</v>
      </c>
      <c r="V289" s="34" t="s">
        <v>1093</v>
      </c>
      <c r="W289" s="139">
        <v>51100030204</v>
      </c>
      <c r="X289" s="140" t="s">
        <v>745</v>
      </c>
    </row>
    <row r="290" spans="1:24" x14ac:dyDescent="0.35">
      <c r="A290" s="34">
        <v>2021</v>
      </c>
      <c r="B290" s="34" t="s">
        <v>277</v>
      </c>
      <c r="C290" s="34" t="s">
        <v>1091</v>
      </c>
      <c r="D290" s="34" t="s">
        <v>278</v>
      </c>
      <c r="E290" s="34" t="s">
        <v>1092</v>
      </c>
      <c r="F290" s="34" t="s">
        <v>108</v>
      </c>
      <c r="G290" s="34"/>
      <c r="H290" s="34">
        <v>36.856732000000001</v>
      </c>
      <c r="I290" s="34">
        <v>-86.889048000000003</v>
      </c>
      <c r="J290" s="34"/>
      <c r="K290" s="105">
        <v>110000736730</v>
      </c>
      <c r="L290" s="34">
        <v>4952</v>
      </c>
      <c r="M290" s="48" t="str">
        <f>VLOOKUP(L290, '2017 SIC to NAICS'!A:D, 2)</f>
        <v>Sewerage Systems</v>
      </c>
      <c r="N290" s="34">
        <f>VLOOKUP(L290,'2017 SIC to NAICS'!A:D,3)</f>
        <v>221320</v>
      </c>
      <c r="O290" s="34" t="str">
        <f>VLOOKUP(L290,'2017 SIC to NAICS'!A:D,4)</f>
        <v>Sewage Treatment Facilities</v>
      </c>
      <c r="P290" s="36" t="s">
        <v>742</v>
      </c>
      <c r="Q290" s="137" t="s">
        <v>743</v>
      </c>
      <c r="R290" s="45" t="s">
        <v>38</v>
      </c>
      <c r="S290" s="138">
        <f>COUNTIFS('Raw Non-zero DMR Data'!$A:$A, A290, 'Raw Non-zero DMR Data'!$C:$C, U290, 'Raw Non-zero DMR Data'!$V:$V, V290)</f>
        <v>1</v>
      </c>
      <c r="T290" s="34">
        <f>SUMIFS('Raw Non-zero DMR Data'!$X:$X, 'Raw Non-zero DMR Data'!$A:$A, A290, 'Raw Non-zero DMR Data'!$C:$C, U290, 'Raw Non-zero DMR Data'!V:V, V290)</f>
        <v>8.0819212500000005E-4</v>
      </c>
      <c r="U290" s="34" t="s">
        <v>1091</v>
      </c>
      <c r="V290" s="34" t="s">
        <v>1093</v>
      </c>
      <c r="W290" s="139">
        <v>51100030204</v>
      </c>
      <c r="X290" s="140" t="s">
        <v>745</v>
      </c>
    </row>
    <row r="291" spans="1:24" x14ac:dyDescent="0.35">
      <c r="A291" s="34">
        <v>2022</v>
      </c>
      <c r="B291" s="34" t="s">
        <v>277</v>
      </c>
      <c r="C291" s="34" t="s">
        <v>1091</v>
      </c>
      <c r="D291" s="34" t="s">
        <v>278</v>
      </c>
      <c r="E291" s="34" t="s">
        <v>1092</v>
      </c>
      <c r="F291" s="34" t="s">
        <v>108</v>
      </c>
      <c r="G291" s="34"/>
      <c r="H291" s="34">
        <v>36.856732000000001</v>
      </c>
      <c r="I291" s="34">
        <v>-86.889048000000003</v>
      </c>
      <c r="J291" s="34"/>
      <c r="K291" s="105">
        <v>110000736730</v>
      </c>
      <c r="L291" s="34">
        <v>4952</v>
      </c>
      <c r="M291" s="48" t="str">
        <f>VLOOKUP(L291, '2017 SIC to NAICS'!A:D, 2)</f>
        <v>Sewerage Systems</v>
      </c>
      <c r="N291" s="34">
        <f>VLOOKUP(L291,'2017 SIC to NAICS'!A:D,3)</f>
        <v>221320</v>
      </c>
      <c r="O291" s="34" t="str">
        <f>VLOOKUP(L291,'2017 SIC to NAICS'!A:D,4)</f>
        <v>Sewage Treatment Facilities</v>
      </c>
      <c r="P291" s="36" t="s">
        <v>742</v>
      </c>
      <c r="Q291" s="137" t="s">
        <v>743</v>
      </c>
      <c r="R291" s="45" t="s">
        <v>38</v>
      </c>
      <c r="S291" s="138">
        <f>COUNTIFS('Raw Non-zero DMR Data'!$A:$A, A291, 'Raw Non-zero DMR Data'!$C:$C, U291, 'Raw Non-zero DMR Data'!$V:$V, V291)</f>
        <v>1</v>
      </c>
      <c r="T291" s="34">
        <f>SUMIFS('Raw Non-zero DMR Data'!$X:$X, 'Raw Non-zero DMR Data'!$A:$A, A291, 'Raw Non-zero DMR Data'!$C:$C, U291, 'Raw Non-zero DMR Data'!V:V, V291)</f>
        <v>3.8199166250000001E-3</v>
      </c>
      <c r="U291" s="34" t="s">
        <v>1091</v>
      </c>
      <c r="V291" s="34" t="s">
        <v>1093</v>
      </c>
      <c r="W291" s="141" t="s">
        <v>1094</v>
      </c>
      <c r="X291" s="140" t="s">
        <v>745</v>
      </c>
    </row>
    <row r="292" spans="1:24" x14ac:dyDescent="0.35">
      <c r="A292" s="34">
        <v>2023</v>
      </c>
      <c r="B292" s="34" t="s">
        <v>277</v>
      </c>
      <c r="C292" s="34" t="s">
        <v>1091</v>
      </c>
      <c r="D292" s="34" t="s">
        <v>278</v>
      </c>
      <c r="E292" s="34" t="s">
        <v>1092</v>
      </c>
      <c r="F292" s="34" t="s">
        <v>108</v>
      </c>
      <c r="G292" s="34"/>
      <c r="H292" s="34">
        <v>36.856732000000001</v>
      </c>
      <c r="I292" s="34">
        <v>-86.889048000000003</v>
      </c>
      <c r="J292" s="34"/>
      <c r="K292" s="105">
        <v>110000736730</v>
      </c>
      <c r="L292" s="34">
        <v>4952</v>
      </c>
      <c r="M292" s="48" t="str">
        <f>VLOOKUP(L292, '2017 SIC to NAICS'!A:D, 2)</f>
        <v>Sewerage Systems</v>
      </c>
      <c r="N292" s="34">
        <f>VLOOKUP(L292,'2017 SIC to NAICS'!A:D,3)</f>
        <v>221320</v>
      </c>
      <c r="O292" s="34" t="str">
        <f>VLOOKUP(L292,'2017 SIC to NAICS'!A:D,4)</f>
        <v>Sewage Treatment Facilities</v>
      </c>
      <c r="P292" s="36" t="s">
        <v>742</v>
      </c>
      <c r="Q292" s="137" t="s">
        <v>743</v>
      </c>
      <c r="R292" s="45" t="s">
        <v>38</v>
      </c>
      <c r="S292" s="138">
        <f>COUNTIFS('Raw Non-zero DMR Data'!$A:$A, A292, 'Raw Non-zero DMR Data'!$C:$C, U292, 'Raw Non-zero DMR Data'!$V:$V, V292)</f>
        <v>1</v>
      </c>
      <c r="T292" s="34">
        <f>SUMIFS('Raw Non-zero DMR Data'!$X:$X, 'Raw Non-zero DMR Data'!$A:$A, A292, 'Raw Non-zero DMR Data'!$C:$C, U292, 'Raw Non-zero DMR Data'!V:V, V292)</f>
        <v>4.6557392499999999E-4</v>
      </c>
      <c r="U292" s="34" t="s">
        <v>1091</v>
      </c>
      <c r="V292" s="34" t="s">
        <v>1093</v>
      </c>
      <c r="W292" s="141" t="s">
        <v>1094</v>
      </c>
      <c r="X292" s="140" t="s">
        <v>745</v>
      </c>
    </row>
    <row r="293" spans="1:24" x14ac:dyDescent="0.35">
      <c r="A293" s="34">
        <v>2021</v>
      </c>
      <c r="B293" s="34" t="s">
        <v>224</v>
      </c>
      <c r="C293" s="34" t="s">
        <v>1095</v>
      </c>
      <c r="D293" s="34" t="s">
        <v>225</v>
      </c>
      <c r="E293" s="34" t="s">
        <v>1096</v>
      </c>
      <c r="F293" s="34" t="s">
        <v>108</v>
      </c>
      <c r="G293" s="34"/>
      <c r="H293" s="34">
        <v>37.616959999999999</v>
      </c>
      <c r="I293" s="34">
        <v>-84.585099999999997</v>
      </c>
      <c r="J293" s="34"/>
      <c r="K293" s="105">
        <v>110039705049</v>
      </c>
      <c r="L293" s="34">
        <v>4952</v>
      </c>
      <c r="M293" s="48" t="str">
        <f>VLOOKUP(L293, '2017 SIC to NAICS'!A:D, 2)</f>
        <v>Sewerage Systems</v>
      </c>
      <c r="N293" s="34">
        <f>VLOOKUP(L293,'2017 SIC to NAICS'!A:D,3)</f>
        <v>221320</v>
      </c>
      <c r="O293" s="34" t="str">
        <f>VLOOKUP(L293,'2017 SIC to NAICS'!A:D,4)</f>
        <v>Sewage Treatment Facilities</v>
      </c>
      <c r="P293" s="36" t="s">
        <v>742</v>
      </c>
      <c r="Q293" s="137" t="s">
        <v>743</v>
      </c>
      <c r="R293" s="45" t="s">
        <v>38</v>
      </c>
      <c r="S293" s="138">
        <f>COUNTIFS('Raw Non-zero DMR Data'!$A:$A, A293, 'Raw Non-zero DMR Data'!$C:$C, U293, 'Raw Non-zero DMR Data'!$V:$V, V293)</f>
        <v>1</v>
      </c>
      <c r="T293" s="34">
        <f>SUMIFS('Raw Non-zero DMR Data'!$X:$X, 'Raw Non-zero DMR Data'!$A:$A, A293, 'Raw Non-zero DMR Data'!$C:$C, U293, 'Raw Non-zero DMR Data'!V:V, V293)</f>
        <v>3.2700696749999998</v>
      </c>
      <c r="U293" s="34" t="s">
        <v>1095</v>
      </c>
      <c r="V293" s="34" t="s">
        <v>1097</v>
      </c>
      <c r="W293" s="139">
        <v>51002050504</v>
      </c>
      <c r="X293" s="140" t="s">
        <v>745</v>
      </c>
    </row>
    <row r="294" spans="1:24" x14ac:dyDescent="0.35">
      <c r="A294" s="34">
        <v>2019</v>
      </c>
      <c r="B294" s="34" t="s">
        <v>190</v>
      </c>
      <c r="C294" s="34" t="s">
        <v>1098</v>
      </c>
      <c r="D294" s="34" t="s">
        <v>191</v>
      </c>
      <c r="E294" s="34" t="s">
        <v>1099</v>
      </c>
      <c r="F294" s="34" t="s">
        <v>108</v>
      </c>
      <c r="G294" s="34"/>
      <c r="H294" s="34">
        <v>36.983809999999998</v>
      </c>
      <c r="I294" s="34">
        <v>-85.957089999999994</v>
      </c>
      <c r="J294" s="34"/>
      <c r="K294" s="105">
        <v>110001123276</v>
      </c>
      <c r="L294" s="34">
        <v>4952</v>
      </c>
      <c r="M294" s="48" t="str">
        <f>VLOOKUP(L294, '2017 SIC to NAICS'!A:D, 2)</f>
        <v>Sewerage Systems</v>
      </c>
      <c r="N294" s="34">
        <f>VLOOKUP(L294,'2017 SIC to NAICS'!A:D,3)</f>
        <v>221320</v>
      </c>
      <c r="O294" s="34" t="str">
        <f>VLOOKUP(L294,'2017 SIC to NAICS'!A:D,4)</f>
        <v>Sewage Treatment Facilities</v>
      </c>
      <c r="P294" s="36" t="s">
        <v>742</v>
      </c>
      <c r="Q294" s="137" t="s">
        <v>743</v>
      </c>
      <c r="R294" s="45" t="s">
        <v>38</v>
      </c>
      <c r="S294" s="138">
        <f>COUNTIFS('Raw Non-zero DMR Data'!$A:$A, A294, 'Raw Non-zero DMR Data'!$C:$C, U294, 'Raw Non-zero DMR Data'!$V:$V, V294)</f>
        <v>1</v>
      </c>
      <c r="T294" s="34">
        <f>SUMIFS('Raw Non-zero DMR Data'!$X:$X, 'Raw Non-zero DMR Data'!$A:$A, A294, 'Raw Non-zero DMR Data'!$C:$C, U294, 'Raw Non-zero DMR Data'!V:V, V294)</f>
        <v>5.2014416250000002</v>
      </c>
      <c r="U294" s="34" t="s">
        <v>1098</v>
      </c>
      <c r="V294" s="34" t="s">
        <v>1100</v>
      </c>
      <c r="W294" s="139">
        <v>51100020306</v>
      </c>
      <c r="X294" s="140" t="s">
        <v>745</v>
      </c>
    </row>
    <row r="295" spans="1:24" x14ac:dyDescent="0.35">
      <c r="A295" s="34">
        <v>2020</v>
      </c>
      <c r="B295" s="34" t="s">
        <v>190</v>
      </c>
      <c r="C295" s="34" t="s">
        <v>1098</v>
      </c>
      <c r="D295" s="34" t="s">
        <v>191</v>
      </c>
      <c r="E295" s="34" t="s">
        <v>1099</v>
      </c>
      <c r="F295" s="34" t="s">
        <v>108</v>
      </c>
      <c r="G295" s="34"/>
      <c r="H295" s="34">
        <v>36.983809999999998</v>
      </c>
      <c r="I295" s="34">
        <v>-85.957089999999994</v>
      </c>
      <c r="J295" s="34"/>
      <c r="K295" s="105">
        <v>110001123276</v>
      </c>
      <c r="L295" s="34">
        <v>4952</v>
      </c>
      <c r="M295" s="48" t="str">
        <f>VLOOKUP(L295, '2017 SIC to NAICS'!A:D, 2)</f>
        <v>Sewerage Systems</v>
      </c>
      <c r="N295" s="34">
        <f>VLOOKUP(L295,'2017 SIC to NAICS'!A:D,3)</f>
        <v>221320</v>
      </c>
      <c r="O295" s="34" t="str">
        <f>VLOOKUP(L295,'2017 SIC to NAICS'!A:D,4)</f>
        <v>Sewage Treatment Facilities</v>
      </c>
      <c r="P295" s="36" t="s">
        <v>742</v>
      </c>
      <c r="Q295" s="137" t="s">
        <v>743</v>
      </c>
      <c r="R295" s="45" t="s">
        <v>38</v>
      </c>
      <c r="S295" s="138">
        <f>COUNTIFS('Raw Non-zero DMR Data'!$A:$A, A295, 'Raw Non-zero DMR Data'!$C:$C, U295, 'Raw Non-zero DMR Data'!$V:$V, V295)</f>
        <v>1</v>
      </c>
      <c r="T295" s="34">
        <f>SUMIFS('Raw Non-zero DMR Data'!$X:$X, 'Raw Non-zero DMR Data'!$A:$A, A295, 'Raw Non-zero DMR Data'!$C:$C, U295, 'Raw Non-zero DMR Data'!V:V, V295)</f>
        <v>3.3446720249999999</v>
      </c>
      <c r="U295" s="34" t="s">
        <v>1098</v>
      </c>
      <c r="V295" s="34" t="s">
        <v>1100</v>
      </c>
      <c r="W295" s="139">
        <v>51100020306</v>
      </c>
      <c r="X295" s="140" t="s">
        <v>745</v>
      </c>
    </row>
    <row r="296" spans="1:24" x14ac:dyDescent="0.35">
      <c r="A296" s="34">
        <v>2021</v>
      </c>
      <c r="B296" s="34" t="s">
        <v>190</v>
      </c>
      <c r="C296" s="34" t="s">
        <v>1098</v>
      </c>
      <c r="D296" s="34" t="s">
        <v>191</v>
      </c>
      <c r="E296" s="34" t="s">
        <v>1099</v>
      </c>
      <c r="F296" s="34" t="s">
        <v>108</v>
      </c>
      <c r="G296" s="34"/>
      <c r="H296" s="34">
        <v>36.983809999999998</v>
      </c>
      <c r="I296" s="34">
        <v>-85.957089999999994</v>
      </c>
      <c r="J296" s="34"/>
      <c r="K296" s="105">
        <v>110001123276</v>
      </c>
      <c r="L296" s="34">
        <v>4952</v>
      </c>
      <c r="M296" s="48" t="str">
        <f>VLOOKUP(L296, '2017 SIC to NAICS'!A:D, 2)</f>
        <v>Sewerage Systems</v>
      </c>
      <c r="N296" s="34">
        <f>VLOOKUP(L296,'2017 SIC to NAICS'!A:D,3)</f>
        <v>221320</v>
      </c>
      <c r="O296" s="34" t="str">
        <f>VLOOKUP(L296,'2017 SIC to NAICS'!A:D,4)</f>
        <v>Sewage Treatment Facilities</v>
      </c>
      <c r="P296" s="36" t="s">
        <v>742</v>
      </c>
      <c r="Q296" s="137" t="s">
        <v>743</v>
      </c>
      <c r="R296" s="45" t="s">
        <v>38</v>
      </c>
      <c r="S296" s="138">
        <f>COUNTIFS('Raw Non-zero DMR Data'!$A:$A, A296, 'Raw Non-zero DMR Data'!$C:$C, U296, 'Raw Non-zero DMR Data'!$V:$V, V296)</f>
        <v>1</v>
      </c>
      <c r="T296" s="34">
        <f>SUMIFS('Raw Non-zero DMR Data'!$X:$X, 'Raw Non-zero DMR Data'!$A:$A, A296, 'Raw Non-zero DMR Data'!$C:$C, U296, 'Raw Non-zero DMR Data'!V:V, V296)</f>
        <v>3.6251215999999999</v>
      </c>
      <c r="U296" s="34" t="s">
        <v>1098</v>
      </c>
      <c r="V296" s="34" t="s">
        <v>1100</v>
      </c>
      <c r="W296" s="139">
        <v>51100020306</v>
      </c>
      <c r="X296" s="140" t="s">
        <v>745</v>
      </c>
    </row>
    <row r="297" spans="1:24" x14ac:dyDescent="0.35">
      <c r="A297" s="34">
        <v>2020</v>
      </c>
      <c r="B297" s="34" t="s">
        <v>177</v>
      </c>
      <c r="C297" s="34" t="s">
        <v>1101</v>
      </c>
      <c r="D297" s="34" t="s">
        <v>178</v>
      </c>
      <c r="E297" s="34" t="s">
        <v>1077</v>
      </c>
      <c r="F297" s="34" t="s">
        <v>108</v>
      </c>
      <c r="G297" s="34"/>
      <c r="H297" s="34">
        <v>36.866140000000001</v>
      </c>
      <c r="I297" s="34">
        <v>-88.342470000000006</v>
      </c>
      <c r="J297" s="34"/>
      <c r="K297" s="105">
        <v>110001855635</v>
      </c>
      <c r="L297" s="34">
        <v>4952</v>
      </c>
      <c r="M297" s="48" t="str">
        <f>VLOOKUP(L297, '2017 SIC to NAICS'!A:D, 2)</f>
        <v>Sewerage Systems</v>
      </c>
      <c r="N297" s="34">
        <f>VLOOKUP(L297,'2017 SIC to NAICS'!A:D,3)</f>
        <v>221320</v>
      </c>
      <c r="O297" s="34" t="str">
        <f>VLOOKUP(L297,'2017 SIC to NAICS'!A:D,4)</f>
        <v>Sewage Treatment Facilities</v>
      </c>
      <c r="P297" s="36" t="s">
        <v>742</v>
      </c>
      <c r="Q297" s="137" t="s">
        <v>743</v>
      </c>
      <c r="R297" s="45" t="s">
        <v>38</v>
      </c>
      <c r="S297" s="138">
        <f>COUNTIFS('Raw Non-zero DMR Data'!$A:$A, A297, 'Raw Non-zero DMR Data'!$C:$C, U297, 'Raw Non-zero DMR Data'!$V:$V, V297)</f>
        <v>1</v>
      </c>
      <c r="T297" s="34">
        <f>SUMIFS('Raw Non-zero DMR Data'!$X:$X, 'Raw Non-zero DMR Data'!$A:$A, A297, 'Raw Non-zero DMR Data'!$C:$C, U297, 'Raw Non-zero DMR Data'!V:V, V297)</f>
        <v>5.7747745000000004</v>
      </c>
      <c r="U297" s="34" t="s">
        <v>1101</v>
      </c>
      <c r="V297" s="34" t="s">
        <v>1102</v>
      </c>
      <c r="W297" s="139">
        <v>60400060402</v>
      </c>
      <c r="X297" s="140" t="s">
        <v>745</v>
      </c>
    </row>
    <row r="298" spans="1:24" x14ac:dyDescent="0.35">
      <c r="A298" s="34">
        <v>2021</v>
      </c>
      <c r="B298" s="34" t="s">
        <v>177</v>
      </c>
      <c r="C298" s="34" t="s">
        <v>1101</v>
      </c>
      <c r="D298" s="34" t="s">
        <v>178</v>
      </c>
      <c r="E298" s="34" t="s">
        <v>1077</v>
      </c>
      <c r="F298" s="34" t="s">
        <v>108</v>
      </c>
      <c r="G298" s="34"/>
      <c r="H298" s="34">
        <v>36.866140000000001</v>
      </c>
      <c r="I298" s="34">
        <v>-88.342470000000006</v>
      </c>
      <c r="J298" s="34"/>
      <c r="K298" s="105">
        <v>110001855635</v>
      </c>
      <c r="L298" s="34">
        <v>4952</v>
      </c>
      <c r="M298" s="48" t="str">
        <f>VLOOKUP(L298, '2017 SIC to NAICS'!A:D, 2)</f>
        <v>Sewerage Systems</v>
      </c>
      <c r="N298" s="34">
        <f>VLOOKUP(L298,'2017 SIC to NAICS'!A:D,3)</f>
        <v>221320</v>
      </c>
      <c r="O298" s="34" t="str">
        <f>VLOOKUP(L298,'2017 SIC to NAICS'!A:D,4)</f>
        <v>Sewage Treatment Facilities</v>
      </c>
      <c r="P298" s="36" t="s">
        <v>742</v>
      </c>
      <c r="Q298" s="137" t="s">
        <v>743</v>
      </c>
      <c r="R298" s="45" t="s">
        <v>38</v>
      </c>
      <c r="S298" s="138">
        <f>COUNTIFS('Raw Non-zero DMR Data'!$A:$A, A298, 'Raw Non-zero DMR Data'!$C:$C, U298, 'Raw Non-zero DMR Data'!$V:$V, V298)</f>
        <v>1</v>
      </c>
      <c r="T298" s="34">
        <f>SUMIFS('Raw Non-zero DMR Data'!$X:$X, 'Raw Non-zero DMR Data'!$A:$A, A298, 'Raw Non-zero DMR Data'!$C:$C, U298, 'Raw Non-zero DMR Data'!V:V, V298)</f>
        <v>4.0568481624999997</v>
      </c>
      <c r="U298" s="34" t="s">
        <v>1101</v>
      </c>
      <c r="V298" s="34" t="s">
        <v>1102</v>
      </c>
      <c r="W298" s="139">
        <v>60400060402</v>
      </c>
      <c r="X298" s="140" t="s">
        <v>745</v>
      </c>
    </row>
    <row r="299" spans="1:24" x14ac:dyDescent="0.35">
      <c r="A299" s="34">
        <v>2022</v>
      </c>
      <c r="B299" s="34" t="s">
        <v>177</v>
      </c>
      <c r="C299" s="34" t="s">
        <v>1101</v>
      </c>
      <c r="D299" s="34" t="s">
        <v>178</v>
      </c>
      <c r="E299" s="34" t="s">
        <v>1077</v>
      </c>
      <c r="F299" s="34" t="s">
        <v>108</v>
      </c>
      <c r="G299" s="34"/>
      <c r="H299" s="34">
        <v>36.866140000000001</v>
      </c>
      <c r="I299" s="34">
        <v>-88.342470000000006</v>
      </c>
      <c r="J299" s="34"/>
      <c r="K299" s="105">
        <v>110001855635</v>
      </c>
      <c r="L299" s="34">
        <v>4952</v>
      </c>
      <c r="M299" s="48" t="str">
        <f>VLOOKUP(L299, '2017 SIC to NAICS'!A:D, 2)</f>
        <v>Sewerage Systems</v>
      </c>
      <c r="N299" s="34">
        <f>VLOOKUP(L299,'2017 SIC to NAICS'!A:D,3)</f>
        <v>221320</v>
      </c>
      <c r="O299" s="34" t="str">
        <f>VLOOKUP(L299,'2017 SIC to NAICS'!A:D,4)</f>
        <v>Sewage Treatment Facilities</v>
      </c>
      <c r="P299" s="36" t="s">
        <v>742</v>
      </c>
      <c r="Q299" s="137" t="s">
        <v>743</v>
      </c>
      <c r="R299" s="45" t="s">
        <v>38</v>
      </c>
      <c r="S299" s="138">
        <f>COUNTIFS('Raw Non-zero DMR Data'!$A:$A, A299, 'Raw Non-zero DMR Data'!$C:$C, U299, 'Raw Non-zero DMR Data'!$V:$V, V299)</f>
        <v>1</v>
      </c>
      <c r="T299" s="34">
        <f>SUMIFS('Raw Non-zero DMR Data'!$X:$X, 'Raw Non-zero DMR Data'!$A:$A, A299, 'Raw Non-zero DMR Data'!$C:$C, U299, 'Raw Non-zero DMR Data'!V:V, V299)</f>
        <v>3.4641739375</v>
      </c>
      <c r="U299" s="34" t="s">
        <v>1101</v>
      </c>
      <c r="V299" s="34" t="s">
        <v>1102</v>
      </c>
      <c r="W299" s="141" t="s">
        <v>1103</v>
      </c>
      <c r="X299" s="140" t="s">
        <v>745</v>
      </c>
    </row>
    <row r="300" spans="1:24" x14ac:dyDescent="0.35">
      <c r="A300" s="34">
        <v>2019</v>
      </c>
      <c r="B300" s="34" t="s">
        <v>403</v>
      </c>
      <c r="C300" s="34" t="s">
        <v>1104</v>
      </c>
      <c r="D300" s="34" t="s">
        <v>404</v>
      </c>
      <c r="E300" s="34" t="s">
        <v>1092</v>
      </c>
      <c r="F300" s="34" t="s">
        <v>108</v>
      </c>
      <c r="G300" s="34"/>
      <c r="H300" s="34">
        <v>36.864350000000002</v>
      </c>
      <c r="I300" s="34">
        <v>-86.705910000000003</v>
      </c>
      <c r="J300" s="34"/>
      <c r="K300" s="105">
        <v>110003250277</v>
      </c>
      <c r="L300" s="34">
        <v>4952</v>
      </c>
      <c r="M300" s="48" t="str">
        <f>VLOOKUP(L300, '2017 SIC to NAICS'!A:D, 2)</f>
        <v>Sewerage Systems</v>
      </c>
      <c r="N300" s="34">
        <f>VLOOKUP(L300,'2017 SIC to NAICS'!A:D,3)</f>
        <v>221320</v>
      </c>
      <c r="O300" s="34" t="str">
        <f>VLOOKUP(L300,'2017 SIC to NAICS'!A:D,4)</f>
        <v>Sewage Treatment Facilities</v>
      </c>
      <c r="P300" s="36" t="s">
        <v>742</v>
      </c>
      <c r="Q300" s="137" t="s">
        <v>743</v>
      </c>
      <c r="R300" s="45" t="s">
        <v>38</v>
      </c>
      <c r="S300" s="138">
        <f>COUNTIFS('Raw Non-zero DMR Data'!$A:$A, A300, 'Raw Non-zero DMR Data'!$C:$C, U300, 'Raw Non-zero DMR Data'!$V:$V, V300)</f>
        <v>1</v>
      </c>
      <c r="T300" s="34">
        <f>SUMIFS('Raw Non-zero DMR Data'!$X:$X, 'Raw Non-zero DMR Data'!$A:$A, A300, 'Raw Non-zero DMR Data'!$C:$C, U300, 'Raw Non-zero DMR Data'!V:V, V300)</f>
        <v>0.22104399999999999</v>
      </c>
      <c r="U300" s="34" t="s">
        <v>1104</v>
      </c>
      <c r="V300" s="34" t="s">
        <v>1105</v>
      </c>
      <c r="W300" s="139">
        <v>51100020802</v>
      </c>
      <c r="X300" s="140" t="s">
        <v>745</v>
      </c>
    </row>
    <row r="301" spans="1:24" x14ac:dyDescent="0.35">
      <c r="A301" s="34">
        <v>2019</v>
      </c>
      <c r="B301" s="34" t="s">
        <v>360</v>
      </c>
      <c r="C301" s="34" t="s">
        <v>1106</v>
      </c>
      <c r="D301" s="34" t="s">
        <v>361</v>
      </c>
      <c r="E301" s="34" t="s">
        <v>1107</v>
      </c>
      <c r="F301" s="34" t="s">
        <v>108</v>
      </c>
      <c r="G301" s="34"/>
      <c r="H301" s="34">
        <v>38.421495999999998</v>
      </c>
      <c r="I301" s="34">
        <v>-83.734424000000004</v>
      </c>
      <c r="J301" s="34"/>
      <c r="K301" s="105">
        <v>110003251427</v>
      </c>
      <c r="L301" s="34">
        <v>4952</v>
      </c>
      <c r="M301" s="48" t="str">
        <f>VLOOKUP(L301, '2017 SIC to NAICS'!A:D, 2)</f>
        <v>Sewerage Systems</v>
      </c>
      <c r="N301" s="34">
        <f>VLOOKUP(L301,'2017 SIC to NAICS'!A:D,3)</f>
        <v>221320</v>
      </c>
      <c r="O301" s="34" t="str">
        <f>VLOOKUP(L301,'2017 SIC to NAICS'!A:D,4)</f>
        <v>Sewage Treatment Facilities</v>
      </c>
      <c r="P301" s="36" t="s">
        <v>742</v>
      </c>
      <c r="Q301" s="137" t="s">
        <v>743</v>
      </c>
      <c r="R301" s="45" t="s">
        <v>38</v>
      </c>
      <c r="S301" s="138">
        <f>COUNTIFS('Raw Non-zero DMR Data'!$A:$A, A301, 'Raw Non-zero DMR Data'!$C:$C, U301, 'Raw Non-zero DMR Data'!$V:$V, V301)</f>
        <v>1</v>
      </c>
      <c r="T301" s="34">
        <f>SUMIFS('Raw Non-zero DMR Data'!$X:$X, 'Raw Non-zero DMR Data'!$A:$A, A301, 'Raw Non-zero DMR Data'!$C:$C, U301, 'Raw Non-zero DMR Data'!V:V, V301)</f>
        <v>0.47524460000000002</v>
      </c>
      <c r="U301" s="34" t="s">
        <v>1106</v>
      </c>
      <c r="V301" s="34" t="s">
        <v>1108</v>
      </c>
      <c r="W301" s="139">
        <v>51001010903</v>
      </c>
      <c r="X301" s="140" t="s">
        <v>745</v>
      </c>
    </row>
    <row r="302" spans="1:24" x14ac:dyDescent="0.35">
      <c r="A302" s="34">
        <v>2020</v>
      </c>
      <c r="B302" s="34" t="s">
        <v>360</v>
      </c>
      <c r="C302" s="34" t="s">
        <v>1106</v>
      </c>
      <c r="D302" s="34" t="s">
        <v>361</v>
      </c>
      <c r="E302" s="34" t="s">
        <v>1107</v>
      </c>
      <c r="F302" s="34" t="s">
        <v>108</v>
      </c>
      <c r="G302" s="34"/>
      <c r="H302" s="34">
        <v>38.421495999999998</v>
      </c>
      <c r="I302" s="34">
        <v>-83.734424000000004</v>
      </c>
      <c r="J302" s="34"/>
      <c r="K302" s="105">
        <v>110003251427</v>
      </c>
      <c r="L302" s="34">
        <v>4952</v>
      </c>
      <c r="M302" s="48" t="str">
        <f>VLOOKUP(L302, '2017 SIC to NAICS'!A:D, 2)</f>
        <v>Sewerage Systems</v>
      </c>
      <c r="N302" s="34">
        <f>VLOOKUP(L302,'2017 SIC to NAICS'!A:D,3)</f>
        <v>221320</v>
      </c>
      <c r="O302" s="34" t="str">
        <f>VLOOKUP(L302,'2017 SIC to NAICS'!A:D,4)</f>
        <v>Sewage Treatment Facilities</v>
      </c>
      <c r="P302" s="36" t="s">
        <v>742</v>
      </c>
      <c r="Q302" s="137" t="s">
        <v>743</v>
      </c>
      <c r="R302" s="45" t="s">
        <v>38</v>
      </c>
      <c r="S302" s="138">
        <f>COUNTIFS('Raw Non-zero DMR Data'!$A:$A, A302, 'Raw Non-zero DMR Data'!$C:$C, U302, 'Raw Non-zero DMR Data'!$V:$V, V302)</f>
        <v>1</v>
      </c>
      <c r="T302" s="34">
        <f>SUMIFS('Raw Non-zero DMR Data'!$X:$X, 'Raw Non-zero DMR Data'!$A:$A, A302, 'Raw Non-zero DMR Data'!$C:$C, U302, 'Raw Non-zero DMR Data'!V:V, V302)</f>
        <v>0.27008813749999999</v>
      </c>
      <c r="U302" s="34" t="s">
        <v>1106</v>
      </c>
      <c r="V302" s="34" t="s">
        <v>1108</v>
      </c>
      <c r="W302" s="139">
        <v>51001010903</v>
      </c>
      <c r="X302" s="140" t="s">
        <v>745</v>
      </c>
    </row>
    <row r="303" spans="1:24" x14ac:dyDescent="0.35">
      <c r="A303" s="34">
        <v>2021</v>
      </c>
      <c r="B303" s="34" t="s">
        <v>360</v>
      </c>
      <c r="C303" s="34" t="s">
        <v>1106</v>
      </c>
      <c r="D303" s="34" t="s">
        <v>361</v>
      </c>
      <c r="E303" s="34" t="s">
        <v>1107</v>
      </c>
      <c r="F303" s="34" t="s">
        <v>108</v>
      </c>
      <c r="G303" s="34"/>
      <c r="H303" s="34">
        <v>38.421495999999998</v>
      </c>
      <c r="I303" s="34">
        <v>-83.734424000000004</v>
      </c>
      <c r="J303" s="34"/>
      <c r="K303" s="105">
        <v>110003251427</v>
      </c>
      <c r="L303" s="34">
        <v>4952</v>
      </c>
      <c r="M303" s="48" t="str">
        <f>VLOOKUP(L303, '2017 SIC to NAICS'!A:D, 2)</f>
        <v>Sewerage Systems</v>
      </c>
      <c r="N303" s="34">
        <f>VLOOKUP(L303,'2017 SIC to NAICS'!A:D,3)</f>
        <v>221320</v>
      </c>
      <c r="O303" s="34" t="str">
        <f>VLOOKUP(L303,'2017 SIC to NAICS'!A:D,4)</f>
        <v>Sewage Treatment Facilities</v>
      </c>
      <c r="P303" s="36" t="s">
        <v>742</v>
      </c>
      <c r="Q303" s="137" t="s">
        <v>743</v>
      </c>
      <c r="R303" s="45" t="s">
        <v>38</v>
      </c>
      <c r="S303" s="138">
        <f>COUNTIFS('Raw Non-zero DMR Data'!$A:$A, A303, 'Raw Non-zero DMR Data'!$C:$C, U303, 'Raw Non-zero DMR Data'!$V:$V, V303)</f>
        <v>1</v>
      </c>
      <c r="T303" s="34">
        <f>SUMIFS('Raw Non-zero DMR Data'!$X:$X, 'Raw Non-zero DMR Data'!$A:$A, A303, 'Raw Non-zero DMR Data'!$C:$C, U303, 'Raw Non-zero DMR Data'!V:V, V303)</f>
        <v>0.29150177500000002</v>
      </c>
      <c r="U303" s="34" t="s">
        <v>1106</v>
      </c>
      <c r="V303" s="34" t="s">
        <v>1108</v>
      </c>
      <c r="W303" s="139">
        <v>51001010903</v>
      </c>
      <c r="X303" s="140" t="s">
        <v>745</v>
      </c>
    </row>
    <row r="304" spans="1:24" x14ac:dyDescent="0.35">
      <c r="A304" s="34">
        <v>2020</v>
      </c>
      <c r="B304" s="34" t="s">
        <v>233</v>
      </c>
      <c r="C304" s="34" t="s">
        <v>1109</v>
      </c>
      <c r="D304" s="34" t="s">
        <v>234</v>
      </c>
      <c r="E304" s="34" t="s">
        <v>1110</v>
      </c>
      <c r="F304" s="34" t="s">
        <v>108</v>
      </c>
      <c r="G304" s="34"/>
      <c r="H304" s="34">
        <v>37.106380000000001</v>
      </c>
      <c r="I304" s="34">
        <v>-84.066829999999996</v>
      </c>
      <c r="J304" s="34"/>
      <c r="K304" s="105">
        <v>110000557013</v>
      </c>
      <c r="L304" s="34">
        <v>4952</v>
      </c>
      <c r="M304" s="48" t="str">
        <f>VLOOKUP(L304, '2017 SIC to NAICS'!A:D, 2)</f>
        <v>Sewerage Systems</v>
      </c>
      <c r="N304" s="34">
        <f>VLOOKUP(L304,'2017 SIC to NAICS'!A:D,3)</f>
        <v>221320</v>
      </c>
      <c r="O304" s="34" t="str">
        <f>VLOOKUP(L304,'2017 SIC to NAICS'!A:D,4)</f>
        <v>Sewage Treatment Facilities</v>
      </c>
      <c r="P304" s="36" t="s">
        <v>742</v>
      </c>
      <c r="Q304" s="137" t="s">
        <v>743</v>
      </c>
      <c r="R304" s="45" t="s">
        <v>38</v>
      </c>
      <c r="S304" s="138">
        <f>COUNTIFS('Raw Non-zero DMR Data'!$A:$A, A304, 'Raw Non-zero DMR Data'!$C:$C, U304, 'Raw Non-zero DMR Data'!$V:$V, V304)</f>
        <v>1</v>
      </c>
      <c r="T304" s="34">
        <f>SUMIFS('Raw Non-zero DMR Data'!$X:$X, 'Raw Non-zero DMR Data'!$A:$A, A304, 'Raw Non-zero DMR Data'!$C:$C, U304, 'Raw Non-zero DMR Data'!V:V, V304)</f>
        <v>2.8348892999999999</v>
      </c>
      <c r="U304" s="34" t="s">
        <v>1109</v>
      </c>
      <c r="V304" s="34" t="s">
        <v>1111</v>
      </c>
      <c r="W304" s="139">
        <v>51301010802</v>
      </c>
      <c r="X304" s="140" t="s">
        <v>745</v>
      </c>
    </row>
    <row r="305" spans="1:24" x14ac:dyDescent="0.35">
      <c r="A305" s="34">
        <v>2021</v>
      </c>
      <c r="B305" s="34" t="s">
        <v>233</v>
      </c>
      <c r="C305" s="34" t="s">
        <v>1109</v>
      </c>
      <c r="D305" s="34" t="s">
        <v>234</v>
      </c>
      <c r="E305" s="34" t="s">
        <v>1110</v>
      </c>
      <c r="F305" s="34" t="s">
        <v>108</v>
      </c>
      <c r="G305" s="34"/>
      <c r="H305" s="34">
        <v>37.106380000000001</v>
      </c>
      <c r="I305" s="34">
        <v>-84.066829999999996</v>
      </c>
      <c r="J305" s="34"/>
      <c r="K305" s="105">
        <v>110000557013</v>
      </c>
      <c r="L305" s="34">
        <v>4952</v>
      </c>
      <c r="M305" s="48" t="str">
        <f>VLOOKUP(L305, '2017 SIC to NAICS'!A:D, 2)</f>
        <v>Sewerage Systems</v>
      </c>
      <c r="N305" s="34">
        <f>VLOOKUP(L305,'2017 SIC to NAICS'!A:D,3)</f>
        <v>221320</v>
      </c>
      <c r="O305" s="34" t="str">
        <f>VLOOKUP(L305,'2017 SIC to NAICS'!A:D,4)</f>
        <v>Sewage Treatment Facilities</v>
      </c>
      <c r="P305" s="36" t="s">
        <v>742</v>
      </c>
      <c r="Q305" s="137" t="s">
        <v>743</v>
      </c>
      <c r="R305" s="45" t="s">
        <v>38</v>
      </c>
      <c r="S305" s="138">
        <f>COUNTIFS('Raw Non-zero DMR Data'!$A:$A, A305, 'Raw Non-zero DMR Data'!$C:$C, U305, 'Raw Non-zero DMR Data'!$V:$V, V305)</f>
        <v>1</v>
      </c>
      <c r="T305" s="34">
        <f>SUMIFS('Raw Non-zero DMR Data'!$X:$X, 'Raw Non-zero DMR Data'!$A:$A, A305, 'Raw Non-zero DMR Data'!$C:$C, U305, 'Raw Non-zero DMR Data'!V:V, V305)</f>
        <v>2.1586328125000001</v>
      </c>
      <c r="U305" s="34" t="s">
        <v>1109</v>
      </c>
      <c r="V305" s="34" t="s">
        <v>1111</v>
      </c>
      <c r="W305" s="139">
        <v>51301010802</v>
      </c>
      <c r="X305" s="140" t="s">
        <v>745</v>
      </c>
    </row>
    <row r="306" spans="1:24" x14ac:dyDescent="0.35">
      <c r="A306" s="34">
        <v>2020</v>
      </c>
      <c r="B306" s="34" t="s">
        <v>152</v>
      </c>
      <c r="C306" s="34" t="s">
        <v>1112</v>
      </c>
      <c r="D306" s="34" t="s">
        <v>153</v>
      </c>
      <c r="E306" s="34" t="s">
        <v>1113</v>
      </c>
      <c r="F306" s="34" t="s">
        <v>108</v>
      </c>
      <c r="G306" s="34"/>
      <c r="H306" s="34">
        <v>37.671391</v>
      </c>
      <c r="I306" s="34">
        <v>-87.828888000000006</v>
      </c>
      <c r="J306" s="34"/>
      <c r="K306" s="105">
        <v>110064612557</v>
      </c>
      <c r="L306" s="34">
        <v>4952</v>
      </c>
      <c r="M306" s="48" t="str">
        <f>VLOOKUP(L306, '2017 SIC to NAICS'!A:D, 2)</f>
        <v>Sewerage Systems</v>
      </c>
      <c r="N306" s="34">
        <f>VLOOKUP(L306,'2017 SIC to NAICS'!A:D,3)</f>
        <v>221320</v>
      </c>
      <c r="O306" s="34" t="str">
        <f>VLOOKUP(L306,'2017 SIC to NAICS'!A:D,4)</f>
        <v>Sewage Treatment Facilities</v>
      </c>
      <c r="P306" s="36" t="s">
        <v>742</v>
      </c>
      <c r="Q306" s="137" t="s">
        <v>743</v>
      </c>
      <c r="R306" s="45" t="s">
        <v>38</v>
      </c>
      <c r="S306" s="138">
        <f>COUNTIFS('Raw Non-zero DMR Data'!$A:$A, A306, 'Raw Non-zero DMR Data'!$C:$C, U306, 'Raw Non-zero DMR Data'!$V:$V, V306)</f>
        <v>1</v>
      </c>
      <c r="T306" s="34">
        <f>SUMIFS('Raw Non-zero DMR Data'!$X:$X, 'Raw Non-zero DMR Data'!$A:$A, A306, 'Raw Non-zero DMR Data'!$C:$C, U306, 'Raw Non-zero DMR Data'!V:V, V306)</f>
        <v>10.492682374999999</v>
      </c>
      <c r="U306" s="34" t="s">
        <v>1112</v>
      </c>
      <c r="V306" s="34" t="s">
        <v>1114</v>
      </c>
      <c r="W306" s="139">
        <v>51402020504</v>
      </c>
      <c r="X306" s="140" t="s">
        <v>745</v>
      </c>
    </row>
    <row r="307" spans="1:24" x14ac:dyDescent="0.35">
      <c r="A307" s="34">
        <v>2021</v>
      </c>
      <c r="B307" s="34" t="s">
        <v>152</v>
      </c>
      <c r="C307" s="34" t="s">
        <v>1112</v>
      </c>
      <c r="D307" s="34" t="s">
        <v>153</v>
      </c>
      <c r="E307" s="34" t="s">
        <v>1113</v>
      </c>
      <c r="F307" s="34" t="s">
        <v>108</v>
      </c>
      <c r="G307" s="34"/>
      <c r="H307" s="34">
        <v>37.671391</v>
      </c>
      <c r="I307" s="34">
        <v>-87.828888000000006</v>
      </c>
      <c r="J307" s="34"/>
      <c r="K307" s="105">
        <v>110064612557</v>
      </c>
      <c r="L307" s="34">
        <v>4952</v>
      </c>
      <c r="M307" s="48" t="str">
        <f>VLOOKUP(L307, '2017 SIC to NAICS'!A:D, 2)</f>
        <v>Sewerage Systems</v>
      </c>
      <c r="N307" s="34">
        <f>VLOOKUP(L307,'2017 SIC to NAICS'!A:D,3)</f>
        <v>221320</v>
      </c>
      <c r="O307" s="34" t="str">
        <f>VLOOKUP(L307,'2017 SIC to NAICS'!A:D,4)</f>
        <v>Sewage Treatment Facilities</v>
      </c>
      <c r="P307" s="36" t="s">
        <v>742</v>
      </c>
      <c r="Q307" s="137" t="s">
        <v>743</v>
      </c>
      <c r="R307" s="45" t="s">
        <v>38</v>
      </c>
      <c r="S307" s="138">
        <f>COUNTIFS('Raw Non-zero DMR Data'!$A:$A, A307, 'Raw Non-zero DMR Data'!$C:$C, U307, 'Raw Non-zero DMR Data'!$V:$V, V307)</f>
        <v>1</v>
      </c>
      <c r="T307" s="34">
        <f>SUMIFS('Raw Non-zero DMR Data'!$X:$X, 'Raw Non-zero DMR Data'!$A:$A, A307, 'Raw Non-zero DMR Data'!$C:$C, U307, 'Raw Non-zero DMR Data'!V:V, V307)</f>
        <v>5.9543727500000001</v>
      </c>
      <c r="U307" s="34" t="s">
        <v>1112</v>
      </c>
      <c r="V307" s="34" t="s">
        <v>1114</v>
      </c>
      <c r="W307" s="139">
        <v>51402020504</v>
      </c>
      <c r="X307" s="140" t="s">
        <v>745</v>
      </c>
    </row>
    <row r="308" spans="1:24" x14ac:dyDescent="0.35">
      <c r="A308" s="34">
        <v>2022</v>
      </c>
      <c r="B308" s="34" t="s">
        <v>152</v>
      </c>
      <c r="C308" s="34" t="s">
        <v>1112</v>
      </c>
      <c r="D308" s="34" t="s">
        <v>153</v>
      </c>
      <c r="E308" s="34" t="s">
        <v>1113</v>
      </c>
      <c r="F308" s="34" t="s">
        <v>108</v>
      </c>
      <c r="G308" s="34"/>
      <c r="H308" s="34">
        <v>37.671391</v>
      </c>
      <c r="I308" s="34">
        <v>-87.828888000000006</v>
      </c>
      <c r="J308" s="34"/>
      <c r="K308" s="105">
        <v>110064612557</v>
      </c>
      <c r="L308" s="34">
        <v>4952</v>
      </c>
      <c r="M308" s="48" t="str">
        <f>VLOOKUP(L308, '2017 SIC to NAICS'!A:D, 2)</f>
        <v>Sewerage Systems</v>
      </c>
      <c r="N308" s="34">
        <f>VLOOKUP(L308,'2017 SIC to NAICS'!A:D,3)</f>
        <v>221320</v>
      </c>
      <c r="O308" s="34" t="str">
        <f>VLOOKUP(L308,'2017 SIC to NAICS'!A:D,4)</f>
        <v>Sewage Treatment Facilities</v>
      </c>
      <c r="P308" s="36" t="s">
        <v>742</v>
      </c>
      <c r="Q308" s="137" t="s">
        <v>743</v>
      </c>
      <c r="R308" s="45" t="s">
        <v>38</v>
      </c>
      <c r="S308" s="138">
        <f>COUNTIFS('Raw Non-zero DMR Data'!$A:$A, A308, 'Raw Non-zero DMR Data'!$C:$C, U308, 'Raw Non-zero DMR Data'!$V:$V, V308)</f>
        <v>1</v>
      </c>
      <c r="T308" s="34">
        <f>SUMIFS('Raw Non-zero DMR Data'!$X:$X, 'Raw Non-zero DMR Data'!$A:$A, A308, 'Raw Non-zero DMR Data'!$C:$C, U308, 'Raw Non-zero DMR Data'!V:V, V308)</f>
        <v>3.5712421249999999</v>
      </c>
      <c r="U308" s="34" t="s">
        <v>1112</v>
      </c>
      <c r="V308" s="34" t="s">
        <v>1114</v>
      </c>
      <c r="W308" s="141" t="s">
        <v>1115</v>
      </c>
      <c r="X308" s="140" t="s">
        <v>745</v>
      </c>
    </row>
    <row r="309" spans="1:24" x14ac:dyDescent="0.35">
      <c r="A309" s="34">
        <v>2020</v>
      </c>
      <c r="B309" s="34" t="s">
        <v>134</v>
      </c>
      <c r="C309" s="34" t="s">
        <v>1116</v>
      </c>
      <c r="D309" s="34" t="s">
        <v>135</v>
      </c>
      <c r="E309" s="34" t="s">
        <v>1117</v>
      </c>
      <c r="F309" s="34" t="s">
        <v>108</v>
      </c>
      <c r="G309" s="34"/>
      <c r="H309" s="34">
        <v>39.058610999999999</v>
      </c>
      <c r="I309" s="34">
        <v>-84.618055999999996</v>
      </c>
      <c r="J309" s="34"/>
      <c r="K309" s="105">
        <v>110039639736</v>
      </c>
      <c r="L309" s="34">
        <v>4952</v>
      </c>
      <c r="M309" s="48" t="str">
        <f>VLOOKUP(L309, '2017 SIC to NAICS'!A:D, 2)</f>
        <v>Sewerage Systems</v>
      </c>
      <c r="N309" s="34">
        <f>VLOOKUP(L309,'2017 SIC to NAICS'!A:D,3)</f>
        <v>221320</v>
      </c>
      <c r="O309" s="34" t="str">
        <f>VLOOKUP(L309,'2017 SIC to NAICS'!A:D,4)</f>
        <v>Sewage Treatment Facilities</v>
      </c>
      <c r="P309" s="36" t="s">
        <v>742</v>
      </c>
      <c r="Q309" s="137" t="s">
        <v>743</v>
      </c>
      <c r="R309" s="45" t="s">
        <v>38</v>
      </c>
      <c r="S309" s="138">
        <f>COUNTIFS('Raw Non-zero DMR Data'!$A:$A, A309, 'Raw Non-zero DMR Data'!$C:$C, U309, 'Raw Non-zero DMR Data'!$V:$V, V309)</f>
        <v>1</v>
      </c>
      <c r="T309" s="34">
        <f>SUMIFS('Raw Non-zero DMR Data'!$X:$X, 'Raw Non-zero DMR Data'!$A:$A, A309, 'Raw Non-zero DMR Data'!$C:$C, U309, 'Raw Non-zero DMR Data'!V:V, V309)</f>
        <v>1.6944404125E-2</v>
      </c>
      <c r="U309" s="34" t="s">
        <v>1116</v>
      </c>
      <c r="V309" s="34" t="s">
        <v>1118</v>
      </c>
      <c r="W309" s="139">
        <v>50902030202</v>
      </c>
      <c r="X309" s="140" t="s">
        <v>745</v>
      </c>
    </row>
    <row r="310" spans="1:24" x14ac:dyDescent="0.35">
      <c r="A310" s="34">
        <v>2021</v>
      </c>
      <c r="B310" s="34" t="s">
        <v>134</v>
      </c>
      <c r="C310" s="34" t="s">
        <v>1116</v>
      </c>
      <c r="D310" s="34" t="s">
        <v>135</v>
      </c>
      <c r="E310" s="34" t="s">
        <v>1117</v>
      </c>
      <c r="F310" s="34" t="s">
        <v>108</v>
      </c>
      <c r="G310" s="34"/>
      <c r="H310" s="34">
        <v>39.058610999999999</v>
      </c>
      <c r="I310" s="34">
        <v>-84.618055999999996</v>
      </c>
      <c r="J310" s="34"/>
      <c r="K310" s="105">
        <v>110039639736</v>
      </c>
      <c r="L310" s="34">
        <v>4952</v>
      </c>
      <c r="M310" s="48" t="str">
        <f>VLOOKUP(L310, '2017 SIC to NAICS'!A:D, 2)</f>
        <v>Sewerage Systems</v>
      </c>
      <c r="N310" s="34">
        <f>VLOOKUP(L310,'2017 SIC to NAICS'!A:D,3)</f>
        <v>221320</v>
      </c>
      <c r="O310" s="34" t="str">
        <f>VLOOKUP(L310,'2017 SIC to NAICS'!A:D,4)</f>
        <v>Sewage Treatment Facilities</v>
      </c>
      <c r="P310" s="36" t="s">
        <v>742</v>
      </c>
      <c r="Q310" s="137" t="s">
        <v>743</v>
      </c>
      <c r="R310" s="45" t="s">
        <v>38</v>
      </c>
      <c r="S310" s="138">
        <f>COUNTIFS('Raw Non-zero DMR Data'!$A:$A, A310, 'Raw Non-zero DMR Data'!$C:$C, U310, 'Raw Non-zero DMR Data'!$V:$V, V310)</f>
        <v>1</v>
      </c>
      <c r="T310" s="34">
        <f>SUMIFS('Raw Non-zero DMR Data'!$X:$X, 'Raw Non-zero DMR Data'!$A:$A, A310, 'Raw Non-zero DMR Data'!$C:$C, U310, 'Raw Non-zero DMR Data'!V:V, V310)</f>
        <v>22.366889749999999</v>
      </c>
      <c r="U310" s="34" t="s">
        <v>1116</v>
      </c>
      <c r="V310" s="34" t="s">
        <v>1118</v>
      </c>
      <c r="W310" s="139">
        <v>50902030202</v>
      </c>
      <c r="X310" s="140" t="s">
        <v>745</v>
      </c>
    </row>
    <row r="311" spans="1:24" x14ac:dyDescent="0.35">
      <c r="A311" s="34">
        <v>2019</v>
      </c>
      <c r="B311" s="34" t="s">
        <v>116</v>
      </c>
      <c r="C311" s="34" t="s">
        <v>1119</v>
      </c>
      <c r="D311" s="34" t="s">
        <v>117</v>
      </c>
      <c r="E311" s="34" t="s">
        <v>1120</v>
      </c>
      <c r="F311" s="34" t="s">
        <v>108</v>
      </c>
      <c r="G311" s="34"/>
      <c r="H311" s="34">
        <v>37.642310000000002</v>
      </c>
      <c r="I311" s="34">
        <v>-85.903570000000002</v>
      </c>
      <c r="J311" s="34"/>
      <c r="K311" s="105">
        <v>110000571373</v>
      </c>
      <c r="L311" s="34">
        <v>4952</v>
      </c>
      <c r="M311" s="48" t="str">
        <f>VLOOKUP(L311, '2017 SIC to NAICS'!A:D, 2)</f>
        <v>Sewerage Systems</v>
      </c>
      <c r="N311" s="34">
        <f>VLOOKUP(L311,'2017 SIC to NAICS'!A:D,3)</f>
        <v>221320</v>
      </c>
      <c r="O311" s="34" t="str">
        <f>VLOOKUP(L311,'2017 SIC to NAICS'!A:D,4)</f>
        <v>Sewage Treatment Facilities</v>
      </c>
      <c r="P311" s="36" t="s">
        <v>742</v>
      </c>
      <c r="Q311" s="137" t="s">
        <v>743</v>
      </c>
      <c r="R311" s="45" t="s">
        <v>38</v>
      </c>
      <c r="S311" s="138">
        <f>COUNTIFS('Raw Non-zero DMR Data'!$A:$A, A311, 'Raw Non-zero DMR Data'!$C:$C, U311, 'Raw Non-zero DMR Data'!$V:$V, V311)</f>
        <v>1</v>
      </c>
      <c r="T311" s="34">
        <f>SUMIFS('Raw Non-zero DMR Data'!$X:$X, 'Raw Non-zero DMR Data'!$A:$A, A311, 'Raw Non-zero DMR Data'!$C:$C, U311, 'Raw Non-zero DMR Data'!V:V, V311)</f>
        <v>33.847362500000003</v>
      </c>
      <c r="U311" s="34" t="s">
        <v>1119</v>
      </c>
      <c r="V311" s="34" t="s">
        <v>1121</v>
      </c>
      <c r="W311" s="139">
        <v>51100011004</v>
      </c>
      <c r="X311" s="140" t="s">
        <v>745</v>
      </c>
    </row>
    <row r="312" spans="1:24" x14ac:dyDescent="0.35">
      <c r="A312" s="34">
        <v>2020</v>
      </c>
      <c r="B312" s="34" t="s">
        <v>116</v>
      </c>
      <c r="C312" s="34" t="s">
        <v>1119</v>
      </c>
      <c r="D312" s="34" t="s">
        <v>117</v>
      </c>
      <c r="E312" s="34" t="s">
        <v>1120</v>
      </c>
      <c r="F312" s="34" t="s">
        <v>108</v>
      </c>
      <c r="G312" s="34"/>
      <c r="H312" s="34">
        <v>37.642310000000002</v>
      </c>
      <c r="I312" s="34">
        <v>-85.903570000000002</v>
      </c>
      <c r="J312" s="34"/>
      <c r="K312" s="105">
        <v>110000571373</v>
      </c>
      <c r="L312" s="34">
        <v>4952</v>
      </c>
      <c r="M312" s="48" t="str">
        <f>VLOOKUP(L312, '2017 SIC to NAICS'!A:D, 2)</f>
        <v>Sewerage Systems</v>
      </c>
      <c r="N312" s="34">
        <f>VLOOKUP(L312,'2017 SIC to NAICS'!A:D,3)</f>
        <v>221320</v>
      </c>
      <c r="O312" s="34" t="str">
        <f>VLOOKUP(L312,'2017 SIC to NAICS'!A:D,4)</f>
        <v>Sewage Treatment Facilities</v>
      </c>
      <c r="P312" s="36" t="s">
        <v>742</v>
      </c>
      <c r="Q312" s="137" t="s">
        <v>743</v>
      </c>
      <c r="R312" s="45" t="s">
        <v>38</v>
      </c>
      <c r="S312" s="138">
        <f>COUNTIFS('Raw Non-zero DMR Data'!$A:$A, A312, 'Raw Non-zero DMR Data'!$C:$C, U312, 'Raw Non-zero DMR Data'!$V:$V, V312)</f>
        <v>1</v>
      </c>
      <c r="T312" s="34">
        <f>SUMIFS('Raw Non-zero DMR Data'!$X:$X, 'Raw Non-zero DMR Data'!$A:$A, A312, 'Raw Non-zero DMR Data'!$C:$C, U312, 'Raw Non-zero DMR Data'!V:V, V312)</f>
        <v>40.754987499999999</v>
      </c>
      <c r="U312" s="34" t="s">
        <v>1119</v>
      </c>
      <c r="V312" s="34" t="s">
        <v>1121</v>
      </c>
      <c r="W312" s="139">
        <v>51100011004</v>
      </c>
      <c r="X312" s="140" t="s">
        <v>745</v>
      </c>
    </row>
    <row r="313" spans="1:24" x14ac:dyDescent="0.35">
      <c r="A313" s="34">
        <v>2021</v>
      </c>
      <c r="B313" s="34" t="s">
        <v>116</v>
      </c>
      <c r="C313" s="34" t="s">
        <v>1119</v>
      </c>
      <c r="D313" s="34" t="s">
        <v>117</v>
      </c>
      <c r="E313" s="34" t="s">
        <v>1120</v>
      </c>
      <c r="F313" s="34" t="s">
        <v>108</v>
      </c>
      <c r="G313" s="34"/>
      <c r="H313" s="34">
        <v>37.642310000000002</v>
      </c>
      <c r="I313" s="34">
        <v>-85.903570000000002</v>
      </c>
      <c r="J313" s="34"/>
      <c r="K313" s="105">
        <v>110000571373</v>
      </c>
      <c r="L313" s="34">
        <v>4952</v>
      </c>
      <c r="M313" s="48" t="str">
        <f>VLOOKUP(L313, '2017 SIC to NAICS'!A:D, 2)</f>
        <v>Sewerage Systems</v>
      </c>
      <c r="N313" s="34">
        <f>VLOOKUP(L313,'2017 SIC to NAICS'!A:D,3)</f>
        <v>221320</v>
      </c>
      <c r="O313" s="34" t="str">
        <f>VLOOKUP(L313,'2017 SIC to NAICS'!A:D,4)</f>
        <v>Sewage Treatment Facilities</v>
      </c>
      <c r="P313" s="36" t="s">
        <v>742</v>
      </c>
      <c r="Q313" s="137" t="s">
        <v>743</v>
      </c>
      <c r="R313" s="45" t="s">
        <v>38</v>
      </c>
      <c r="S313" s="138">
        <f>COUNTIFS('Raw Non-zero DMR Data'!$A:$A, A313, 'Raw Non-zero DMR Data'!$C:$C, U313, 'Raw Non-zero DMR Data'!$V:$V, V313)</f>
        <v>1</v>
      </c>
      <c r="T313" s="34">
        <f>SUMIFS('Raw Non-zero DMR Data'!$X:$X, 'Raw Non-zero DMR Data'!$A:$A, A313, 'Raw Non-zero DMR Data'!$C:$C, U313, 'Raw Non-zero DMR Data'!V:V, V313)</f>
        <v>22.7951625</v>
      </c>
      <c r="U313" s="34" t="s">
        <v>1119</v>
      </c>
      <c r="V313" s="34" t="s">
        <v>1121</v>
      </c>
      <c r="W313" s="139">
        <v>51100011004</v>
      </c>
      <c r="X313" s="140" t="s">
        <v>745</v>
      </c>
    </row>
    <row r="314" spans="1:24" x14ac:dyDescent="0.35">
      <c r="A314" s="34">
        <v>2022</v>
      </c>
      <c r="B314" s="34" t="s">
        <v>116</v>
      </c>
      <c r="C314" s="34" t="s">
        <v>1119</v>
      </c>
      <c r="D314" s="34" t="s">
        <v>117</v>
      </c>
      <c r="E314" s="34" t="s">
        <v>1120</v>
      </c>
      <c r="F314" s="34" t="s">
        <v>108</v>
      </c>
      <c r="G314" s="34"/>
      <c r="H314" s="34">
        <v>37.642310000000002</v>
      </c>
      <c r="I314" s="34">
        <v>-85.903570000000002</v>
      </c>
      <c r="J314" s="34"/>
      <c r="K314" s="105">
        <v>110000571373</v>
      </c>
      <c r="L314" s="34">
        <v>4952</v>
      </c>
      <c r="M314" s="48" t="str">
        <f>VLOOKUP(L314, '2017 SIC to NAICS'!A:D, 2)</f>
        <v>Sewerage Systems</v>
      </c>
      <c r="N314" s="34">
        <f>VLOOKUP(L314,'2017 SIC to NAICS'!A:D,3)</f>
        <v>221320</v>
      </c>
      <c r="O314" s="34" t="str">
        <f>VLOOKUP(L314,'2017 SIC to NAICS'!A:D,4)</f>
        <v>Sewage Treatment Facilities</v>
      </c>
      <c r="P314" s="36" t="s">
        <v>742</v>
      </c>
      <c r="Q314" s="137" t="s">
        <v>743</v>
      </c>
      <c r="R314" s="45" t="s">
        <v>38</v>
      </c>
      <c r="S314" s="138">
        <f>COUNTIFS('Raw Non-zero DMR Data'!$A:$A, A314, 'Raw Non-zero DMR Data'!$C:$C, U314, 'Raw Non-zero DMR Data'!$V:$V, V314)</f>
        <v>1</v>
      </c>
      <c r="T314" s="34">
        <f>SUMIFS('Raw Non-zero DMR Data'!$X:$X, 'Raw Non-zero DMR Data'!$A:$A, A314, 'Raw Non-zero DMR Data'!$C:$C, U314, 'Raw Non-zero DMR Data'!V:V, V314)</f>
        <v>20.0321125</v>
      </c>
      <c r="U314" s="34" t="s">
        <v>1119</v>
      </c>
      <c r="V314" s="34" t="s">
        <v>1121</v>
      </c>
      <c r="W314" s="141" t="s">
        <v>1122</v>
      </c>
      <c r="X314" s="140" t="s">
        <v>745</v>
      </c>
    </row>
    <row r="315" spans="1:24" x14ac:dyDescent="0.35">
      <c r="A315" s="34">
        <v>2023</v>
      </c>
      <c r="B315" s="34" t="s">
        <v>116</v>
      </c>
      <c r="C315" s="34" t="s">
        <v>1119</v>
      </c>
      <c r="D315" s="34" t="s">
        <v>117</v>
      </c>
      <c r="E315" s="34" t="s">
        <v>1120</v>
      </c>
      <c r="F315" s="34" t="s">
        <v>108</v>
      </c>
      <c r="G315" s="34"/>
      <c r="H315" s="34">
        <v>37.642310000000002</v>
      </c>
      <c r="I315" s="34">
        <v>-85.903570000000002</v>
      </c>
      <c r="J315" s="34"/>
      <c r="K315" s="105">
        <v>110000571373</v>
      </c>
      <c r="L315" s="34">
        <v>4952</v>
      </c>
      <c r="M315" s="48" t="str">
        <f>VLOOKUP(L315, '2017 SIC to NAICS'!A:D, 2)</f>
        <v>Sewerage Systems</v>
      </c>
      <c r="N315" s="34">
        <f>VLOOKUP(L315,'2017 SIC to NAICS'!A:D,3)</f>
        <v>221320</v>
      </c>
      <c r="O315" s="34" t="str">
        <f>VLOOKUP(L315,'2017 SIC to NAICS'!A:D,4)</f>
        <v>Sewage Treatment Facilities</v>
      </c>
      <c r="P315" s="36" t="s">
        <v>742</v>
      </c>
      <c r="Q315" s="137" t="s">
        <v>743</v>
      </c>
      <c r="R315" s="45" t="s">
        <v>38</v>
      </c>
      <c r="S315" s="138">
        <f>COUNTIFS('Raw Non-zero DMR Data'!$A:$A, A315, 'Raw Non-zero DMR Data'!$C:$C, U315, 'Raw Non-zero DMR Data'!$V:$V, V315)</f>
        <v>1</v>
      </c>
      <c r="T315" s="34">
        <f>SUMIFS('Raw Non-zero DMR Data'!$X:$X, 'Raw Non-zero DMR Data'!$A:$A, A315, 'Raw Non-zero DMR Data'!$C:$C, U315, 'Raw Non-zero DMR Data'!V:V, V315)</f>
        <v>1.6578299999999999</v>
      </c>
      <c r="U315" s="34" t="s">
        <v>1119</v>
      </c>
      <c r="V315" s="34" t="s">
        <v>1121</v>
      </c>
      <c r="W315" s="141" t="s">
        <v>1122</v>
      </c>
      <c r="X315" s="140" t="s">
        <v>745</v>
      </c>
    </row>
    <row r="316" spans="1:24" x14ac:dyDescent="0.35">
      <c r="A316" s="34">
        <v>2019</v>
      </c>
      <c r="B316" s="34" t="s">
        <v>132</v>
      </c>
      <c r="C316" s="34" t="s">
        <v>1123</v>
      </c>
      <c r="D316" s="34" t="s">
        <v>133</v>
      </c>
      <c r="E316" s="34" t="s">
        <v>1124</v>
      </c>
      <c r="F316" s="34" t="s">
        <v>108</v>
      </c>
      <c r="G316" s="34"/>
      <c r="H316" s="34">
        <v>38.474601999999997</v>
      </c>
      <c r="I316" s="34">
        <v>-82.623778999999999</v>
      </c>
      <c r="J316" s="34"/>
      <c r="K316" s="105">
        <v>110000732244</v>
      </c>
      <c r="L316" s="34">
        <v>4952</v>
      </c>
      <c r="M316" s="48" t="str">
        <f>VLOOKUP(L316, '2017 SIC to NAICS'!A:D, 2)</f>
        <v>Sewerage Systems</v>
      </c>
      <c r="N316" s="34">
        <f>VLOOKUP(L316,'2017 SIC to NAICS'!A:D,3)</f>
        <v>221320</v>
      </c>
      <c r="O316" s="34" t="str">
        <f>VLOOKUP(L316,'2017 SIC to NAICS'!A:D,4)</f>
        <v>Sewage Treatment Facilities</v>
      </c>
      <c r="P316" s="36" t="s">
        <v>742</v>
      </c>
      <c r="Q316" s="137" t="s">
        <v>743</v>
      </c>
      <c r="R316" s="45" t="s">
        <v>38</v>
      </c>
      <c r="S316" s="138">
        <f>COUNTIFS('Raw Non-zero DMR Data'!$A:$A, A316, 'Raw Non-zero DMR Data'!$C:$C, U316, 'Raw Non-zero DMR Data'!$V:$V, V316)</f>
        <v>1</v>
      </c>
      <c r="T316" s="34">
        <f>SUMIFS('Raw Non-zero DMR Data'!$X:$X, 'Raw Non-zero DMR Data'!$A:$A, A316, 'Raw Non-zero DMR Data'!$C:$C, U316, 'Raw Non-zero DMR Data'!V:V, V316)</f>
        <v>24.038535</v>
      </c>
      <c r="U316" s="34" t="s">
        <v>1123</v>
      </c>
      <c r="V316" s="34" t="s">
        <v>1125</v>
      </c>
      <c r="W316" s="139">
        <v>50901030101</v>
      </c>
      <c r="X316" s="140" t="s">
        <v>745</v>
      </c>
    </row>
    <row r="317" spans="1:24" x14ac:dyDescent="0.35">
      <c r="A317" s="34">
        <v>2019</v>
      </c>
      <c r="B317" s="34" t="s">
        <v>140</v>
      </c>
      <c r="C317" s="34" t="s">
        <v>1126</v>
      </c>
      <c r="D317" s="34" t="s">
        <v>141</v>
      </c>
      <c r="E317" s="34" t="s">
        <v>1120</v>
      </c>
      <c r="F317" s="34" t="s">
        <v>108</v>
      </c>
      <c r="G317" s="34"/>
      <c r="H317" s="34">
        <v>37.845027999999999</v>
      </c>
      <c r="I317" s="34">
        <v>-85.940962999999996</v>
      </c>
      <c r="J317" s="34"/>
      <c r="K317" s="105">
        <v>110000732253</v>
      </c>
      <c r="L317" s="34">
        <v>4952</v>
      </c>
      <c r="M317" s="48" t="str">
        <f>VLOOKUP(L317, '2017 SIC to NAICS'!A:D, 2)</f>
        <v>Sewerage Systems</v>
      </c>
      <c r="N317" s="34">
        <f>VLOOKUP(L317,'2017 SIC to NAICS'!A:D,3)</f>
        <v>221320</v>
      </c>
      <c r="O317" s="34" t="str">
        <f>VLOOKUP(L317,'2017 SIC to NAICS'!A:D,4)</f>
        <v>Sewage Treatment Facilities</v>
      </c>
      <c r="P317" s="36" t="s">
        <v>742</v>
      </c>
      <c r="Q317" s="137" t="s">
        <v>743</v>
      </c>
      <c r="R317" s="45" t="s">
        <v>38</v>
      </c>
      <c r="S317" s="138">
        <f>COUNTIFS('Raw Non-zero DMR Data'!$A:$A, A317, 'Raw Non-zero DMR Data'!$C:$C, U317, 'Raw Non-zero DMR Data'!$V:$V, V317)</f>
        <v>1</v>
      </c>
      <c r="T317" s="34">
        <f>SUMIFS('Raw Non-zero DMR Data'!$X:$X, 'Raw Non-zero DMR Data'!$A:$A, A317, 'Raw Non-zero DMR Data'!$C:$C, U317, 'Raw Non-zero DMR Data'!V:V, V317)</f>
        <v>13.5216759375</v>
      </c>
      <c r="U317" s="34" t="s">
        <v>1126</v>
      </c>
      <c r="V317" s="34" t="s">
        <v>1127</v>
      </c>
      <c r="W317" s="139">
        <v>51401021302</v>
      </c>
      <c r="X317" s="140" t="s">
        <v>745</v>
      </c>
    </row>
    <row r="318" spans="1:24" x14ac:dyDescent="0.35">
      <c r="A318" s="34">
        <v>2020</v>
      </c>
      <c r="B318" s="34" t="s">
        <v>140</v>
      </c>
      <c r="C318" s="34" t="s">
        <v>1126</v>
      </c>
      <c r="D318" s="34" t="s">
        <v>141</v>
      </c>
      <c r="E318" s="34" t="s">
        <v>1120</v>
      </c>
      <c r="F318" s="34" t="s">
        <v>108</v>
      </c>
      <c r="G318" s="34"/>
      <c r="H318" s="34">
        <v>37.845027999999999</v>
      </c>
      <c r="I318" s="34">
        <v>-85.940962999999996</v>
      </c>
      <c r="J318" s="34"/>
      <c r="K318" s="105">
        <v>110000732253</v>
      </c>
      <c r="L318" s="34">
        <v>4952</v>
      </c>
      <c r="M318" s="48" t="str">
        <f>VLOOKUP(L318, '2017 SIC to NAICS'!A:D, 2)</f>
        <v>Sewerage Systems</v>
      </c>
      <c r="N318" s="34">
        <f>VLOOKUP(L318,'2017 SIC to NAICS'!A:D,3)</f>
        <v>221320</v>
      </c>
      <c r="O318" s="34" t="str">
        <f>VLOOKUP(L318,'2017 SIC to NAICS'!A:D,4)</f>
        <v>Sewage Treatment Facilities</v>
      </c>
      <c r="P318" s="36" t="s">
        <v>742</v>
      </c>
      <c r="Q318" s="137" t="s">
        <v>743</v>
      </c>
      <c r="R318" s="45" t="s">
        <v>38</v>
      </c>
      <c r="S318" s="138">
        <f>COUNTIFS('Raw Non-zero DMR Data'!$A:$A, A318, 'Raw Non-zero DMR Data'!$C:$C, U318, 'Raw Non-zero DMR Data'!$V:$V, V318)</f>
        <v>1</v>
      </c>
      <c r="T318" s="34">
        <f>SUMIFS('Raw Non-zero DMR Data'!$X:$X, 'Raw Non-zero DMR Data'!$A:$A, A318, 'Raw Non-zero DMR Data'!$C:$C, U318, 'Raw Non-zero DMR Data'!V:V, V318)</f>
        <v>8.2511580625000001</v>
      </c>
      <c r="U318" s="34" t="s">
        <v>1126</v>
      </c>
      <c r="V318" s="34" t="s">
        <v>1127</v>
      </c>
      <c r="W318" s="139">
        <v>51401021302</v>
      </c>
      <c r="X318" s="140" t="s">
        <v>745</v>
      </c>
    </row>
    <row r="319" spans="1:24" x14ac:dyDescent="0.35">
      <c r="A319" s="34">
        <v>2021</v>
      </c>
      <c r="B319" s="34" t="s">
        <v>140</v>
      </c>
      <c r="C319" s="34" t="s">
        <v>1126</v>
      </c>
      <c r="D319" s="34" t="s">
        <v>141</v>
      </c>
      <c r="E319" s="34" t="s">
        <v>1120</v>
      </c>
      <c r="F319" s="34" t="s">
        <v>108</v>
      </c>
      <c r="G319" s="34"/>
      <c r="H319" s="34">
        <v>37.845027999999999</v>
      </c>
      <c r="I319" s="34">
        <v>-85.940962999999996</v>
      </c>
      <c r="J319" s="34"/>
      <c r="K319" s="105">
        <v>110000732253</v>
      </c>
      <c r="L319" s="34">
        <v>4952</v>
      </c>
      <c r="M319" s="48" t="str">
        <f>VLOOKUP(L319, '2017 SIC to NAICS'!A:D, 2)</f>
        <v>Sewerage Systems</v>
      </c>
      <c r="N319" s="34">
        <f>VLOOKUP(L319,'2017 SIC to NAICS'!A:D,3)</f>
        <v>221320</v>
      </c>
      <c r="O319" s="34" t="str">
        <f>VLOOKUP(L319,'2017 SIC to NAICS'!A:D,4)</f>
        <v>Sewage Treatment Facilities</v>
      </c>
      <c r="P319" s="36" t="s">
        <v>742</v>
      </c>
      <c r="Q319" s="137" t="s">
        <v>743</v>
      </c>
      <c r="R319" s="45" t="s">
        <v>38</v>
      </c>
      <c r="S319" s="138">
        <f>COUNTIFS('Raw Non-zero DMR Data'!$A:$A, A319, 'Raw Non-zero DMR Data'!$C:$C, U319, 'Raw Non-zero DMR Data'!$V:$V, V319)</f>
        <v>1</v>
      </c>
      <c r="T319" s="34">
        <f>SUMIFS('Raw Non-zero DMR Data'!$X:$X, 'Raw Non-zero DMR Data'!$A:$A, A319, 'Raw Non-zero DMR Data'!$C:$C, U319, 'Raw Non-zero DMR Data'!V:V, V319)</f>
        <v>8.8935671875000004</v>
      </c>
      <c r="U319" s="34" t="s">
        <v>1126</v>
      </c>
      <c r="V319" s="34" t="s">
        <v>1127</v>
      </c>
      <c r="W319" s="139">
        <v>51401021302</v>
      </c>
      <c r="X319" s="140" t="s">
        <v>745</v>
      </c>
    </row>
    <row r="320" spans="1:24" x14ac:dyDescent="0.35">
      <c r="A320" s="34">
        <v>2019</v>
      </c>
      <c r="B320" s="34" t="s">
        <v>139</v>
      </c>
      <c r="C320" s="34" t="s">
        <v>1128</v>
      </c>
      <c r="D320" s="34" t="s">
        <v>107</v>
      </c>
      <c r="E320" s="34" t="s">
        <v>782</v>
      </c>
      <c r="F320" s="34" t="s">
        <v>108</v>
      </c>
      <c r="G320" s="34"/>
      <c r="H320" s="34">
        <v>38.322221999999996</v>
      </c>
      <c r="I320" s="34">
        <v>-85.555000000000007</v>
      </c>
      <c r="J320" s="34"/>
      <c r="K320" s="105">
        <v>110000732271</v>
      </c>
      <c r="L320" s="34">
        <v>4952</v>
      </c>
      <c r="M320" s="48" t="str">
        <f>VLOOKUP(L320, '2017 SIC to NAICS'!A:D, 2)</f>
        <v>Sewerage Systems</v>
      </c>
      <c r="N320" s="34">
        <f>VLOOKUP(L320,'2017 SIC to NAICS'!A:D,3)</f>
        <v>221320</v>
      </c>
      <c r="O320" s="34" t="str">
        <f>VLOOKUP(L320,'2017 SIC to NAICS'!A:D,4)</f>
        <v>Sewage Treatment Facilities</v>
      </c>
      <c r="P320" s="36" t="s">
        <v>742</v>
      </c>
      <c r="Q320" s="137" t="s">
        <v>743</v>
      </c>
      <c r="R320" s="45" t="s">
        <v>38</v>
      </c>
      <c r="S320" s="138">
        <f>COUNTIFS('Raw Non-zero DMR Data'!$A:$A, A320, 'Raw Non-zero DMR Data'!$C:$C, U320, 'Raw Non-zero DMR Data'!$V:$V, V320)</f>
        <v>1</v>
      </c>
      <c r="T320" s="34">
        <f>SUMIFS('Raw Non-zero DMR Data'!$X:$X, 'Raw Non-zero DMR Data'!$A:$A, A320, 'Raw Non-zero DMR Data'!$C:$C, U320, 'Raw Non-zero DMR Data'!V:V, V320)</f>
        <v>14.512920125000001</v>
      </c>
      <c r="U320" s="34" t="s">
        <v>1128</v>
      </c>
      <c r="V320" s="34" t="s">
        <v>1129</v>
      </c>
      <c r="W320" s="139">
        <v>51401010504</v>
      </c>
      <c r="X320" s="140" t="s">
        <v>745</v>
      </c>
    </row>
    <row r="321" spans="1:24" x14ac:dyDescent="0.35">
      <c r="A321" s="34">
        <v>2020</v>
      </c>
      <c r="B321" s="34" t="s">
        <v>139</v>
      </c>
      <c r="C321" s="34" t="s">
        <v>1128</v>
      </c>
      <c r="D321" s="34" t="s">
        <v>107</v>
      </c>
      <c r="E321" s="34" t="s">
        <v>782</v>
      </c>
      <c r="F321" s="34" t="s">
        <v>108</v>
      </c>
      <c r="G321" s="34"/>
      <c r="H321" s="34">
        <v>38.322221999999996</v>
      </c>
      <c r="I321" s="34">
        <v>-85.555000000000007</v>
      </c>
      <c r="J321" s="34"/>
      <c r="K321" s="105">
        <v>110000732271</v>
      </c>
      <c r="L321" s="34">
        <v>4952</v>
      </c>
      <c r="M321" s="48" t="str">
        <f>VLOOKUP(L321, '2017 SIC to NAICS'!A:D, 2)</f>
        <v>Sewerage Systems</v>
      </c>
      <c r="N321" s="34">
        <f>VLOOKUP(L321,'2017 SIC to NAICS'!A:D,3)</f>
        <v>221320</v>
      </c>
      <c r="O321" s="34" t="str">
        <f>VLOOKUP(L321,'2017 SIC to NAICS'!A:D,4)</f>
        <v>Sewage Treatment Facilities</v>
      </c>
      <c r="P321" s="36" t="s">
        <v>742</v>
      </c>
      <c r="Q321" s="137" t="s">
        <v>743</v>
      </c>
      <c r="R321" s="45" t="s">
        <v>38</v>
      </c>
      <c r="S321" s="138">
        <f>COUNTIFS('Raw Non-zero DMR Data'!$A:$A, A321, 'Raw Non-zero DMR Data'!$C:$C, U321, 'Raw Non-zero DMR Data'!$V:$V, V321)</f>
        <v>1</v>
      </c>
      <c r="T321" s="34">
        <f>SUMIFS('Raw Non-zero DMR Data'!$X:$X, 'Raw Non-zero DMR Data'!$A:$A, A321, 'Raw Non-zero DMR Data'!$C:$C, U321, 'Raw Non-zero DMR Data'!V:V, V321)</f>
        <v>14.022478749999999</v>
      </c>
      <c r="U321" s="34" t="s">
        <v>1128</v>
      </c>
      <c r="V321" s="34" t="s">
        <v>1129</v>
      </c>
      <c r="W321" s="139">
        <v>51401010504</v>
      </c>
      <c r="X321" s="140" t="s">
        <v>745</v>
      </c>
    </row>
    <row r="322" spans="1:24" x14ac:dyDescent="0.35">
      <c r="A322" s="34">
        <v>2021</v>
      </c>
      <c r="B322" s="34" t="s">
        <v>139</v>
      </c>
      <c r="C322" s="34" t="s">
        <v>1128</v>
      </c>
      <c r="D322" s="34" t="s">
        <v>107</v>
      </c>
      <c r="E322" s="34" t="s">
        <v>782</v>
      </c>
      <c r="F322" s="34" t="s">
        <v>108</v>
      </c>
      <c r="G322" s="34"/>
      <c r="H322" s="34">
        <v>38.322221999999996</v>
      </c>
      <c r="I322" s="34">
        <v>-85.555000000000007</v>
      </c>
      <c r="J322" s="34"/>
      <c r="K322" s="105">
        <v>110000732271</v>
      </c>
      <c r="L322" s="34">
        <v>4952</v>
      </c>
      <c r="M322" s="48" t="str">
        <f>VLOOKUP(L322, '2017 SIC to NAICS'!A:D, 2)</f>
        <v>Sewerage Systems</v>
      </c>
      <c r="N322" s="34">
        <f>VLOOKUP(L322,'2017 SIC to NAICS'!A:D,3)</f>
        <v>221320</v>
      </c>
      <c r="O322" s="34" t="str">
        <f>VLOOKUP(L322,'2017 SIC to NAICS'!A:D,4)</f>
        <v>Sewage Treatment Facilities</v>
      </c>
      <c r="P322" s="36" t="s">
        <v>742</v>
      </c>
      <c r="Q322" s="137" t="s">
        <v>743</v>
      </c>
      <c r="R322" s="45" t="s">
        <v>38</v>
      </c>
      <c r="S322" s="138">
        <f>COUNTIFS('Raw Non-zero DMR Data'!$A:$A, A322, 'Raw Non-zero DMR Data'!$C:$C, U322, 'Raw Non-zero DMR Data'!$V:$V, V322)</f>
        <v>1</v>
      </c>
      <c r="T322" s="34">
        <f>SUMIFS('Raw Non-zero DMR Data'!$X:$X, 'Raw Non-zero DMR Data'!$A:$A, A322, 'Raw Non-zero DMR Data'!$C:$C, U322, 'Raw Non-zero DMR Data'!V:V, V322)</f>
        <v>14.702879812500001</v>
      </c>
      <c r="U322" s="34" t="s">
        <v>1128</v>
      </c>
      <c r="V322" s="34" t="s">
        <v>1129</v>
      </c>
      <c r="W322" s="139">
        <v>51401010504</v>
      </c>
      <c r="X322" s="140" t="s">
        <v>745</v>
      </c>
    </row>
    <row r="323" spans="1:24" x14ac:dyDescent="0.35">
      <c r="A323" s="34">
        <v>2022</v>
      </c>
      <c r="B323" s="34" t="s">
        <v>139</v>
      </c>
      <c r="C323" s="34" t="s">
        <v>1128</v>
      </c>
      <c r="D323" s="34" t="s">
        <v>107</v>
      </c>
      <c r="E323" s="34" t="s">
        <v>782</v>
      </c>
      <c r="F323" s="34" t="s">
        <v>108</v>
      </c>
      <c r="G323" s="34"/>
      <c r="H323" s="34">
        <v>38.322221999999996</v>
      </c>
      <c r="I323" s="34">
        <v>-85.555000000000007</v>
      </c>
      <c r="J323" s="34"/>
      <c r="K323" s="105">
        <v>110000732271</v>
      </c>
      <c r="L323" s="34">
        <v>4952</v>
      </c>
      <c r="M323" s="48" t="str">
        <f>VLOOKUP(L323, '2017 SIC to NAICS'!A:D, 2)</f>
        <v>Sewerage Systems</v>
      </c>
      <c r="N323" s="34">
        <f>VLOOKUP(L323,'2017 SIC to NAICS'!A:D,3)</f>
        <v>221320</v>
      </c>
      <c r="O323" s="34" t="str">
        <f>VLOOKUP(L323,'2017 SIC to NAICS'!A:D,4)</f>
        <v>Sewage Treatment Facilities</v>
      </c>
      <c r="P323" s="36" t="s">
        <v>742</v>
      </c>
      <c r="Q323" s="137" t="s">
        <v>743</v>
      </c>
      <c r="R323" s="45" t="s">
        <v>38</v>
      </c>
      <c r="S323" s="138">
        <f>COUNTIFS('Raw Non-zero DMR Data'!$A:$A, A323, 'Raw Non-zero DMR Data'!$C:$C, U323, 'Raw Non-zero DMR Data'!$V:$V, V323)</f>
        <v>1</v>
      </c>
      <c r="T323" s="34">
        <f>SUMIFS('Raw Non-zero DMR Data'!$X:$X, 'Raw Non-zero DMR Data'!$A:$A, A323, 'Raw Non-zero DMR Data'!$C:$C, U323, 'Raw Non-zero DMR Data'!V:V, V323)</f>
        <v>14.24352275</v>
      </c>
      <c r="U323" s="34" t="s">
        <v>1128</v>
      </c>
      <c r="V323" s="34" t="s">
        <v>1129</v>
      </c>
      <c r="W323" s="141" t="s">
        <v>1130</v>
      </c>
      <c r="X323" s="140" t="s">
        <v>745</v>
      </c>
    </row>
    <row r="324" spans="1:24" x14ac:dyDescent="0.35">
      <c r="A324" s="34">
        <v>2023</v>
      </c>
      <c r="B324" s="34" t="s">
        <v>142</v>
      </c>
      <c r="C324" s="34" t="s">
        <v>1131</v>
      </c>
      <c r="D324" s="34" t="s">
        <v>143</v>
      </c>
      <c r="E324" s="34" t="s">
        <v>1132</v>
      </c>
      <c r="F324" s="34" t="s">
        <v>108</v>
      </c>
      <c r="G324" s="34"/>
      <c r="H324" s="34">
        <v>38.213957000000001</v>
      </c>
      <c r="I324" s="34">
        <v>-84.873705000000001</v>
      </c>
      <c r="J324" s="34"/>
      <c r="K324" s="105">
        <v>110000732299</v>
      </c>
      <c r="L324" s="34">
        <v>4952</v>
      </c>
      <c r="M324" s="48" t="str">
        <f>VLOOKUP(L324, '2017 SIC to NAICS'!A:D, 2)</f>
        <v>Sewerage Systems</v>
      </c>
      <c r="N324" s="34">
        <f>VLOOKUP(L324,'2017 SIC to NAICS'!A:D,3)</f>
        <v>221320</v>
      </c>
      <c r="O324" s="34" t="str">
        <f>VLOOKUP(L324,'2017 SIC to NAICS'!A:D,4)</f>
        <v>Sewage Treatment Facilities</v>
      </c>
      <c r="P324" s="36" t="s">
        <v>742</v>
      </c>
      <c r="Q324" s="137" t="s">
        <v>743</v>
      </c>
      <c r="R324" s="45" t="s">
        <v>38</v>
      </c>
      <c r="S324" s="138">
        <f>COUNTIFS('Raw Non-zero DMR Data'!$A:$A, A324, 'Raw Non-zero DMR Data'!$C:$C, U324, 'Raw Non-zero DMR Data'!$V:$V, V324)</f>
        <v>1</v>
      </c>
      <c r="T324" s="34">
        <f>SUMIFS('Raw Non-zero DMR Data'!$X:$X, 'Raw Non-zero DMR Data'!$A:$A, A324, 'Raw Non-zero DMR Data'!$C:$C, U324, 'Raw Non-zero DMR Data'!V:V, V324)</f>
        <v>13.4007925</v>
      </c>
      <c r="U324" s="34" t="s">
        <v>1131</v>
      </c>
      <c r="V324" s="34" t="s">
        <v>1133</v>
      </c>
      <c r="W324" s="141" t="s">
        <v>1134</v>
      </c>
      <c r="X324" s="140" t="s">
        <v>745</v>
      </c>
    </row>
    <row r="325" spans="1:24" x14ac:dyDescent="0.35">
      <c r="A325" s="34">
        <v>2019</v>
      </c>
      <c r="B325" s="34" t="s">
        <v>182</v>
      </c>
      <c r="C325" s="34" t="s">
        <v>1135</v>
      </c>
      <c r="D325" s="34" t="s">
        <v>183</v>
      </c>
      <c r="E325" s="34" t="s">
        <v>1136</v>
      </c>
      <c r="F325" s="34" t="s">
        <v>108</v>
      </c>
      <c r="G325" s="34"/>
      <c r="H325" s="34">
        <v>37.304611999999999</v>
      </c>
      <c r="I325" s="34">
        <v>-87.145292999999995</v>
      </c>
      <c r="J325" s="34"/>
      <c r="K325" s="105">
        <v>110064265496</v>
      </c>
      <c r="L325" s="34">
        <v>4952</v>
      </c>
      <c r="M325" s="48" t="str">
        <f>VLOOKUP(L325, '2017 SIC to NAICS'!A:D, 2)</f>
        <v>Sewerage Systems</v>
      </c>
      <c r="N325" s="34">
        <f>VLOOKUP(L325,'2017 SIC to NAICS'!A:D,3)</f>
        <v>221320</v>
      </c>
      <c r="O325" s="34" t="str">
        <f>VLOOKUP(L325,'2017 SIC to NAICS'!A:D,4)</f>
        <v>Sewage Treatment Facilities</v>
      </c>
      <c r="P325" s="36" t="s">
        <v>742</v>
      </c>
      <c r="Q325" s="137" t="s">
        <v>743</v>
      </c>
      <c r="R325" s="45" t="s">
        <v>38</v>
      </c>
      <c r="S325" s="138">
        <f>COUNTIFS('Raw Non-zero DMR Data'!$A:$A, A325, 'Raw Non-zero DMR Data'!$C:$C, U325, 'Raw Non-zero DMR Data'!$V:$V, V325)</f>
        <v>1</v>
      </c>
      <c r="T325" s="34">
        <f>SUMIFS('Raw Non-zero DMR Data'!$X:$X, 'Raw Non-zero DMR Data'!$A:$A, A325, 'Raw Non-zero DMR Data'!$C:$C, U325, 'Raw Non-zero DMR Data'!V:V, V325)</f>
        <v>5.6711601250000001</v>
      </c>
      <c r="U325" s="34" t="s">
        <v>1135</v>
      </c>
      <c r="V325" s="34" t="s">
        <v>1137</v>
      </c>
      <c r="W325" s="139">
        <v>51100060401</v>
      </c>
      <c r="X325" s="140" t="s">
        <v>745</v>
      </c>
    </row>
    <row r="326" spans="1:24" x14ac:dyDescent="0.35">
      <c r="A326" s="34">
        <v>2020</v>
      </c>
      <c r="B326" s="34" t="s">
        <v>182</v>
      </c>
      <c r="C326" s="34" t="s">
        <v>1135</v>
      </c>
      <c r="D326" s="34" t="s">
        <v>183</v>
      </c>
      <c r="E326" s="34" t="s">
        <v>1136</v>
      </c>
      <c r="F326" s="34" t="s">
        <v>108</v>
      </c>
      <c r="G326" s="34"/>
      <c r="H326" s="34">
        <v>37.304611999999999</v>
      </c>
      <c r="I326" s="34">
        <v>-87.145292999999995</v>
      </c>
      <c r="J326" s="34"/>
      <c r="K326" s="105">
        <v>110064265496</v>
      </c>
      <c r="L326" s="34">
        <v>4952</v>
      </c>
      <c r="M326" s="48" t="str">
        <f>VLOOKUP(L326, '2017 SIC to NAICS'!A:D, 2)</f>
        <v>Sewerage Systems</v>
      </c>
      <c r="N326" s="34">
        <f>VLOOKUP(L326,'2017 SIC to NAICS'!A:D,3)</f>
        <v>221320</v>
      </c>
      <c r="O326" s="34" t="str">
        <f>VLOOKUP(L326,'2017 SIC to NAICS'!A:D,4)</f>
        <v>Sewage Treatment Facilities</v>
      </c>
      <c r="P326" s="36" t="s">
        <v>742</v>
      </c>
      <c r="Q326" s="137" t="s">
        <v>743</v>
      </c>
      <c r="R326" s="45" t="s">
        <v>38</v>
      </c>
      <c r="S326" s="138">
        <f>COUNTIFS('Raw Non-zero DMR Data'!$A:$A, A326, 'Raw Non-zero DMR Data'!$C:$C, U326, 'Raw Non-zero DMR Data'!$V:$V, V326)</f>
        <v>1</v>
      </c>
      <c r="T326" s="34">
        <f>SUMIFS('Raw Non-zero DMR Data'!$X:$X, 'Raw Non-zero DMR Data'!$A:$A, A326, 'Raw Non-zero DMR Data'!$C:$C, U326, 'Raw Non-zero DMR Data'!V:V, V326)</f>
        <v>3.5401578124999999</v>
      </c>
      <c r="U326" s="34" t="s">
        <v>1135</v>
      </c>
      <c r="V326" s="34" t="s">
        <v>1137</v>
      </c>
      <c r="W326" s="139">
        <v>51100060401</v>
      </c>
      <c r="X326" s="140" t="s">
        <v>745</v>
      </c>
    </row>
    <row r="327" spans="1:24" x14ac:dyDescent="0.35">
      <c r="A327" s="34">
        <v>2021</v>
      </c>
      <c r="B327" s="34" t="s">
        <v>182</v>
      </c>
      <c r="C327" s="34" t="s">
        <v>1135</v>
      </c>
      <c r="D327" s="34" t="s">
        <v>183</v>
      </c>
      <c r="E327" s="34" t="s">
        <v>1136</v>
      </c>
      <c r="F327" s="34" t="s">
        <v>108</v>
      </c>
      <c r="G327" s="34"/>
      <c r="H327" s="34">
        <v>37.304611999999999</v>
      </c>
      <c r="I327" s="34">
        <v>-87.145292999999995</v>
      </c>
      <c r="J327" s="34"/>
      <c r="K327" s="105">
        <v>110064265496</v>
      </c>
      <c r="L327" s="34">
        <v>4952</v>
      </c>
      <c r="M327" s="48" t="str">
        <f>VLOOKUP(L327, '2017 SIC to NAICS'!A:D, 2)</f>
        <v>Sewerage Systems</v>
      </c>
      <c r="N327" s="34">
        <f>VLOOKUP(L327,'2017 SIC to NAICS'!A:D,3)</f>
        <v>221320</v>
      </c>
      <c r="O327" s="34" t="str">
        <f>VLOOKUP(L327,'2017 SIC to NAICS'!A:D,4)</f>
        <v>Sewage Treatment Facilities</v>
      </c>
      <c r="P327" s="36" t="s">
        <v>742</v>
      </c>
      <c r="Q327" s="137" t="s">
        <v>743</v>
      </c>
      <c r="R327" s="45" t="s">
        <v>38</v>
      </c>
      <c r="S327" s="138">
        <f>COUNTIFS('Raw Non-zero DMR Data'!$A:$A, A327, 'Raw Non-zero DMR Data'!$C:$C, U327, 'Raw Non-zero DMR Data'!$V:$V, V327)</f>
        <v>1</v>
      </c>
      <c r="T327" s="34">
        <f>SUMIFS('Raw Non-zero DMR Data'!$X:$X, 'Raw Non-zero DMR Data'!$A:$A, A327, 'Raw Non-zero DMR Data'!$C:$C, U327, 'Raw Non-zero DMR Data'!V:V, V327)</f>
        <v>2.2311628749999999</v>
      </c>
      <c r="U327" s="34" t="s">
        <v>1135</v>
      </c>
      <c r="V327" s="34" t="s">
        <v>1137</v>
      </c>
      <c r="W327" s="139">
        <v>51100060401</v>
      </c>
      <c r="X327" s="140" t="s">
        <v>745</v>
      </c>
    </row>
    <row r="328" spans="1:24" x14ac:dyDescent="0.35">
      <c r="A328" s="34">
        <v>2023</v>
      </c>
      <c r="B328" s="34" t="s">
        <v>182</v>
      </c>
      <c r="C328" s="34" t="s">
        <v>1135</v>
      </c>
      <c r="D328" s="34" t="s">
        <v>183</v>
      </c>
      <c r="E328" s="34" t="s">
        <v>1136</v>
      </c>
      <c r="F328" s="34" t="s">
        <v>108</v>
      </c>
      <c r="G328" s="34"/>
      <c r="H328" s="34">
        <v>37.304611999999999</v>
      </c>
      <c r="I328" s="34">
        <v>-87.145292999999995</v>
      </c>
      <c r="J328" s="34"/>
      <c r="K328" s="105">
        <v>110064265496</v>
      </c>
      <c r="L328" s="34">
        <v>4952</v>
      </c>
      <c r="M328" s="48" t="str">
        <f>VLOOKUP(L328, '2017 SIC to NAICS'!A:D, 2)</f>
        <v>Sewerage Systems</v>
      </c>
      <c r="N328" s="34">
        <f>VLOOKUP(L328,'2017 SIC to NAICS'!A:D,3)</f>
        <v>221320</v>
      </c>
      <c r="O328" s="34" t="str">
        <f>VLOOKUP(L328,'2017 SIC to NAICS'!A:D,4)</f>
        <v>Sewage Treatment Facilities</v>
      </c>
      <c r="P328" s="36" t="s">
        <v>742</v>
      </c>
      <c r="Q328" s="137" t="s">
        <v>743</v>
      </c>
      <c r="R328" s="45" t="s">
        <v>38</v>
      </c>
      <c r="S328" s="138">
        <f>COUNTIFS('Raw Non-zero DMR Data'!$A:$A, A328, 'Raw Non-zero DMR Data'!$C:$C, U328, 'Raw Non-zero DMR Data'!$V:$V, V328)</f>
        <v>1</v>
      </c>
      <c r="T328" s="34">
        <f>SUMIFS('Raw Non-zero DMR Data'!$X:$X, 'Raw Non-zero DMR Data'!$A:$A, A328, 'Raw Non-zero DMR Data'!$C:$C, U328, 'Raw Non-zero DMR Data'!V:V, V328)</f>
        <v>5.9681879999999999E-4</v>
      </c>
      <c r="U328" s="34" t="s">
        <v>1135</v>
      </c>
      <c r="V328" s="34" t="s">
        <v>1137</v>
      </c>
      <c r="W328" s="141" t="s">
        <v>1138</v>
      </c>
      <c r="X328" s="140" t="s">
        <v>745</v>
      </c>
    </row>
    <row r="329" spans="1:24" x14ac:dyDescent="0.35">
      <c r="A329" s="34">
        <v>2019</v>
      </c>
      <c r="B329" s="34" t="s">
        <v>196</v>
      </c>
      <c r="C329" s="34" t="s">
        <v>1139</v>
      </c>
      <c r="D329" s="34" t="s">
        <v>197</v>
      </c>
      <c r="E329" s="34" t="s">
        <v>1140</v>
      </c>
      <c r="F329" s="34" t="s">
        <v>108</v>
      </c>
      <c r="G329" s="34"/>
      <c r="H329" s="34">
        <v>37.108094000000001</v>
      </c>
      <c r="I329" s="34">
        <v>-85.303033999999997</v>
      </c>
      <c r="J329" s="34"/>
      <c r="K329" s="105">
        <v>110009696356</v>
      </c>
      <c r="L329" s="34">
        <v>4952</v>
      </c>
      <c r="M329" s="48" t="str">
        <f>VLOOKUP(L329, '2017 SIC to NAICS'!A:D, 2)</f>
        <v>Sewerage Systems</v>
      </c>
      <c r="N329" s="34">
        <f>VLOOKUP(L329,'2017 SIC to NAICS'!A:D,3)</f>
        <v>221320</v>
      </c>
      <c r="O329" s="34" t="str">
        <f>VLOOKUP(L329,'2017 SIC to NAICS'!A:D,4)</f>
        <v>Sewage Treatment Facilities</v>
      </c>
      <c r="P329" s="36" t="s">
        <v>742</v>
      </c>
      <c r="Q329" s="137" t="s">
        <v>743</v>
      </c>
      <c r="R329" s="45" t="s">
        <v>38</v>
      </c>
      <c r="S329" s="138">
        <f>COUNTIFS('Raw Non-zero DMR Data'!$A:$A, A329, 'Raw Non-zero DMR Data'!$C:$C, U329, 'Raw Non-zero DMR Data'!$V:$V, V329)</f>
        <v>1</v>
      </c>
      <c r="T329" s="34">
        <f>SUMIFS('Raw Non-zero DMR Data'!$X:$X, 'Raw Non-zero DMR Data'!$A:$A, A329, 'Raw Non-zero DMR Data'!$C:$C, U329, 'Raw Non-zero DMR Data'!V:V, V329)</f>
        <v>4.6419240000000004</v>
      </c>
      <c r="U329" s="34" t="s">
        <v>1139</v>
      </c>
      <c r="V329" s="34" t="s">
        <v>1141</v>
      </c>
      <c r="W329" s="139">
        <v>51100010407</v>
      </c>
      <c r="X329" s="140" t="s">
        <v>745</v>
      </c>
    </row>
    <row r="330" spans="1:24" x14ac:dyDescent="0.35">
      <c r="A330" s="34">
        <v>2022</v>
      </c>
      <c r="B330" s="34" t="s">
        <v>196</v>
      </c>
      <c r="C330" s="34" t="s">
        <v>1139</v>
      </c>
      <c r="D330" s="34" t="s">
        <v>197</v>
      </c>
      <c r="E330" s="34" t="s">
        <v>1140</v>
      </c>
      <c r="F330" s="34" t="s">
        <v>108</v>
      </c>
      <c r="G330" s="34"/>
      <c r="H330" s="34">
        <v>37.108094000000001</v>
      </c>
      <c r="I330" s="34">
        <v>-85.303033999999997</v>
      </c>
      <c r="J330" s="34"/>
      <c r="K330" s="105">
        <v>110009696356</v>
      </c>
      <c r="L330" s="34">
        <v>4952</v>
      </c>
      <c r="M330" s="48" t="str">
        <f>VLOOKUP(L330, '2017 SIC to NAICS'!A:D, 2)</f>
        <v>Sewerage Systems</v>
      </c>
      <c r="N330" s="34">
        <f>VLOOKUP(L330,'2017 SIC to NAICS'!A:D,3)</f>
        <v>221320</v>
      </c>
      <c r="O330" s="34" t="str">
        <f>VLOOKUP(L330,'2017 SIC to NAICS'!A:D,4)</f>
        <v>Sewage Treatment Facilities</v>
      </c>
      <c r="P330" s="36" t="s">
        <v>742</v>
      </c>
      <c r="Q330" s="137" t="s">
        <v>743</v>
      </c>
      <c r="R330" s="45" t="s">
        <v>38</v>
      </c>
      <c r="S330" s="138">
        <f>COUNTIFS('Raw Non-zero DMR Data'!$A:$A, A330, 'Raw Non-zero DMR Data'!$C:$C, U330, 'Raw Non-zero DMR Data'!$V:$V, V330)</f>
        <v>1</v>
      </c>
      <c r="T330" s="34">
        <f>SUMIFS('Raw Non-zero DMR Data'!$X:$X, 'Raw Non-zero DMR Data'!$A:$A, A330, 'Raw Non-zero DMR Data'!$C:$C, U330, 'Raw Non-zero DMR Data'!V:V, V330)</f>
        <v>2.4763835625000001</v>
      </c>
      <c r="U330" s="34" t="s">
        <v>1139</v>
      </c>
      <c r="V330" s="34" t="s">
        <v>1141</v>
      </c>
      <c r="W330" s="141" t="s">
        <v>1142</v>
      </c>
      <c r="X330" s="140" t="s">
        <v>745</v>
      </c>
    </row>
    <row r="331" spans="1:24" x14ac:dyDescent="0.35">
      <c r="A331" s="34">
        <v>2023</v>
      </c>
      <c r="B331" s="34" t="s">
        <v>196</v>
      </c>
      <c r="C331" s="34" t="s">
        <v>1139</v>
      </c>
      <c r="D331" s="34" t="s">
        <v>197</v>
      </c>
      <c r="E331" s="34" t="s">
        <v>1140</v>
      </c>
      <c r="F331" s="34" t="s">
        <v>108</v>
      </c>
      <c r="G331" s="34"/>
      <c r="H331" s="34">
        <v>37.108094000000001</v>
      </c>
      <c r="I331" s="34">
        <v>-85.303033999999997</v>
      </c>
      <c r="J331" s="34"/>
      <c r="K331" s="105">
        <v>110009696356</v>
      </c>
      <c r="L331" s="34">
        <v>4952</v>
      </c>
      <c r="M331" s="48" t="str">
        <f>VLOOKUP(L331, '2017 SIC to NAICS'!A:D, 2)</f>
        <v>Sewerage Systems</v>
      </c>
      <c r="N331" s="34">
        <f>VLOOKUP(L331,'2017 SIC to NAICS'!A:D,3)</f>
        <v>221320</v>
      </c>
      <c r="O331" s="34" t="str">
        <f>VLOOKUP(L331,'2017 SIC to NAICS'!A:D,4)</f>
        <v>Sewage Treatment Facilities</v>
      </c>
      <c r="P331" s="36" t="s">
        <v>742</v>
      </c>
      <c r="Q331" s="137" t="s">
        <v>743</v>
      </c>
      <c r="R331" s="45" t="s">
        <v>38</v>
      </c>
      <c r="S331" s="138">
        <f>COUNTIFS('Raw Non-zero DMR Data'!$A:$A, A331, 'Raw Non-zero DMR Data'!$C:$C, U331, 'Raw Non-zero DMR Data'!$V:$V, V331)</f>
        <v>1</v>
      </c>
      <c r="T331" s="34">
        <f>SUMIFS('Raw Non-zero DMR Data'!$X:$X, 'Raw Non-zero DMR Data'!$A:$A, A331, 'Raw Non-zero DMR Data'!$C:$C, U331, 'Raw Non-zero DMR Data'!V:V, V331)</f>
        <v>1.90477759375</v>
      </c>
      <c r="U331" s="34" t="s">
        <v>1139</v>
      </c>
      <c r="V331" s="34" t="s">
        <v>1141</v>
      </c>
      <c r="W331" s="141" t="s">
        <v>1142</v>
      </c>
      <c r="X331" s="140" t="s">
        <v>745</v>
      </c>
    </row>
    <row r="332" spans="1:24" x14ac:dyDescent="0.35">
      <c r="A332" s="34">
        <v>2019</v>
      </c>
      <c r="B332" s="34" t="s">
        <v>170</v>
      </c>
      <c r="C332" s="34" t="s">
        <v>1143</v>
      </c>
      <c r="D332" s="34" t="s">
        <v>171</v>
      </c>
      <c r="E332" s="34" t="s">
        <v>1144</v>
      </c>
      <c r="F332" s="34" t="s">
        <v>108</v>
      </c>
      <c r="G332" s="34"/>
      <c r="H332" s="34">
        <v>37.491857000000003</v>
      </c>
      <c r="I332" s="34">
        <v>-82.539703000000003</v>
      </c>
      <c r="J332" s="34"/>
      <c r="K332" s="105">
        <v>110006644872</v>
      </c>
      <c r="L332" s="34">
        <v>4952</v>
      </c>
      <c r="M332" s="48" t="str">
        <f>VLOOKUP(L332, '2017 SIC to NAICS'!A:D, 2)</f>
        <v>Sewerage Systems</v>
      </c>
      <c r="N332" s="34">
        <f>VLOOKUP(L332,'2017 SIC to NAICS'!A:D,3)</f>
        <v>221320</v>
      </c>
      <c r="O332" s="34" t="str">
        <f>VLOOKUP(L332,'2017 SIC to NAICS'!A:D,4)</f>
        <v>Sewage Treatment Facilities</v>
      </c>
      <c r="P332" s="36" t="s">
        <v>742</v>
      </c>
      <c r="Q332" s="137" t="s">
        <v>743</v>
      </c>
      <c r="R332" s="45" t="s">
        <v>38</v>
      </c>
      <c r="S332" s="138">
        <f>COUNTIFS('Raw Non-zero DMR Data'!$A:$A, A332, 'Raw Non-zero DMR Data'!$C:$C, U332, 'Raw Non-zero DMR Data'!$V:$V, V332)</f>
        <v>1</v>
      </c>
      <c r="T332" s="34">
        <f>SUMIFS('Raw Non-zero DMR Data'!$X:$X, 'Raw Non-zero DMR Data'!$A:$A, A332, 'Raw Non-zero DMR Data'!$C:$C, U332, 'Raw Non-zero DMR Data'!V:V, V332)</f>
        <v>7.6501946875</v>
      </c>
      <c r="U332" s="34" t="s">
        <v>1143</v>
      </c>
      <c r="V332" s="34" t="s">
        <v>1145</v>
      </c>
      <c r="W332" s="139">
        <v>50702030202</v>
      </c>
      <c r="X332" s="140" t="s">
        <v>745</v>
      </c>
    </row>
    <row r="333" spans="1:24" x14ac:dyDescent="0.35">
      <c r="A333" s="34">
        <v>2020</v>
      </c>
      <c r="B333" s="34" t="s">
        <v>170</v>
      </c>
      <c r="C333" s="34" t="s">
        <v>1143</v>
      </c>
      <c r="D333" s="34" t="s">
        <v>171</v>
      </c>
      <c r="E333" s="34" t="s">
        <v>1144</v>
      </c>
      <c r="F333" s="34" t="s">
        <v>108</v>
      </c>
      <c r="G333" s="34"/>
      <c r="H333" s="34">
        <v>37.491857000000003</v>
      </c>
      <c r="I333" s="34">
        <v>-82.539703000000003</v>
      </c>
      <c r="J333" s="34"/>
      <c r="K333" s="105">
        <v>110006644872</v>
      </c>
      <c r="L333" s="34">
        <v>4952</v>
      </c>
      <c r="M333" s="48" t="str">
        <f>VLOOKUP(L333, '2017 SIC to NAICS'!A:D, 2)</f>
        <v>Sewerage Systems</v>
      </c>
      <c r="N333" s="34">
        <f>VLOOKUP(L333,'2017 SIC to NAICS'!A:D,3)</f>
        <v>221320</v>
      </c>
      <c r="O333" s="34" t="str">
        <f>VLOOKUP(L333,'2017 SIC to NAICS'!A:D,4)</f>
        <v>Sewage Treatment Facilities</v>
      </c>
      <c r="P333" s="36" t="s">
        <v>742</v>
      </c>
      <c r="Q333" s="137" t="s">
        <v>743</v>
      </c>
      <c r="R333" s="45" t="s">
        <v>38</v>
      </c>
      <c r="S333" s="138">
        <f>COUNTIFS('Raw Non-zero DMR Data'!$A:$A, A333, 'Raw Non-zero DMR Data'!$C:$C, U333, 'Raw Non-zero DMR Data'!$V:$V, V333)</f>
        <v>1</v>
      </c>
      <c r="T333" s="34">
        <f>SUMIFS('Raw Non-zero DMR Data'!$X:$X, 'Raw Non-zero DMR Data'!$A:$A, A333, 'Raw Non-zero DMR Data'!$C:$C, U333, 'Raw Non-zero DMR Data'!V:V, V333)</f>
        <v>1.3628744125000001</v>
      </c>
      <c r="U333" s="34" t="s">
        <v>1143</v>
      </c>
      <c r="V333" s="34" t="s">
        <v>1145</v>
      </c>
      <c r="W333" s="139">
        <v>50702030202</v>
      </c>
      <c r="X333" s="140" t="s">
        <v>745</v>
      </c>
    </row>
    <row r="334" spans="1:24" x14ac:dyDescent="0.35">
      <c r="A334" s="34">
        <v>2023</v>
      </c>
      <c r="B334" s="34" t="s">
        <v>170</v>
      </c>
      <c r="C334" s="34" t="s">
        <v>1143</v>
      </c>
      <c r="D334" s="34" t="s">
        <v>171</v>
      </c>
      <c r="E334" s="34" t="s">
        <v>1144</v>
      </c>
      <c r="F334" s="34" t="s">
        <v>108</v>
      </c>
      <c r="G334" s="34"/>
      <c r="H334" s="34">
        <v>37.491857000000003</v>
      </c>
      <c r="I334" s="34">
        <v>-82.539703000000003</v>
      </c>
      <c r="J334" s="34"/>
      <c r="K334" s="105">
        <v>110006644872</v>
      </c>
      <c r="L334" s="34">
        <v>4952</v>
      </c>
      <c r="M334" s="48" t="str">
        <f>VLOOKUP(L334, '2017 SIC to NAICS'!A:D, 2)</f>
        <v>Sewerage Systems</v>
      </c>
      <c r="N334" s="34">
        <f>VLOOKUP(L334,'2017 SIC to NAICS'!A:D,3)</f>
        <v>221320</v>
      </c>
      <c r="O334" s="34" t="str">
        <f>VLOOKUP(L334,'2017 SIC to NAICS'!A:D,4)</f>
        <v>Sewage Treatment Facilities</v>
      </c>
      <c r="P334" s="36" t="s">
        <v>742</v>
      </c>
      <c r="Q334" s="137" t="s">
        <v>743</v>
      </c>
      <c r="R334" s="45" t="s">
        <v>38</v>
      </c>
      <c r="S334" s="138">
        <f>COUNTIFS('Raw Non-zero DMR Data'!$A:$A, A334, 'Raw Non-zero DMR Data'!$C:$C, U334, 'Raw Non-zero DMR Data'!$V:$V, V334)</f>
        <v>1</v>
      </c>
      <c r="T334" s="34">
        <f>SUMIFS('Raw Non-zero DMR Data'!$X:$X, 'Raw Non-zero DMR Data'!$A:$A, A334, 'Raw Non-zero DMR Data'!$C:$C, U334, 'Raw Non-zero DMR Data'!V:V, V334)</f>
        <v>1.2218897862500001E-3</v>
      </c>
      <c r="U334" s="34" t="s">
        <v>1143</v>
      </c>
      <c r="V334" s="34" t="s">
        <v>1145</v>
      </c>
      <c r="W334" s="141" t="s">
        <v>1146</v>
      </c>
      <c r="X334" s="140" t="s">
        <v>745</v>
      </c>
    </row>
    <row r="335" spans="1:24" x14ac:dyDescent="0.35">
      <c r="A335" s="34">
        <v>2020</v>
      </c>
      <c r="B335" s="34" t="s">
        <v>320</v>
      </c>
      <c r="C335" s="34" t="s">
        <v>1147</v>
      </c>
      <c r="D335" s="34" t="s">
        <v>321</v>
      </c>
      <c r="E335" s="34" t="s">
        <v>1148</v>
      </c>
      <c r="F335" s="34" t="s">
        <v>108</v>
      </c>
      <c r="G335" s="34"/>
      <c r="H335" s="34">
        <v>37.021974</v>
      </c>
      <c r="I335" s="34">
        <v>-88.512833000000001</v>
      </c>
      <c r="J335" s="34"/>
      <c r="K335" s="105">
        <v>110006367136</v>
      </c>
      <c r="L335" s="34">
        <v>4952</v>
      </c>
      <c r="M335" s="48" t="str">
        <f>VLOOKUP(L335, '2017 SIC to NAICS'!A:D, 2)</f>
        <v>Sewerage Systems</v>
      </c>
      <c r="N335" s="34">
        <f>VLOOKUP(L335,'2017 SIC to NAICS'!A:D,3)</f>
        <v>221320</v>
      </c>
      <c r="O335" s="34" t="str">
        <f>VLOOKUP(L335,'2017 SIC to NAICS'!A:D,4)</f>
        <v>Sewage Treatment Facilities</v>
      </c>
      <c r="P335" s="36" t="s">
        <v>742</v>
      </c>
      <c r="Q335" s="137" t="s">
        <v>743</v>
      </c>
      <c r="R335" s="45" t="s">
        <v>38</v>
      </c>
      <c r="S335" s="138">
        <f>COUNTIFS('Raw Non-zero DMR Data'!$A:$A, A335, 'Raw Non-zero DMR Data'!$C:$C, U335, 'Raw Non-zero DMR Data'!$V:$V, V335)</f>
        <v>1</v>
      </c>
      <c r="T335" s="34">
        <f>SUMIFS('Raw Non-zero DMR Data'!$X:$X, 'Raw Non-zero DMR Data'!$A:$A, A335, 'Raw Non-zero DMR Data'!$C:$C, U335, 'Raw Non-zero DMR Data'!V:V, V335)</f>
        <v>0.49734899999999999</v>
      </c>
      <c r="U335" s="34" t="s">
        <v>1147</v>
      </c>
      <c r="V335" s="34" t="s">
        <v>1149</v>
      </c>
      <c r="W335" s="139">
        <v>60400060505</v>
      </c>
      <c r="X335" s="140" t="s">
        <v>745</v>
      </c>
    </row>
    <row r="336" spans="1:24" x14ac:dyDescent="0.35">
      <c r="A336" s="34">
        <v>2021</v>
      </c>
      <c r="B336" s="34" t="s">
        <v>320</v>
      </c>
      <c r="C336" s="34" t="s">
        <v>1147</v>
      </c>
      <c r="D336" s="34" t="s">
        <v>321</v>
      </c>
      <c r="E336" s="34" t="s">
        <v>1148</v>
      </c>
      <c r="F336" s="34" t="s">
        <v>108</v>
      </c>
      <c r="G336" s="34"/>
      <c r="H336" s="34">
        <v>37.021974</v>
      </c>
      <c r="I336" s="34">
        <v>-88.512833000000001</v>
      </c>
      <c r="J336" s="34"/>
      <c r="K336" s="105">
        <v>110006367136</v>
      </c>
      <c r="L336" s="34">
        <v>4952</v>
      </c>
      <c r="M336" s="48" t="str">
        <f>VLOOKUP(L336, '2017 SIC to NAICS'!A:D, 2)</f>
        <v>Sewerage Systems</v>
      </c>
      <c r="N336" s="34">
        <f>VLOOKUP(L336,'2017 SIC to NAICS'!A:D,3)</f>
        <v>221320</v>
      </c>
      <c r="O336" s="34" t="str">
        <f>VLOOKUP(L336,'2017 SIC to NAICS'!A:D,4)</f>
        <v>Sewage Treatment Facilities</v>
      </c>
      <c r="P336" s="36" t="s">
        <v>742</v>
      </c>
      <c r="Q336" s="137" t="s">
        <v>743</v>
      </c>
      <c r="R336" s="45" t="s">
        <v>38</v>
      </c>
      <c r="S336" s="138">
        <f>COUNTIFS('Raw Non-zero DMR Data'!$A:$A, A336, 'Raw Non-zero DMR Data'!$C:$C, U336, 'Raw Non-zero DMR Data'!$V:$V, V336)</f>
        <v>1</v>
      </c>
      <c r="T336" s="34">
        <f>SUMIFS('Raw Non-zero DMR Data'!$X:$X, 'Raw Non-zero DMR Data'!$A:$A, A336, 'Raw Non-zero DMR Data'!$C:$C, U336, 'Raw Non-zero DMR Data'!V:V, V336)</f>
        <v>0.79437687499999998</v>
      </c>
      <c r="U336" s="34" t="s">
        <v>1147</v>
      </c>
      <c r="V336" s="34" t="s">
        <v>1149</v>
      </c>
      <c r="W336" s="139">
        <v>60400060505</v>
      </c>
      <c r="X336" s="140" t="s">
        <v>745</v>
      </c>
    </row>
    <row r="337" spans="1:24" x14ac:dyDescent="0.35">
      <c r="A337" s="34">
        <v>2022</v>
      </c>
      <c r="B337" s="34" t="s">
        <v>320</v>
      </c>
      <c r="C337" s="34" t="s">
        <v>1147</v>
      </c>
      <c r="D337" s="34" t="s">
        <v>321</v>
      </c>
      <c r="E337" s="34" t="s">
        <v>1148</v>
      </c>
      <c r="F337" s="34" t="s">
        <v>108</v>
      </c>
      <c r="G337" s="34"/>
      <c r="H337" s="34">
        <v>37.021974</v>
      </c>
      <c r="I337" s="34">
        <v>-88.512833000000001</v>
      </c>
      <c r="J337" s="34"/>
      <c r="K337" s="105">
        <v>110006367136</v>
      </c>
      <c r="L337" s="34">
        <v>4952</v>
      </c>
      <c r="M337" s="48" t="str">
        <f>VLOOKUP(L337, '2017 SIC to NAICS'!A:D, 2)</f>
        <v>Sewerage Systems</v>
      </c>
      <c r="N337" s="34">
        <f>VLOOKUP(L337,'2017 SIC to NAICS'!A:D,3)</f>
        <v>221320</v>
      </c>
      <c r="O337" s="34" t="str">
        <f>VLOOKUP(L337,'2017 SIC to NAICS'!A:D,4)</f>
        <v>Sewage Treatment Facilities</v>
      </c>
      <c r="P337" s="36" t="s">
        <v>742</v>
      </c>
      <c r="Q337" s="137" t="s">
        <v>743</v>
      </c>
      <c r="R337" s="45" t="s">
        <v>38</v>
      </c>
      <c r="S337" s="138">
        <f>COUNTIFS('Raw Non-zero DMR Data'!$A:$A, A337, 'Raw Non-zero DMR Data'!$C:$C, U337, 'Raw Non-zero DMR Data'!$V:$V, V337)</f>
        <v>1</v>
      </c>
      <c r="T337" s="34">
        <f>SUMIFS('Raw Non-zero DMR Data'!$X:$X, 'Raw Non-zero DMR Data'!$A:$A, A337, 'Raw Non-zero DMR Data'!$C:$C, U337, 'Raw Non-zero DMR Data'!V:V, V337)</f>
        <v>0.66589505000000004</v>
      </c>
      <c r="U337" s="34" t="s">
        <v>1147</v>
      </c>
      <c r="V337" s="34" t="s">
        <v>1149</v>
      </c>
      <c r="W337" s="141" t="s">
        <v>1150</v>
      </c>
      <c r="X337" s="140" t="s">
        <v>745</v>
      </c>
    </row>
    <row r="338" spans="1:24" x14ac:dyDescent="0.35">
      <c r="A338" s="34">
        <v>2023</v>
      </c>
      <c r="B338" s="34" t="s">
        <v>320</v>
      </c>
      <c r="C338" s="34" t="s">
        <v>1147</v>
      </c>
      <c r="D338" s="34" t="s">
        <v>321</v>
      </c>
      <c r="E338" s="34" t="s">
        <v>1148</v>
      </c>
      <c r="F338" s="34" t="s">
        <v>108</v>
      </c>
      <c r="G338" s="34"/>
      <c r="H338" s="34">
        <v>37.021974</v>
      </c>
      <c r="I338" s="34">
        <v>-88.512833000000001</v>
      </c>
      <c r="J338" s="34"/>
      <c r="K338" s="105">
        <v>110006367136</v>
      </c>
      <c r="L338" s="34">
        <v>4952</v>
      </c>
      <c r="M338" s="48" t="str">
        <f>VLOOKUP(L338, '2017 SIC to NAICS'!A:D, 2)</f>
        <v>Sewerage Systems</v>
      </c>
      <c r="N338" s="34">
        <f>VLOOKUP(L338,'2017 SIC to NAICS'!A:D,3)</f>
        <v>221320</v>
      </c>
      <c r="O338" s="34" t="str">
        <f>VLOOKUP(L338,'2017 SIC to NAICS'!A:D,4)</f>
        <v>Sewage Treatment Facilities</v>
      </c>
      <c r="P338" s="36" t="s">
        <v>742</v>
      </c>
      <c r="Q338" s="137" t="s">
        <v>743</v>
      </c>
      <c r="R338" s="45" t="s">
        <v>38</v>
      </c>
      <c r="S338" s="138">
        <f>COUNTIFS('Raw Non-zero DMR Data'!$A:$A, A338, 'Raw Non-zero DMR Data'!$C:$C, U338, 'Raw Non-zero DMR Data'!$V:$V, V338)</f>
        <v>1</v>
      </c>
      <c r="T338" s="34">
        <f>SUMIFS('Raw Non-zero DMR Data'!$X:$X, 'Raw Non-zero DMR Data'!$A:$A, A338, 'Raw Non-zero DMR Data'!$C:$C, U338, 'Raw Non-zero DMR Data'!V:V, V338)</f>
        <v>0.8178628</v>
      </c>
      <c r="U338" s="34" t="s">
        <v>1147</v>
      </c>
      <c r="V338" s="34" t="s">
        <v>1149</v>
      </c>
      <c r="W338" s="141" t="s">
        <v>1150</v>
      </c>
      <c r="X338" s="140" t="s">
        <v>745</v>
      </c>
    </row>
    <row r="339" spans="1:24" x14ac:dyDescent="0.35">
      <c r="A339" s="34">
        <v>2020</v>
      </c>
      <c r="B339" s="34" t="s">
        <v>344</v>
      </c>
      <c r="C339" s="34" t="s">
        <v>1151</v>
      </c>
      <c r="D339" s="34" t="s">
        <v>345</v>
      </c>
      <c r="E339" s="34" t="s">
        <v>1152</v>
      </c>
      <c r="F339" s="34" t="s">
        <v>108</v>
      </c>
      <c r="G339" s="34"/>
      <c r="H339" s="34">
        <v>37.700833000000003</v>
      </c>
      <c r="I339" s="34">
        <v>-83.984443999999996</v>
      </c>
      <c r="J339" s="34"/>
      <c r="K339" s="105">
        <v>110006749162</v>
      </c>
      <c r="L339" s="34">
        <v>8711</v>
      </c>
      <c r="M339" s="48" t="str">
        <f>VLOOKUP(L339, '2017 SIC to NAICS'!A:D, 2)</f>
        <v>Engineering Services</v>
      </c>
      <c r="N339" s="34">
        <f>VLOOKUP(L339,'2017 SIC to NAICS'!A:D,3)</f>
        <v>541330</v>
      </c>
      <c r="O339" s="34" t="str">
        <f>VLOOKUP(L339,'2017 SIC to NAICS'!A:D,4)</f>
        <v>Engineering Services</v>
      </c>
      <c r="P339" s="36" t="s">
        <v>754</v>
      </c>
      <c r="Q339" s="137" t="s">
        <v>755</v>
      </c>
      <c r="R339" s="45" t="s">
        <v>38</v>
      </c>
      <c r="S339" s="138">
        <f>COUNTIFS('Raw Non-zero DMR Data'!$A:$A, A339, 'Raw Non-zero DMR Data'!$C:$C, U339, 'Raw Non-zero DMR Data'!$V:$V, V339)</f>
        <v>1</v>
      </c>
      <c r="T339" s="34">
        <f>SUMIFS('Raw Non-zero DMR Data'!$X:$X, 'Raw Non-zero DMR Data'!$A:$A, A339, 'Raw Non-zero DMR Data'!$C:$C, U339, 'Raw Non-zero DMR Data'!V:V, V339)</f>
        <v>0.63481073750000006</v>
      </c>
      <c r="U339" s="34" t="s">
        <v>1151</v>
      </c>
      <c r="V339" s="34" t="s">
        <v>1153</v>
      </c>
      <c r="W339" s="139">
        <v>51002040505</v>
      </c>
      <c r="X339" s="140" t="s">
        <v>1154</v>
      </c>
    </row>
    <row r="340" spans="1:24" x14ac:dyDescent="0.35">
      <c r="A340" s="34">
        <v>2021</v>
      </c>
      <c r="B340" s="34" t="s">
        <v>344</v>
      </c>
      <c r="C340" s="34" t="s">
        <v>1151</v>
      </c>
      <c r="D340" s="34" t="s">
        <v>345</v>
      </c>
      <c r="E340" s="34" t="s">
        <v>1152</v>
      </c>
      <c r="F340" s="34" t="s">
        <v>108</v>
      </c>
      <c r="G340" s="34"/>
      <c r="H340" s="34">
        <v>37.700833000000003</v>
      </c>
      <c r="I340" s="34">
        <v>-83.984443999999996</v>
      </c>
      <c r="J340" s="34"/>
      <c r="K340" s="105">
        <v>110006749162</v>
      </c>
      <c r="L340" s="34">
        <v>8711</v>
      </c>
      <c r="M340" s="48" t="str">
        <f>VLOOKUP(L340, '2017 SIC to NAICS'!A:D, 2)</f>
        <v>Engineering Services</v>
      </c>
      <c r="N340" s="34">
        <f>VLOOKUP(L340,'2017 SIC to NAICS'!A:D,3)</f>
        <v>541330</v>
      </c>
      <c r="O340" s="34" t="str">
        <f>VLOOKUP(L340,'2017 SIC to NAICS'!A:D,4)</f>
        <v>Engineering Services</v>
      </c>
      <c r="P340" s="36" t="s">
        <v>754</v>
      </c>
      <c r="Q340" s="137" t="s">
        <v>755</v>
      </c>
      <c r="R340" s="45" t="s">
        <v>38</v>
      </c>
      <c r="S340" s="138">
        <f>COUNTIFS('Raw Non-zero DMR Data'!$A:$A, A340, 'Raw Non-zero DMR Data'!$C:$C, U340, 'Raw Non-zero DMR Data'!$V:$V, V340)</f>
        <v>1</v>
      </c>
      <c r="T340" s="34">
        <f>SUMIFS('Raw Non-zero DMR Data'!$X:$X, 'Raw Non-zero DMR Data'!$A:$A, A340, 'Raw Non-zero DMR Data'!$C:$C, U340, 'Raw Non-zero DMR Data'!V:V, V340)</f>
        <v>0.58231278750000004</v>
      </c>
      <c r="U340" s="34" t="s">
        <v>1151</v>
      </c>
      <c r="V340" s="34" t="s">
        <v>1153</v>
      </c>
      <c r="W340" s="139">
        <v>51002040505</v>
      </c>
      <c r="X340" s="140" t="s">
        <v>1154</v>
      </c>
    </row>
    <row r="341" spans="1:24" x14ac:dyDescent="0.35">
      <c r="A341" s="34">
        <v>2021</v>
      </c>
      <c r="B341" s="34" t="s">
        <v>246</v>
      </c>
      <c r="C341" s="34" t="s">
        <v>1155</v>
      </c>
      <c r="D341" s="34" t="s">
        <v>247</v>
      </c>
      <c r="E341" s="34" t="s">
        <v>1156</v>
      </c>
      <c r="F341" s="34" t="s">
        <v>108</v>
      </c>
      <c r="G341" s="34"/>
      <c r="H341" s="34">
        <v>38.369734999999999</v>
      </c>
      <c r="I341" s="34">
        <v>-85.180234999999996</v>
      </c>
      <c r="J341" s="34"/>
      <c r="K341" s="105">
        <v>110064268260</v>
      </c>
      <c r="L341" s="34">
        <v>4952</v>
      </c>
      <c r="M341" s="48" t="str">
        <f>VLOOKUP(L341, '2017 SIC to NAICS'!A:D, 2)</f>
        <v>Sewerage Systems</v>
      </c>
      <c r="N341" s="34">
        <f>VLOOKUP(L341,'2017 SIC to NAICS'!A:D,3)</f>
        <v>221320</v>
      </c>
      <c r="O341" s="34" t="str">
        <f>VLOOKUP(L341,'2017 SIC to NAICS'!A:D,4)</f>
        <v>Sewage Treatment Facilities</v>
      </c>
      <c r="P341" s="36" t="s">
        <v>742</v>
      </c>
      <c r="Q341" s="137" t="s">
        <v>743</v>
      </c>
      <c r="R341" s="45" t="s">
        <v>38</v>
      </c>
      <c r="S341" s="138">
        <f>COUNTIFS('Raw Non-zero DMR Data'!$A:$A, A341, 'Raw Non-zero DMR Data'!$C:$C, U341, 'Raw Non-zero DMR Data'!$V:$V, V341)</f>
        <v>1</v>
      </c>
      <c r="T341" s="34">
        <f>SUMIFS('Raw Non-zero DMR Data'!$X:$X, 'Raw Non-zero DMR Data'!$A:$A, A341, 'Raw Non-zero DMR Data'!$C:$C, U341, 'Raw Non-zero DMR Data'!V:V, V341)</f>
        <v>2.3520463125000002</v>
      </c>
      <c r="U341" s="34" t="s">
        <v>1155</v>
      </c>
      <c r="V341" s="34" t="s">
        <v>1157</v>
      </c>
      <c r="W341" s="139">
        <v>51401020404</v>
      </c>
      <c r="X341" s="140" t="s">
        <v>745</v>
      </c>
    </row>
    <row r="342" spans="1:24" x14ac:dyDescent="0.35">
      <c r="A342" s="34">
        <v>2022</v>
      </c>
      <c r="B342" s="34" t="s">
        <v>246</v>
      </c>
      <c r="C342" s="34" t="s">
        <v>1155</v>
      </c>
      <c r="D342" s="34" t="s">
        <v>247</v>
      </c>
      <c r="E342" s="34" t="s">
        <v>1156</v>
      </c>
      <c r="F342" s="34" t="s">
        <v>108</v>
      </c>
      <c r="G342" s="34"/>
      <c r="H342" s="34">
        <v>38.369734999999999</v>
      </c>
      <c r="I342" s="34">
        <v>-85.180234999999996</v>
      </c>
      <c r="J342" s="34"/>
      <c r="K342" s="105">
        <v>110064268260</v>
      </c>
      <c r="L342" s="34">
        <v>4952</v>
      </c>
      <c r="M342" s="48" t="str">
        <f>VLOOKUP(L342, '2017 SIC to NAICS'!A:D, 2)</f>
        <v>Sewerage Systems</v>
      </c>
      <c r="N342" s="34">
        <f>VLOOKUP(L342,'2017 SIC to NAICS'!A:D,3)</f>
        <v>221320</v>
      </c>
      <c r="O342" s="34" t="str">
        <f>VLOOKUP(L342,'2017 SIC to NAICS'!A:D,4)</f>
        <v>Sewage Treatment Facilities</v>
      </c>
      <c r="P342" s="36" t="s">
        <v>742</v>
      </c>
      <c r="Q342" s="137" t="s">
        <v>743</v>
      </c>
      <c r="R342" s="45" t="s">
        <v>38</v>
      </c>
      <c r="S342" s="138">
        <f>COUNTIFS('Raw Non-zero DMR Data'!$A:$A, A342, 'Raw Non-zero DMR Data'!$C:$C, U342, 'Raw Non-zero DMR Data'!$V:$V, V342)</f>
        <v>1</v>
      </c>
      <c r="T342" s="34">
        <f>SUMIFS('Raw Non-zero DMR Data'!$X:$X, 'Raw Non-zero DMR Data'!$A:$A, A342, 'Raw Non-zero DMR Data'!$C:$C, U342, 'Raw Non-zero DMR Data'!V:V, V342)</f>
        <v>1.3746173749999999</v>
      </c>
      <c r="U342" s="34" t="s">
        <v>1155</v>
      </c>
      <c r="V342" s="34" t="s">
        <v>1157</v>
      </c>
      <c r="W342" s="141" t="s">
        <v>1158</v>
      </c>
      <c r="X342" s="140" t="s">
        <v>745</v>
      </c>
    </row>
    <row r="343" spans="1:24" x14ac:dyDescent="0.35">
      <c r="A343" s="34">
        <v>2023</v>
      </c>
      <c r="B343" s="34" t="s">
        <v>246</v>
      </c>
      <c r="C343" s="34" t="s">
        <v>1155</v>
      </c>
      <c r="D343" s="34" t="s">
        <v>247</v>
      </c>
      <c r="E343" s="34" t="s">
        <v>1156</v>
      </c>
      <c r="F343" s="34" t="s">
        <v>108</v>
      </c>
      <c r="G343" s="34"/>
      <c r="H343" s="34">
        <v>38.369734999999999</v>
      </c>
      <c r="I343" s="34">
        <v>-85.180234999999996</v>
      </c>
      <c r="J343" s="34"/>
      <c r="K343" s="105">
        <v>110064268260</v>
      </c>
      <c r="L343" s="34">
        <v>4952</v>
      </c>
      <c r="M343" s="48" t="str">
        <f>VLOOKUP(L343, '2017 SIC to NAICS'!A:D, 2)</f>
        <v>Sewerage Systems</v>
      </c>
      <c r="N343" s="34">
        <f>VLOOKUP(L343,'2017 SIC to NAICS'!A:D,3)</f>
        <v>221320</v>
      </c>
      <c r="O343" s="34" t="str">
        <f>VLOOKUP(L343,'2017 SIC to NAICS'!A:D,4)</f>
        <v>Sewage Treatment Facilities</v>
      </c>
      <c r="P343" s="36" t="s">
        <v>742</v>
      </c>
      <c r="Q343" s="137" t="s">
        <v>743</v>
      </c>
      <c r="R343" s="45" t="s">
        <v>38</v>
      </c>
      <c r="S343" s="138">
        <f>COUNTIFS('Raw Non-zero DMR Data'!$A:$A, A343, 'Raw Non-zero DMR Data'!$C:$C, U343, 'Raw Non-zero DMR Data'!$V:$V, V343)</f>
        <v>1</v>
      </c>
      <c r="T343" s="34">
        <f>SUMIFS('Raw Non-zero DMR Data'!$X:$X, 'Raw Non-zero DMR Data'!$A:$A, A343, 'Raw Non-zero DMR Data'!$C:$C, U343, 'Raw Non-zero DMR Data'!V:V, V343)</f>
        <v>0.79783068749999997</v>
      </c>
      <c r="U343" s="34" t="s">
        <v>1155</v>
      </c>
      <c r="V343" s="34" t="s">
        <v>1157</v>
      </c>
      <c r="W343" s="141" t="s">
        <v>1158</v>
      </c>
      <c r="X343" s="140" t="s">
        <v>745</v>
      </c>
    </row>
    <row r="344" spans="1:24" x14ac:dyDescent="0.35">
      <c r="A344" s="34">
        <v>2019</v>
      </c>
      <c r="B344" s="34" t="s">
        <v>248</v>
      </c>
      <c r="C344" s="34" t="s">
        <v>1159</v>
      </c>
      <c r="D344" s="34" t="s">
        <v>249</v>
      </c>
      <c r="E344" s="34" t="s">
        <v>1160</v>
      </c>
      <c r="F344" s="34" t="s">
        <v>108</v>
      </c>
      <c r="G344" s="34"/>
      <c r="H344" s="34">
        <v>37.983888999999998</v>
      </c>
      <c r="I344" s="34">
        <v>-85.722778000000005</v>
      </c>
      <c r="J344" s="34"/>
      <c r="K344" s="105">
        <v>110020941383</v>
      </c>
      <c r="L344" s="34">
        <v>4952</v>
      </c>
      <c r="M344" s="48" t="str">
        <f>VLOOKUP(L344, '2017 SIC to NAICS'!A:D, 2)</f>
        <v>Sewerage Systems</v>
      </c>
      <c r="N344" s="34">
        <f>VLOOKUP(L344,'2017 SIC to NAICS'!A:D,3)</f>
        <v>221320</v>
      </c>
      <c r="O344" s="34" t="str">
        <f>VLOOKUP(L344,'2017 SIC to NAICS'!A:D,4)</f>
        <v>Sewage Treatment Facilities</v>
      </c>
      <c r="P344" s="36" t="s">
        <v>742</v>
      </c>
      <c r="Q344" s="137" t="s">
        <v>743</v>
      </c>
      <c r="R344" s="45" t="s">
        <v>38</v>
      </c>
      <c r="S344" s="138">
        <f>COUNTIFS('Raw Non-zero DMR Data'!$A:$A, A344, 'Raw Non-zero DMR Data'!$C:$C, U344, 'Raw Non-zero DMR Data'!$V:$V, V344)</f>
        <v>1</v>
      </c>
      <c r="T344" s="34">
        <f>SUMIFS('Raw Non-zero DMR Data'!$X:$X, 'Raw Non-zero DMR Data'!$A:$A, A344, 'Raw Non-zero DMR Data'!$C:$C, U344, 'Raw Non-zero DMR Data'!V:V, V344)</f>
        <v>2.3485925000000001</v>
      </c>
      <c r="U344" s="34" t="s">
        <v>1159</v>
      </c>
      <c r="V344" s="34" t="s">
        <v>1161</v>
      </c>
      <c r="W344" s="139">
        <v>51401021103</v>
      </c>
      <c r="X344" s="140" t="s">
        <v>745</v>
      </c>
    </row>
    <row r="345" spans="1:24" x14ac:dyDescent="0.35">
      <c r="A345" s="34">
        <v>2020</v>
      </c>
      <c r="B345" s="34" t="s">
        <v>248</v>
      </c>
      <c r="C345" s="34" t="s">
        <v>1159</v>
      </c>
      <c r="D345" s="34" t="s">
        <v>249</v>
      </c>
      <c r="E345" s="34" t="s">
        <v>1160</v>
      </c>
      <c r="F345" s="34" t="s">
        <v>108</v>
      </c>
      <c r="G345" s="34"/>
      <c r="H345" s="34">
        <v>37.983888999999998</v>
      </c>
      <c r="I345" s="34">
        <v>-85.722778000000005</v>
      </c>
      <c r="J345" s="34"/>
      <c r="K345" s="105">
        <v>110020941383</v>
      </c>
      <c r="L345" s="34">
        <v>4952</v>
      </c>
      <c r="M345" s="48" t="str">
        <f>VLOOKUP(L345, '2017 SIC to NAICS'!A:D, 2)</f>
        <v>Sewerage Systems</v>
      </c>
      <c r="N345" s="34">
        <f>VLOOKUP(L345,'2017 SIC to NAICS'!A:D,3)</f>
        <v>221320</v>
      </c>
      <c r="O345" s="34" t="str">
        <f>VLOOKUP(L345,'2017 SIC to NAICS'!A:D,4)</f>
        <v>Sewage Treatment Facilities</v>
      </c>
      <c r="P345" s="36" t="s">
        <v>742</v>
      </c>
      <c r="Q345" s="137" t="s">
        <v>743</v>
      </c>
      <c r="R345" s="45" t="s">
        <v>38</v>
      </c>
      <c r="S345" s="138">
        <f>COUNTIFS('Raw Non-zero DMR Data'!$A:$A, A345, 'Raw Non-zero DMR Data'!$C:$C, U345, 'Raw Non-zero DMR Data'!$V:$V, V345)</f>
        <v>1</v>
      </c>
      <c r="T345" s="34">
        <f>SUMIFS('Raw Non-zero DMR Data'!$X:$X, 'Raw Non-zero DMR Data'!$A:$A, A345, 'Raw Non-zero DMR Data'!$C:$C, U345, 'Raw Non-zero DMR Data'!V:V, V345)</f>
        <v>1.58875375</v>
      </c>
      <c r="U345" s="34" t="s">
        <v>1159</v>
      </c>
      <c r="V345" s="34" t="s">
        <v>1161</v>
      </c>
      <c r="W345" s="139">
        <v>51401021103</v>
      </c>
      <c r="X345" s="140" t="s">
        <v>745</v>
      </c>
    </row>
    <row r="346" spans="1:24" x14ac:dyDescent="0.35">
      <c r="A346" s="34">
        <v>2021</v>
      </c>
      <c r="B346" s="34" t="s">
        <v>248</v>
      </c>
      <c r="C346" s="34" t="s">
        <v>1159</v>
      </c>
      <c r="D346" s="34" t="s">
        <v>249</v>
      </c>
      <c r="E346" s="34" t="s">
        <v>1160</v>
      </c>
      <c r="F346" s="34" t="s">
        <v>108</v>
      </c>
      <c r="G346" s="34"/>
      <c r="H346" s="34">
        <v>37.983888999999998</v>
      </c>
      <c r="I346" s="34">
        <v>-85.722778000000005</v>
      </c>
      <c r="J346" s="34"/>
      <c r="K346" s="105">
        <v>110020941383</v>
      </c>
      <c r="L346" s="34">
        <v>4952</v>
      </c>
      <c r="M346" s="48" t="str">
        <f>VLOOKUP(L346, '2017 SIC to NAICS'!A:D, 2)</f>
        <v>Sewerage Systems</v>
      </c>
      <c r="N346" s="34">
        <f>VLOOKUP(L346,'2017 SIC to NAICS'!A:D,3)</f>
        <v>221320</v>
      </c>
      <c r="O346" s="34" t="str">
        <f>VLOOKUP(L346,'2017 SIC to NAICS'!A:D,4)</f>
        <v>Sewage Treatment Facilities</v>
      </c>
      <c r="P346" s="36" t="s">
        <v>742</v>
      </c>
      <c r="Q346" s="137" t="s">
        <v>743</v>
      </c>
      <c r="R346" s="45" t="s">
        <v>38</v>
      </c>
      <c r="S346" s="138">
        <f>COUNTIFS('Raw Non-zero DMR Data'!$A:$A, A346, 'Raw Non-zero DMR Data'!$C:$C, U346, 'Raw Non-zero DMR Data'!$V:$V, V346)</f>
        <v>1</v>
      </c>
      <c r="T346" s="34">
        <f>SUMIFS('Raw Non-zero DMR Data'!$X:$X, 'Raw Non-zero DMR Data'!$A:$A, A346, 'Raw Non-zero DMR Data'!$C:$C, U346, 'Raw Non-zero DMR Data'!V:V, V346)</f>
        <v>2.1828094999999998</v>
      </c>
      <c r="U346" s="34" t="s">
        <v>1159</v>
      </c>
      <c r="V346" s="34" t="s">
        <v>1161</v>
      </c>
      <c r="W346" s="139">
        <v>51401021103</v>
      </c>
      <c r="X346" s="140" t="s">
        <v>745</v>
      </c>
    </row>
    <row r="347" spans="1:24" x14ac:dyDescent="0.35">
      <c r="A347" s="34">
        <v>2019</v>
      </c>
      <c r="B347" s="34" t="s">
        <v>265</v>
      </c>
      <c r="C347" s="34" t="s">
        <v>1162</v>
      </c>
      <c r="D347" s="34" t="s">
        <v>266</v>
      </c>
      <c r="E347" s="34" t="s">
        <v>1163</v>
      </c>
      <c r="F347" s="34" t="s">
        <v>108</v>
      </c>
      <c r="G347" s="34"/>
      <c r="H347" s="34">
        <v>37.776316000000001</v>
      </c>
      <c r="I347" s="34">
        <v>-84.867384999999999</v>
      </c>
      <c r="J347" s="34"/>
      <c r="K347" s="105">
        <v>110000732324</v>
      </c>
      <c r="L347" s="34">
        <v>4952</v>
      </c>
      <c r="M347" s="48" t="str">
        <f>VLOOKUP(L347, '2017 SIC to NAICS'!A:D, 2)</f>
        <v>Sewerage Systems</v>
      </c>
      <c r="N347" s="34">
        <f>VLOOKUP(L347,'2017 SIC to NAICS'!A:D,3)</f>
        <v>221320</v>
      </c>
      <c r="O347" s="34" t="str">
        <f>VLOOKUP(L347,'2017 SIC to NAICS'!A:D,4)</f>
        <v>Sewage Treatment Facilities</v>
      </c>
      <c r="P347" s="36" t="s">
        <v>742</v>
      </c>
      <c r="Q347" s="137" t="s">
        <v>743</v>
      </c>
      <c r="R347" s="45" t="s">
        <v>38</v>
      </c>
      <c r="S347" s="138">
        <f>COUNTIFS('Raw Non-zero DMR Data'!$A:$A, A347, 'Raw Non-zero DMR Data'!$C:$C, U347, 'Raw Non-zero DMR Data'!$V:$V, V347)</f>
        <v>1</v>
      </c>
      <c r="T347" s="34">
        <f>SUMIFS('Raw Non-zero DMR Data'!$X:$X, 'Raw Non-zero DMR Data'!$A:$A, A347, 'Raw Non-zero DMR Data'!$C:$C, U347, 'Raw Non-zero DMR Data'!V:V, V347)</f>
        <v>1.8070347</v>
      </c>
      <c r="U347" s="34" t="s">
        <v>1162</v>
      </c>
      <c r="V347" s="34" t="s">
        <v>1164</v>
      </c>
      <c r="W347" s="139">
        <v>51401020102</v>
      </c>
      <c r="X347" s="140" t="s">
        <v>745</v>
      </c>
    </row>
    <row r="348" spans="1:24" x14ac:dyDescent="0.35">
      <c r="A348" s="34">
        <v>2020</v>
      </c>
      <c r="B348" s="34" t="s">
        <v>265</v>
      </c>
      <c r="C348" s="34" t="s">
        <v>1162</v>
      </c>
      <c r="D348" s="34" t="s">
        <v>266</v>
      </c>
      <c r="E348" s="34" t="s">
        <v>1163</v>
      </c>
      <c r="F348" s="34" t="s">
        <v>108</v>
      </c>
      <c r="G348" s="34"/>
      <c r="H348" s="34">
        <v>37.776316000000001</v>
      </c>
      <c r="I348" s="34">
        <v>-84.867384999999999</v>
      </c>
      <c r="J348" s="34"/>
      <c r="K348" s="105">
        <v>110000732324</v>
      </c>
      <c r="L348" s="34">
        <v>4952</v>
      </c>
      <c r="M348" s="48" t="str">
        <f>VLOOKUP(L348, '2017 SIC to NAICS'!A:D, 2)</f>
        <v>Sewerage Systems</v>
      </c>
      <c r="N348" s="34">
        <f>VLOOKUP(L348,'2017 SIC to NAICS'!A:D,3)</f>
        <v>221320</v>
      </c>
      <c r="O348" s="34" t="str">
        <f>VLOOKUP(L348,'2017 SIC to NAICS'!A:D,4)</f>
        <v>Sewage Treatment Facilities</v>
      </c>
      <c r="P348" s="36" t="s">
        <v>742</v>
      </c>
      <c r="Q348" s="137" t="s">
        <v>743</v>
      </c>
      <c r="R348" s="45" t="s">
        <v>38</v>
      </c>
      <c r="S348" s="138">
        <f>COUNTIFS('Raw Non-zero DMR Data'!$A:$A, A348, 'Raw Non-zero DMR Data'!$C:$C, U348, 'Raw Non-zero DMR Data'!$V:$V, V348)</f>
        <v>1</v>
      </c>
      <c r="T348" s="34">
        <f>SUMIFS('Raw Non-zero DMR Data'!$X:$X, 'Raw Non-zero DMR Data'!$A:$A, A348, 'Raw Non-zero DMR Data'!$C:$C, U348, 'Raw Non-zero DMR Data'!V:V, V348)</f>
        <v>1.24613555</v>
      </c>
      <c r="U348" s="34" t="s">
        <v>1162</v>
      </c>
      <c r="V348" s="34" t="s">
        <v>1164</v>
      </c>
      <c r="W348" s="139">
        <v>51401020102</v>
      </c>
      <c r="X348" s="140" t="s">
        <v>745</v>
      </c>
    </row>
    <row r="349" spans="1:24" x14ac:dyDescent="0.35">
      <c r="A349" s="34">
        <v>2019</v>
      </c>
      <c r="B349" s="34" t="s">
        <v>263</v>
      </c>
      <c r="C349" s="34" t="s">
        <v>1165</v>
      </c>
      <c r="D349" s="34" t="s">
        <v>264</v>
      </c>
      <c r="E349" s="34" t="s">
        <v>1166</v>
      </c>
      <c r="F349" s="34" t="s">
        <v>108</v>
      </c>
      <c r="G349" s="34"/>
      <c r="H349" s="34">
        <v>37.075277999999997</v>
      </c>
      <c r="I349" s="34">
        <v>-88.09</v>
      </c>
      <c r="J349" s="34"/>
      <c r="K349" s="105">
        <v>110009938719</v>
      </c>
      <c r="L349" s="34">
        <v>4952</v>
      </c>
      <c r="M349" s="48" t="str">
        <f>VLOOKUP(L349, '2017 SIC to NAICS'!A:D, 2)</f>
        <v>Sewerage Systems</v>
      </c>
      <c r="N349" s="34">
        <f>VLOOKUP(L349,'2017 SIC to NAICS'!A:D,3)</f>
        <v>221320</v>
      </c>
      <c r="O349" s="34" t="str">
        <f>VLOOKUP(L349,'2017 SIC to NAICS'!A:D,4)</f>
        <v>Sewage Treatment Facilities</v>
      </c>
      <c r="P349" s="36" t="s">
        <v>742</v>
      </c>
      <c r="Q349" s="137" t="s">
        <v>743</v>
      </c>
      <c r="R349" s="45" t="s">
        <v>38</v>
      </c>
      <c r="S349" s="138">
        <f>COUNTIFS('Raw Non-zero DMR Data'!$A:$A, A349, 'Raw Non-zero DMR Data'!$C:$C, U349, 'Raw Non-zero DMR Data'!$V:$V, V349)</f>
        <v>1</v>
      </c>
      <c r="T349" s="34">
        <f>SUMIFS('Raw Non-zero DMR Data'!$X:$X, 'Raw Non-zero DMR Data'!$A:$A, A349, 'Raw Non-zero DMR Data'!$C:$C, U349, 'Raw Non-zero DMR Data'!V:V, V349)</f>
        <v>1.8616049374999999</v>
      </c>
      <c r="U349" s="34" t="s">
        <v>1165</v>
      </c>
      <c r="V349" s="34" t="s">
        <v>1167</v>
      </c>
      <c r="W349" s="139">
        <v>51302050707</v>
      </c>
      <c r="X349" s="140" t="s">
        <v>745</v>
      </c>
    </row>
    <row r="350" spans="1:24" x14ac:dyDescent="0.35">
      <c r="A350" s="34">
        <v>2019</v>
      </c>
      <c r="B350" s="34" t="s">
        <v>341</v>
      </c>
      <c r="C350" s="34" t="s">
        <v>1168</v>
      </c>
      <c r="D350" s="34" t="s">
        <v>342</v>
      </c>
      <c r="E350" s="34" t="s">
        <v>1169</v>
      </c>
      <c r="F350" s="34" t="s">
        <v>108</v>
      </c>
      <c r="G350" s="34"/>
      <c r="H350" s="34">
        <v>38.542222000000002</v>
      </c>
      <c r="I350" s="34">
        <v>-84.831943999999993</v>
      </c>
      <c r="J350" s="34"/>
      <c r="K350" s="105">
        <v>110009938737</v>
      </c>
      <c r="L350" s="34">
        <v>4952</v>
      </c>
      <c r="M350" s="48" t="str">
        <f>VLOOKUP(L350, '2017 SIC to NAICS'!A:D, 2)</f>
        <v>Sewerage Systems</v>
      </c>
      <c r="N350" s="34">
        <f>VLOOKUP(L350,'2017 SIC to NAICS'!A:D,3)</f>
        <v>221320</v>
      </c>
      <c r="O350" s="34" t="str">
        <f>VLOOKUP(L350,'2017 SIC to NAICS'!A:D,4)</f>
        <v>Sewage Treatment Facilities</v>
      </c>
      <c r="P350" s="36" t="s">
        <v>742</v>
      </c>
      <c r="Q350" s="137" t="s">
        <v>743</v>
      </c>
      <c r="R350" s="45" t="s">
        <v>38</v>
      </c>
      <c r="S350" s="138">
        <f>COUNTIFS('Raw Non-zero DMR Data'!$A:$A, A350, 'Raw Non-zero DMR Data'!$C:$C, U350, 'Raw Non-zero DMR Data'!$V:$V, V350)</f>
        <v>1</v>
      </c>
      <c r="T350" s="34">
        <f>SUMIFS('Raw Non-zero DMR Data'!$X:$X, 'Raw Non-zero DMR Data'!$A:$A, A350, 'Raw Non-zero DMR Data'!$C:$C, U350, 'Raw Non-zero DMR Data'!V:V, V350)</f>
        <v>0.65795128125000002</v>
      </c>
      <c r="U350" s="34" t="s">
        <v>1168</v>
      </c>
      <c r="V350" s="34" t="s">
        <v>1170</v>
      </c>
      <c r="W350" s="139">
        <v>51002051307</v>
      </c>
      <c r="X350" s="140" t="s">
        <v>745</v>
      </c>
    </row>
    <row r="351" spans="1:24" x14ac:dyDescent="0.35">
      <c r="A351" s="34">
        <v>2019</v>
      </c>
      <c r="B351" s="34" t="s">
        <v>188</v>
      </c>
      <c r="C351" s="34" t="s">
        <v>1171</v>
      </c>
      <c r="D351" s="34" t="s">
        <v>189</v>
      </c>
      <c r="E351" s="34" t="s">
        <v>1172</v>
      </c>
      <c r="F351" s="34" t="s">
        <v>108</v>
      </c>
      <c r="G351" s="34"/>
      <c r="H351" s="34">
        <v>36.747222000000001</v>
      </c>
      <c r="I351" s="34">
        <v>-84.171943999999996</v>
      </c>
      <c r="J351" s="34"/>
      <c r="K351" s="105">
        <v>110006751737</v>
      </c>
      <c r="L351" s="34">
        <v>4952</v>
      </c>
      <c r="M351" s="48" t="str">
        <f>VLOOKUP(L351, '2017 SIC to NAICS'!A:D, 2)</f>
        <v>Sewerage Systems</v>
      </c>
      <c r="N351" s="34">
        <f>VLOOKUP(L351,'2017 SIC to NAICS'!A:D,3)</f>
        <v>221320</v>
      </c>
      <c r="O351" s="34" t="str">
        <f>VLOOKUP(L351,'2017 SIC to NAICS'!A:D,4)</f>
        <v>Sewage Treatment Facilities</v>
      </c>
      <c r="P351" s="36" t="s">
        <v>742</v>
      </c>
      <c r="Q351" s="137" t="s">
        <v>743</v>
      </c>
      <c r="R351" s="45" t="s">
        <v>38</v>
      </c>
      <c r="S351" s="138">
        <f>COUNTIFS('Raw Non-zero DMR Data'!$A:$A, A351, 'Raw Non-zero DMR Data'!$C:$C, U351, 'Raw Non-zero DMR Data'!$V:$V, V351)</f>
        <v>1</v>
      </c>
      <c r="T351" s="34">
        <f>SUMIFS('Raw Non-zero DMR Data'!$X:$X, 'Raw Non-zero DMR Data'!$A:$A, A351, 'Raw Non-zero DMR Data'!$C:$C, U351, 'Raw Non-zero DMR Data'!V:V, V351)</f>
        <v>5.1530882499999997</v>
      </c>
      <c r="U351" s="34" t="s">
        <v>1171</v>
      </c>
      <c r="V351" s="34" t="s">
        <v>1173</v>
      </c>
      <c r="W351" s="139">
        <v>51301010704</v>
      </c>
      <c r="X351" s="140" t="s">
        <v>745</v>
      </c>
    </row>
    <row r="352" spans="1:24" x14ac:dyDescent="0.35">
      <c r="A352" s="34">
        <v>2020</v>
      </c>
      <c r="B352" s="34" t="s">
        <v>188</v>
      </c>
      <c r="C352" s="34" t="s">
        <v>1171</v>
      </c>
      <c r="D352" s="34" t="s">
        <v>189</v>
      </c>
      <c r="E352" s="34" t="s">
        <v>1172</v>
      </c>
      <c r="F352" s="34" t="s">
        <v>108</v>
      </c>
      <c r="G352" s="34"/>
      <c r="H352" s="34">
        <v>36.747222000000001</v>
      </c>
      <c r="I352" s="34">
        <v>-84.171943999999996</v>
      </c>
      <c r="J352" s="34"/>
      <c r="K352" s="105">
        <v>110006751737</v>
      </c>
      <c r="L352" s="34">
        <v>4952</v>
      </c>
      <c r="M352" s="48" t="str">
        <f>VLOOKUP(L352, '2017 SIC to NAICS'!A:D, 2)</f>
        <v>Sewerage Systems</v>
      </c>
      <c r="N352" s="34">
        <f>VLOOKUP(L352,'2017 SIC to NAICS'!A:D,3)</f>
        <v>221320</v>
      </c>
      <c r="O352" s="34" t="str">
        <f>VLOOKUP(L352,'2017 SIC to NAICS'!A:D,4)</f>
        <v>Sewage Treatment Facilities</v>
      </c>
      <c r="P352" s="36" t="s">
        <v>742</v>
      </c>
      <c r="Q352" s="137" t="s">
        <v>743</v>
      </c>
      <c r="R352" s="45" t="s">
        <v>38</v>
      </c>
      <c r="S352" s="138">
        <f>COUNTIFS('Raw Non-zero DMR Data'!$A:$A, A352, 'Raw Non-zero DMR Data'!$C:$C, U352, 'Raw Non-zero DMR Data'!$V:$V, V352)</f>
        <v>1</v>
      </c>
      <c r="T352" s="34">
        <f>SUMIFS('Raw Non-zero DMR Data'!$X:$X, 'Raw Non-zero DMR Data'!$A:$A, A352, 'Raw Non-zero DMR Data'!$C:$C, U352, 'Raw Non-zero DMR Data'!V:V, V352)</f>
        <v>5.4673851874999997</v>
      </c>
      <c r="U352" s="34" t="s">
        <v>1171</v>
      </c>
      <c r="V352" s="34" t="s">
        <v>1173</v>
      </c>
      <c r="W352" s="139">
        <v>51301010704</v>
      </c>
      <c r="X352" s="140" t="s">
        <v>745</v>
      </c>
    </row>
    <row r="353" spans="1:24" x14ac:dyDescent="0.35">
      <c r="A353" s="34">
        <v>2021</v>
      </c>
      <c r="B353" s="34" t="s">
        <v>188</v>
      </c>
      <c r="C353" s="34" t="s">
        <v>1171</v>
      </c>
      <c r="D353" s="34" t="s">
        <v>189</v>
      </c>
      <c r="E353" s="34" t="s">
        <v>1172</v>
      </c>
      <c r="F353" s="34" t="s">
        <v>108</v>
      </c>
      <c r="G353" s="34"/>
      <c r="H353" s="34">
        <v>36.747222000000001</v>
      </c>
      <c r="I353" s="34">
        <v>-84.171943999999996</v>
      </c>
      <c r="J353" s="34"/>
      <c r="K353" s="105">
        <v>110006751737</v>
      </c>
      <c r="L353" s="34">
        <v>4952</v>
      </c>
      <c r="M353" s="48" t="str">
        <f>VLOOKUP(L353, '2017 SIC to NAICS'!A:D, 2)</f>
        <v>Sewerage Systems</v>
      </c>
      <c r="N353" s="34">
        <f>VLOOKUP(L353,'2017 SIC to NAICS'!A:D,3)</f>
        <v>221320</v>
      </c>
      <c r="O353" s="34" t="str">
        <f>VLOOKUP(L353,'2017 SIC to NAICS'!A:D,4)</f>
        <v>Sewage Treatment Facilities</v>
      </c>
      <c r="P353" s="36" t="s">
        <v>742</v>
      </c>
      <c r="Q353" s="137" t="s">
        <v>743</v>
      </c>
      <c r="R353" s="45" t="s">
        <v>38</v>
      </c>
      <c r="S353" s="138">
        <f>COUNTIFS('Raw Non-zero DMR Data'!$A:$A, A353, 'Raw Non-zero DMR Data'!$C:$C, U353, 'Raw Non-zero DMR Data'!$V:$V, V353)</f>
        <v>1</v>
      </c>
      <c r="T353" s="34">
        <f>SUMIFS('Raw Non-zero DMR Data'!$X:$X, 'Raw Non-zero DMR Data'!$A:$A, A353, 'Raw Non-zero DMR Data'!$C:$C, U353, 'Raw Non-zero DMR Data'!V:V, V353)</f>
        <v>4.3379884999999998</v>
      </c>
      <c r="U353" s="34" t="s">
        <v>1171</v>
      </c>
      <c r="V353" s="34" t="s">
        <v>1173</v>
      </c>
      <c r="W353" s="139">
        <v>51301010704</v>
      </c>
      <c r="X353" s="140" t="s">
        <v>745</v>
      </c>
    </row>
    <row r="354" spans="1:24" x14ac:dyDescent="0.35">
      <c r="A354" s="34">
        <v>2019</v>
      </c>
      <c r="B354" s="34" t="s">
        <v>222</v>
      </c>
      <c r="C354" s="34" t="s">
        <v>1174</v>
      </c>
      <c r="D354" s="34" t="s">
        <v>223</v>
      </c>
      <c r="E354" s="34" t="s">
        <v>1175</v>
      </c>
      <c r="F354" s="34" t="s">
        <v>108</v>
      </c>
      <c r="G354" s="34"/>
      <c r="H354" s="34">
        <v>37.177222</v>
      </c>
      <c r="I354" s="34">
        <v>-83.761388999999994</v>
      </c>
      <c r="J354" s="34"/>
      <c r="K354" s="105">
        <v>110009938808</v>
      </c>
      <c r="L354" s="34">
        <v>4952</v>
      </c>
      <c r="M354" s="48" t="str">
        <f>VLOOKUP(L354, '2017 SIC to NAICS'!A:D, 2)</f>
        <v>Sewerage Systems</v>
      </c>
      <c r="N354" s="34">
        <f>VLOOKUP(L354,'2017 SIC to NAICS'!A:D,3)</f>
        <v>221320</v>
      </c>
      <c r="O354" s="34" t="str">
        <f>VLOOKUP(L354,'2017 SIC to NAICS'!A:D,4)</f>
        <v>Sewage Treatment Facilities</v>
      </c>
      <c r="P354" s="36" t="s">
        <v>742</v>
      </c>
      <c r="Q354" s="137" t="s">
        <v>743</v>
      </c>
      <c r="R354" s="45" t="s">
        <v>38</v>
      </c>
      <c r="S354" s="138">
        <f>COUNTIFS('Raw Non-zero DMR Data'!$A:$A, A354, 'Raw Non-zero DMR Data'!$C:$C, U354, 'Raw Non-zero DMR Data'!$V:$V, V354)</f>
        <v>1</v>
      </c>
      <c r="T354" s="34">
        <f>SUMIFS('Raw Non-zero DMR Data'!$X:$X, 'Raw Non-zero DMR Data'!$A:$A, A354, 'Raw Non-zero DMR Data'!$C:$C, U354, 'Raw Non-zero DMR Data'!V:V, V354)</f>
        <v>3.446904875</v>
      </c>
      <c r="U354" s="34" t="s">
        <v>1174</v>
      </c>
      <c r="V354" s="34" t="s">
        <v>1176</v>
      </c>
      <c r="W354" s="139">
        <v>51002030303</v>
      </c>
      <c r="X354" s="140" t="s">
        <v>745</v>
      </c>
    </row>
    <row r="355" spans="1:24" x14ac:dyDescent="0.35">
      <c r="A355" s="34">
        <v>2020</v>
      </c>
      <c r="B355" s="34" t="s">
        <v>222</v>
      </c>
      <c r="C355" s="34" t="s">
        <v>1174</v>
      </c>
      <c r="D355" s="34" t="s">
        <v>223</v>
      </c>
      <c r="E355" s="34" t="s">
        <v>1175</v>
      </c>
      <c r="F355" s="34" t="s">
        <v>108</v>
      </c>
      <c r="G355" s="34"/>
      <c r="H355" s="34">
        <v>37.177222</v>
      </c>
      <c r="I355" s="34">
        <v>-83.761388999999994</v>
      </c>
      <c r="J355" s="34"/>
      <c r="K355" s="105">
        <v>110009938808</v>
      </c>
      <c r="L355" s="34">
        <v>4952</v>
      </c>
      <c r="M355" s="48" t="str">
        <f>VLOOKUP(L355, '2017 SIC to NAICS'!A:D, 2)</f>
        <v>Sewerage Systems</v>
      </c>
      <c r="N355" s="34">
        <f>VLOOKUP(L355,'2017 SIC to NAICS'!A:D,3)</f>
        <v>221320</v>
      </c>
      <c r="O355" s="34" t="str">
        <f>VLOOKUP(L355,'2017 SIC to NAICS'!A:D,4)</f>
        <v>Sewage Treatment Facilities</v>
      </c>
      <c r="P355" s="36" t="s">
        <v>742</v>
      </c>
      <c r="Q355" s="137" t="s">
        <v>743</v>
      </c>
      <c r="R355" s="45" t="s">
        <v>38</v>
      </c>
      <c r="S355" s="138">
        <f>COUNTIFS('Raw Non-zero DMR Data'!$A:$A, A355, 'Raw Non-zero DMR Data'!$C:$C, U355, 'Raw Non-zero DMR Data'!$V:$V, V355)</f>
        <v>1</v>
      </c>
      <c r="T355" s="34">
        <f>SUMIFS('Raw Non-zero DMR Data'!$X:$X, 'Raw Non-zero DMR Data'!$A:$A, A355, 'Raw Non-zero DMR Data'!$C:$C, U355, 'Raw Non-zero DMR Data'!V:V, V355)</f>
        <v>3.336382875</v>
      </c>
      <c r="U355" s="34" t="s">
        <v>1174</v>
      </c>
      <c r="V355" s="34" t="s">
        <v>1176</v>
      </c>
      <c r="W355" s="139">
        <v>51002030303</v>
      </c>
      <c r="X355" s="140" t="s">
        <v>745</v>
      </c>
    </row>
    <row r="356" spans="1:24" x14ac:dyDescent="0.35">
      <c r="A356" s="34">
        <v>2021</v>
      </c>
      <c r="B356" s="34" t="s">
        <v>222</v>
      </c>
      <c r="C356" s="34" t="s">
        <v>1174</v>
      </c>
      <c r="D356" s="34" t="s">
        <v>223</v>
      </c>
      <c r="E356" s="34" t="s">
        <v>1175</v>
      </c>
      <c r="F356" s="34" t="s">
        <v>108</v>
      </c>
      <c r="G356" s="34"/>
      <c r="H356" s="34">
        <v>37.177222</v>
      </c>
      <c r="I356" s="34">
        <v>-83.761388999999994</v>
      </c>
      <c r="J356" s="34"/>
      <c r="K356" s="105">
        <v>110009938808</v>
      </c>
      <c r="L356" s="34">
        <v>4952</v>
      </c>
      <c r="M356" s="48" t="str">
        <f>VLOOKUP(L356, '2017 SIC to NAICS'!A:D, 2)</f>
        <v>Sewerage Systems</v>
      </c>
      <c r="N356" s="34">
        <f>VLOOKUP(L356,'2017 SIC to NAICS'!A:D,3)</f>
        <v>221320</v>
      </c>
      <c r="O356" s="34" t="str">
        <f>VLOOKUP(L356,'2017 SIC to NAICS'!A:D,4)</f>
        <v>Sewage Treatment Facilities</v>
      </c>
      <c r="P356" s="36" t="s">
        <v>742</v>
      </c>
      <c r="Q356" s="137" t="s">
        <v>743</v>
      </c>
      <c r="R356" s="45" t="s">
        <v>38</v>
      </c>
      <c r="S356" s="138">
        <f>COUNTIFS('Raw Non-zero DMR Data'!$A:$A, A356, 'Raw Non-zero DMR Data'!$C:$C, U356, 'Raw Non-zero DMR Data'!$V:$V, V356)</f>
        <v>1</v>
      </c>
      <c r="T356" s="34">
        <f>SUMIFS('Raw Non-zero DMR Data'!$X:$X, 'Raw Non-zero DMR Data'!$A:$A, A356, 'Raw Non-zero DMR Data'!$C:$C, U356, 'Raw Non-zero DMR Data'!V:V, V356)</f>
        <v>2.8563029375000002</v>
      </c>
      <c r="U356" s="34" t="s">
        <v>1174</v>
      </c>
      <c r="V356" s="34" t="s">
        <v>1176</v>
      </c>
      <c r="W356" s="139">
        <v>51002030303</v>
      </c>
      <c r="X356" s="140" t="s">
        <v>745</v>
      </c>
    </row>
    <row r="357" spans="1:24" x14ac:dyDescent="0.35">
      <c r="A357" s="34">
        <v>2020</v>
      </c>
      <c r="B357" s="34" t="s">
        <v>284</v>
      </c>
      <c r="C357" s="34" t="s">
        <v>1177</v>
      </c>
      <c r="D357" s="34" t="s">
        <v>285</v>
      </c>
      <c r="E357" s="34" t="s">
        <v>1178</v>
      </c>
      <c r="F357" s="34" t="s">
        <v>108</v>
      </c>
      <c r="G357" s="34"/>
      <c r="H357" s="34">
        <v>38.551630000000003</v>
      </c>
      <c r="I357" s="34">
        <v>-82.778199999999998</v>
      </c>
      <c r="J357" s="34"/>
      <c r="K357" s="105">
        <v>110000759723</v>
      </c>
      <c r="L357" s="34">
        <v>4952</v>
      </c>
      <c r="M357" s="48" t="str">
        <f>VLOOKUP(L357, '2017 SIC to NAICS'!A:D, 2)</f>
        <v>Sewerage Systems</v>
      </c>
      <c r="N357" s="34">
        <f>VLOOKUP(L357,'2017 SIC to NAICS'!A:D,3)</f>
        <v>221320</v>
      </c>
      <c r="O357" s="34" t="str">
        <f>VLOOKUP(L357,'2017 SIC to NAICS'!A:D,4)</f>
        <v>Sewage Treatment Facilities</v>
      </c>
      <c r="P357" s="36" t="s">
        <v>742</v>
      </c>
      <c r="Q357" s="137" t="s">
        <v>743</v>
      </c>
      <c r="R357" s="45" t="s">
        <v>38</v>
      </c>
      <c r="S357" s="138">
        <f>COUNTIFS('Raw Non-zero DMR Data'!$A:$A, A357, 'Raw Non-zero DMR Data'!$C:$C, U357, 'Raw Non-zero DMR Data'!$V:$V, V357)</f>
        <v>1</v>
      </c>
      <c r="T357" s="34">
        <f>SUMIFS('Raw Non-zero DMR Data'!$X:$X, 'Raw Non-zero DMR Data'!$A:$A, A357, 'Raw Non-zero DMR Data'!$C:$C, U357, 'Raw Non-zero DMR Data'!V:V, V357)</f>
        <v>1.3815249999999999</v>
      </c>
      <c r="U357" s="34" t="s">
        <v>1177</v>
      </c>
      <c r="V357" s="34" t="s">
        <v>1179</v>
      </c>
      <c r="W357" s="139">
        <v>50901030105</v>
      </c>
      <c r="X357" s="140" t="s">
        <v>745</v>
      </c>
    </row>
    <row r="358" spans="1:24" x14ac:dyDescent="0.35">
      <c r="A358" s="34">
        <v>2021</v>
      </c>
      <c r="B358" s="34" t="s">
        <v>284</v>
      </c>
      <c r="C358" s="34" t="s">
        <v>1177</v>
      </c>
      <c r="D358" s="34" t="s">
        <v>285</v>
      </c>
      <c r="E358" s="34" t="s">
        <v>1178</v>
      </c>
      <c r="F358" s="34" t="s">
        <v>108</v>
      </c>
      <c r="G358" s="34"/>
      <c r="H358" s="34">
        <v>38.551630000000003</v>
      </c>
      <c r="I358" s="34">
        <v>-82.778199999999998</v>
      </c>
      <c r="J358" s="34"/>
      <c r="K358" s="105">
        <v>110000759723</v>
      </c>
      <c r="L358" s="34">
        <v>4952</v>
      </c>
      <c r="M358" s="48" t="str">
        <f>VLOOKUP(L358, '2017 SIC to NAICS'!A:D, 2)</f>
        <v>Sewerage Systems</v>
      </c>
      <c r="N358" s="34">
        <f>VLOOKUP(L358,'2017 SIC to NAICS'!A:D,3)</f>
        <v>221320</v>
      </c>
      <c r="O358" s="34" t="str">
        <f>VLOOKUP(L358,'2017 SIC to NAICS'!A:D,4)</f>
        <v>Sewage Treatment Facilities</v>
      </c>
      <c r="P358" s="36" t="s">
        <v>742</v>
      </c>
      <c r="Q358" s="137" t="s">
        <v>743</v>
      </c>
      <c r="R358" s="45" t="s">
        <v>38</v>
      </c>
      <c r="S358" s="138">
        <f>COUNTIFS('Raw Non-zero DMR Data'!$A:$A, A358, 'Raw Non-zero DMR Data'!$C:$C, U358, 'Raw Non-zero DMR Data'!$V:$V, V358)</f>
        <v>1</v>
      </c>
      <c r="T358" s="34">
        <f>SUMIFS('Raw Non-zero DMR Data'!$X:$X, 'Raw Non-zero DMR Data'!$A:$A, A358, 'Raw Non-zero DMR Data'!$C:$C, U358, 'Raw Non-zero DMR Data'!V:V, V358)</f>
        <v>1.0050594374999999</v>
      </c>
      <c r="U358" s="34" t="s">
        <v>1177</v>
      </c>
      <c r="V358" s="34" t="s">
        <v>1179</v>
      </c>
      <c r="W358" s="139">
        <v>50901030105</v>
      </c>
      <c r="X358" s="140" t="s">
        <v>745</v>
      </c>
    </row>
    <row r="359" spans="1:24" x14ac:dyDescent="0.35">
      <c r="A359" s="34">
        <v>2021</v>
      </c>
      <c r="B359" s="34" t="s">
        <v>210</v>
      </c>
      <c r="C359" s="34" t="s">
        <v>1180</v>
      </c>
      <c r="D359" s="34" t="s">
        <v>211</v>
      </c>
      <c r="E359" s="34" t="s">
        <v>1181</v>
      </c>
      <c r="F359" s="34" t="s">
        <v>108</v>
      </c>
      <c r="G359" s="34"/>
      <c r="H359" s="34">
        <v>37.857500000000002</v>
      </c>
      <c r="I359" s="34">
        <v>-83.865278000000004</v>
      </c>
      <c r="J359" s="34"/>
      <c r="K359" s="105">
        <v>110009938470</v>
      </c>
      <c r="L359" s="34">
        <v>4952</v>
      </c>
      <c r="M359" s="48" t="str">
        <f>VLOOKUP(L359, '2017 SIC to NAICS'!A:D, 2)</f>
        <v>Sewerage Systems</v>
      </c>
      <c r="N359" s="34">
        <f>VLOOKUP(L359,'2017 SIC to NAICS'!A:D,3)</f>
        <v>221320</v>
      </c>
      <c r="O359" s="34" t="str">
        <f>VLOOKUP(L359,'2017 SIC to NAICS'!A:D,4)</f>
        <v>Sewage Treatment Facilities</v>
      </c>
      <c r="P359" s="36" t="s">
        <v>742</v>
      </c>
      <c r="Q359" s="137" t="s">
        <v>743</v>
      </c>
      <c r="R359" s="45" t="s">
        <v>38</v>
      </c>
      <c r="S359" s="138">
        <f>COUNTIFS('Raw Non-zero DMR Data'!$A:$A, A359, 'Raw Non-zero DMR Data'!$C:$C, U359, 'Raw Non-zero DMR Data'!$V:$V, V359)</f>
        <v>1</v>
      </c>
      <c r="T359" s="34">
        <f>SUMIFS('Raw Non-zero DMR Data'!$X:$X, 'Raw Non-zero DMR Data'!$A:$A, A359, 'Raw Non-zero DMR Data'!$C:$C, U359, 'Raw Non-zero DMR Data'!V:V, V359)</f>
        <v>3.9718843750000001</v>
      </c>
      <c r="U359" s="34" t="s">
        <v>1180</v>
      </c>
      <c r="V359" s="34" t="s">
        <v>1182</v>
      </c>
      <c r="W359" s="139">
        <v>51002040302</v>
      </c>
      <c r="X359" s="140" t="s">
        <v>745</v>
      </c>
    </row>
    <row r="360" spans="1:24" x14ac:dyDescent="0.35">
      <c r="A360" s="34">
        <v>2019</v>
      </c>
      <c r="B360" s="34" t="s">
        <v>379</v>
      </c>
      <c r="C360" s="34" t="s">
        <v>1183</v>
      </c>
      <c r="D360" s="34" t="s">
        <v>380</v>
      </c>
      <c r="E360" s="34" t="s">
        <v>1184</v>
      </c>
      <c r="F360" s="34" t="s">
        <v>108</v>
      </c>
      <c r="G360" s="34"/>
      <c r="H360" s="34">
        <v>36.787260000000003</v>
      </c>
      <c r="I360" s="34">
        <v>-85.369240000000005</v>
      </c>
      <c r="J360" s="34"/>
      <c r="K360" s="105">
        <v>110009938265</v>
      </c>
      <c r="L360" s="34">
        <v>4952</v>
      </c>
      <c r="M360" s="48" t="str">
        <f>VLOOKUP(L360, '2017 SIC to NAICS'!A:D, 2)</f>
        <v>Sewerage Systems</v>
      </c>
      <c r="N360" s="34">
        <f>VLOOKUP(L360,'2017 SIC to NAICS'!A:D,3)</f>
        <v>221320</v>
      </c>
      <c r="O360" s="34" t="str">
        <f>VLOOKUP(L360,'2017 SIC to NAICS'!A:D,4)</f>
        <v>Sewage Treatment Facilities</v>
      </c>
      <c r="P360" s="36" t="s">
        <v>742</v>
      </c>
      <c r="Q360" s="137" t="s">
        <v>743</v>
      </c>
      <c r="R360" s="45" t="s">
        <v>38</v>
      </c>
      <c r="S360" s="138">
        <f>COUNTIFS('Raw Non-zero DMR Data'!$A:$A, A360, 'Raw Non-zero DMR Data'!$C:$C, U360, 'Raw Non-zero DMR Data'!$V:$V, V360)</f>
        <v>1</v>
      </c>
      <c r="T360" s="34">
        <f>SUMIFS('Raw Non-zero DMR Data'!$X:$X, 'Raw Non-zero DMR Data'!$A:$A, A360, 'Raw Non-zero DMR Data'!$C:$C, U360, 'Raw Non-zero DMR Data'!V:V, V360)</f>
        <v>0.3134680225</v>
      </c>
      <c r="U360" s="34" t="s">
        <v>1183</v>
      </c>
      <c r="V360" s="34" t="s">
        <v>1185</v>
      </c>
      <c r="W360" s="139">
        <v>51301030701</v>
      </c>
      <c r="X360" s="140" t="s">
        <v>745</v>
      </c>
    </row>
    <row r="361" spans="1:24" x14ac:dyDescent="0.35">
      <c r="A361" s="34">
        <v>2020</v>
      </c>
      <c r="B361" s="34" t="s">
        <v>379</v>
      </c>
      <c r="C361" s="34" t="s">
        <v>1183</v>
      </c>
      <c r="D361" s="34" t="s">
        <v>380</v>
      </c>
      <c r="E361" s="34" t="s">
        <v>1184</v>
      </c>
      <c r="F361" s="34" t="s">
        <v>108</v>
      </c>
      <c r="G361" s="34"/>
      <c r="H361" s="34">
        <v>36.787260000000003</v>
      </c>
      <c r="I361" s="34">
        <v>-85.369240000000005</v>
      </c>
      <c r="J361" s="34"/>
      <c r="K361" s="105">
        <v>110009938265</v>
      </c>
      <c r="L361" s="34">
        <v>4952</v>
      </c>
      <c r="M361" s="48" t="str">
        <f>VLOOKUP(L361, '2017 SIC to NAICS'!A:D, 2)</f>
        <v>Sewerage Systems</v>
      </c>
      <c r="N361" s="34">
        <f>VLOOKUP(L361,'2017 SIC to NAICS'!A:D,3)</f>
        <v>221320</v>
      </c>
      <c r="O361" s="34" t="str">
        <f>VLOOKUP(L361,'2017 SIC to NAICS'!A:D,4)</f>
        <v>Sewage Treatment Facilities</v>
      </c>
      <c r="P361" s="36" t="s">
        <v>742</v>
      </c>
      <c r="Q361" s="137" t="s">
        <v>743</v>
      </c>
      <c r="R361" s="45" t="s">
        <v>38</v>
      </c>
      <c r="S361" s="138">
        <f>COUNTIFS('Raw Non-zero DMR Data'!$A:$A, A361, 'Raw Non-zero DMR Data'!$C:$C, U361, 'Raw Non-zero DMR Data'!$V:$V, V361)</f>
        <v>1</v>
      </c>
      <c r="T361" s="34">
        <f>SUMIFS('Raw Non-zero DMR Data'!$X:$X, 'Raw Non-zero DMR Data'!$A:$A, A361, 'Raw Non-zero DMR Data'!$C:$C, U361, 'Raw Non-zero DMR Data'!V:V, V361)</f>
        <v>0.29253791875000001</v>
      </c>
      <c r="U361" s="34" t="s">
        <v>1183</v>
      </c>
      <c r="V361" s="34" t="s">
        <v>1185</v>
      </c>
      <c r="W361" s="139">
        <v>51301030701</v>
      </c>
      <c r="X361" s="140" t="s">
        <v>745</v>
      </c>
    </row>
    <row r="362" spans="1:24" x14ac:dyDescent="0.35">
      <c r="A362" s="34">
        <v>2023</v>
      </c>
      <c r="B362" s="34" t="s">
        <v>343</v>
      </c>
      <c r="C362" s="34" t="s">
        <v>1186</v>
      </c>
      <c r="D362" s="34" t="s">
        <v>163</v>
      </c>
      <c r="E362" s="34" t="s">
        <v>823</v>
      </c>
      <c r="F362" s="34" t="s">
        <v>108</v>
      </c>
      <c r="G362" s="34"/>
      <c r="H362" s="34">
        <v>38.041639000000004</v>
      </c>
      <c r="I362" s="34">
        <v>-84.208667000000005</v>
      </c>
      <c r="J362" s="34"/>
      <c r="K362" s="105">
        <v>110000542896</v>
      </c>
      <c r="L362" s="34">
        <v>4952</v>
      </c>
      <c r="M362" s="48" t="str">
        <f>VLOOKUP(L362, '2017 SIC to NAICS'!A:D, 2)</f>
        <v>Sewerage Systems</v>
      </c>
      <c r="N362" s="34">
        <f>VLOOKUP(L362,'2017 SIC to NAICS'!A:D,3)</f>
        <v>221320</v>
      </c>
      <c r="O362" s="34" t="str">
        <f>VLOOKUP(L362,'2017 SIC to NAICS'!A:D,4)</f>
        <v>Sewage Treatment Facilities</v>
      </c>
      <c r="P362" s="36" t="s">
        <v>742</v>
      </c>
      <c r="Q362" s="137" t="s">
        <v>743</v>
      </c>
      <c r="R362" s="45" t="s">
        <v>38</v>
      </c>
      <c r="S362" s="138">
        <f>COUNTIFS('Raw Non-zero DMR Data'!$A:$A, A362, 'Raw Non-zero DMR Data'!$C:$C, U362, 'Raw Non-zero DMR Data'!$V:$V, V362)</f>
        <v>1</v>
      </c>
      <c r="T362" s="34">
        <f>SUMIFS('Raw Non-zero DMR Data'!$X:$X, 'Raw Non-zero DMR Data'!$A:$A, A362, 'Raw Non-zero DMR Data'!$C:$C, U362, 'Raw Non-zero DMR Data'!V:V, V362)</f>
        <v>0.63809876700000001</v>
      </c>
      <c r="U362" s="34" t="s">
        <v>1186</v>
      </c>
      <c r="V362" s="34" t="s">
        <v>1187</v>
      </c>
      <c r="W362" s="141" t="s">
        <v>1188</v>
      </c>
      <c r="X362" s="140" t="s">
        <v>745</v>
      </c>
    </row>
    <row r="363" spans="1:24" x14ac:dyDescent="0.35">
      <c r="A363" s="34">
        <v>2020</v>
      </c>
      <c r="B363" s="34" t="s">
        <v>257</v>
      </c>
      <c r="C363" s="34" t="s">
        <v>1189</v>
      </c>
      <c r="D363" s="34" t="s">
        <v>258</v>
      </c>
      <c r="E363" s="34" t="s">
        <v>1190</v>
      </c>
      <c r="F363" s="34" t="s">
        <v>108</v>
      </c>
      <c r="G363" s="34"/>
      <c r="H363" s="34">
        <v>38.391995999999999</v>
      </c>
      <c r="I363" s="34">
        <v>-85.416021999999998</v>
      </c>
      <c r="J363" s="34"/>
      <c r="K363" s="105">
        <v>110002108059</v>
      </c>
      <c r="L363" s="34">
        <v>9223</v>
      </c>
      <c r="M363" s="48" t="str">
        <f>VLOOKUP(L363, '2017 SIC to NAICS'!A:D, 2)</f>
        <v>Correctional Institutions</v>
      </c>
      <c r="N363" s="34">
        <f>VLOOKUP(L363,'2017 SIC to NAICS'!A:D,3)</f>
        <v>922140</v>
      </c>
      <c r="O363" s="34" t="str">
        <f>VLOOKUP(L363,'2017 SIC to NAICS'!A:D,4)</f>
        <v>Correctional Institutions</v>
      </c>
      <c r="P363" s="36" t="s">
        <v>754</v>
      </c>
      <c r="Q363" s="137" t="s">
        <v>755</v>
      </c>
      <c r="R363" s="45" t="s">
        <v>41</v>
      </c>
      <c r="S363" s="138">
        <f>COUNTIFS('Raw Non-zero DMR Data'!$A:$A, A363, 'Raw Non-zero DMR Data'!$C:$C, U363, 'Raw Non-zero DMR Data'!$V:$V, V363)</f>
        <v>1</v>
      </c>
      <c r="T363" s="34">
        <f>SUMIFS('Raw Non-zero DMR Data'!$X:$X, 'Raw Non-zero DMR Data'!$A:$A, A363, 'Raw Non-zero DMR Data'!$C:$C, U363, 'Raw Non-zero DMR Data'!V:V, V363)</f>
        <v>2.1137332500000001</v>
      </c>
      <c r="U363" s="34" t="s">
        <v>1189</v>
      </c>
      <c r="V363" s="34" t="s">
        <v>1191</v>
      </c>
      <c r="W363" s="139">
        <v>51401010502</v>
      </c>
      <c r="X363" s="140" t="s">
        <v>745</v>
      </c>
    </row>
    <row r="364" spans="1:24" x14ac:dyDescent="0.35">
      <c r="A364" s="34">
        <v>2023</v>
      </c>
      <c r="B364" s="34" t="s">
        <v>257</v>
      </c>
      <c r="C364" s="34" t="s">
        <v>1189</v>
      </c>
      <c r="D364" s="34" t="s">
        <v>258</v>
      </c>
      <c r="E364" s="34" t="s">
        <v>1190</v>
      </c>
      <c r="F364" s="34" t="s">
        <v>108</v>
      </c>
      <c r="G364" s="34"/>
      <c r="H364" s="34">
        <v>38.391995999999999</v>
      </c>
      <c r="I364" s="34">
        <v>-85.416021999999998</v>
      </c>
      <c r="J364" s="34"/>
      <c r="K364" s="105">
        <v>110002108059</v>
      </c>
      <c r="L364" s="34">
        <v>9223</v>
      </c>
      <c r="M364" s="48" t="str">
        <f>VLOOKUP(L364, '2017 SIC to NAICS'!A:D, 2)</f>
        <v>Correctional Institutions</v>
      </c>
      <c r="N364" s="34">
        <f>VLOOKUP(L364,'2017 SIC to NAICS'!A:D,3)</f>
        <v>922140</v>
      </c>
      <c r="O364" s="34" t="str">
        <f>VLOOKUP(L364,'2017 SIC to NAICS'!A:D,4)</f>
        <v>Correctional Institutions</v>
      </c>
      <c r="P364" s="36" t="s">
        <v>754</v>
      </c>
      <c r="Q364" s="137" t="s">
        <v>755</v>
      </c>
      <c r="R364" s="45" t="s">
        <v>41</v>
      </c>
      <c r="S364" s="138">
        <f>COUNTIFS('Raw Non-zero DMR Data'!$A:$A, A364, 'Raw Non-zero DMR Data'!$C:$C, U364, 'Raw Non-zero DMR Data'!$V:$V, V364)</f>
        <v>1</v>
      </c>
      <c r="T364" s="34">
        <f>SUMIFS('Raw Non-zero DMR Data'!$X:$X, 'Raw Non-zero DMR Data'!$A:$A, A364, 'Raw Non-zero DMR Data'!$C:$C, U364, 'Raw Non-zero DMR Data'!V:V, V364)</f>
        <v>1.7752596249999999</v>
      </c>
      <c r="U364" s="34" t="s">
        <v>1189</v>
      </c>
      <c r="V364" s="34" t="s">
        <v>1191</v>
      </c>
      <c r="W364" s="141" t="s">
        <v>1192</v>
      </c>
      <c r="X364" s="140" t="s">
        <v>745</v>
      </c>
    </row>
    <row r="365" spans="1:24" x14ac:dyDescent="0.35">
      <c r="A365" s="34">
        <v>2019</v>
      </c>
      <c r="B365" s="34" t="s">
        <v>237</v>
      </c>
      <c r="C365" s="34" t="s">
        <v>1193</v>
      </c>
      <c r="D365" s="34" t="s">
        <v>238</v>
      </c>
      <c r="E365" s="34" t="s">
        <v>1194</v>
      </c>
      <c r="F365" s="34" t="s">
        <v>108</v>
      </c>
      <c r="G365" s="34"/>
      <c r="H365" s="34">
        <v>38.151904999999999</v>
      </c>
      <c r="I365" s="34">
        <v>-83.513848999999993</v>
      </c>
      <c r="J365" s="34"/>
      <c r="K365" s="105">
        <v>110045085457</v>
      </c>
      <c r="L365" s="34">
        <v>4952</v>
      </c>
      <c r="M365" s="48" t="str">
        <f>VLOOKUP(L365, '2017 SIC to NAICS'!A:D, 2)</f>
        <v>Sewerage Systems</v>
      </c>
      <c r="N365" s="34">
        <f>VLOOKUP(L365,'2017 SIC to NAICS'!A:D,3)</f>
        <v>221320</v>
      </c>
      <c r="O365" s="34" t="str">
        <f>VLOOKUP(L365,'2017 SIC to NAICS'!A:D,4)</f>
        <v>Sewage Treatment Facilities</v>
      </c>
      <c r="P365" s="36" t="s">
        <v>742</v>
      </c>
      <c r="Q365" s="137" t="s">
        <v>743</v>
      </c>
      <c r="R365" s="45" t="s">
        <v>38</v>
      </c>
      <c r="S365" s="138">
        <f>COUNTIFS('Raw Non-zero DMR Data'!$A:$A, A365, 'Raw Non-zero DMR Data'!$C:$C, U365, 'Raw Non-zero DMR Data'!$V:$V, V365)</f>
        <v>1</v>
      </c>
      <c r="T365" s="34">
        <f>SUMIFS('Raw Non-zero DMR Data'!$X:$X, 'Raw Non-zero DMR Data'!$A:$A, A365, 'Raw Non-zero DMR Data'!$C:$C, U365, 'Raw Non-zero DMR Data'!V:V, V365)</f>
        <v>2.3914197750000001</v>
      </c>
      <c r="U365" s="34" t="s">
        <v>1193</v>
      </c>
      <c r="V365" s="34" t="s">
        <v>1195</v>
      </c>
      <c r="W365" s="139">
        <v>51001010603</v>
      </c>
      <c r="X365" s="140" t="s">
        <v>745</v>
      </c>
    </row>
    <row r="366" spans="1:24" x14ac:dyDescent="0.35">
      <c r="A366" s="34">
        <v>2020</v>
      </c>
      <c r="B366" s="34" t="s">
        <v>237</v>
      </c>
      <c r="C366" s="34" t="s">
        <v>1193</v>
      </c>
      <c r="D366" s="34" t="s">
        <v>238</v>
      </c>
      <c r="E366" s="34" t="s">
        <v>1194</v>
      </c>
      <c r="F366" s="34" t="s">
        <v>108</v>
      </c>
      <c r="G366" s="34"/>
      <c r="H366" s="34">
        <v>38.151904999999999</v>
      </c>
      <c r="I366" s="34">
        <v>-83.513848999999993</v>
      </c>
      <c r="J366" s="34"/>
      <c r="K366" s="105">
        <v>110045085457</v>
      </c>
      <c r="L366" s="34">
        <v>4952</v>
      </c>
      <c r="M366" s="48" t="str">
        <f>VLOOKUP(L366, '2017 SIC to NAICS'!A:D, 2)</f>
        <v>Sewerage Systems</v>
      </c>
      <c r="N366" s="34">
        <f>VLOOKUP(L366,'2017 SIC to NAICS'!A:D,3)</f>
        <v>221320</v>
      </c>
      <c r="O366" s="34" t="str">
        <f>VLOOKUP(L366,'2017 SIC to NAICS'!A:D,4)</f>
        <v>Sewage Treatment Facilities</v>
      </c>
      <c r="P366" s="36" t="s">
        <v>742</v>
      </c>
      <c r="Q366" s="137" t="s">
        <v>743</v>
      </c>
      <c r="R366" s="45" t="s">
        <v>38</v>
      </c>
      <c r="S366" s="138">
        <f>COUNTIFS('Raw Non-zero DMR Data'!$A:$A, A366, 'Raw Non-zero DMR Data'!$C:$C, U366, 'Raw Non-zero DMR Data'!$V:$V, V366)</f>
        <v>1</v>
      </c>
      <c r="T366" s="34">
        <f>SUMIFS('Raw Non-zero DMR Data'!$X:$X, 'Raw Non-zero DMR Data'!$A:$A, A366, 'Raw Non-zero DMR Data'!$C:$C, U366, 'Raw Non-zero DMR Data'!V:V, V366)</f>
        <v>2.6352589375000002</v>
      </c>
      <c r="U366" s="34" t="s">
        <v>1193</v>
      </c>
      <c r="V366" s="34" t="s">
        <v>1195</v>
      </c>
      <c r="W366" s="139">
        <v>51001010603</v>
      </c>
      <c r="X366" s="140" t="s">
        <v>745</v>
      </c>
    </row>
    <row r="367" spans="1:24" x14ac:dyDescent="0.35">
      <c r="A367" s="34">
        <v>2020</v>
      </c>
      <c r="B367" s="34" t="s">
        <v>261</v>
      </c>
      <c r="C367" s="34" t="s">
        <v>1196</v>
      </c>
      <c r="D367" s="34" t="s">
        <v>262</v>
      </c>
      <c r="E367" s="34" t="s">
        <v>1197</v>
      </c>
      <c r="F367" s="34" t="s">
        <v>108</v>
      </c>
      <c r="G367" s="34"/>
      <c r="H367" s="34">
        <v>37.349167000000001</v>
      </c>
      <c r="I367" s="34">
        <v>-85.379444000000007</v>
      </c>
      <c r="J367" s="34"/>
      <c r="K367" s="105">
        <v>110000736776</v>
      </c>
      <c r="L367" s="34">
        <v>4952</v>
      </c>
      <c r="M367" s="48" t="str">
        <f>VLOOKUP(L367, '2017 SIC to NAICS'!A:D, 2)</f>
        <v>Sewerage Systems</v>
      </c>
      <c r="N367" s="34">
        <f>VLOOKUP(L367,'2017 SIC to NAICS'!A:D,3)</f>
        <v>221320</v>
      </c>
      <c r="O367" s="34" t="str">
        <f>VLOOKUP(L367,'2017 SIC to NAICS'!A:D,4)</f>
        <v>Sewage Treatment Facilities</v>
      </c>
      <c r="P367" s="36" t="s">
        <v>742</v>
      </c>
      <c r="Q367" s="137" t="s">
        <v>743</v>
      </c>
      <c r="R367" s="45" t="s">
        <v>38</v>
      </c>
      <c r="S367" s="138">
        <f>COUNTIFS('Raw Non-zero DMR Data'!$A:$A, A367, 'Raw Non-zero DMR Data'!$C:$C, U367, 'Raw Non-zero DMR Data'!$V:$V, V367)</f>
        <v>1</v>
      </c>
      <c r="T367" s="34">
        <f>SUMIFS('Raw Non-zero DMR Data'!$X:$X, 'Raw Non-zero DMR Data'!$A:$A, A367, 'Raw Non-zero DMR Data'!$C:$C, U367, 'Raw Non-zero DMR Data'!V:V, V367)</f>
        <v>2.0066650625000002</v>
      </c>
      <c r="U367" s="34" t="s">
        <v>1196</v>
      </c>
      <c r="V367" s="34" t="s">
        <v>1198</v>
      </c>
      <c r="W367" s="139">
        <v>51100010504</v>
      </c>
      <c r="X367" s="140" t="s">
        <v>745</v>
      </c>
    </row>
    <row r="368" spans="1:24" x14ac:dyDescent="0.35">
      <c r="A368" s="34">
        <v>2021</v>
      </c>
      <c r="B368" s="34" t="s">
        <v>130</v>
      </c>
      <c r="C368" s="34" t="s">
        <v>1199</v>
      </c>
      <c r="D368" s="34" t="s">
        <v>131</v>
      </c>
      <c r="E368" s="34" t="s">
        <v>1200</v>
      </c>
      <c r="F368" s="34" t="s">
        <v>108</v>
      </c>
      <c r="G368" s="34"/>
      <c r="H368" s="34">
        <v>37.621431000000001</v>
      </c>
      <c r="I368" s="34">
        <v>-84.733756</v>
      </c>
      <c r="J368" s="34"/>
      <c r="K368" s="105">
        <v>110000732351</v>
      </c>
      <c r="L368" s="34">
        <v>4952</v>
      </c>
      <c r="M368" s="48" t="str">
        <f>VLOOKUP(L368, '2017 SIC to NAICS'!A:D, 2)</f>
        <v>Sewerage Systems</v>
      </c>
      <c r="N368" s="34">
        <f>VLOOKUP(L368,'2017 SIC to NAICS'!A:D,3)</f>
        <v>221320</v>
      </c>
      <c r="O368" s="34" t="str">
        <f>VLOOKUP(L368,'2017 SIC to NAICS'!A:D,4)</f>
        <v>Sewage Treatment Facilities</v>
      </c>
      <c r="P368" s="36" t="s">
        <v>742</v>
      </c>
      <c r="Q368" s="137" t="s">
        <v>743</v>
      </c>
      <c r="R368" s="45" t="s">
        <v>38</v>
      </c>
      <c r="S368" s="138">
        <f>COUNTIFS('Raw Non-zero DMR Data'!$A:$A, A368, 'Raw Non-zero DMR Data'!$C:$C, U368, 'Raw Non-zero DMR Data'!$V:$V, V368)</f>
        <v>1</v>
      </c>
      <c r="T368" s="34">
        <f>SUMIFS('Raw Non-zero DMR Data'!$X:$X, 'Raw Non-zero DMR Data'!$A:$A, A368, 'Raw Non-zero DMR Data'!$C:$C, U368, 'Raw Non-zero DMR Data'!V:V, V368)</f>
        <v>25.316445625</v>
      </c>
      <c r="U368" s="34" t="s">
        <v>1199</v>
      </c>
      <c r="V368" s="34" t="s">
        <v>1201</v>
      </c>
      <c r="W368" s="139">
        <v>51002050505</v>
      </c>
      <c r="X368" s="140" t="s">
        <v>745</v>
      </c>
    </row>
    <row r="369" spans="1:24" x14ac:dyDescent="0.35">
      <c r="A369" s="34">
        <v>2022</v>
      </c>
      <c r="B369" s="34" t="s">
        <v>130</v>
      </c>
      <c r="C369" s="34" t="s">
        <v>1199</v>
      </c>
      <c r="D369" s="34" t="s">
        <v>131</v>
      </c>
      <c r="E369" s="34" t="s">
        <v>1200</v>
      </c>
      <c r="F369" s="34" t="s">
        <v>108</v>
      </c>
      <c r="G369" s="34"/>
      <c r="H369" s="34">
        <v>37.621431000000001</v>
      </c>
      <c r="I369" s="34">
        <v>-84.733756</v>
      </c>
      <c r="J369" s="34"/>
      <c r="K369" s="105">
        <v>110000732351</v>
      </c>
      <c r="L369" s="34">
        <v>4952</v>
      </c>
      <c r="M369" s="48" t="str">
        <f>VLOOKUP(L369, '2017 SIC to NAICS'!A:D, 2)</f>
        <v>Sewerage Systems</v>
      </c>
      <c r="N369" s="34">
        <f>VLOOKUP(L369,'2017 SIC to NAICS'!A:D,3)</f>
        <v>221320</v>
      </c>
      <c r="O369" s="34" t="str">
        <f>VLOOKUP(L369,'2017 SIC to NAICS'!A:D,4)</f>
        <v>Sewage Treatment Facilities</v>
      </c>
      <c r="P369" s="36" t="s">
        <v>742</v>
      </c>
      <c r="Q369" s="137" t="s">
        <v>743</v>
      </c>
      <c r="R369" s="45" t="s">
        <v>38</v>
      </c>
      <c r="S369" s="138">
        <f>COUNTIFS('Raw Non-zero DMR Data'!$A:$A, A369, 'Raw Non-zero DMR Data'!$C:$C, U369, 'Raw Non-zero DMR Data'!$V:$V, V369)</f>
        <v>1</v>
      </c>
      <c r="T369" s="34">
        <f>SUMIFS('Raw Non-zero DMR Data'!$X:$X, 'Raw Non-zero DMR Data'!$A:$A, A369, 'Raw Non-zero DMR Data'!$C:$C, U369, 'Raw Non-zero DMR Data'!V:V, V369)</f>
        <v>20.412031875</v>
      </c>
      <c r="U369" s="34" t="s">
        <v>1199</v>
      </c>
      <c r="V369" s="34" t="s">
        <v>1201</v>
      </c>
      <c r="W369" s="141" t="s">
        <v>1202</v>
      </c>
      <c r="X369" s="140" t="s">
        <v>745</v>
      </c>
    </row>
    <row r="370" spans="1:24" x14ac:dyDescent="0.35">
      <c r="A370" s="34">
        <v>2023</v>
      </c>
      <c r="B370" s="34" t="s">
        <v>130</v>
      </c>
      <c r="C370" s="34" t="s">
        <v>1199</v>
      </c>
      <c r="D370" s="34" t="s">
        <v>131</v>
      </c>
      <c r="E370" s="34" t="s">
        <v>1200</v>
      </c>
      <c r="F370" s="34" t="s">
        <v>108</v>
      </c>
      <c r="G370" s="34"/>
      <c r="H370" s="34">
        <v>37.621431000000001</v>
      </c>
      <c r="I370" s="34">
        <v>-84.733756</v>
      </c>
      <c r="J370" s="34"/>
      <c r="K370" s="105">
        <v>110000732351</v>
      </c>
      <c r="L370" s="34">
        <v>4952</v>
      </c>
      <c r="M370" s="48" t="str">
        <f>VLOOKUP(L370, '2017 SIC to NAICS'!A:D, 2)</f>
        <v>Sewerage Systems</v>
      </c>
      <c r="N370" s="34">
        <f>VLOOKUP(L370,'2017 SIC to NAICS'!A:D,3)</f>
        <v>221320</v>
      </c>
      <c r="O370" s="34" t="str">
        <f>VLOOKUP(L370,'2017 SIC to NAICS'!A:D,4)</f>
        <v>Sewage Treatment Facilities</v>
      </c>
      <c r="P370" s="36" t="s">
        <v>742</v>
      </c>
      <c r="Q370" s="137" t="s">
        <v>743</v>
      </c>
      <c r="R370" s="45" t="s">
        <v>38</v>
      </c>
      <c r="S370" s="138">
        <f>COUNTIFS('Raw Non-zero DMR Data'!$A:$A, A370, 'Raw Non-zero DMR Data'!$C:$C, U370, 'Raw Non-zero DMR Data'!$V:$V, V370)</f>
        <v>1</v>
      </c>
      <c r="T370" s="34">
        <f>SUMIFS('Raw Non-zero DMR Data'!$X:$X, 'Raw Non-zero DMR Data'!$A:$A, A370, 'Raw Non-zero DMR Data'!$C:$C, U370, 'Raw Non-zero DMR Data'!V:V, V370)</f>
        <v>15.404003749999999</v>
      </c>
      <c r="U370" s="34" t="s">
        <v>1199</v>
      </c>
      <c r="V370" s="34" t="s">
        <v>1201</v>
      </c>
      <c r="W370" s="141" t="s">
        <v>1202</v>
      </c>
      <c r="X370" s="140" t="s">
        <v>745</v>
      </c>
    </row>
    <row r="371" spans="1:24" x14ac:dyDescent="0.35">
      <c r="A371" s="34">
        <v>2019</v>
      </c>
      <c r="B371" s="34" t="s">
        <v>332</v>
      </c>
      <c r="C371" s="34" t="s">
        <v>1203</v>
      </c>
      <c r="D371" s="34" t="s">
        <v>333</v>
      </c>
      <c r="E371" s="34" t="s">
        <v>1204</v>
      </c>
      <c r="F371" s="34" t="s">
        <v>108</v>
      </c>
      <c r="G371" s="34"/>
      <c r="H371" s="34">
        <v>36.946111000000002</v>
      </c>
      <c r="I371" s="34">
        <v>-85.020832999999996</v>
      </c>
      <c r="J371" s="34"/>
      <c r="K371" s="105">
        <v>110000719045</v>
      </c>
      <c r="L371" s="34">
        <v>4952</v>
      </c>
      <c r="M371" s="48" t="str">
        <f>VLOOKUP(L371, '2017 SIC to NAICS'!A:D, 2)</f>
        <v>Sewerage Systems</v>
      </c>
      <c r="N371" s="34">
        <f>VLOOKUP(L371,'2017 SIC to NAICS'!A:D,3)</f>
        <v>221320</v>
      </c>
      <c r="O371" s="34" t="str">
        <f>VLOOKUP(L371,'2017 SIC to NAICS'!A:D,4)</f>
        <v>Sewage Treatment Facilities</v>
      </c>
      <c r="P371" s="36" t="s">
        <v>742</v>
      </c>
      <c r="Q371" s="137" t="s">
        <v>743</v>
      </c>
      <c r="R371" s="45" t="s">
        <v>38</v>
      </c>
      <c r="S371" s="138">
        <f>COUNTIFS('Raw Non-zero DMR Data'!$A:$A, A371, 'Raw Non-zero DMR Data'!$C:$C, U371, 'Raw Non-zero DMR Data'!$V:$V, V371)</f>
        <v>1</v>
      </c>
      <c r="T371" s="34">
        <f>SUMIFS('Raw Non-zero DMR Data'!$X:$X, 'Raw Non-zero DMR Data'!$A:$A, A371, 'Raw Non-zero DMR Data'!$C:$C, U371, 'Raw Non-zero DMR Data'!V:V, V371)</f>
        <v>0.69628860000000004</v>
      </c>
      <c r="U371" s="34" t="s">
        <v>1203</v>
      </c>
      <c r="V371" s="34" t="s">
        <v>1205</v>
      </c>
      <c r="W371" s="139">
        <v>51301030602</v>
      </c>
      <c r="X371" s="140" t="s">
        <v>745</v>
      </c>
    </row>
    <row r="372" spans="1:24" x14ac:dyDescent="0.35">
      <c r="A372" s="34">
        <v>2020</v>
      </c>
      <c r="B372" s="34" t="s">
        <v>332</v>
      </c>
      <c r="C372" s="34" t="s">
        <v>1203</v>
      </c>
      <c r="D372" s="34" t="s">
        <v>333</v>
      </c>
      <c r="E372" s="34" t="s">
        <v>1204</v>
      </c>
      <c r="F372" s="34" t="s">
        <v>108</v>
      </c>
      <c r="G372" s="34"/>
      <c r="H372" s="34">
        <v>36.946111000000002</v>
      </c>
      <c r="I372" s="34">
        <v>-85.020832999999996</v>
      </c>
      <c r="J372" s="34"/>
      <c r="K372" s="105">
        <v>110000719045</v>
      </c>
      <c r="L372" s="34">
        <v>4952</v>
      </c>
      <c r="M372" s="48" t="str">
        <f>VLOOKUP(L372, '2017 SIC to NAICS'!A:D, 2)</f>
        <v>Sewerage Systems</v>
      </c>
      <c r="N372" s="34">
        <f>VLOOKUP(L372,'2017 SIC to NAICS'!A:D,3)</f>
        <v>221320</v>
      </c>
      <c r="O372" s="34" t="str">
        <f>VLOOKUP(L372,'2017 SIC to NAICS'!A:D,4)</f>
        <v>Sewage Treatment Facilities</v>
      </c>
      <c r="P372" s="36" t="s">
        <v>742</v>
      </c>
      <c r="Q372" s="137" t="s">
        <v>743</v>
      </c>
      <c r="R372" s="45" t="s">
        <v>38</v>
      </c>
      <c r="S372" s="138">
        <f>COUNTIFS('Raw Non-zero DMR Data'!$A:$A, A372, 'Raw Non-zero DMR Data'!$C:$C, U372, 'Raw Non-zero DMR Data'!$V:$V, V372)</f>
        <v>1</v>
      </c>
      <c r="T372" s="34">
        <f>SUMIFS('Raw Non-zero DMR Data'!$X:$X, 'Raw Non-zero DMR Data'!$A:$A, A372, 'Raw Non-zero DMR Data'!$C:$C, U372, 'Raw Non-zero DMR Data'!V:V, V372)</f>
        <v>0.5353409375</v>
      </c>
      <c r="U372" s="34" t="s">
        <v>1203</v>
      </c>
      <c r="V372" s="34" t="s">
        <v>1205</v>
      </c>
      <c r="W372" s="139">
        <v>51301030602</v>
      </c>
      <c r="X372" s="140" t="s">
        <v>745</v>
      </c>
    </row>
    <row r="373" spans="1:24" x14ac:dyDescent="0.35">
      <c r="A373" s="34">
        <v>2019</v>
      </c>
      <c r="B373" s="34" t="s">
        <v>297</v>
      </c>
      <c r="C373" s="34" t="s">
        <v>1206</v>
      </c>
      <c r="D373" s="34" t="s">
        <v>298</v>
      </c>
      <c r="E373" s="34" t="s">
        <v>1207</v>
      </c>
      <c r="F373" s="34" t="s">
        <v>108</v>
      </c>
      <c r="G373" s="34"/>
      <c r="H373" s="34">
        <v>36.644849999999998</v>
      </c>
      <c r="I373" s="34">
        <v>-87.187950000000001</v>
      </c>
      <c r="J373" s="34"/>
      <c r="K373" s="105">
        <v>110009937499</v>
      </c>
      <c r="L373" s="34">
        <v>4952</v>
      </c>
      <c r="M373" s="48" t="str">
        <f>VLOOKUP(L373, '2017 SIC to NAICS'!A:D, 2)</f>
        <v>Sewerage Systems</v>
      </c>
      <c r="N373" s="34">
        <f>VLOOKUP(L373,'2017 SIC to NAICS'!A:D,3)</f>
        <v>221320</v>
      </c>
      <c r="O373" s="34" t="str">
        <f>VLOOKUP(L373,'2017 SIC to NAICS'!A:D,4)</f>
        <v>Sewage Treatment Facilities</v>
      </c>
      <c r="P373" s="36" t="s">
        <v>742</v>
      </c>
      <c r="Q373" s="137" t="s">
        <v>743</v>
      </c>
      <c r="R373" s="45" t="s">
        <v>38</v>
      </c>
      <c r="S373" s="138">
        <f>COUNTIFS('Raw Non-zero DMR Data'!$A:$A, A373, 'Raw Non-zero DMR Data'!$C:$C, U373, 'Raw Non-zero DMR Data'!$V:$V, V373)</f>
        <v>1</v>
      </c>
      <c r="T373" s="34">
        <f>SUMIFS('Raw Non-zero DMR Data'!$X:$X, 'Raw Non-zero DMR Data'!$A:$A, A373, 'Raw Non-zero DMR Data'!$C:$C, U373, 'Raw Non-zero DMR Data'!V:V, V373)</f>
        <v>1.0534128125</v>
      </c>
      <c r="U373" s="34" t="s">
        <v>1206</v>
      </c>
      <c r="V373" s="34" t="s">
        <v>1208</v>
      </c>
      <c r="W373" s="139">
        <v>51302060603</v>
      </c>
      <c r="X373" s="140" t="s">
        <v>745</v>
      </c>
    </row>
    <row r="374" spans="1:24" x14ac:dyDescent="0.35">
      <c r="A374" s="34">
        <v>2020</v>
      </c>
      <c r="B374" s="34" t="s">
        <v>297</v>
      </c>
      <c r="C374" s="34" t="s">
        <v>1206</v>
      </c>
      <c r="D374" s="34" t="s">
        <v>298</v>
      </c>
      <c r="E374" s="34" t="s">
        <v>1207</v>
      </c>
      <c r="F374" s="34" t="s">
        <v>108</v>
      </c>
      <c r="G374" s="34"/>
      <c r="H374" s="34">
        <v>36.644849999999998</v>
      </c>
      <c r="I374" s="34">
        <v>-87.187950000000001</v>
      </c>
      <c r="J374" s="34"/>
      <c r="K374" s="105">
        <v>110009937499</v>
      </c>
      <c r="L374" s="34">
        <v>4952</v>
      </c>
      <c r="M374" s="48" t="str">
        <f>VLOOKUP(L374, '2017 SIC to NAICS'!A:D, 2)</f>
        <v>Sewerage Systems</v>
      </c>
      <c r="N374" s="34">
        <f>VLOOKUP(L374,'2017 SIC to NAICS'!A:D,3)</f>
        <v>221320</v>
      </c>
      <c r="O374" s="34" t="str">
        <f>VLOOKUP(L374,'2017 SIC to NAICS'!A:D,4)</f>
        <v>Sewage Treatment Facilities</v>
      </c>
      <c r="P374" s="36" t="s">
        <v>742</v>
      </c>
      <c r="Q374" s="137" t="s">
        <v>743</v>
      </c>
      <c r="R374" s="45" t="s">
        <v>38</v>
      </c>
      <c r="S374" s="138">
        <f>COUNTIFS('Raw Non-zero DMR Data'!$A:$A, A374, 'Raw Non-zero DMR Data'!$C:$C, U374, 'Raw Non-zero DMR Data'!$V:$V, V374)</f>
        <v>1</v>
      </c>
      <c r="T374" s="34">
        <f>SUMIFS('Raw Non-zero DMR Data'!$X:$X, 'Raw Non-zero DMR Data'!$A:$A, A374, 'Raw Non-zero DMR Data'!$C:$C, U374, 'Raw Non-zero DMR Data'!V:V, V374)</f>
        <v>0.1540400375</v>
      </c>
      <c r="U374" s="34" t="s">
        <v>1206</v>
      </c>
      <c r="V374" s="34" t="s">
        <v>1208</v>
      </c>
      <c r="W374" s="139">
        <v>51302060603</v>
      </c>
      <c r="X374" s="140" t="s">
        <v>745</v>
      </c>
    </row>
    <row r="375" spans="1:24" x14ac:dyDescent="0.35">
      <c r="A375" s="34">
        <v>2019</v>
      </c>
      <c r="B375" s="34" t="s">
        <v>144</v>
      </c>
      <c r="C375" s="34" t="s">
        <v>1209</v>
      </c>
      <c r="D375" s="34" t="s">
        <v>145</v>
      </c>
      <c r="E375" s="34" t="s">
        <v>1210</v>
      </c>
      <c r="F375" s="34" t="s">
        <v>108</v>
      </c>
      <c r="G375" s="34"/>
      <c r="H375" s="34">
        <v>36.803610999999997</v>
      </c>
      <c r="I375" s="34">
        <v>-87.516389000000004</v>
      </c>
      <c r="J375" s="34"/>
      <c r="K375" s="105">
        <v>110039994897</v>
      </c>
      <c r="L375" s="34">
        <v>4952</v>
      </c>
      <c r="M375" s="48" t="str">
        <f>VLOOKUP(L375, '2017 SIC to NAICS'!A:D, 2)</f>
        <v>Sewerage Systems</v>
      </c>
      <c r="N375" s="34">
        <f>VLOOKUP(L375,'2017 SIC to NAICS'!A:D,3)</f>
        <v>221320</v>
      </c>
      <c r="O375" s="34" t="str">
        <f>VLOOKUP(L375,'2017 SIC to NAICS'!A:D,4)</f>
        <v>Sewage Treatment Facilities</v>
      </c>
      <c r="P375" s="36" t="s">
        <v>742</v>
      </c>
      <c r="Q375" s="137" t="s">
        <v>743</v>
      </c>
      <c r="R375" s="45" t="s">
        <v>38</v>
      </c>
      <c r="S375" s="138">
        <f>COUNTIFS('Raw Non-zero DMR Data'!$A:$A, A375, 'Raw Non-zero DMR Data'!$C:$C, U375, 'Raw Non-zero DMR Data'!$V:$V, V375)</f>
        <v>1</v>
      </c>
      <c r="T375" s="34">
        <f>SUMIFS('Raw Non-zero DMR Data'!$X:$X, 'Raw Non-zero DMR Data'!$A:$A, A375, 'Raw Non-zero DMR Data'!$C:$C, U375, 'Raw Non-zero DMR Data'!V:V, V375)</f>
        <v>5.709842825</v>
      </c>
      <c r="U375" s="34" t="s">
        <v>1209</v>
      </c>
      <c r="V375" s="34" t="s">
        <v>1211</v>
      </c>
      <c r="W375" s="139">
        <v>51302050503</v>
      </c>
      <c r="X375" s="140" t="s">
        <v>745</v>
      </c>
    </row>
    <row r="376" spans="1:24" x14ac:dyDescent="0.35">
      <c r="A376" s="34">
        <v>2020</v>
      </c>
      <c r="B376" s="34" t="s">
        <v>144</v>
      </c>
      <c r="C376" s="34" t="s">
        <v>1209</v>
      </c>
      <c r="D376" s="34" t="s">
        <v>145</v>
      </c>
      <c r="E376" s="34" t="s">
        <v>1210</v>
      </c>
      <c r="F376" s="34" t="s">
        <v>108</v>
      </c>
      <c r="G376" s="34"/>
      <c r="H376" s="34">
        <v>36.803610999999997</v>
      </c>
      <c r="I376" s="34">
        <v>-87.516389000000004</v>
      </c>
      <c r="J376" s="34"/>
      <c r="K376" s="105">
        <v>110039994897</v>
      </c>
      <c r="L376" s="34">
        <v>4952</v>
      </c>
      <c r="M376" s="48" t="str">
        <f>VLOOKUP(L376, '2017 SIC to NAICS'!A:D, 2)</f>
        <v>Sewerage Systems</v>
      </c>
      <c r="N376" s="34">
        <f>VLOOKUP(L376,'2017 SIC to NAICS'!A:D,3)</f>
        <v>221320</v>
      </c>
      <c r="O376" s="34" t="str">
        <f>VLOOKUP(L376,'2017 SIC to NAICS'!A:D,4)</f>
        <v>Sewage Treatment Facilities</v>
      </c>
      <c r="P376" s="36" t="s">
        <v>742</v>
      </c>
      <c r="Q376" s="137" t="s">
        <v>743</v>
      </c>
      <c r="R376" s="45" t="s">
        <v>38</v>
      </c>
      <c r="S376" s="138">
        <f>COUNTIFS('Raw Non-zero DMR Data'!$A:$A, A376, 'Raw Non-zero DMR Data'!$C:$C, U376, 'Raw Non-zero DMR Data'!$V:$V, V376)</f>
        <v>1</v>
      </c>
      <c r="T376" s="34">
        <f>SUMIFS('Raw Non-zero DMR Data'!$X:$X, 'Raw Non-zero DMR Data'!$A:$A, A376, 'Raw Non-zero DMR Data'!$C:$C, U376, 'Raw Non-zero DMR Data'!V:V, V376)</f>
        <v>4.1459565249999999</v>
      </c>
      <c r="U376" s="34" t="s">
        <v>1209</v>
      </c>
      <c r="V376" s="34" t="s">
        <v>1211</v>
      </c>
      <c r="W376" s="139">
        <v>51302050503</v>
      </c>
      <c r="X376" s="140" t="s">
        <v>745</v>
      </c>
    </row>
    <row r="377" spans="1:24" x14ac:dyDescent="0.35">
      <c r="A377" s="34">
        <v>2021</v>
      </c>
      <c r="B377" s="34" t="s">
        <v>144</v>
      </c>
      <c r="C377" s="34" t="s">
        <v>1209</v>
      </c>
      <c r="D377" s="34" t="s">
        <v>145</v>
      </c>
      <c r="E377" s="34" t="s">
        <v>1210</v>
      </c>
      <c r="F377" s="34" t="s">
        <v>108</v>
      </c>
      <c r="G377" s="34"/>
      <c r="H377" s="34">
        <v>36.803610999999997</v>
      </c>
      <c r="I377" s="34">
        <v>-87.516389000000004</v>
      </c>
      <c r="J377" s="34"/>
      <c r="K377" s="105">
        <v>110039994897</v>
      </c>
      <c r="L377" s="34">
        <v>4952</v>
      </c>
      <c r="M377" s="48" t="str">
        <f>VLOOKUP(L377, '2017 SIC to NAICS'!A:D, 2)</f>
        <v>Sewerage Systems</v>
      </c>
      <c r="N377" s="34">
        <f>VLOOKUP(L377,'2017 SIC to NAICS'!A:D,3)</f>
        <v>221320</v>
      </c>
      <c r="O377" s="34" t="str">
        <f>VLOOKUP(L377,'2017 SIC to NAICS'!A:D,4)</f>
        <v>Sewage Treatment Facilities</v>
      </c>
      <c r="P377" s="36" t="s">
        <v>742</v>
      </c>
      <c r="Q377" s="137" t="s">
        <v>743</v>
      </c>
      <c r="R377" s="45" t="s">
        <v>38</v>
      </c>
      <c r="S377" s="138">
        <f>COUNTIFS('Raw Non-zero DMR Data'!$A:$A, A377, 'Raw Non-zero DMR Data'!$C:$C, U377, 'Raw Non-zero DMR Data'!$V:$V, V377)</f>
        <v>1</v>
      </c>
      <c r="T377" s="34">
        <f>SUMIFS('Raw Non-zero DMR Data'!$X:$X, 'Raw Non-zero DMR Data'!$A:$A, A377, 'Raw Non-zero DMR Data'!$C:$C, U377, 'Raw Non-zero DMR Data'!V:V, V377)</f>
        <v>13.0519574375</v>
      </c>
      <c r="U377" s="34" t="s">
        <v>1209</v>
      </c>
      <c r="V377" s="34" t="s">
        <v>1211</v>
      </c>
      <c r="W377" s="139">
        <v>51302050503</v>
      </c>
      <c r="X377" s="140" t="s">
        <v>745</v>
      </c>
    </row>
    <row r="378" spans="1:24" x14ac:dyDescent="0.35">
      <c r="A378" s="34">
        <v>2019</v>
      </c>
      <c r="B378" s="34" t="s">
        <v>120</v>
      </c>
      <c r="C378" s="34" t="s">
        <v>1212</v>
      </c>
      <c r="D378" s="34" t="s">
        <v>115</v>
      </c>
      <c r="E378" s="34" t="s">
        <v>1072</v>
      </c>
      <c r="F378" s="34" t="s">
        <v>108</v>
      </c>
      <c r="G378" s="34"/>
      <c r="H378" s="34">
        <v>37.770769999999999</v>
      </c>
      <c r="I378" s="34">
        <v>-87.065669999999997</v>
      </c>
      <c r="J378" s="34"/>
      <c r="K378" s="105">
        <v>110043734983</v>
      </c>
      <c r="L378" s="34">
        <v>4952</v>
      </c>
      <c r="M378" s="48" t="str">
        <f>VLOOKUP(L378, '2017 SIC to NAICS'!A:D, 2)</f>
        <v>Sewerage Systems</v>
      </c>
      <c r="N378" s="34">
        <f>VLOOKUP(L378,'2017 SIC to NAICS'!A:D,3)</f>
        <v>221320</v>
      </c>
      <c r="O378" s="34" t="str">
        <f>VLOOKUP(L378,'2017 SIC to NAICS'!A:D,4)</f>
        <v>Sewage Treatment Facilities</v>
      </c>
      <c r="P378" s="36" t="s">
        <v>742</v>
      </c>
      <c r="Q378" s="137" t="s">
        <v>743</v>
      </c>
      <c r="R378" s="45" t="s">
        <v>38</v>
      </c>
      <c r="S378" s="138">
        <f>COUNTIFS('Raw Non-zero DMR Data'!$A:$A, A378, 'Raw Non-zero DMR Data'!$C:$C, U378, 'Raw Non-zero DMR Data'!$V:$V, V378)</f>
        <v>1</v>
      </c>
      <c r="T378" s="34">
        <f>SUMIFS('Raw Non-zero DMR Data'!$X:$X, 'Raw Non-zero DMR Data'!$A:$A, A378, 'Raw Non-zero DMR Data'!$C:$C, U378, 'Raw Non-zero DMR Data'!V:V, V378)</f>
        <v>18.236129999999999</v>
      </c>
      <c r="U378" s="34" t="s">
        <v>1212</v>
      </c>
      <c r="V378" s="34" t="s">
        <v>1213</v>
      </c>
      <c r="W378" s="139">
        <v>51402011201</v>
      </c>
      <c r="X378" s="140" t="s">
        <v>745</v>
      </c>
    </row>
    <row r="379" spans="1:24" x14ac:dyDescent="0.35">
      <c r="A379" s="34">
        <v>2020</v>
      </c>
      <c r="B379" s="34" t="s">
        <v>120</v>
      </c>
      <c r="C379" s="34" t="s">
        <v>1212</v>
      </c>
      <c r="D379" s="34" t="s">
        <v>115</v>
      </c>
      <c r="E379" s="34" t="s">
        <v>1072</v>
      </c>
      <c r="F379" s="34" t="s">
        <v>108</v>
      </c>
      <c r="G379" s="34"/>
      <c r="H379" s="34">
        <v>37.770769999999999</v>
      </c>
      <c r="I379" s="34">
        <v>-87.065669999999997</v>
      </c>
      <c r="J379" s="34"/>
      <c r="K379" s="105">
        <v>110043734983</v>
      </c>
      <c r="L379" s="34">
        <v>4952</v>
      </c>
      <c r="M379" s="48" t="str">
        <f>VLOOKUP(L379, '2017 SIC to NAICS'!A:D, 2)</f>
        <v>Sewerage Systems</v>
      </c>
      <c r="N379" s="34">
        <f>VLOOKUP(L379,'2017 SIC to NAICS'!A:D,3)</f>
        <v>221320</v>
      </c>
      <c r="O379" s="34" t="str">
        <f>VLOOKUP(L379,'2017 SIC to NAICS'!A:D,4)</f>
        <v>Sewage Treatment Facilities</v>
      </c>
      <c r="P379" s="36" t="s">
        <v>742</v>
      </c>
      <c r="Q379" s="137" t="s">
        <v>743</v>
      </c>
      <c r="R379" s="45" t="s">
        <v>38</v>
      </c>
      <c r="S379" s="138">
        <f>COUNTIFS('Raw Non-zero DMR Data'!$A:$A, A379, 'Raw Non-zero DMR Data'!$C:$C, U379, 'Raw Non-zero DMR Data'!$V:$V, V379)</f>
        <v>1</v>
      </c>
      <c r="T379" s="34">
        <f>SUMIFS('Raw Non-zero DMR Data'!$X:$X, 'Raw Non-zero DMR Data'!$A:$A, A379, 'Raw Non-zero DMR Data'!$C:$C, U379, 'Raw Non-zero DMR Data'!V:V, V379)</f>
        <v>29.9790925</v>
      </c>
      <c r="U379" s="34" t="s">
        <v>1212</v>
      </c>
      <c r="V379" s="34" t="s">
        <v>1213</v>
      </c>
      <c r="W379" s="139">
        <v>51402011201</v>
      </c>
      <c r="X379" s="140" t="s">
        <v>745</v>
      </c>
    </row>
    <row r="380" spans="1:24" x14ac:dyDescent="0.35">
      <c r="A380" s="34">
        <v>2021</v>
      </c>
      <c r="B380" s="34" t="s">
        <v>120</v>
      </c>
      <c r="C380" s="34" t="s">
        <v>1212</v>
      </c>
      <c r="D380" s="34" t="s">
        <v>115</v>
      </c>
      <c r="E380" s="34" t="s">
        <v>1072</v>
      </c>
      <c r="F380" s="34" t="s">
        <v>108</v>
      </c>
      <c r="G380" s="34"/>
      <c r="H380" s="34">
        <v>37.770769999999999</v>
      </c>
      <c r="I380" s="34">
        <v>-87.065669999999997</v>
      </c>
      <c r="J380" s="34"/>
      <c r="K380" s="105">
        <v>110043734983</v>
      </c>
      <c r="L380" s="34">
        <v>4952</v>
      </c>
      <c r="M380" s="48" t="str">
        <f>VLOOKUP(L380, '2017 SIC to NAICS'!A:D, 2)</f>
        <v>Sewerage Systems</v>
      </c>
      <c r="N380" s="34">
        <f>VLOOKUP(L380,'2017 SIC to NAICS'!A:D,3)</f>
        <v>221320</v>
      </c>
      <c r="O380" s="34" t="str">
        <f>VLOOKUP(L380,'2017 SIC to NAICS'!A:D,4)</f>
        <v>Sewage Treatment Facilities</v>
      </c>
      <c r="P380" s="36" t="s">
        <v>742</v>
      </c>
      <c r="Q380" s="137" t="s">
        <v>743</v>
      </c>
      <c r="R380" s="45" t="s">
        <v>38</v>
      </c>
      <c r="S380" s="138">
        <f>COUNTIFS('Raw Non-zero DMR Data'!$A:$A, A380, 'Raw Non-zero DMR Data'!$C:$C, U380, 'Raw Non-zero DMR Data'!$V:$V, V380)</f>
        <v>1</v>
      </c>
      <c r="T380" s="34">
        <f>SUMIFS('Raw Non-zero DMR Data'!$X:$X, 'Raw Non-zero DMR Data'!$A:$A, A380, 'Raw Non-zero DMR Data'!$C:$C, U380, 'Raw Non-zero DMR Data'!V:V, V380)</f>
        <v>14.333321874999999</v>
      </c>
      <c r="U380" s="34" t="s">
        <v>1212</v>
      </c>
      <c r="V380" s="34" t="s">
        <v>1213</v>
      </c>
      <c r="W380" s="139">
        <v>51402011201</v>
      </c>
      <c r="X380" s="140" t="s">
        <v>745</v>
      </c>
    </row>
    <row r="381" spans="1:24" x14ac:dyDescent="0.35">
      <c r="A381" s="34">
        <v>2022</v>
      </c>
      <c r="B381" s="34" t="s">
        <v>120</v>
      </c>
      <c r="C381" s="34" t="s">
        <v>1212</v>
      </c>
      <c r="D381" s="34" t="s">
        <v>115</v>
      </c>
      <c r="E381" s="34" t="s">
        <v>1072</v>
      </c>
      <c r="F381" s="34" t="s">
        <v>108</v>
      </c>
      <c r="G381" s="34"/>
      <c r="H381" s="34">
        <v>37.770769999999999</v>
      </c>
      <c r="I381" s="34">
        <v>-87.065669999999997</v>
      </c>
      <c r="J381" s="34"/>
      <c r="K381" s="105">
        <v>110043734983</v>
      </c>
      <c r="L381" s="34">
        <v>4952</v>
      </c>
      <c r="M381" s="48" t="str">
        <f>VLOOKUP(L381, '2017 SIC to NAICS'!A:D, 2)</f>
        <v>Sewerage Systems</v>
      </c>
      <c r="N381" s="34">
        <f>VLOOKUP(L381,'2017 SIC to NAICS'!A:D,3)</f>
        <v>221320</v>
      </c>
      <c r="O381" s="34" t="str">
        <f>VLOOKUP(L381,'2017 SIC to NAICS'!A:D,4)</f>
        <v>Sewage Treatment Facilities</v>
      </c>
      <c r="P381" s="36" t="s">
        <v>742</v>
      </c>
      <c r="Q381" s="137" t="s">
        <v>743</v>
      </c>
      <c r="R381" s="45" t="s">
        <v>38</v>
      </c>
      <c r="S381" s="138">
        <f>COUNTIFS('Raw Non-zero DMR Data'!$A:$A, A381, 'Raw Non-zero DMR Data'!$C:$C, U381, 'Raw Non-zero DMR Data'!$V:$V, V381)</f>
        <v>1</v>
      </c>
      <c r="T381" s="34">
        <f>SUMIFS('Raw Non-zero DMR Data'!$X:$X, 'Raw Non-zero DMR Data'!$A:$A, A381, 'Raw Non-zero DMR Data'!$C:$C, U381, 'Raw Non-zero DMR Data'!V:V, V381)</f>
        <v>0.54100519000000002</v>
      </c>
      <c r="U381" s="34" t="s">
        <v>1212</v>
      </c>
      <c r="V381" s="34" t="s">
        <v>1213</v>
      </c>
      <c r="W381" s="141" t="s">
        <v>1214</v>
      </c>
      <c r="X381" s="140" t="s">
        <v>745</v>
      </c>
    </row>
    <row r="382" spans="1:24" x14ac:dyDescent="0.35">
      <c r="A382" s="34">
        <v>2023</v>
      </c>
      <c r="B382" s="34" t="s">
        <v>120</v>
      </c>
      <c r="C382" s="34" t="s">
        <v>1212</v>
      </c>
      <c r="D382" s="34" t="s">
        <v>115</v>
      </c>
      <c r="E382" s="34" t="s">
        <v>1072</v>
      </c>
      <c r="F382" s="34" t="s">
        <v>108</v>
      </c>
      <c r="G382" s="34"/>
      <c r="H382" s="34">
        <v>37.770769999999999</v>
      </c>
      <c r="I382" s="34">
        <v>-87.065669999999997</v>
      </c>
      <c r="J382" s="34"/>
      <c r="K382" s="105">
        <v>110043734983</v>
      </c>
      <c r="L382" s="34">
        <v>4952</v>
      </c>
      <c r="M382" s="48" t="str">
        <f>VLOOKUP(L382, '2017 SIC to NAICS'!A:D, 2)</f>
        <v>Sewerage Systems</v>
      </c>
      <c r="N382" s="34">
        <f>VLOOKUP(L382,'2017 SIC to NAICS'!A:D,3)</f>
        <v>221320</v>
      </c>
      <c r="O382" s="34" t="str">
        <f>VLOOKUP(L382,'2017 SIC to NAICS'!A:D,4)</f>
        <v>Sewage Treatment Facilities</v>
      </c>
      <c r="P382" s="36" t="s">
        <v>742</v>
      </c>
      <c r="Q382" s="137" t="s">
        <v>743</v>
      </c>
      <c r="R382" s="45" t="s">
        <v>38</v>
      </c>
      <c r="S382" s="138">
        <f>COUNTIFS('Raw Non-zero DMR Data'!$A:$A, A382, 'Raw Non-zero DMR Data'!$C:$C, U382, 'Raw Non-zero DMR Data'!$V:$V, V382)</f>
        <v>1</v>
      </c>
      <c r="T382" s="34">
        <f>SUMIFS('Raw Non-zero DMR Data'!$X:$X, 'Raw Non-zero DMR Data'!$A:$A, A382, 'Raw Non-zero DMR Data'!$C:$C, U382, 'Raw Non-zero DMR Data'!V:V, V382)</f>
        <v>4.7248155000000001</v>
      </c>
      <c r="U382" s="34" t="s">
        <v>1212</v>
      </c>
      <c r="V382" s="34" t="s">
        <v>1213</v>
      </c>
      <c r="W382" s="141" t="s">
        <v>1214</v>
      </c>
      <c r="X382" s="140" t="s">
        <v>745</v>
      </c>
    </row>
    <row r="383" spans="1:24" x14ac:dyDescent="0.35">
      <c r="A383" s="34">
        <v>2019</v>
      </c>
      <c r="B383" s="34" t="s">
        <v>106</v>
      </c>
      <c r="C383" s="34" t="s">
        <v>1215</v>
      </c>
      <c r="D383" s="34" t="s">
        <v>107</v>
      </c>
      <c r="E383" s="34" t="s">
        <v>782</v>
      </c>
      <c r="F383" s="34" t="s">
        <v>108</v>
      </c>
      <c r="G383" s="34"/>
      <c r="H383" s="34">
        <v>38.08614</v>
      </c>
      <c r="I383" s="34">
        <v>-85.898780000000002</v>
      </c>
      <c r="J383" s="34"/>
      <c r="K383" s="105">
        <v>110000732379</v>
      </c>
      <c r="L383" s="34">
        <v>4952</v>
      </c>
      <c r="M383" s="48" t="str">
        <f>VLOOKUP(L383, '2017 SIC to NAICS'!A:D, 2)</f>
        <v>Sewerage Systems</v>
      </c>
      <c r="N383" s="34">
        <f>VLOOKUP(L383,'2017 SIC to NAICS'!A:D,3)</f>
        <v>221320</v>
      </c>
      <c r="O383" s="34" t="str">
        <f>VLOOKUP(L383,'2017 SIC to NAICS'!A:D,4)</f>
        <v>Sewage Treatment Facilities</v>
      </c>
      <c r="P383" s="36" t="s">
        <v>742</v>
      </c>
      <c r="Q383" s="137" t="s">
        <v>743</v>
      </c>
      <c r="R383" s="45" t="s">
        <v>38</v>
      </c>
      <c r="S383" s="138">
        <f>COUNTIFS('Raw Non-zero DMR Data'!$A:$A, A383, 'Raw Non-zero DMR Data'!$C:$C, U383, 'Raw Non-zero DMR Data'!$V:$V, V383)</f>
        <v>1</v>
      </c>
      <c r="T383" s="34">
        <f>SUMIFS('Raw Non-zero DMR Data'!$X:$X, 'Raw Non-zero DMR Data'!$A:$A, A383, 'Raw Non-zero DMR Data'!$C:$C, U383, 'Raw Non-zero DMR Data'!V:V, V383)</f>
        <v>212.68922756250001</v>
      </c>
      <c r="U383" s="34" t="s">
        <v>1215</v>
      </c>
      <c r="V383" s="34" t="s">
        <v>1216</v>
      </c>
      <c r="W383" s="139">
        <v>51401010904</v>
      </c>
      <c r="X383" s="140" t="s">
        <v>745</v>
      </c>
    </row>
    <row r="384" spans="1:24" x14ac:dyDescent="0.35">
      <c r="A384" s="34">
        <v>2020</v>
      </c>
      <c r="B384" s="34" t="s">
        <v>106</v>
      </c>
      <c r="C384" s="34" t="s">
        <v>1215</v>
      </c>
      <c r="D384" s="34" t="s">
        <v>107</v>
      </c>
      <c r="E384" s="34" t="s">
        <v>782</v>
      </c>
      <c r="F384" s="34" t="s">
        <v>108</v>
      </c>
      <c r="G384" s="34"/>
      <c r="H384" s="34">
        <v>38.08614</v>
      </c>
      <c r="I384" s="34">
        <v>-85.898780000000002</v>
      </c>
      <c r="J384" s="34"/>
      <c r="K384" s="105">
        <v>110000732379</v>
      </c>
      <c r="L384" s="34">
        <v>4952</v>
      </c>
      <c r="M384" s="48" t="str">
        <f>VLOOKUP(L384, '2017 SIC to NAICS'!A:D, 2)</f>
        <v>Sewerage Systems</v>
      </c>
      <c r="N384" s="34">
        <f>VLOOKUP(L384,'2017 SIC to NAICS'!A:D,3)</f>
        <v>221320</v>
      </c>
      <c r="O384" s="34" t="str">
        <f>VLOOKUP(L384,'2017 SIC to NAICS'!A:D,4)</f>
        <v>Sewage Treatment Facilities</v>
      </c>
      <c r="P384" s="36" t="s">
        <v>742</v>
      </c>
      <c r="Q384" s="137" t="s">
        <v>743</v>
      </c>
      <c r="R384" s="45" t="s">
        <v>38</v>
      </c>
      <c r="S384" s="138">
        <f>COUNTIFS('Raw Non-zero DMR Data'!$A:$A, A384, 'Raw Non-zero DMR Data'!$C:$C, U384, 'Raw Non-zero DMR Data'!$V:$V, V384)</f>
        <v>1</v>
      </c>
      <c r="T384" s="34">
        <f>SUMIFS('Raw Non-zero DMR Data'!$X:$X, 'Raw Non-zero DMR Data'!$A:$A, A384, 'Raw Non-zero DMR Data'!$C:$C, U384, 'Raw Non-zero DMR Data'!V:V, V384)</f>
        <v>167.30267749999999</v>
      </c>
      <c r="U384" s="34" t="s">
        <v>1215</v>
      </c>
      <c r="V384" s="34" t="s">
        <v>1216</v>
      </c>
      <c r="W384" s="139">
        <v>51401010904</v>
      </c>
      <c r="X384" s="140" t="s">
        <v>745</v>
      </c>
    </row>
    <row r="385" spans="1:24" x14ac:dyDescent="0.35">
      <c r="A385" s="34">
        <v>2021</v>
      </c>
      <c r="B385" s="34" t="s">
        <v>106</v>
      </c>
      <c r="C385" s="34" t="s">
        <v>1215</v>
      </c>
      <c r="D385" s="34" t="s">
        <v>107</v>
      </c>
      <c r="E385" s="34" t="s">
        <v>782</v>
      </c>
      <c r="F385" s="34" t="s">
        <v>108</v>
      </c>
      <c r="G385" s="34"/>
      <c r="H385" s="34">
        <v>38.08614</v>
      </c>
      <c r="I385" s="34">
        <v>-85.898780000000002</v>
      </c>
      <c r="J385" s="34"/>
      <c r="K385" s="105">
        <v>110000732379</v>
      </c>
      <c r="L385" s="34">
        <v>4952</v>
      </c>
      <c r="M385" s="48" t="str">
        <f>VLOOKUP(L385, '2017 SIC to NAICS'!A:D, 2)</f>
        <v>Sewerage Systems</v>
      </c>
      <c r="N385" s="34">
        <f>VLOOKUP(L385,'2017 SIC to NAICS'!A:D,3)</f>
        <v>221320</v>
      </c>
      <c r="O385" s="34" t="str">
        <f>VLOOKUP(L385,'2017 SIC to NAICS'!A:D,4)</f>
        <v>Sewage Treatment Facilities</v>
      </c>
      <c r="P385" s="36" t="s">
        <v>742</v>
      </c>
      <c r="Q385" s="137" t="s">
        <v>743</v>
      </c>
      <c r="R385" s="45" t="s">
        <v>38</v>
      </c>
      <c r="S385" s="138">
        <f>COUNTIFS('Raw Non-zero DMR Data'!$A:$A, A385, 'Raw Non-zero DMR Data'!$C:$C, U385, 'Raw Non-zero DMR Data'!$V:$V, V385)</f>
        <v>1</v>
      </c>
      <c r="T385" s="34">
        <f>SUMIFS('Raw Non-zero DMR Data'!$X:$X, 'Raw Non-zero DMR Data'!$A:$A, A385, 'Raw Non-zero DMR Data'!$C:$C, U385, 'Raw Non-zero DMR Data'!V:V, V385)</f>
        <v>123.61194937499999</v>
      </c>
      <c r="U385" s="34" t="s">
        <v>1215</v>
      </c>
      <c r="V385" s="34" t="s">
        <v>1216</v>
      </c>
      <c r="W385" s="139">
        <v>51401010904</v>
      </c>
      <c r="X385" s="140" t="s">
        <v>745</v>
      </c>
    </row>
    <row r="386" spans="1:24" x14ac:dyDescent="0.35">
      <c r="A386" s="34">
        <v>2022</v>
      </c>
      <c r="B386" s="34" t="s">
        <v>106</v>
      </c>
      <c r="C386" s="34" t="s">
        <v>1215</v>
      </c>
      <c r="D386" s="34" t="s">
        <v>107</v>
      </c>
      <c r="E386" s="34" t="s">
        <v>782</v>
      </c>
      <c r="F386" s="34" t="s">
        <v>108</v>
      </c>
      <c r="G386" s="34"/>
      <c r="H386" s="34">
        <v>38.08614</v>
      </c>
      <c r="I386" s="34">
        <v>-85.898780000000002</v>
      </c>
      <c r="J386" s="34"/>
      <c r="K386" s="105">
        <v>110000732379</v>
      </c>
      <c r="L386" s="34">
        <v>4952</v>
      </c>
      <c r="M386" s="48" t="str">
        <f>VLOOKUP(L386, '2017 SIC to NAICS'!A:D, 2)</f>
        <v>Sewerage Systems</v>
      </c>
      <c r="N386" s="34">
        <f>VLOOKUP(L386,'2017 SIC to NAICS'!A:D,3)</f>
        <v>221320</v>
      </c>
      <c r="O386" s="34" t="str">
        <f>VLOOKUP(L386,'2017 SIC to NAICS'!A:D,4)</f>
        <v>Sewage Treatment Facilities</v>
      </c>
      <c r="P386" s="36" t="s">
        <v>742</v>
      </c>
      <c r="Q386" s="137" t="s">
        <v>743</v>
      </c>
      <c r="R386" s="45" t="s">
        <v>38</v>
      </c>
      <c r="S386" s="138">
        <f>COUNTIFS('Raw Non-zero DMR Data'!$A:$A, A386, 'Raw Non-zero DMR Data'!$C:$C, U386, 'Raw Non-zero DMR Data'!$V:$V, V386)</f>
        <v>1</v>
      </c>
      <c r="T386" s="34">
        <f>SUMIFS('Raw Non-zero DMR Data'!$X:$X, 'Raw Non-zero DMR Data'!$A:$A, A386, 'Raw Non-zero DMR Data'!$C:$C, U386, 'Raw Non-zero DMR Data'!V:V, V386)</f>
        <v>107.309954375</v>
      </c>
      <c r="U386" s="34" t="s">
        <v>1215</v>
      </c>
      <c r="V386" s="34" t="s">
        <v>1216</v>
      </c>
      <c r="W386" s="141" t="s">
        <v>1217</v>
      </c>
      <c r="X386" s="140" t="s">
        <v>745</v>
      </c>
    </row>
    <row r="387" spans="1:24" x14ac:dyDescent="0.35">
      <c r="A387" s="34">
        <v>2023</v>
      </c>
      <c r="B387" s="34" t="s">
        <v>106</v>
      </c>
      <c r="C387" s="34" t="s">
        <v>1215</v>
      </c>
      <c r="D387" s="34" t="s">
        <v>107</v>
      </c>
      <c r="E387" s="34" t="s">
        <v>782</v>
      </c>
      <c r="F387" s="34" t="s">
        <v>108</v>
      </c>
      <c r="G387" s="34"/>
      <c r="H387" s="34">
        <v>38.08614</v>
      </c>
      <c r="I387" s="34">
        <v>-85.898780000000002</v>
      </c>
      <c r="J387" s="34"/>
      <c r="K387" s="105">
        <v>110000732379</v>
      </c>
      <c r="L387" s="34">
        <v>4952</v>
      </c>
      <c r="M387" s="48" t="str">
        <f>VLOOKUP(L387, '2017 SIC to NAICS'!A:D, 2)</f>
        <v>Sewerage Systems</v>
      </c>
      <c r="N387" s="34">
        <f>VLOOKUP(L387,'2017 SIC to NAICS'!A:D,3)</f>
        <v>221320</v>
      </c>
      <c r="O387" s="34" t="str">
        <f>VLOOKUP(L387,'2017 SIC to NAICS'!A:D,4)</f>
        <v>Sewage Treatment Facilities</v>
      </c>
      <c r="P387" s="36" t="s">
        <v>742</v>
      </c>
      <c r="Q387" s="137" t="s">
        <v>743</v>
      </c>
      <c r="R387" s="45" t="s">
        <v>38</v>
      </c>
      <c r="S387" s="138">
        <f>COUNTIFS('Raw Non-zero DMR Data'!$A:$A, A387, 'Raw Non-zero DMR Data'!$C:$C, U387, 'Raw Non-zero DMR Data'!$V:$V, V387)</f>
        <v>1</v>
      </c>
      <c r="T387" s="34">
        <f>SUMIFS('Raw Non-zero DMR Data'!$X:$X, 'Raw Non-zero DMR Data'!$A:$A, A387, 'Raw Non-zero DMR Data'!$C:$C, U387, 'Raw Non-zero DMR Data'!V:V, V387)</f>
        <v>87.896074312500005</v>
      </c>
      <c r="U387" s="34" t="s">
        <v>1215</v>
      </c>
      <c r="V387" s="34" t="s">
        <v>1216</v>
      </c>
      <c r="W387" s="141" t="s">
        <v>1217</v>
      </c>
      <c r="X387" s="140" t="s">
        <v>745</v>
      </c>
    </row>
    <row r="388" spans="1:24" x14ac:dyDescent="0.35">
      <c r="A388" s="34">
        <v>2020</v>
      </c>
      <c r="B388" s="34" t="s">
        <v>232</v>
      </c>
      <c r="C388" s="34" t="s">
        <v>1218</v>
      </c>
      <c r="D388" s="34" t="s">
        <v>227</v>
      </c>
      <c r="E388" s="34" t="s">
        <v>1219</v>
      </c>
      <c r="F388" s="34" t="s">
        <v>108</v>
      </c>
      <c r="G388" s="34"/>
      <c r="H388" s="34">
        <v>37.608496000000002</v>
      </c>
      <c r="I388" s="34">
        <v>-84.287074000000004</v>
      </c>
      <c r="J388" s="34"/>
      <c r="K388" s="105">
        <v>110040000398</v>
      </c>
      <c r="L388" s="34">
        <v>4952</v>
      </c>
      <c r="M388" s="48" t="str">
        <f>VLOOKUP(L388, '2017 SIC to NAICS'!A:D, 2)</f>
        <v>Sewerage Systems</v>
      </c>
      <c r="N388" s="34">
        <f>VLOOKUP(L388,'2017 SIC to NAICS'!A:D,3)</f>
        <v>221320</v>
      </c>
      <c r="O388" s="34" t="str">
        <f>VLOOKUP(L388,'2017 SIC to NAICS'!A:D,4)</f>
        <v>Sewage Treatment Facilities</v>
      </c>
      <c r="P388" s="36" t="s">
        <v>742</v>
      </c>
      <c r="Q388" s="137" t="s">
        <v>743</v>
      </c>
      <c r="R388" s="45" t="s">
        <v>38</v>
      </c>
      <c r="S388" s="138">
        <f>COUNTIFS('Raw Non-zero DMR Data'!$A:$A, A388, 'Raw Non-zero DMR Data'!$C:$C, U388, 'Raw Non-zero DMR Data'!$V:$V, V388)</f>
        <v>1</v>
      </c>
      <c r="T388" s="34">
        <f>SUMIFS('Raw Non-zero DMR Data'!$X:$X, 'Raw Non-zero DMR Data'!$A:$A, A388, 'Raw Non-zero DMR Data'!$C:$C, U388, 'Raw Non-zero DMR Data'!V:V, V388)</f>
        <v>2.8480137874999998</v>
      </c>
      <c r="U388" s="34" t="s">
        <v>1218</v>
      </c>
      <c r="V388" s="34" t="s">
        <v>1220</v>
      </c>
      <c r="W388" s="139">
        <v>51002050202</v>
      </c>
      <c r="X388" s="140" t="s">
        <v>745</v>
      </c>
    </row>
    <row r="389" spans="1:24" x14ac:dyDescent="0.35">
      <c r="A389" s="34">
        <v>2021</v>
      </c>
      <c r="B389" s="34" t="s">
        <v>232</v>
      </c>
      <c r="C389" s="34" t="s">
        <v>1218</v>
      </c>
      <c r="D389" s="34" t="s">
        <v>227</v>
      </c>
      <c r="E389" s="34" t="s">
        <v>1219</v>
      </c>
      <c r="F389" s="34" t="s">
        <v>108</v>
      </c>
      <c r="G389" s="34"/>
      <c r="H389" s="34">
        <v>37.608496000000002</v>
      </c>
      <c r="I389" s="34">
        <v>-84.287074000000004</v>
      </c>
      <c r="J389" s="34"/>
      <c r="K389" s="105">
        <v>110040000398</v>
      </c>
      <c r="L389" s="34">
        <v>4952</v>
      </c>
      <c r="M389" s="48" t="str">
        <f>VLOOKUP(L389, '2017 SIC to NAICS'!A:D, 2)</f>
        <v>Sewerage Systems</v>
      </c>
      <c r="N389" s="34">
        <f>VLOOKUP(L389,'2017 SIC to NAICS'!A:D,3)</f>
        <v>221320</v>
      </c>
      <c r="O389" s="34" t="str">
        <f>VLOOKUP(L389,'2017 SIC to NAICS'!A:D,4)</f>
        <v>Sewage Treatment Facilities</v>
      </c>
      <c r="P389" s="36" t="s">
        <v>742</v>
      </c>
      <c r="Q389" s="137" t="s">
        <v>743</v>
      </c>
      <c r="R389" s="45" t="s">
        <v>38</v>
      </c>
      <c r="S389" s="138">
        <f>COUNTIFS('Raw Non-zero DMR Data'!$A:$A, A389, 'Raw Non-zero DMR Data'!$C:$C, U389, 'Raw Non-zero DMR Data'!$V:$V, V389)</f>
        <v>1</v>
      </c>
      <c r="T389" s="34">
        <f>SUMIFS('Raw Non-zero DMR Data'!$X:$X, 'Raw Non-zero DMR Data'!$A:$A, A389, 'Raw Non-zero DMR Data'!$C:$C, U389, 'Raw Non-zero DMR Data'!V:V, V389)</f>
        <v>2.7554516124999999</v>
      </c>
      <c r="U389" s="34" t="s">
        <v>1218</v>
      </c>
      <c r="V389" s="34" t="s">
        <v>1220</v>
      </c>
      <c r="W389" s="139">
        <v>51002050202</v>
      </c>
      <c r="X389" s="140" t="s">
        <v>745</v>
      </c>
    </row>
    <row r="390" spans="1:24" x14ac:dyDescent="0.35">
      <c r="A390" s="34">
        <v>2021</v>
      </c>
      <c r="B390" s="34" t="s">
        <v>203</v>
      </c>
      <c r="C390" s="34" t="s">
        <v>1221</v>
      </c>
      <c r="D390" s="34" t="s">
        <v>165</v>
      </c>
      <c r="E390" s="34" t="s">
        <v>1082</v>
      </c>
      <c r="F390" s="34" t="s">
        <v>108</v>
      </c>
      <c r="G390" s="34"/>
      <c r="H390" s="34">
        <v>38.267437999999999</v>
      </c>
      <c r="I390" s="34">
        <v>-84.527996000000002</v>
      </c>
      <c r="J390" s="34"/>
      <c r="K390" s="105">
        <v>110000759741</v>
      </c>
      <c r="L390" s="34">
        <v>4952</v>
      </c>
      <c r="M390" s="48" t="str">
        <f>VLOOKUP(L390, '2017 SIC to NAICS'!A:D, 2)</f>
        <v>Sewerage Systems</v>
      </c>
      <c r="N390" s="34">
        <f>VLOOKUP(L390,'2017 SIC to NAICS'!A:D,3)</f>
        <v>221320</v>
      </c>
      <c r="O390" s="34" t="str">
        <f>VLOOKUP(L390,'2017 SIC to NAICS'!A:D,4)</f>
        <v>Sewage Treatment Facilities</v>
      </c>
      <c r="P390" s="36" t="s">
        <v>742</v>
      </c>
      <c r="Q390" s="137" t="s">
        <v>743</v>
      </c>
      <c r="R390" s="45" t="s">
        <v>38</v>
      </c>
      <c r="S390" s="138">
        <f>COUNTIFS('Raw Non-zero DMR Data'!$A:$A, A390, 'Raw Non-zero DMR Data'!$C:$C, U390, 'Raw Non-zero DMR Data'!$V:$V, V390)</f>
        <v>1</v>
      </c>
      <c r="T390" s="34">
        <f>SUMIFS('Raw Non-zero DMR Data'!$X:$X, 'Raw Non-zero DMR Data'!$A:$A, A390, 'Raw Non-zero DMR Data'!$C:$C, U390, 'Raw Non-zero DMR Data'!V:V, V390)</f>
        <v>4.5728477500000002</v>
      </c>
      <c r="U390" s="34" t="s">
        <v>1221</v>
      </c>
      <c r="V390" s="34" t="s">
        <v>1222</v>
      </c>
      <c r="W390" s="139">
        <v>51002050803</v>
      </c>
      <c r="X390" s="140" t="s">
        <v>745</v>
      </c>
    </row>
    <row r="391" spans="1:24" x14ac:dyDescent="0.35">
      <c r="A391" s="34">
        <v>2023</v>
      </c>
      <c r="B391" s="34" t="s">
        <v>203</v>
      </c>
      <c r="C391" s="34" t="s">
        <v>1221</v>
      </c>
      <c r="D391" s="34" t="s">
        <v>165</v>
      </c>
      <c r="E391" s="34" t="s">
        <v>1082</v>
      </c>
      <c r="F391" s="34" t="s">
        <v>108</v>
      </c>
      <c r="G391" s="34"/>
      <c r="H391" s="34">
        <v>38.267437999999999</v>
      </c>
      <c r="I391" s="34">
        <v>-84.527996000000002</v>
      </c>
      <c r="J391" s="34"/>
      <c r="K391" s="105">
        <v>110000759741</v>
      </c>
      <c r="L391" s="34">
        <v>4952</v>
      </c>
      <c r="M391" s="48" t="str">
        <f>VLOOKUP(L391, '2017 SIC to NAICS'!A:D, 2)</f>
        <v>Sewerage Systems</v>
      </c>
      <c r="N391" s="34">
        <f>VLOOKUP(L391,'2017 SIC to NAICS'!A:D,3)</f>
        <v>221320</v>
      </c>
      <c r="O391" s="34" t="str">
        <f>VLOOKUP(L391,'2017 SIC to NAICS'!A:D,4)</f>
        <v>Sewage Treatment Facilities</v>
      </c>
      <c r="P391" s="36" t="s">
        <v>742</v>
      </c>
      <c r="Q391" s="137" t="s">
        <v>743</v>
      </c>
      <c r="R391" s="45" t="s">
        <v>38</v>
      </c>
      <c r="S391" s="138">
        <f>COUNTIFS('Raw Non-zero DMR Data'!$A:$A, A391, 'Raw Non-zero DMR Data'!$C:$C, U391, 'Raw Non-zero DMR Data'!$V:$V, V391)</f>
        <v>1</v>
      </c>
      <c r="T391" s="34">
        <f>SUMIFS('Raw Non-zero DMR Data'!$X:$X, 'Raw Non-zero DMR Data'!$A:$A, A391, 'Raw Non-zero DMR Data'!$C:$C, U391, 'Raw Non-zero DMR Data'!V:V, V391)</f>
        <v>4.0789525624999996</v>
      </c>
      <c r="U391" s="34" t="s">
        <v>1221</v>
      </c>
      <c r="V391" s="34" t="s">
        <v>1222</v>
      </c>
      <c r="W391" s="141" t="s">
        <v>1223</v>
      </c>
      <c r="X391" s="140" t="s">
        <v>745</v>
      </c>
    </row>
    <row r="392" spans="1:24" x14ac:dyDescent="0.35">
      <c r="A392" s="34">
        <v>2019</v>
      </c>
      <c r="B392" s="34" t="s">
        <v>166</v>
      </c>
      <c r="C392" s="34" t="s">
        <v>1224</v>
      </c>
      <c r="D392" s="34" t="s">
        <v>167</v>
      </c>
      <c r="E392" s="34" t="s">
        <v>1225</v>
      </c>
      <c r="F392" s="34" t="s">
        <v>108</v>
      </c>
      <c r="G392" s="34"/>
      <c r="H392" s="34">
        <v>38.223610999999998</v>
      </c>
      <c r="I392" s="34">
        <v>-84.253332999999998</v>
      </c>
      <c r="J392" s="34"/>
      <c r="K392" s="105">
        <v>110000551082</v>
      </c>
      <c r="L392" s="34">
        <v>4952</v>
      </c>
      <c r="M392" s="48" t="str">
        <f>VLOOKUP(L392, '2017 SIC to NAICS'!A:D, 2)</f>
        <v>Sewerage Systems</v>
      </c>
      <c r="N392" s="34">
        <f>VLOOKUP(L392,'2017 SIC to NAICS'!A:D,3)</f>
        <v>221320</v>
      </c>
      <c r="O392" s="34" t="str">
        <f>VLOOKUP(L392,'2017 SIC to NAICS'!A:D,4)</f>
        <v>Sewage Treatment Facilities</v>
      </c>
      <c r="P392" s="36" t="s">
        <v>742</v>
      </c>
      <c r="Q392" s="137" t="s">
        <v>743</v>
      </c>
      <c r="R392" s="45" t="s">
        <v>38</v>
      </c>
      <c r="S392" s="138">
        <f>COUNTIFS('Raw Non-zero DMR Data'!$A:$A, A392, 'Raw Non-zero DMR Data'!$C:$C, U392, 'Raw Non-zero DMR Data'!$V:$V, V392)</f>
        <v>1</v>
      </c>
      <c r="T392" s="34">
        <f>SUMIFS('Raw Non-zero DMR Data'!$X:$X, 'Raw Non-zero DMR Data'!$A:$A, A392, 'Raw Non-zero DMR Data'!$C:$C, U392, 'Raw Non-zero DMR Data'!V:V, V392)</f>
        <v>8.2787885625000008</v>
      </c>
      <c r="U392" s="34" t="s">
        <v>1224</v>
      </c>
      <c r="V392" s="34" t="s">
        <v>1226</v>
      </c>
      <c r="W392" s="139">
        <v>51001020205</v>
      </c>
      <c r="X392" s="140" t="s">
        <v>745</v>
      </c>
    </row>
    <row r="393" spans="1:24" x14ac:dyDescent="0.35">
      <c r="A393" s="34">
        <v>2021</v>
      </c>
      <c r="B393" s="34" t="s">
        <v>166</v>
      </c>
      <c r="C393" s="34" t="s">
        <v>1224</v>
      </c>
      <c r="D393" s="34" t="s">
        <v>167</v>
      </c>
      <c r="E393" s="34" t="s">
        <v>1225</v>
      </c>
      <c r="F393" s="34" t="s">
        <v>108</v>
      </c>
      <c r="G393" s="34"/>
      <c r="H393" s="34">
        <v>38.223610999999998</v>
      </c>
      <c r="I393" s="34">
        <v>-84.253332999999998</v>
      </c>
      <c r="J393" s="34"/>
      <c r="K393" s="105">
        <v>110000551082</v>
      </c>
      <c r="L393" s="34">
        <v>4952</v>
      </c>
      <c r="M393" s="48" t="str">
        <f>VLOOKUP(L393, '2017 SIC to NAICS'!A:D, 2)</f>
        <v>Sewerage Systems</v>
      </c>
      <c r="N393" s="34">
        <f>VLOOKUP(L393,'2017 SIC to NAICS'!A:D,3)</f>
        <v>221320</v>
      </c>
      <c r="O393" s="34" t="str">
        <f>VLOOKUP(L393,'2017 SIC to NAICS'!A:D,4)</f>
        <v>Sewage Treatment Facilities</v>
      </c>
      <c r="P393" s="36" t="s">
        <v>742</v>
      </c>
      <c r="Q393" s="137" t="s">
        <v>743</v>
      </c>
      <c r="R393" s="45" t="s">
        <v>38</v>
      </c>
      <c r="S393" s="138">
        <f>COUNTIFS('Raw Non-zero DMR Data'!$A:$A, A393, 'Raw Non-zero DMR Data'!$C:$C, U393, 'Raw Non-zero DMR Data'!$V:$V, V393)</f>
        <v>1</v>
      </c>
      <c r="T393" s="34">
        <f>SUMIFS('Raw Non-zero DMR Data'!$X:$X, 'Raw Non-zero DMR Data'!$A:$A, A393, 'Raw Non-zero DMR Data'!$C:$C, U393, 'Raw Non-zero DMR Data'!V:V, V393)</f>
        <v>6.2824849374999996</v>
      </c>
      <c r="U393" s="34" t="s">
        <v>1224</v>
      </c>
      <c r="V393" s="34" t="s">
        <v>1226</v>
      </c>
      <c r="W393" s="139">
        <v>51001020205</v>
      </c>
      <c r="X393" s="140" t="s">
        <v>745</v>
      </c>
    </row>
    <row r="394" spans="1:24" x14ac:dyDescent="0.35">
      <c r="A394" s="34">
        <v>2019</v>
      </c>
      <c r="B394" s="34" t="s">
        <v>586</v>
      </c>
      <c r="C394" s="34" t="s">
        <v>1227</v>
      </c>
      <c r="D394" s="34" t="s">
        <v>587</v>
      </c>
      <c r="E394" s="34" t="s">
        <v>457</v>
      </c>
      <c r="F394" s="34" t="s">
        <v>108</v>
      </c>
      <c r="G394" s="34"/>
      <c r="H394" s="34">
        <v>38.072870000000002</v>
      </c>
      <c r="I394" s="34">
        <v>-84.484369999999998</v>
      </c>
      <c r="J394" s="34"/>
      <c r="K394" s="105">
        <v>110043544144</v>
      </c>
      <c r="L394" s="34">
        <v>3579</v>
      </c>
      <c r="M394" s="48" t="str">
        <f>VLOOKUP(L394, '2017 SIC to NAICS'!A:D, 2)</f>
        <v>Office Machines, Nec</v>
      </c>
      <c r="N394" s="34">
        <f>VLOOKUP(L394,'2017 SIC to NAICS'!A:D,3)</f>
        <v>339940</v>
      </c>
      <c r="O394" s="34" t="str">
        <f>VLOOKUP(L394,'2017 SIC to NAICS'!A:D,4)</f>
        <v>Office Supplies (except Paper)
Manufacturing</v>
      </c>
      <c r="P394" s="36" t="s">
        <v>1228</v>
      </c>
      <c r="Q394" s="137" t="s">
        <v>1229</v>
      </c>
      <c r="R394" s="45" t="s">
        <v>41</v>
      </c>
      <c r="S394" s="138">
        <f>COUNTIFS('Raw Non-zero DMR Data'!$A:$A, A394, 'Raw Non-zero DMR Data'!$C:$C, U394, 'Raw Non-zero DMR Data'!$V:$V, V394)</f>
        <v>1</v>
      </c>
      <c r="T394" s="34">
        <f>SUMIFS('Raw Non-zero DMR Data'!$X:$X, 'Raw Non-zero DMR Data'!$A:$A, A394, 'Raw Non-zero DMR Data'!$C:$C, U394, 'Raw Non-zero DMR Data'!V:V, V394)</f>
        <v>4.7950272500000002E-3</v>
      </c>
      <c r="U394" s="34" t="s">
        <v>1227</v>
      </c>
      <c r="V394" s="34" t="s">
        <v>1230</v>
      </c>
      <c r="W394" s="139">
        <v>51002050804</v>
      </c>
      <c r="X394" s="140" t="s">
        <v>812</v>
      </c>
    </row>
    <row r="395" spans="1:24" x14ac:dyDescent="0.35">
      <c r="A395" s="34">
        <v>2020</v>
      </c>
      <c r="B395" s="34" t="s">
        <v>586</v>
      </c>
      <c r="C395" s="34" t="s">
        <v>1227</v>
      </c>
      <c r="D395" s="34" t="s">
        <v>587</v>
      </c>
      <c r="E395" s="34" t="s">
        <v>457</v>
      </c>
      <c r="F395" s="34" t="s">
        <v>108</v>
      </c>
      <c r="G395" s="34"/>
      <c r="H395" s="34">
        <v>38.072870000000002</v>
      </c>
      <c r="I395" s="34">
        <v>-84.484369999999998</v>
      </c>
      <c r="J395" s="34"/>
      <c r="K395" s="105">
        <v>110043544144</v>
      </c>
      <c r="L395" s="34">
        <v>3579</v>
      </c>
      <c r="M395" s="48" t="str">
        <f>VLOOKUP(L395, '2017 SIC to NAICS'!A:D, 2)</f>
        <v>Office Machines, Nec</v>
      </c>
      <c r="N395" s="34">
        <f>VLOOKUP(L395,'2017 SIC to NAICS'!A:D,3)</f>
        <v>339940</v>
      </c>
      <c r="O395" s="34" t="str">
        <f>VLOOKUP(L395,'2017 SIC to NAICS'!A:D,4)</f>
        <v>Office Supplies (except Paper)
Manufacturing</v>
      </c>
      <c r="P395" s="36" t="s">
        <v>1228</v>
      </c>
      <c r="Q395" s="137" t="s">
        <v>1229</v>
      </c>
      <c r="R395" s="45" t="s">
        <v>41</v>
      </c>
      <c r="S395" s="138">
        <f>COUNTIFS('Raw Non-zero DMR Data'!$A:$A, A395, 'Raw Non-zero DMR Data'!$C:$C, U395, 'Raw Non-zero DMR Data'!$V:$V, V395)</f>
        <v>1</v>
      </c>
      <c r="T395" s="34">
        <f>SUMIFS('Raw Non-zero DMR Data'!$X:$X, 'Raw Non-zero DMR Data'!$A:$A, A395, 'Raw Non-zero DMR Data'!$C:$C, U395, 'Raw Non-zero DMR Data'!V:V, V395)</f>
        <v>1.690816275E-2</v>
      </c>
      <c r="U395" s="34" t="s">
        <v>1227</v>
      </c>
      <c r="V395" s="34" t="s">
        <v>1230</v>
      </c>
      <c r="W395" s="139">
        <v>51002050804</v>
      </c>
      <c r="X395" s="140" t="s">
        <v>812</v>
      </c>
    </row>
    <row r="396" spans="1:24" x14ac:dyDescent="0.35">
      <c r="A396" s="34">
        <v>2021</v>
      </c>
      <c r="B396" s="34" t="s">
        <v>586</v>
      </c>
      <c r="C396" s="34" t="s">
        <v>1227</v>
      </c>
      <c r="D396" s="34" t="s">
        <v>587</v>
      </c>
      <c r="E396" s="34" t="s">
        <v>457</v>
      </c>
      <c r="F396" s="34" t="s">
        <v>108</v>
      </c>
      <c r="G396" s="34"/>
      <c r="H396" s="34">
        <v>38.072870000000002</v>
      </c>
      <c r="I396" s="34">
        <v>-84.484369999999998</v>
      </c>
      <c r="J396" s="34"/>
      <c r="K396" s="105">
        <v>110043544144</v>
      </c>
      <c r="L396" s="34">
        <v>3579</v>
      </c>
      <c r="M396" s="48" t="str">
        <f>VLOOKUP(L396, '2017 SIC to NAICS'!A:D, 2)</f>
        <v>Office Machines, Nec</v>
      </c>
      <c r="N396" s="34">
        <f>VLOOKUP(L396,'2017 SIC to NAICS'!A:D,3)</f>
        <v>339940</v>
      </c>
      <c r="O396" s="34" t="str">
        <f>VLOOKUP(L396,'2017 SIC to NAICS'!A:D,4)</f>
        <v>Office Supplies (except Paper)
Manufacturing</v>
      </c>
      <c r="P396" s="36" t="s">
        <v>1228</v>
      </c>
      <c r="Q396" s="137" t="s">
        <v>1229</v>
      </c>
      <c r="R396" s="45" t="s">
        <v>41</v>
      </c>
      <c r="S396" s="138">
        <f>COUNTIFS('Raw Non-zero DMR Data'!$A:$A, A396, 'Raw Non-zero DMR Data'!$C:$C, U396, 'Raw Non-zero DMR Data'!$V:$V, V396)</f>
        <v>1</v>
      </c>
      <c r="T396" s="34">
        <f>SUMIFS('Raw Non-zero DMR Data'!$X:$X, 'Raw Non-zero DMR Data'!$A:$A, A396, 'Raw Non-zero DMR Data'!$C:$C, U396, 'Raw Non-zero DMR Data'!V:V, V396)</f>
        <v>6.6046357499999998E-3</v>
      </c>
      <c r="U396" s="34" t="s">
        <v>1227</v>
      </c>
      <c r="V396" s="34" t="s">
        <v>1230</v>
      </c>
      <c r="W396" s="139">
        <v>51002050804</v>
      </c>
      <c r="X396" s="140" t="s">
        <v>812</v>
      </c>
    </row>
    <row r="397" spans="1:24" x14ac:dyDescent="0.35">
      <c r="A397" s="34">
        <v>2022</v>
      </c>
      <c r="B397" s="34" t="s">
        <v>586</v>
      </c>
      <c r="C397" s="34" t="s">
        <v>1227</v>
      </c>
      <c r="D397" s="34" t="s">
        <v>587</v>
      </c>
      <c r="E397" s="34" t="s">
        <v>457</v>
      </c>
      <c r="F397" s="34" t="s">
        <v>108</v>
      </c>
      <c r="G397" s="34"/>
      <c r="H397" s="34">
        <v>38.072870000000002</v>
      </c>
      <c r="I397" s="34">
        <v>-84.484369999999998</v>
      </c>
      <c r="J397" s="34"/>
      <c r="K397" s="105">
        <v>110043544144</v>
      </c>
      <c r="L397" s="34">
        <v>3579</v>
      </c>
      <c r="M397" s="48" t="str">
        <f>VLOOKUP(L397, '2017 SIC to NAICS'!A:D, 2)</f>
        <v>Office Machines, Nec</v>
      </c>
      <c r="N397" s="34">
        <f>VLOOKUP(L397,'2017 SIC to NAICS'!A:D,3)</f>
        <v>339940</v>
      </c>
      <c r="O397" s="34" t="str">
        <f>VLOOKUP(L397,'2017 SIC to NAICS'!A:D,4)</f>
        <v>Office Supplies (except Paper)
Manufacturing</v>
      </c>
      <c r="P397" s="36" t="s">
        <v>1228</v>
      </c>
      <c r="Q397" s="137" t="s">
        <v>1229</v>
      </c>
      <c r="R397" s="45" t="s">
        <v>41</v>
      </c>
      <c r="S397" s="138">
        <f>COUNTIFS('Raw Non-zero DMR Data'!$A:$A, A397, 'Raw Non-zero DMR Data'!$C:$C, U397, 'Raw Non-zero DMR Data'!$V:$V, V397)</f>
        <v>1</v>
      </c>
      <c r="T397" s="34">
        <f>SUMIFS('Raw Non-zero DMR Data'!$X:$X, 'Raw Non-zero DMR Data'!$A:$A, A397, 'Raw Non-zero DMR Data'!$C:$C, U397, 'Raw Non-zero DMR Data'!V:V, V397)</f>
        <v>9.1674592499999992E-3</v>
      </c>
      <c r="U397" s="34" t="s">
        <v>1227</v>
      </c>
      <c r="V397" s="34" t="s">
        <v>1230</v>
      </c>
      <c r="W397" s="141" t="s">
        <v>1231</v>
      </c>
      <c r="X397" s="140" t="s">
        <v>812</v>
      </c>
    </row>
    <row r="398" spans="1:24" x14ac:dyDescent="0.35">
      <c r="A398" s="34">
        <v>2023</v>
      </c>
      <c r="B398" s="34" t="s">
        <v>586</v>
      </c>
      <c r="C398" s="34" t="s">
        <v>1227</v>
      </c>
      <c r="D398" s="34" t="s">
        <v>587</v>
      </c>
      <c r="E398" s="34" t="s">
        <v>457</v>
      </c>
      <c r="F398" s="34" t="s">
        <v>108</v>
      </c>
      <c r="G398" s="34"/>
      <c r="H398" s="34">
        <v>38.072870000000002</v>
      </c>
      <c r="I398" s="34">
        <v>-84.484369999999998</v>
      </c>
      <c r="J398" s="34"/>
      <c r="K398" s="105">
        <v>110043544144</v>
      </c>
      <c r="L398" s="34">
        <v>3579</v>
      </c>
      <c r="M398" s="48" t="str">
        <f>VLOOKUP(L398, '2017 SIC to NAICS'!A:D, 2)</f>
        <v>Office Machines, Nec</v>
      </c>
      <c r="N398" s="34">
        <f>VLOOKUP(L398,'2017 SIC to NAICS'!A:D,3)</f>
        <v>339940</v>
      </c>
      <c r="O398" s="34" t="str">
        <f>VLOOKUP(L398,'2017 SIC to NAICS'!A:D,4)</f>
        <v>Office Supplies (except Paper)
Manufacturing</v>
      </c>
      <c r="P398" s="36" t="s">
        <v>1228</v>
      </c>
      <c r="Q398" s="137" t="s">
        <v>1229</v>
      </c>
      <c r="R398" s="45" t="s">
        <v>41</v>
      </c>
      <c r="S398" s="138">
        <f>COUNTIFS('Raw Non-zero DMR Data'!$A:$A, A398, 'Raw Non-zero DMR Data'!$C:$C, U398, 'Raw Non-zero DMR Data'!$V:$V, V398)</f>
        <v>1</v>
      </c>
      <c r="T398" s="34">
        <f>SUMIFS('Raw Non-zero DMR Data'!$X:$X, 'Raw Non-zero DMR Data'!$A:$A, A398, 'Raw Non-zero DMR Data'!$C:$C, U398, 'Raw Non-zero DMR Data'!V:V, V398)</f>
        <v>1.2351969000000001E-2</v>
      </c>
      <c r="U398" s="34" t="s">
        <v>1227</v>
      </c>
      <c r="V398" s="34" t="s">
        <v>1230</v>
      </c>
      <c r="W398" s="141" t="s">
        <v>1231</v>
      </c>
      <c r="X398" s="140" t="s">
        <v>812</v>
      </c>
    </row>
    <row r="399" spans="1:24" x14ac:dyDescent="0.35">
      <c r="A399" s="34">
        <v>2020</v>
      </c>
      <c r="B399" s="34" t="s">
        <v>136</v>
      </c>
      <c r="C399" s="34" t="s">
        <v>1232</v>
      </c>
      <c r="D399" s="34" t="s">
        <v>137</v>
      </c>
      <c r="E399" s="34" t="s">
        <v>1233</v>
      </c>
      <c r="F399" s="34" t="s">
        <v>108</v>
      </c>
      <c r="G399" s="34"/>
      <c r="H399" s="34">
        <v>37.318492999999997</v>
      </c>
      <c r="I399" s="34">
        <v>-87.549857000000003</v>
      </c>
      <c r="J399" s="34"/>
      <c r="K399" s="105">
        <v>110002041380</v>
      </c>
      <c r="L399" s="34">
        <v>4952</v>
      </c>
      <c r="M399" s="48" t="str">
        <f>VLOOKUP(L399, '2017 SIC to NAICS'!A:D, 2)</f>
        <v>Sewerage Systems</v>
      </c>
      <c r="N399" s="34">
        <f>VLOOKUP(L399,'2017 SIC to NAICS'!A:D,3)</f>
        <v>221320</v>
      </c>
      <c r="O399" s="34" t="str">
        <f>VLOOKUP(L399,'2017 SIC to NAICS'!A:D,4)</f>
        <v>Sewage Treatment Facilities</v>
      </c>
      <c r="P399" s="36" t="s">
        <v>742</v>
      </c>
      <c r="Q399" s="137" t="s">
        <v>743</v>
      </c>
      <c r="R399" s="45" t="s">
        <v>38</v>
      </c>
      <c r="S399" s="138">
        <f>COUNTIFS('Raw Non-zero DMR Data'!$A:$A, A399, 'Raw Non-zero DMR Data'!$C:$C, U399, 'Raw Non-zero DMR Data'!$V:$V, V399)</f>
        <v>1</v>
      </c>
      <c r="T399" s="34">
        <f>SUMIFS('Raw Non-zero DMR Data'!$X:$X, 'Raw Non-zero DMR Data'!$A:$A, A399, 'Raw Non-zero DMR Data'!$C:$C, U399, 'Raw Non-zero DMR Data'!V:V, V399)</f>
        <v>6.6741472750000002</v>
      </c>
      <c r="U399" s="34" t="s">
        <v>1232</v>
      </c>
      <c r="V399" s="34" t="s">
        <v>1234</v>
      </c>
      <c r="W399" s="139">
        <v>51402050202</v>
      </c>
      <c r="X399" s="140" t="s">
        <v>745</v>
      </c>
    </row>
    <row r="400" spans="1:24" x14ac:dyDescent="0.35">
      <c r="A400" s="34">
        <v>2021</v>
      </c>
      <c r="B400" s="34" t="s">
        <v>136</v>
      </c>
      <c r="C400" s="34" t="s">
        <v>1232</v>
      </c>
      <c r="D400" s="34" t="s">
        <v>137</v>
      </c>
      <c r="E400" s="34" t="s">
        <v>1233</v>
      </c>
      <c r="F400" s="34" t="s">
        <v>108</v>
      </c>
      <c r="G400" s="34"/>
      <c r="H400" s="34">
        <v>37.318492999999997</v>
      </c>
      <c r="I400" s="34">
        <v>-87.549857000000003</v>
      </c>
      <c r="J400" s="34"/>
      <c r="K400" s="105">
        <v>110002041380</v>
      </c>
      <c r="L400" s="34">
        <v>4952</v>
      </c>
      <c r="M400" s="48" t="str">
        <f>VLOOKUP(L400, '2017 SIC to NAICS'!A:D, 2)</f>
        <v>Sewerage Systems</v>
      </c>
      <c r="N400" s="34">
        <f>VLOOKUP(L400,'2017 SIC to NAICS'!A:D,3)</f>
        <v>221320</v>
      </c>
      <c r="O400" s="34" t="str">
        <f>VLOOKUP(L400,'2017 SIC to NAICS'!A:D,4)</f>
        <v>Sewage Treatment Facilities</v>
      </c>
      <c r="P400" s="36" t="s">
        <v>742</v>
      </c>
      <c r="Q400" s="137" t="s">
        <v>743</v>
      </c>
      <c r="R400" s="45" t="s">
        <v>38</v>
      </c>
      <c r="S400" s="138">
        <f>COUNTIFS('Raw Non-zero DMR Data'!$A:$A, A400, 'Raw Non-zero DMR Data'!$C:$C, U400, 'Raw Non-zero DMR Data'!$V:$V, V400)</f>
        <v>1</v>
      </c>
      <c r="T400" s="34">
        <f>SUMIFS('Raw Non-zero DMR Data'!$X:$X, 'Raw Non-zero DMR Data'!$A:$A, A400, 'Raw Non-zero DMR Data'!$C:$C, U400, 'Raw Non-zero DMR Data'!V:V, V400)</f>
        <v>19.372434312500001</v>
      </c>
      <c r="U400" s="34" t="s">
        <v>1232</v>
      </c>
      <c r="V400" s="34" t="s">
        <v>1234</v>
      </c>
      <c r="W400" s="139">
        <v>51402050202</v>
      </c>
      <c r="X400" s="140" t="s">
        <v>745</v>
      </c>
    </row>
    <row r="401" spans="1:24" x14ac:dyDescent="0.35">
      <c r="A401" s="34">
        <v>2022</v>
      </c>
      <c r="B401" s="34" t="s">
        <v>136</v>
      </c>
      <c r="C401" s="34" t="s">
        <v>1232</v>
      </c>
      <c r="D401" s="34" t="s">
        <v>137</v>
      </c>
      <c r="E401" s="34" t="s">
        <v>1233</v>
      </c>
      <c r="F401" s="34" t="s">
        <v>108</v>
      </c>
      <c r="G401" s="34"/>
      <c r="H401" s="34">
        <v>37.318492999999997</v>
      </c>
      <c r="I401" s="34">
        <v>-87.549857000000003</v>
      </c>
      <c r="J401" s="34"/>
      <c r="K401" s="105">
        <v>110002041380</v>
      </c>
      <c r="L401" s="34">
        <v>4952</v>
      </c>
      <c r="M401" s="48" t="str">
        <f>VLOOKUP(L401, '2017 SIC to NAICS'!A:D, 2)</f>
        <v>Sewerage Systems</v>
      </c>
      <c r="N401" s="34">
        <f>VLOOKUP(L401,'2017 SIC to NAICS'!A:D,3)</f>
        <v>221320</v>
      </c>
      <c r="O401" s="34" t="str">
        <f>VLOOKUP(L401,'2017 SIC to NAICS'!A:D,4)</f>
        <v>Sewage Treatment Facilities</v>
      </c>
      <c r="P401" s="36" t="s">
        <v>742</v>
      </c>
      <c r="Q401" s="137" t="s">
        <v>743</v>
      </c>
      <c r="R401" s="45" t="s">
        <v>38</v>
      </c>
      <c r="S401" s="138">
        <f>COUNTIFS('Raw Non-zero DMR Data'!$A:$A, A401, 'Raw Non-zero DMR Data'!$C:$C, U401, 'Raw Non-zero DMR Data'!$V:$V, V401)</f>
        <v>1</v>
      </c>
      <c r="T401" s="34">
        <f>SUMIFS('Raw Non-zero DMR Data'!$X:$X, 'Raw Non-zero DMR Data'!$A:$A, A401, 'Raw Non-zero DMR Data'!$C:$C, U401, 'Raw Non-zero DMR Data'!V:V, V401)</f>
        <v>6.4088944750000003</v>
      </c>
      <c r="U401" s="34" t="s">
        <v>1232</v>
      </c>
      <c r="V401" s="34" t="s">
        <v>1234</v>
      </c>
      <c r="W401" s="141" t="s">
        <v>1235</v>
      </c>
      <c r="X401" s="140" t="s">
        <v>745</v>
      </c>
    </row>
    <row r="402" spans="1:24" x14ac:dyDescent="0.35">
      <c r="A402" s="34">
        <v>2019</v>
      </c>
      <c r="B402" s="34" t="s">
        <v>123</v>
      </c>
      <c r="C402" s="34" t="s">
        <v>1236</v>
      </c>
      <c r="D402" s="34" t="s">
        <v>107</v>
      </c>
      <c r="E402" s="34" t="s">
        <v>782</v>
      </c>
      <c r="F402" s="34" t="s">
        <v>108</v>
      </c>
      <c r="G402" s="34"/>
      <c r="H402" s="34">
        <v>38.122354000000001</v>
      </c>
      <c r="I402" s="34">
        <v>-85.587648000000002</v>
      </c>
      <c r="J402" s="34"/>
      <c r="K402" s="105">
        <v>110043485421</v>
      </c>
      <c r="L402" s="34">
        <v>4952</v>
      </c>
      <c r="M402" s="48" t="str">
        <f>VLOOKUP(L402, '2017 SIC to NAICS'!A:D, 2)</f>
        <v>Sewerage Systems</v>
      </c>
      <c r="N402" s="34">
        <f>VLOOKUP(L402,'2017 SIC to NAICS'!A:D,3)</f>
        <v>221320</v>
      </c>
      <c r="O402" s="34" t="str">
        <f>VLOOKUP(L402,'2017 SIC to NAICS'!A:D,4)</f>
        <v>Sewage Treatment Facilities</v>
      </c>
      <c r="P402" s="36" t="s">
        <v>742</v>
      </c>
      <c r="Q402" s="137" t="s">
        <v>743</v>
      </c>
      <c r="R402" s="45" t="s">
        <v>38</v>
      </c>
      <c r="S402" s="138">
        <f>COUNTIFS('Raw Non-zero DMR Data'!$A:$A, A402, 'Raw Non-zero DMR Data'!$C:$C, U402, 'Raw Non-zero DMR Data'!$V:$V, V402)</f>
        <v>1</v>
      </c>
      <c r="T402" s="34">
        <f>SUMIFS('Raw Non-zero DMR Data'!$X:$X, 'Raw Non-zero DMR Data'!$A:$A, A402, 'Raw Non-zero DMR Data'!$C:$C, U402, 'Raw Non-zero DMR Data'!V:V, V402)</f>
        <v>27.7651986875</v>
      </c>
      <c r="U402" s="34" t="s">
        <v>1236</v>
      </c>
      <c r="V402" s="34" t="s">
        <v>1237</v>
      </c>
      <c r="W402" s="139">
        <v>51401021002</v>
      </c>
      <c r="X402" s="140" t="s">
        <v>745</v>
      </c>
    </row>
    <row r="403" spans="1:24" x14ac:dyDescent="0.35">
      <c r="A403" s="34">
        <v>2020</v>
      </c>
      <c r="B403" s="34" t="s">
        <v>123</v>
      </c>
      <c r="C403" s="34" t="s">
        <v>1236</v>
      </c>
      <c r="D403" s="34" t="s">
        <v>107</v>
      </c>
      <c r="E403" s="34" t="s">
        <v>782</v>
      </c>
      <c r="F403" s="34" t="s">
        <v>108</v>
      </c>
      <c r="G403" s="34"/>
      <c r="H403" s="34">
        <v>38.122354000000001</v>
      </c>
      <c r="I403" s="34">
        <v>-85.587648000000002</v>
      </c>
      <c r="J403" s="34"/>
      <c r="K403" s="105">
        <v>110043485421</v>
      </c>
      <c r="L403" s="34">
        <v>4952</v>
      </c>
      <c r="M403" s="48" t="str">
        <f>VLOOKUP(L403, '2017 SIC to NAICS'!A:D, 2)</f>
        <v>Sewerage Systems</v>
      </c>
      <c r="N403" s="34">
        <f>VLOOKUP(L403,'2017 SIC to NAICS'!A:D,3)</f>
        <v>221320</v>
      </c>
      <c r="O403" s="34" t="str">
        <f>VLOOKUP(L403,'2017 SIC to NAICS'!A:D,4)</f>
        <v>Sewage Treatment Facilities</v>
      </c>
      <c r="P403" s="36" t="s">
        <v>742</v>
      </c>
      <c r="Q403" s="137" t="s">
        <v>743</v>
      </c>
      <c r="R403" s="45" t="s">
        <v>38</v>
      </c>
      <c r="S403" s="138">
        <f>COUNTIFS('Raw Non-zero DMR Data'!$A:$A, A403, 'Raw Non-zero DMR Data'!$C:$C, U403, 'Raw Non-zero DMR Data'!$V:$V, V403)</f>
        <v>1</v>
      </c>
      <c r="T403" s="34">
        <f>SUMIFS('Raw Non-zero DMR Data'!$X:$X, 'Raw Non-zero DMR Data'!$A:$A, A403, 'Raw Non-zero DMR Data'!$C:$C, U403, 'Raw Non-zero DMR Data'!V:V, V403)</f>
        <v>25.751626000000002</v>
      </c>
      <c r="U403" s="34" t="s">
        <v>1236</v>
      </c>
      <c r="V403" s="34" t="s">
        <v>1237</v>
      </c>
      <c r="W403" s="139">
        <v>51401021002</v>
      </c>
      <c r="X403" s="140" t="s">
        <v>745</v>
      </c>
    </row>
    <row r="404" spans="1:24" x14ac:dyDescent="0.35">
      <c r="A404" s="34">
        <v>2021</v>
      </c>
      <c r="B404" s="34" t="s">
        <v>123</v>
      </c>
      <c r="C404" s="34" t="s">
        <v>1236</v>
      </c>
      <c r="D404" s="34" t="s">
        <v>107</v>
      </c>
      <c r="E404" s="34" t="s">
        <v>782</v>
      </c>
      <c r="F404" s="34" t="s">
        <v>108</v>
      </c>
      <c r="G404" s="34"/>
      <c r="H404" s="34">
        <v>38.122354000000001</v>
      </c>
      <c r="I404" s="34">
        <v>-85.587648000000002</v>
      </c>
      <c r="J404" s="34"/>
      <c r="K404" s="105">
        <v>110043485421</v>
      </c>
      <c r="L404" s="34">
        <v>4952</v>
      </c>
      <c r="M404" s="48" t="str">
        <f>VLOOKUP(L404, '2017 SIC to NAICS'!A:D, 2)</f>
        <v>Sewerage Systems</v>
      </c>
      <c r="N404" s="34">
        <f>VLOOKUP(L404,'2017 SIC to NAICS'!A:D,3)</f>
        <v>221320</v>
      </c>
      <c r="O404" s="34" t="str">
        <f>VLOOKUP(L404,'2017 SIC to NAICS'!A:D,4)</f>
        <v>Sewage Treatment Facilities</v>
      </c>
      <c r="P404" s="36" t="s">
        <v>742</v>
      </c>
      <c r="Q404" s="137" t="s">
        <v>743</v>
      </c>
      <c r="R404" s="45" t="s">
        <v>38</v>
      </c>
      <c r="S404" s="138">
        <f>COUNTIFS('Raw Non-zero DMR Data'!$A:$A, A404, 'Raw Non-zero DMR Data'!$C:$C, U404, 'Raw Non-zero DMR Data'!$V:$V, V404)</f>
        <v>1</v>
      </c>
      <c r="T404" s="34">
        <f>SUMIFS('Raw Non-zero DMR Data'!$X:$X, 'Raw Non-zero DMR Data'!$A:$A, A404, 'Raw Non-zero DMR Data'!$C:$C, U404, 'Raw Non-zero DMR Data'!V:V, V404)</f>
        <v>21.130424874999999</v>
      </c>
      <c r="U404" s="34" t="s">
        <v>1236</v>
      </c>
      <c r="V404" s="34" t="s">
        <v>1237</v>
      </c>
      <c r="W404" s="139">
        <v>51401021002</v>
      </c>
      <c r="X404" s="140" t="s">
        <v>745</v>
      </c>
    </row>
    <row r="405" spans="1:24" x14ac:dyDescent="0.35">
      <c r="A405" s="34">
        <v>2022</v>
      </c>
      <c r="B405" s="34" t="s">
        <v>123</v>
      </c>
      <c r="C405" s="34" t="s">
        <v>1236</v>
      </c>
      <c r="D405" s="34" t="s">
        <v>107</v>
      </c>
      <c r="E405" s="34" t="s">
        <v>782</v>
      </c>
      <c r="F405" s="34" t="s">
        <v>108</v>
      </c>
      <c r="G405" s="34"/>
      <c r="H405" s="34">
        <v>38.122354000000001</v>
      </c>
      <c r="I405" s="34">
        <v>-85.587648000000002</v>
      </c>
      <c r="J405" s="34"/>
      <c r="K405" s="105">
        <v>110043485421</v>
      </c>
      <c r="L405" s="34">
        <v>4952</v>
      </c>
      <c r="M405" s="48" t="str">
        <f>VLOOKUP(L405, '2017 SIC to NAICS'!A:D, 2)</f>
        <v>Sewerage Systems</v>
      </c>
      <c r="N405" s="34">
        <f>VLOOKUP(L405,'2017 SIC to NAICS'!A:D,3)</f>
        <v>221320</v>
      </c>
      <c r="O405" s="34" t="str">
        <f>VLOOKUP(L405,'2017 SIC to NAICS'!A:D,4)</f>
        <v>Sewage Treatment Facilities</v>
      </c>
      <c r="P405" s="36" t="s">
        <v>742</v>
      </c>
      <c r="Q405" s="137" t="s">
        <v>743</v>
      </c>
      <c r="R405" s="45" t="s">
        <v>38</v>
      </c>
      <c r="S405" s="138">
        <f>COUNTIFS('Raw Non-zero DMR Data'!$A:$A, A405, 'Raw Non-zero DMR Data'!$C:$C, U405, 'Raw Non-zero DMR Data'!$V:$V, V405)</f>
        <v>1</v>
      </c>
      <c r="T405" s="34">
        <f>SUMIFS('Raw Non-zero DMR Data'!$X:$X, 'Raw Non-zero DMR Data'!$A:$A, A405, 'Raw Non-zero DMR Data'!$C:$C, U405, 'Raw Non-zero DMR Data'!V:V, V405)</f>
        <v>20.066650625000001</v>
      </c>
      <c r="U405" s="34" t="s">
        <v>1236</v>
      </c>
      <c r="V405" s="34" t="s">
        <v>1237</v>
      </c>
      <c r="W405" s="141" t="s">
        <v>1238</v>
      </c>
      <c r="X405" s="140" t="s">
        <v>745</v>
      </c>
    </row>
    <row r="406" spans="1:24" x14ac:dyDescent="0.35">
      <c r="A406" s="34">
        <v>2023</v>
      </c>
      <c r="B406" s="34" t="s">
        <v>123</v>
      </c>
      <c r="C406" s="34" t="s">
        <v>1236</v>
      </c>
      <c r="D406" s="34" t="s">
        <v>107</v>
      </c>
      <c r="E406" s="34" t="s">
        <v>782</v>
      </c>
      <c r="F406" s="34" t="s">
        <v>108</v>
      </c>
      <c r="G406" s="34"/>
      <c r="H406" s="34">
        <v>38.122354000000001</v>
      </c>
      <c r="I406" s="34">
        <v>-85.587648000000002</v>
      </c>
      <c r="J406" s="34"/>
      <c r="K406" s="105">
        <v>110043485421</v>
      </c>
      <c r="L406" s="34">
        <v>4952</v>
      </c>
      <c r="M406" s="48" t="str">
        <f>VLOOKUP(L406, '2017 SIC to NAICS'!A:D, 2)</f>
        <v>Sewerage Systems</v>
      </c>
      <c r="N406" s="34">
        <f>VLOOKUP(L406,'2017 SIC to NAICS'!A:D,3)</f>
        <v>221320</v>
      </c>
      <c r="O406" s="34" t="str">
        <f>VLOOKUP(L406,'2017 SIC to NAICS'!A:D,4)</f>
        <v>Sewage Treatment Facilities</v>
      </c>
      <c r="P406" s="36" t="s">
        <v>742</v>
      </c>
      <c r="Q406" s="137" t="s">
        <v>743</v>
      </c>
      <c r="R406" s="45" t="s">
        <v>38</v>
      </c>
      <c r="S406" s="138">
        <f>COUNTIFS('Raw Non-zero DMR Data'!$A:$A, A406, 'Raw Non-zero DMR Data'!$C:$C, U406, 'Raw Non-zero DMR Data'!$V:$V, V406)</f>
        <v>1</v>
      </c>
      <c r="T406" s="34">
        <f>SUMIFS('Raw Non-zero DMR Data'!$X:$X, 'Raw Non-zero DMR Data'!$A:$A, A406, 'Raw Non-zero DMR Data'!$C:$C, U406, 'Raw Non-zero DMR Data'!V:V, V406)</f>
        <v>16.3192640625</v>
      </c>
      <c r="U406" s="34" t="s">
        <v>1236</v>
      </c>
      <c r="V406" s="34" t="s">
        <v>1237</v>
      </c>
      <c r="W406" s="141" t="s">
        <v>1238</v>
      </c>
      <c r="X406" s="140" t="s">
        <v>745</v>
      </c>
    </row>
    <row r="407" spans="1:24" x14ac:dyDescent="0.35">
      <c r="A407" s="34">
        <v>2019</v>
      </c>
      <c r="B407" s="34" t="s">
        <v>138</v>
      </c>
      <c r="C407" s="34" t="s">
        <v>1239</v>
      </c>
      <c r="D407" s="34" t="s">
        <v>107</v>
      </c>
      <c r="E407" s="34" t="s">
        <v>782</v>
      </c>
      <c r="F407" s="34" t="s">
        <v>108</v>
      </c>
      <c r="G407" s="34"/>
      <c r="H407" s="34">
        <v>38.236699999999999</v>
      </c>
      <c r="I407" s="34">
        <v>-85.466710000000006</v>
      </c>
      <c r="J407" s="34"/>
      <c r="K407" s="105">
        <v>110043486457</v>
      </c>
      <c r="L407" s="34">
        <v>4952</v>
      </c>
      <c r="M407" s="48" t="str">
        <f>VLOOKUP(L407, '2017 SIC to NAICS'!A:D, 2)</f>
        <v>Sewerage Systems</v>
      </c>
      <c r="N407" s="34">
        <f>VLOOKUP(L407,'2017 SIC to NAICS'!A:D,3)</f>
        <v>221320</v>
      </c>
      <c r="O407" s="34" t="str">
        <f>VLOOKUP(L407,'2017 SIC to NAICS'!A:D,4)</f>
        <v>Sewage Treatment Facilities</v>
      </c>
      <c r="P407" s="36" t="s">
        <v>742</v>
      </c>
      <c r="Q407" s="137" t="s">
        <v>743</v>
      </c>
      <c r="R407" s="45" t="s">
        <v>38</v>
      </c>
      <c r="S407" s="138">
        <f>COUNTIFS('Raw Non-zero DMR Data'!$A:$A, A407, 'Raw Non-zero DMR Data'!$C:$C, U407, 'Raw Non-zero DMR Data'!$V:$V, V407)</f>
        <v>1</v>
      </c>
      <c r="T407" s="34">
        <f>SUMIFS('Raw Non-zero DMR Data'!$X:$X, 'Raw Non-zero DMR Data'!$A:$A, A407, 'Raw Non-zero DMR Data'!$C:$C, U407, 'Raw Non-zero DMR Data'!V:V, V407)</f>
        <v>15.645770625000001</v>
      </c>
      <c r="U407" s="34" t="s">
        <v>1239</v>
      </c>
      <c r="V407" s="34" t="s">
        <v>1240</v>
      </c>
      <c r="W407" s="139">
        <v>51401020804</v>
      </c>
      <c r="X407" s="140" t="s">
        <v>745</v>
      </c>
    </row>
    <row r="408" spans="1:24" x14ac:dyDescent="0.35">
      <c r="A408" s="34">
        <v>2020</v>
      </c>
      <c r="B408" s="34" t="s">
        <v>138</v>
      </c>
      <c r="C408" s="34" t="s">
        <v>1239</v>
      </c>
      <c r="D408" s="34" t="s">
        <v>107</v>
      </c>
      <c r="E408" s="34" t="s">
        <v>782</v>
      </c>
      <c r="F408" s="34" t="s">
        <v>108</v>
      </c>
      <c r="G408" s="34"/>
      <c r="H408" s="34">
        <v>38.236699999999999</v>
      </c>
      <c r="I408" s="34">
        <v>-85.466710000000006</v>
      </c>
      <c r="J408" s="34"/>
      <c r="K408" s="105">
        <v>110043486457</v>
      </c>
      <c r="L408" s="34">
        <v>4952</v>
      </c>
      <c r="M408" s="48" t="str">
        <f>VLOOKUP(L408, '2017 SIC to NAICS'!A:D, 2)</f>
        <v>Sewerage Systems</v>
      </c>
      <c r="N408" s="34">
        <f>VLOOKUP(L408,'2017 SIC to NAICS'!A:D,3)</f>
        <v>221320</v>
      </c>
      <c r="O408" s="34" t="str">
        <f>VLOOKUP(L408,'2017 SIC to NAICS'!A:D,4)</f>
        <v>Sewage Treatment Facilities</v>
      </c>
      <c r="P408" s="36" t="s">
        <v>742</v>
      </c>
      <c r="Q408" s="137" t="s">
        <v>743</v>
      </c>
      <c r="R408" s="45" t="s">
        <v>38</v>
      </c>
      <c r="S408" s="138">
        <f>COUNTIFS('Raw Non-zero DMR Data'!$A:$A, A408, 'Raw Non-zero DMR Data'!$C:$C, U408, 'Raw Non-zero DMR Data'!$V:$V, V408)</f>
        <v>1</v>
      </c>
      <c r="T408" s="34">
        <f>SUMIFS('Raw Non-zero DMR Data'!$X:$X, 'Raw Non-zero DMR Data'!$A:$A, A408, 'Raw Non-zero DMR Data'!$C:$C, U408, 'Raw Non-zero DMR Data'!V:V, V408)</f>
        <v>12.509708874999999</v>
      </c>
      <c r="U408" s="34" t="s">
        <v>1239</v>
      </c>
      <c r="V408" s="34" t="s">
        <v>1240</v>
      </c>
      <c r="W408" s="139">
        <v>51401020804</v>
      </c>
      <c r="X408" s="140" t="s">
        <v>745</v>
      </c>
    </row>
    <row r="409" spans="1:24" x14ac:dyDescent="0.35">
      <c r="A409" s="34">
        <v>2021</v>
      </c>
      <c r="B409" s="34" t="s">
        <v>138</v>
      </c>
      <c r="C409" s="34" t="s">
        <v>1239</v>
      </c>
      <c r="D409" s="34" t="s">
        <v>107</v>
      </c>
      <c r="E409" s="34" t="s">
        <v>782</v>
      </c>
      <c r="F409" s="34" t="s">
        <v>108</v>
      </c>
      <c r="G409" s="34"/>
      <c r="H409" s="34">
        <v>38.236699999999999</v>
      </c>
      <c r="I409" s="34">
        <v>-85.466710000000006</v>
      </c>
      <c r="J409" s="34"/>
      <c r="K409" s="105">
        <v>110043486457</v>
      </c>
      <c r="L409" s="34">
        <v>4952</v>
      </c>
      <c r="M409" s="48" t="str">
        <f>VLOOKUP(L409, '2017 SIC to NAICS'!A:D, 2)</f>
        <v>Sewerage Systems</v>
      </c>
      <c r="N409" s="34">
        <f>VLOOKUP(L409,'2017 SIC to NAICS'!A:D,3)</f>
        <v>221320</v>
      </c>
      <c r="O409" s="34" t="str">
        <f>VLOOKUP(L409,'2017 SIC to NAICS'!A:D,4)</f>
        <v>Sewage Treatment Facilities</v>
      </c>
      <c r="P409" s="36" t="s">
        <v>742</v>
      </c>
      <c r="Q409" s="137" t="s">
        <v>743</v>
      </c>
      <c r="R409" s="45" t="s">
        <v>38</v>
      </c>
      <c r="S409" s="138">
        <f>COUNTIFS('Raw Non-zero DMR Data'!$A:$A, A409, 'Raw Non-zero DMR Data'!$C:$C, U409, 'Raw Non-zero DMR Data'!$V:$V, V409)</f>
        <v>1</v>
      </c>
      <c r="T409" s="34">
        <f>SUMIFS('Raw Non-zero DMR Data'!$X:$X, 'Raw Non-zero DMR Data'!$A:$A, A409, 'Raw Non-zero DMR Data'!$C:$C, U409, 'Raw Non-zero DMR Data'!V:V, V409)</f>
        <v>12.817098187499999</v>
      </c>
      <c r="U409" s="34" t="s">
        <v>1239</v>
      </c>
      <c r="V409" s="34" t="s">
        <v>1240</v>
      </c>
      <c r="W409" s="139">
        <v>51401020804</v>
      </c>
      <c r="X409" s="140" t="s">
        <v>745</v>
      </c>
    </row>
    <row r="410" spans="1:24" x14ac:dyDescent="0.35">
      <c r="A410" s="34">
        <v>2022</v>
      </c>
      <c r="B410" s="34" t="s">
        <v>138</v>
      </c>
      <c r="C410" s="34" t="s">
        <v>1239</v>
      </c>
      <c r="D410" s="34" t="s">
        <v>107</v>
      </c>
      <c r="E410" s="34" t="s">
        <v>782</v>
      </c>
      <c r="F410" s="34" t="s">
        <v>108</v>
      </c>
      <c r="G410" s="34"/>
      <c r="H410" s="34">
        <v>38.236699999999999</v>
      </c>
      <c r="I410" s="34">
        <v>-85.466710000000006</v>
      </c>
      <c r="J410" s="34"/>
      <c r="K410" s="105">
        <v>110043486457</v>
      </c>
      <c r="L410" s="34">
        <v>4952</v>
      </c>
      <c r="M410" s="48" t="str">
        <f>VLOOKUP(L410, '2017 SIC to NAICS'!A:D, 2)</f>
        <v>Sewerage Systems</v>
      </c>
      <c r="N410" s="34">
        <f>VLOOKUP(L410,'2017 SIC to NAICS'!A:D,3)</f>
        <v>221320</v>
      </c>
      <c r="O410" s="34" t="str">
        <f>VLOOKUP(L410,'2017 SIC to NAICS'!A:D,4)</f>
        <v>Sewage Treatment Facilities</v>
      </c>
      <c r="P410" s="36" t="s">
        <v>742</v>
      </c>
      <c r="Q410" s="137" t="s">
        <v>743</v>
      </c>
      <c r="R410" s="45" t="s">
        <v>38</v>
      </c>
      <c r="S410" s="138">
        <f>COUNTIFS('Raw Non-zero DMR Data'!$A:$A, A410, 'Raw Non-zero DMR Data'!$C:$C, U410, 'Raw Non-zero DMR Data'!$V:$V, V410)</f>
        <v>1</v>
      </c>
      <c r="T410" s="34">
        <f>SUMIFS('Raw Non-zero DMR Data'!$X:$X, 'Raw Non-zero DMR Data'!$A:$A, A410, 'Raw Non-zero DMR Data'!$C:$C, U410, 'Raw Non-zero DMR Data'!V:V, V410)</f>
        <v>14.457659124999999</v>
      </c>
      <c r="U410" s="34" t="s">
        <v>1239</v>
      </c>
      <c r="V410" s="34" t="s">
        <v>1240</v>
      </c>
      <c r="W410" s="141" t="s">
        <v>1241</v>
      </c>
      <c r="X410" s="140" t="s">
        <v>745</v>
      </c>
    </row>
    <row r="411" spans="1:24" x14ac:dyDescent="0.35">
      <c r="A411" s="34">
        <v>2023</v>
      </c>
      <c r="B411" s="34" t="s">
        <v>138</v>
      </c>
      <c r="C411" s="34" t="s">
        <v>1239</v>
      </c>
      <c r="D411" s="34" t="s">
        <v>107</v>
      </c>
      <c r="E411" s="34" t="s">
        <v>782</v>
      </c>
      <c r="F411" s="34" t="s">
        <v>108</v>
      </c>
      <c r="G411" s="34"/>
      <c r="H411" s="34">
        <v>38.236699999999999</v>
      </c>
      <c r="I411" s="34">
        <v>-85.466710000000006</v>
      </c>
      <c r="J411" s="34"/>
      <c r="K411" s="105">
        <v>110043486457</v>
      </c>
      <c r="L411" s="34">
        <v>4952</v>
      </c>
      <c r="M411" s="48" t="str">
        <f>VLOOKUP(L411, '2017 SIC to NAICS'!A:D, 2)</f>
        <v>Sewerage Systems</v>
      </c>
      <c r="N411" s="34">
        <f>VLOOKUP(L411,'2017 SIC to NAICS'!A:D,3)</f>
        <v>221320</v>
      </c>
      <c r="O411" s="34" t="str">
        <f>VLOOKUP(L411,'2017 SIC to NAICS'!A:D,4)</f>
        <v>Sewage Treatment Facilities</v>
      </c>
      <c r="P411" s="36" t="s">
        <v>742</v>
      </c>
      <c r="Q411" s="137" t="s">
        <v>743</v>
      </c>
      <c r="R411" s="45" t="s">
        <v>38</v>
      </c>
      <c r="S411" s="138">
        <f>COUNTIFS('Raw Non-zero DMR Data'!$A:$A, A411, 'Raw Non-zero DMR Data'!$C:$C, U411, 'Raw Non-zero DMR Data'!$V:$V, V411)</f>
        <v>1</v>
      </c>
      <c r="T411" s="34">
        <f>SUMIFS('Raw Non-zero DMR Data'!$X:$X, 'Raw Non-zero DMR Data'!$A:$A, A411, 'Raw Non-zero DMR Data'!$C:$C, U411, 'Raw Non-zero DMR Data'!V:V, V411)</f>
        <v>11.722239625</v>
      </c>
      <c r="U411" s="34" t="s">
        <v>1239</v>
      </c>
      <c r="V411" s="34" t="s">
        <v>1240</v>
      </c>
      <c r="W411" s="141" t="s">
        <v>1241</v>
      </c>
      <c r="X411" s="140" t="s">
        <v>745</v>
      </c>
    </row>
    <row r="412" spans="1:24" x14ac:dyDescent="0.35">
      <c r="A412" s="34">
        <v>2019</v>
      </c>
      <c r="B412" s="34" t="s">
        <v>226</v>
      </c>
      <c r="C412" s="34" t="s">
        <v>1242</v>
      </c>
      <c r="D412" s="34" t="s">
        <v>227</v>
      </c>
      <c r="E412" s="34" t="s">
        <v>1219</v>
      </c>
      <c r="F412" s="34" t="s">
        <v>108</v>
      </c>
      <c r="G412" s="34"/>
      <c r="H412" s="34">
        <v>37.640973000000002</v>
      </c>
      <c r="I412" s="34">
        <v>-84.312661000000006</v>
      </c>
      <c r="J412" s="34"/>
      <c r="K412" s="105">
        <v>110009933484</v>
      </c>
      <c r="L412" s="34">
        <v>4952</v>
      </c>
      <c r="M412" s="48" t="str">
        <f>VLOOKUP(L412, '2017 SIC to NAICS'!A:D, 2)</f>
        <v>Sewerage Systems</v>
      </c>
      <c r="N412" s="34">
        <f>VLOOKUP(L412,'2017 SIC to NAICS'!A:D,3)</f>
        <v>221320</v>
      </c>
      <c r="O412" s="34" t="str">
        <f>VLOOKUP(L412,'2017 SIC to NAICS'!A:D,4)</f>
        <v>Sewage Treatment Facilities</v>
      </c>
      <c r="P412" s="36" t="s">
        <v>742</v>
      </c>
      <c r="Q412" s="137" t="s">
        <v>743</v>
      </c>
      <c r="R412" s="45" t="s">
        <v>38</v>
      </c>
      <c r="S412" s="138">
        <f>COUNTIFS('Raw Non-zero DMR Data'!$A:$A, A412, 'Raw Non-zero DMR Data'!$C:$C, U412, 'Raw Non-zero DMR Data'!$V:$V, V412)</f>
        <v>1</v>
      </c>
      <c r="T412" s="34">
        <f>SUMIFS('Raw Non-zero DMR Data'!$X:$X, 'Raw Non-zero DMR Data'!$A:$A, A412, 'Raw Non-zero DMR Data'!$C:$C, U412, 'Raw Non-zero DMR Data'!V:V, V412)</f>
        <v>3.2327685000000002</v>
      </c>
      <c r="U412" s="34" t="s">
        <v>1242</v>
      </c>
      <c r="V412" s="34" t="s">
        <v>1243</v>
      </c>
      <c r="W412" s="139">
        <v>51002050204</v>
      </c>
      <c r="X412" s="140" t="s">
        <v>745</v>
      </c>
    </row>
    <row r="413" spans="1:24" x14ac:dyDescent="0.35">
      <c r="A413" s="34">
        <v>2020</v>
      </c>
      <c r="B413" s="34" t="s">
        <v>226</v>
      </c>
      <c r="C413" s="34" t="s">
        <v>1242</v>
      </c>
      <c r="D413" s="34" t="s">
        <v>227</v>
      </c>
      <c r="E413" s="34" t="s">
        <v>1219</v>
      </c>
      <c r="F413" s="34" t="s">
        <v>108</v>
      </c>
      <c r="G413" s="34"/>
      <c r="H413" s="34">
        <v>37.640973000000002</v>
      </c>
      <c r="I413" s="34">
        <v>-84.312661000000006</v>
      </c>
      <c r="J413" s="34"/>
      <c r="K413" s="105">
        <v>110009933484</v>
      </c>
      <c r="L413" s="34">
        <v>4952</v>
      </c>
      <c r="M413" s="48" t="str">
        <f>VLOOKUP(L413, '2017 SIC to NAICS'!A:D, 2)</f>
        <v>Sewerage Systems</v>
      </c>
      <c r="N413" s="34">
        <f>VLOOKUP(L413,'2017 SIC to NAICS'!A:D,3)</f>
        <v>221320</v>
      </c>
      <c r="O413" s="34" t="str">
        <f>VLOOKUP(L413,'2017 SIC to NAICS'!A:D,4)</f>
        <v>Sewage Treatment Facilities</v>
      </c>
      <c r="P413" s="36" t="s">
        <v>742</v>
      </c>
      <c r="Q413" s="137" t="s">
        <v>743</v>
      </c>
      <c r="R413" s="45" t="s">
        <v>38</v>
      </c>
      <c r="S413" s="138">
        <f>COUNTIFS('Raw Non-zero DMR Data'!$A:$A, A413, 'Raw Non-zero DMR Data'!$C:$C, U413, 'Raw Non-zero DMR Data'!$V:$V, V413)</f>
        <v>1</v>
      </c>
      <c r="T413" s="34">
        <f>SUMIFS('Raw Non-zero DMR Data'!$X:$X, 'Raw Non-zero DMR Data'!$A:$A, A413, 'Raw Non-zero DMR Data'!$C:$C, U413, 'Raw Non-zero DMR Data'!V:V, V413)</f>
        <v>2.5420060000000002</v>
      </c>
      <c r="U413" s="34" t="s">
        <v>1242</v>
      </c>
      <c r="V413" s="34" t="s">
        <v>1243</v>
      </c>
      <c r="W413" s="139">
        <v>51002050204</v>
      </c>
      <c r="X413" s="140" t="s">
        <v>745</v>
      </c>
    </row>
    <row r="414" spans="1:24" x14ac:dyDescent="0.35">
      <c r="A414" s="34">
        <v>2020</v>
      </c>
      <c r="B414" s="34" t="s">
        <v>269</v>
      </c>
      <c r="C414" s="34" t="s">
        <v>1244</v>
      </c>
      <c r="D414" s="34" t="s">
        <v>270</v>
      </c>
      <c r="E414" s="34" t="s">
        <v>1245</v>
      </c>
      <c r="F414" s="34" t="s">
        <v>108</v>
      </c>
      <c r="G414" s="34"/>
      <c r="H414" s="34">
        <v>37.780760000000001</v>
      </c>
      <c r="I414" s="34">
        <v>-85.510740999999996</v>
      </c>
      <c r="J414" s="34"/>
      <c r="K414" s="105">
        <v>110009933402</v>
      </c>
      <c r="L414" s="34">
        <v>4952</v>
      </c>
      <c r="M414" s="48" t="str">
        <f>VLOOKUP(L414, '2017 SIC to NAICS'!A:D, 2)</f>
        <v>Sewerage Systems</v>
      </c>
      <c r="N414" s="34">
        <f>VLOOKUP(L414,'2017 SIC to NAICS'!A:D,3)</f>
        <v>221320</v>
      </c>
      <c r="O414" s="34" t="str">
        <f>VLOOKUP(L414,'2017 SIC to NAICS'!A:D,4)</f>
        <v>Sewage Treatment Facilities</v>
      </c>
      <c r="P414" s="36" t="s">
        <v>742</v>
      </c>
      <c r="Q414" s="137" t="s">
        <v>743</v>
      </c>
      <c r="R414" s="45" t="s">
        <v>38</v>
      </c>
      <c r="S414" s="138">
        <f>COUNTIFS('Raw Non-zero DMR Data'!$A:$A, A414, 'Raw Non-zero DMR Data'!$C:$C, U414, 'Raw Non-zero DMR Data'!$V:$V, V414)</f>
        <v>1</v>
      </c>
      <c r="T414" s="34">
        <f>SUMIFS('Raw Non-zero DMR Data'!$X:$X, 'Raw Non-zero DMR Data'!$A:$A, A414, 'Raw Non-zero DMR Data'!$C:$C, U414, 'Raw Non-zero DMR Data'!V:V, V414)</f>
        <v>1.2212681000000001</v>
      </c>
      <c r="U414" s="34" t="s">
        <v>1244</v>
      </c>
      <c r="V414" s="34" t="s">
        <v>1246</v>
      </c>
      <c r="W414" s="139">
        <v>51401030306</v>
      </c>
      <c r="X414" s="140" t="s">
        <v>745</v>
      </c>
    </row>
    <row r="415" spans="1:24" x14ac:dyDescent="0.35">
      <c r="A415" s="34">
        <v>2021</v>
      </c>
      <c r="B415" s="34" t="s">
        <v>269</v>
      </c>
      <c r="C415" s="34" t="s">
        <v>1244</v>
      </c>
      <c r="D415" s="34" t="s">
        <v>270</v>
      </c>
      <c r="E415" s="34" t="s">
        <v>1245</v>
      </c>
      <c r="F415" s="34" t="s">
        <v>108</v>
      </c>
      <c r="G415" s="34"/>
      <c r="H415" s="34">
        <v>37.780760000000001</v>
      </c>
      <c r="I415" s="34">
        <v>-85.510740999999996</v>
      </c>
      <c r="J415" s="34"/>
      <c r="K415" s="105">
        <v>110009933402</v>
      </c>
      <c r="L415" s="34">
        <v>4952</v>
      </c>
      <c r="M415" s="48" t="str">
        <f>VLOOKUP(L415, '2017 SIC to NAICS'!A:D, 2)</f>
        <v>Sewerage Systems</v>
      </c>
      <c r="N415" s="34">
        <f>VLOOKUP(L415,'2017 SIC to NAICS'!A:D,3)</f>
        <v>221320</v>
      </c>
      <c r="O415" s="34" t="str">
        <f>VLOOKUP(L415,'2017 SIC to NAICS'!A:D,4)</f>
        <v>Sewage Treatment Facilities</v>
      </c>
      <c r="P415" s="36" t="s">
        <v>742</v>
      </c>
      <c r="Q415" s="137" t="s">
        <v>743</v>
      </c>
      <c r="R415" s="45" t="s">
        <v>38</v>
      </c>
      <c r="S415" s="138">
        <f>COUNTIFS('Raw Non-zero DMR Data'!$A:$A, A415, 'Raw Non-zero DMR Data'!$C:$C, U415, 'Raw Non-zero DMR Data'!$V:$V, V415)</f>
        <v>1</v>
      </c>
      <c r="T415" s="34">
        <f>SUMIFS('Raw Non-zero DMR Data'!$X:$X, 'Raw Non-zero DMR Data'!$A:$A, A415, 'Raw Non-zero DMR Data'!$C:$C, U415, 'Raw Non-zero DMR Data'!V:V, V415)</f>
        <v>1.6219103500000001</v>
      </c>
      <c r="U415" s="34" t="s">
        <v>1244</v>
      </c>
      <c r="V415" s="34" t="s">
        <v>1246</v>
      </c>
      <c r="W415" s="139">
        <v>51401030306</v>
      </c>
      <c r="X415" s="140" t="s">
        <v>745</v>
      </c>
    </row>
    <row r="416" spans="1:24" x14ac:dyDescent="0.35">
      <c r="A416" s="34">
        <v>2019</v>
      </c>
      <c r="B416" s="34" t="s">
        <v>147</v>
      </c>
      <c r="C416" s="34" t="s">
        <v>1247</v>
      </c>
      <c r="D416" s="34" t="s">
        <v>148</v>
      </c>
      <c r="E416" s="34" t="s">
        <v>862</v>
      </c>
      <c r="F416" s="34" t="s">
        <v>108</v>
      </c>
      <c r="G416" s="34"/>
      <c r="H416" s="34">
        <v>38.101582000000001</v>
      </c>
      <c r="I416" s="34">
        <v>-83.919770999999997</v>
      </c>
      <c r="J416" s="34"/>
      <c r="K416" s="105">
        <v>110039705361</v>
      </c>
      <c r="L416" s="34">
        <v>4952</v>
      </c>
      <c r="M416" s="48" t="str">
        <f>VLOOKUP(L416, '2017 SIC to NAICS'!A:D, 2)</f>
        <v>Sewerage Systems</v>
      </c>
      <c r="N416" s="34">
        <f>VLOOKUP(L416,'2017 SIC to NAICS'!A:D,3)</f>
        <v>221320</v>
      </c>
      <c r="O416" s="34" t="str">
        <f>VLOOKUP(L416,'2017 SIC to NAICS'!A:D,4)</f>
        <v>Sewage Treatment Facilities</v>
      </c>
      <c r="P416" s="36" t="s">
        <v>742</v>
      </c>
      <c r="Q416" s="137" t="s">
        <v>743</v>
      </c>
      <c r="R416" s="45" t="s">
        <v>38</v>
      </c>
      <c r="S416" s="138">
        <f>COUNTIFS('Raw Non-zero DMR Data'!$A:$A, A416, 'Raw Non-zero DMR Data'!$C:$C, U416, 'Raw Non-zero DMR Data'!$V:$V, V416)</f>
        <v>1</v>
      </c>
      <c r="T416" s="34">
        <f>SUMIFS('Raw Non-zero DMR Data'!$X:$X, 'Raw Non-zero DMR Data'!$A:$A, A416, 'Raw Non-zero DMR Data'!$C:$C, U416, 'Raw Non-zero DMR Data'!V:V, V416)</f>
        <v>11.086738125</v>
      </c>
      <c r="U416" s="34" t="s">
        <v>1247</v>
      </c>
      <c r="V416" s="34" t="s">
        <v>1248</v>
      </c>
      <c r="W416" s="139">
        <v>51001020302</v>
      </c>
      <c r="X416" s="140" t="s">
        <v>745</v>
      </c>
    </row>
    <row r="417" spans="1:24" x14ac:dyDescent="0.35">
      <c r="A417" s="34">
        <v>2020</v>
      </c>
      <c r="B417" s="34" t="s">
        <v>147</v>
      </c>
      <c r="C417" s="34" t="s">
        <v>1247</v>
      </c>
      <c r="D417" s="34" t="s">
        <v>148</v>
      </c>
      <c r="E417" s="34" t="s">
        <v>862</v>
      </c>
      <c r="F417" s="34" t="s">
        <v>108</v>
      </c>
      <c r="G417" s="34"/>
      <c r="H417" s="34">
        <v>38.101582000000001</v>
      </c>
      <c r="I417" s="34">
        <v>-83.919770999999997</v>
      </c>
      <c r="J417" s="34"/>
      <c r="K417" s="105">
        <v>110039705361</v>
      </c>
      <c r="L417" s="34">
        <v>4952</v>
      </c>
      <c r="M417" s="48" t="str">
        <f>VLOOKUP(L417, '2017 SIC to NAICS'!A:D, 2)</f>
        <v>Sewerage Systems</v>
      </c>
      <c r="N417" s="34">
        <f>VLOOKUP(L417,'2017 SIC to NAICS'!A:D,3)</f>
        <v>221320</v>
      </c>
      <c r="O417" s="34" t="str">
        <f>VLOOKUP(L417,'2017 SIC to NAICS'!A:D,4)</f>
        <v>Sewage Treatment Facilities</v>
      </c>
      <c r="P417" s="36" t="s">
        <v>742</v>
      </c>
      <c r="Q417" s="137" t="s">
        <v>743</v>
      </c>
      <c r="R417" s="45" t="s">
        <v>38</v>
      </c>
      <c r="S417" s="138">
        <f>COUNTIFS('Raw Non-zero DMR Data'!$A:$A, A417, 'Raw Non-zero DMR Data'!$C:$C, U417, 'Raw Non-zero DMR Data'!$V:$V, V417)</f>
        <v>1</v>
      </c>
      <c r="T417" s="34">
        <f>SUMIFS('Raw Non-zero DMR Data'!$X:$X, 'Raw Non-zero DMR Data'!$A:$A, A417, 'Raw Non-zero DMR Data'!$C:$C, U417, 'Raw Non-zero DMR Data'!V:V, V417)</f>
        <v>6.7349343749999999</v>
      </c>
      <c r="U417" s="34" t="s">
        <v>1247</v>
      </c>
      <c r="V417" s="34" t="s">
        <v>1248</v>
      </c>
      <c r="W417" s="139">
        <v>51001020302</v>
      </c>
      <c r="X417" s="140" t="s">
        <v>745</v>
      </c>
    </row>
    <row r="418" spans="1:24" x14ac:dyDescent="0.35">
      <c r="A418" s="34">
        <v>2021</v>
      </c>
      <c r="B418" s="34" t="s">
        <v>147</v>
      </c>
      <c r="C418" s="34" t="s">
        <v>1247</v>
      </c>
      <c r="D418" s="34" t="s">
        <v>148</v>
      </c>
      <c r="E418" s="34" t="s">
        <v>862</v>
      </c>
      <c r="F418" s="34" t="s">
        <v>108</v>
      </c>
      <c r="G418" s="34"/>
      <c r="H418" s="34">
        <v>38.101582000000001</v>
      </c>
      <c r="I418" s="34">
        <v>-83.919770999999997</v>
      </c>
      <c r="J418" s="34"/>
      <c r="K418" s="105">
        <v>110039705361</v>
      </c>
      <c r="L418" s="34">
        <v>4952</v>
      </c>
      <c r="M418" s="48" t="str">
        <f>VLOOKUP(L418, '2017 SIC to NAICS'!A:D, 2)</f>
        <v>Sewerage Systems</v>
      </c>
      <c r="N418" s="34">
        <f>VLOOKUP(L418,'2017 SIC to NAICS'!A:D,3)</f>
        <v>221320</v>
      </c>
      <c r="O418" s="34" t="str">
        <f>VLOOKUP(L418,'2017 SIC to NAICS'!A:D,4)</f>
        <v>Sewage Treatment Facilities</v>
      </c>
      <c r="P418" s="36" t="s">
        <v>742</v>
      </c>
      <c r="Q418" s="137" t="s">
        <v>743</v>
      </c>
      <c r="R418" s="45" t="s">
        <v>38</v>
      </c>
      <c r="S418" s="138">
        <f>COUNTIFS('Raw Non-zero DMR Data'!$A:$A, A418, 'Raw Non-zero DMR Data'!$C:$C, U418, 'Raw Non-zero DMR Data'!$V:$V, V418)</f>
        <v>1</v>
      </c>
      <c r="T418" s="34">
        <f>SUMIFS('Raw Non-zero DMR Data'!$X:$X, 'Raw Non-zero DMR Data'!$A:$A, A418, 'Raw Non-zero DMR Data'!$C:$C, U418, 'Raw Non-zero DMR Data'!V:V, V418)</f>
        <v>7.4256968749999999</v>
      </c>
      <c r="U418" s="34" t="s">
        <v>1247</v>
      </c>
      <c r="V418" s="34" t="s">
        <v>1248</v>
      </c>
      <c r="W418" s="139">
        <v>51001020302</v>
      </c>
      <c r="X418" s="140" t="s">
        <v>745</v>
      </c>
    </row>
    <row r="419" spans="1:24" x14ac:dyDescent="0.35">
      <c r="A419" s="34">
        <v>2019</v>
      </c>
      <c r="B419" s="34" t="s">
        <v>175</v>
      </c>
      <c r="C419" s="34" t="s">
        <v>1249</v>
      </c>
      <c r="D419" s="34" t="s">
        <v>176</v>
      </c>
      <c r="E419" s="34" t="s">
        <v>1250</v>
      </c>
      <c r="F419" s="34" t="s">
        <v>108</v>
      </c>
      <c r="G419" s="34"/>
      <c r="H419" s="34">
        <v>38.628056000000001</v>
      </c>
      <c r="I419" s="34">
        <v>-85.109722000000005</v>
      </c>
      <c r="J419" s="34"/>
      <c r="K419" s="105">
        <v>110015632216</v>
      </c>
      <c r="L419" s="34">
        <v>4952</v>
      </c>
      <c r="M419" s="48" t="str">
        <f>VLOOKUP(L419, '2017 SIC to NAICS'!A:D, 2)</f>
        <v>Sewerage Systems</v>
      </c>
      <c r="N419" s="34">
        <f>VLOOKUP(L419,'2017 SIC to NAICS'!A:D,3)</f>
        <v>221320</v>
      </c>
      <c r="O419" s="34" t="str">
        <f>VLOOKUP(L419,'2017 SIC to NAICS'!A:D,4)</f>
        <v>Sewage Treatment Facilities</v>
      </c>
      <c r="P419" s="36" t="s">
        <v>742</v>
      </c>
      <c r="Q419" s="137" t="s">
        <v>743</v>
      </c>
      <c r="R419" s="45" t="s">
        <v>38</v>
      </c>
      <c r="S419" s="138">
        <f>COUNTIFS('Raw Non-zero DMR Data'!$A:$A, A419, 'Raw Non-zero DMR Data'!$C:$C, U419, 'Raw Non-zero DMR Data'!$V:$V, V419)</f>
        <v>1</v>
      </c>
      <c r="T419" s="34">
        <f>SUMIFS('Raw Non-zero DMR Data'!$X:$X, 'Raw Non-zero DMR Data'!$A:$A, A419, 'Raw Non-zero DMR Data'!$C:$C, U419, 'Raw Non-zero DMR Data'!V:V, V419)</f>
        <v>5.8714812500000004</v>
      </c>
      <c r="U419" s="34" t="s">
        <v>1249</v>
      </c>
      <c r="V419" s="34" t="s">
        <v>1251</v>
      </c>
      <c r="W419" s="139">
        <v>51002051510</v>
      </c>
      <c r="X419" s="140" t="s">
        <v>745</v>
      </c>
    </row>
    <row r="420" spans="1:24" x14ac:dyDescent="0.35">
      <c r="A420" s="34">
        <v>2020</v>
      </c>
      <c r="B420" s="34" t="s">
        <v>175</v>
      </c>
      <c r="C420" s="34" t="s">
        <v>1249</v>
      </c>
      <c r="D420" s="34" t="s">
        <v>176</v>
      </c>
      <c r="E420" s="34" t="s">
        <v>1250</v>
      </c>
      <c r="F420" s="34" t="s">
        <v>108</v>
      </c>
      <c r="G420" s="34"/>
      <c r="H420" s="34">
        <v>38.628056000000001</v>
      </c>
      <c r="I420" s="34">
        <v>-85.109722000000005</v>
      </c>
      <c r="J420" s="34"/>
      <c r="K420" s="105">
        <v>110015632216</v>
      </c>
      <c r="L420" s="34">
        <v>4952</v>
      </c>
      <c r="M420" s="48" t="str">
        <f>VLOOKUP(L420, '2017 SIC to NAICS'!A:D, 2)</f>
        <v>Sewerage Systems</v>
      </c>
      <c r="N420" s="34">
        <f>VLOOKUP(L420,'2017 SIC to NAICS'!A:D,3)</f>
        <v>221320</v>
      </c>
      <c r="O420" s="34" t="str">
        <f>VLOOKUP(L420,'2017 SIC to NAICS'!A:D,4)</f>
        <v>Sewage Treatment Facilities</v>
      </c>
      <c r="P420" s="36" t="s">
        <v>742</v>
      </c>
      <c r="Q420" s="137" t="s">
        <v>743</v>
      </c>
      <c r="R420" s="45" t="s">
        <v>38</v>
      </c>
      <c r="S420" s="138">
        <f>COUNTIFS('Raw Non-zero DMR Data'!$A:$A, A420, 'Raw Non-zero DMR Data'!$C:$C, U420, 'Raw Non-zero DMR Data'!$V:$V, V420)</f>
        <v>1</v>
      </c>
      <c r="T420" s="34">
        <f>SUMIFS('Raw Non-zero DMR Data'!$X:$X, 'Raw Non-zero DMR Data'!$A:$A, A420, 'Raw Non-zero DMR Data'!$C:$C, U420, 'Raw Non-zero DMR Data'!V:V, V420)</f>
        <v>3.557426875</v>
      </c>
      <c r="U420" s="34" t="s">
        <v>1249</v>
      </c>
      <c r="V420" s="34" t="s">
        <v>1251</v>
      </c>
      <c r="W420" s="139">
        <v>51002051510</v>
      </c>
      <c r="X420" s="140" t="s">
        <v>745</v>
      </c>
    </row>
    <row r="421" spans="1:24" x14ac:dyDescent="0.35">
      <c r="A421" s="34">
        <v>2023</v>
      </c>
      <c r="B421" s="34" t="s">
        <v>175</v>
      </c>
      <c r="C421" s="34" t="s">
        <v>1249</v>
      </c>
      <c r="D421" s="34" t="s">
        <v>176</v>
      </c>
      <c r="E421" s="34" t="s">
        <v>1250</v>
      </c>
      <c r="F421" s="34" t="s">
        <v>108</v>
      </c>
      <c r="G421" s="34"/>
      <c r="H421" s="34">
        <v>38.628056000000001</v>
      </c>
      <c r="I421" s="34">
        <v>-85.109722000000005</v>
      </c>
      <c r="J421" s="34"/>
      <c r="K421" s="105">
        <v>110015632216</v>
      </c>
      <c r="L421" s="34">
        <v>4952</v>
      </c>
      <c r="M421" s="48" t="str">
        <f>VLOOKUP(L421, '2017 SIC to NAICS'!A:D, 2)</f>
        <v>Sewerage Systems</v>
      </c>
      <c r="N421" s="34">
        <f>VLOOKUP(L421,'2017 SIC to NAICS'!A:D,3)</f>
        <v>221320</v>
      </c>
      <c r="O421" s="34" t="str">
        <f>VLOOKUP(L421,'2017 SIC to NAICS'!A:D,4)</f>
        <v>Sewage Treatment Facilities</v>
      </c>
      <c r="P421" s="36" t="s">
        <v>742</v>
      </c>
      <c r="Q421" s="137" t="s">
        <v>743</v>
      </c>
      <c r="R421" s="45" t="s">
        <v>38</v>
      </c>
      <c r="S421" s="138">
        <f>COUNTIFS('Raw Non-zero DMR Data'!$A:$A, A421, 'Raw Non-zero DMR Data'!$C:$C, U421, 'Raw Non-zero DMR Data'!$V:$V, V421)</f>
        <v>1</v>
      </c>
      <c r="T421" s="34">
        <f>SUMIFS('Raw Non-zero DMR Data'!$X:$X, 'Raw Non-zero DMR Data'!$A:$A, A421, 'Raw Non-zero DMR Data'!$C:$C, U421, 'Raw Non-zero DMR Data'!V:V, V421)</f>
        <v>2.7043351874999999</v>
      </c>
      <c r="U421" s="34" t="s">
        <v>1249</v>
      </c>
      <c r="V421" s="34" t="s">
        <v>1251</v>
      </c>
      <c r="W421" s="141" t="s">
        <v>1252</v>
      </c>
      <c r="X421" s="140" t="s">
        <v>745</v>
      </c>
    </row>
    <row r="422" spans="1:24" x14ac:dyDescent="0.35">
      <c r="A422" s="34">
        <v>2020</v>
      </c>
      <c r="B422" s="34" t="s">
        <v>678</v>
      </c>
      <c r="C422" s="34" t="s">
        <v>1253</v>
      </c>
      <c r="D422" s="34" t="s">
        <v>396</v>
      </c>
      <c r="E422" s="34" t="s">
        <v>1254</v>
      </c>
      <c r="F422" s="34" t="s">
        <v>108</v>
      </c>
      <c r="G422" s="34"/>
      <c r="H422" s="34">
        <v>38.947301000000003</v>
      </c>
      <c r="I422" s="34">
        <v>-84.370062000000004</v>
      </c>
      <c r="J422" s="34"/>
      <c r="K422" s="105">
        <v>110013680837</v>
      </c>
      <c r="L422" s="34">
        <v>4952</v>
      </c>
      <c r="M422" s="48" t="str">
        <f>VLOOKUP(L422, '2017 SIC to NAICS'!A:D, 2)</f>
        <v>Sewerage Systems</v>
      </c>
      <c r="N422" s="34">
        <f>VLOOKUP(L422,'2017 SIC to NAICS'!A:D,3)</f>
        <v>221320</v>
      </c>
      <c r="O422" s="34" t="str">
        <f>VLOOKUP(L422,'2017 SIC to NAICS'!A:D,4)</f>
        <v>Sewage Treatment Facilities</v>
      </c>
      <c r="P422" s="36" t="s">
        <v>742</v>
      </c>
      <c r="Q422" s="137" t="s">
        <v>743</v>
      </c>
      <c r="R422" s="45" t="s">
        <v>38</v>
      </c>
      <c r="S422" s="138">
        <f>COUNTIFS('Raw Non-zero DMR Data'!$A:$A, A422, 'Raw Non-zero DMR Data'!$C:$C, U422, 'Raw Non-zero DMR Data'!$V:$V, V422)</f>
        <v>1</v>
      </c>
      <c r="T422" s="34">
        <f>SUMIFS('Raw Non-zero DMR Data'!$X:$X, 'Raw Non-zero DMR Data'!$A:$A, A422, 'Raw Non-zero DMR Data'!$C:$C, U422, 'Raw Non-zero DMR Data'!V:V, V422)</f>
        <v>7.5293112500000002E-4</v>
      </c>
      <c r="U422" s="34" t="s">
        <v>1253</v>
      </c>
      <c r="V422" s="34" t="s">
        <v>1255</v>
      </c>
      <c r="W422" s="139">
        <v>50902011205</v>
      </c>
      <c r="X422" s="140" t="s">
        <v>745</v>
      </c>
    </row>
    <row r="423" spans="1:24" x14ac:dyDescent="0.35">
      <c r="A423" s="34">
        <v>2019</v>
      </c>
      <c r="B423" s="34" t="s">
        <v>305</v>
      </c>
      <c r="C423" s="34" t="s">
        <v>1256</v>
      </c>
      <c r="D423" s="34" t="s">
        <v>119</v>
      </c>
      <c r="E423" s="34" t="s">
        <v>1219</v>
      </c>
      <c r="F423" s="34" t="s">
        <v>108</v>
      </c>
      <c r="G423" s="34"/>
      <c r="H423" s="34">
        <v>37.852220000000003</v>
      </c>
      <c r="I423" s="34">
        <v>-84.363079999999997</v>
      </c>
      <c r="J423" s="34"/>
      <c r="K423" s="105">
        <v>110016759444</v>
      </c>
      <c r="L423" s="34">
        <v>4952</v>
      </c>
      <c r="M423" s="48" t="str">
        <f>VLOOKUP(L423, '2017 SIC to NAICS'!A:D, 2)</f>
        <v>Sewerage Systems</v>
      </c>
      <c r="N423" s="34">
        <f>VLOOKUP(L423,'2017 SIC to NAICS'!A:D,3)</f>
        <v>221320</v>
      </c>
      <c r="O423" s="34" t="str">
        <f>VLOOKUP(L423,'2017 SIC to NAICS'!A:D,4)</f>
        <v>Sewage Treatment Facilities</v>
      </c>
      <c r="P423" s="36" t="s">
        <v>742</v>
      </c>
      <c r="Q423" s="137" t="s">
        <v>743</v>
      </c>
      <c r="R423" s="45" t="s">
        <v>38</v>
      </c>
      <c r="S423" s="138">
        <f>COUNTIFS('Raw Non-zero DMR Data'!$A:$A, A423, 'Raw Non-zero DMR Data'!$C:$C, U423, 'Raw Non-zero DMR Data'!$V:$V, V423)</f>
        <v>1</v>
      </c>
      <c r="T423" s="34">
        <f>SUMIFS('Raw Non-zero DMR Data'!$X:$X, 'Raw Non-zero DMR Data'!$A:$A, A423, 'Raw Non-zero DMR Data'!$C:$C, U423, 'Raw Non-zero DMR Data'!V:V, V423)</f>
        <v>0.97397512500000005</v>
      </c>
      <c r="U423" s="34" t="s">
        <v>1256</v>
      </c>
      <c r="V423" s="34" t="s">
        <v>1257</v>
      </c>
      <c r="W423" s="139">
        <v>51002050308</v>
      </c>
      <c r="X423" s="140" t="s">
        <v>745</v>
      </c>
    </row>
    <row r="424" spans="1:24" x14ac:dyDescent="0.35">
      <c r="A424" s="34">
        <v>2020</v>
      </c>
      <c r="B424" s="34" t="s">
        <v>305</v>
      </c>
      <c r="C424" s="34" t="s">
        <v>1256</v>
      </c>
      <c r="D424" s="34" t="s">
        <v>119</v>
      </c>
      <c r="E424" s="34" t="s">
        <v>1219</v>
      </c>
      <c r="F424" s="34" t="s">
        <v>108</v>
      </c>
      <c r="G424" s="34"/>
      <c r="H424" s="34">
        <v>37.852220000000003</v>
      </c>
      <c r="I424" s="34">
        <v>-84.363079999999997</v>
      </c>
      <c r="J424" s="34"/>
      <c r="K424" s="105">
        <v>110016759444</v>
      </c>
      <c r="L424" s="34">
        <v>4952</v>
      </c>
      <c r="M424" s="48" t="str">
        <f>VLOOKUP(L424, '2017 SIC to NAICS'!A:D, 2)</f>
        <v>Sewerage Systems</v>
      </c>
      <c r="N424" s="34">
        <f>VLOOKUP(L424,'2017 SIC to NAICS'!A:D,3)</f>
        <v>221320</v>
      </c>
      <c r="O424" s="34" t="str">
        <f>VLOOKUP(L424,'2017 SIC to NAICS'!A:D,4)</f>
        <v>Sewage Treatment Facilities</v>
      </c>
      <c r="P424" s="36" t="s">
        <v>742</v>
      </c>
      <c r="Q424" s="137" t="s">
        <v>743</v>
      </c>
      <c r="R424" s="45" t="s">
        <v>38</v>
      </c>
      <c r="S424" s="138">
        <f>COUNTIFS('Raw Non-zero DMR Data'!$A:$A, A424, 'Raw Non-zero DMR Data'!$C:$C, U424, 'Raw Non-zero DMR Data'!$V:$V, V424)</f>
        <v>1</v>
      </c>
      <c r="T424" s="34">
        <f>SUMIFS('Raw Non-zero DMR Data'!$X:$X, 'Raw Non-zero DMR Data'!$A:$A, A424, 'Raw Non-zero DMR Data'!$C:$C, U424, 'Raw Non-zero DMR Data'!V:V, V424)</f>
        <v>0.28597567499999998</v>
      </c>
      <c r="U424" s="34" t="s">
        <v>1256</v>
      </c>
      <c r="V424" s="34" t="s">
        <v>1257</v>
      </c>
      <c r="W424" s="139">
        <v>51002050308</v>
      </c>
      <c r="X424" s="140" t="s">
        <v>745</v>
      </c>
    </row>
    <row r="425" spans="1:24" x14ac:dyDescent="0.35">
      <c r="A425" s="34">
        <v>2021</v>
      </c>
      <c r="B425" s="34" t="s">
        <v>305</v>
      </c>
      <c r="C425" s="34" t="s">
        <v>1256</v>
      </c>
      <c r="D425" s="34" t="s">
        <v>119</v>
      </c>
      <c r="E425" s="34" t="s">
        <v>1219</v>
      </c>
      <c r="F425" s="34" t="s">
        <v>108</v>
      </c>
      <c r="G425" s="34"/>
      <c r="H425" s="34">
        <v>37.852220000000003</v>
      </c>
      <c r="I425" s="34">
        <v>-84.363079999999997</v>
      </c>
      <c r="J425" s="34"/>
      <c r="K425" s="105">
        <v>110016759444</v>
      </c>
      <c r="L425" s="34">
        <v>4952</v>
      </c>
      <c r="M425" s="48" t="str">
        <f>VLOOKUP(L425, '2017 SIC to NAICS'!A:D, 2)</f>
        <v>Sewerage Systems</v>
      </c>
      <c r="N425" s="34">
        <f>VLOOKUP(L425,'2017 SIC to NAICS'!A:D,3)</f>
        <v>221320</v>
      </c>
      <c r="O425" s="34" t="str">
        <f>VLOOKUP(L425,'2017 SIC to NAICS'!A:D,4)</f>
        <v>Sewage Treatment Facilities</v>
      </c>
      <c r="P425" s="36" t="s">
        <v>742</v>
      </c>
      <c r="Q425" s="137" t="s">
        <v>743</v>
      </c>
      <c r="R425" s="45" t="s">
        <v>38</v>
      </c>
      <c r="S425" s="138">
        <f>COUNTIFS('Raw Non-zero DMR Data'!$A:$A, A425, 'Raw Non-zero DMR Data'!$C:$C, U425, 'Raw Non-zero DMR Data'!$V:$V, V425)</f>
        <v>1</v>
      </c>
      <c r="T425" s="34">
        <f>SUMIFS('Raw Non-zero DMR Data'!$X:$X, 'Raw Non-zero DMR Data'!$A:$A, A425, 'Raw Non-zero DMR Data'!$C:$C, U425, 'Raw Non-zero DMR Data'!V:V, V425)</f>
        <v>0.69352555000000005</v>
      </c>
      <c r="U425" s="34" t="s">
        <v>1256</v>
      </c>
      <c r="V425" s="34" t="s">
        <v>1257</v>
      </c>
      <c r="W425" s="139">
        <v>51002050308</v>
      </c>
      <c r="X425" s="140" t="s">
        <v>745</v>
      </c>
    </row>
    <row r="426" spans="1:24" x14ac:dyDescent="0.35">
      <c r="A426" s="34">
        <v>2021</v>
      </c>
      <c r="B426" s="34" t="s">
        <v>228</v>
      </c>
      <c r="C426" s="34" t="s">
        <v>1258</v>
      </c>
      <c r="D426" s="34" t="s">
        <v>229</v>
      </c>
      <c r="E426" s="34" t="s">
        <v>1259</v>
      </c>
      <c r="F426" s="34" t="s">
        <v>108</v>
      </c>
      <c r="G426" s="34"/>
      <c r="H426" s="34">
        <v>38.395000000000003</v>
      </c>
      <c r="I426" s="34">
        <v>-84.302222</v>
      </c>
      <c r="J426" s="34"/>
      <c r="K426" s="105">
        <v>110020737540</v>
      </c>
      <c r="L426" s="34">
        <v>4952</v>
      </c>
      <c r="M426" s="48" t="str">
        <f>VLOOKUP(L426, '2017 SIC to NAICS'!A:D, 2)</f>
        <v>Sewerage Systems</v>
      </c>
      <c r="N426" s="34">
        <f>VLOOKUP(L426,'2017 SIC to NAICS'!A:D,3)</f>
        <v>221320</v>
      </c>
      <c r="O426" s="34" t="str">
        <f>VLOOKUP(L426,'2017 SIC to NAICS'!A:D,4)</f>
        <v>Sewage Treatment Facilities</v>
      </c>
      <c r="P426" s="36" t="s">
        <v>742</v>
      </c>
      <c r="Q426" s="137" t="s">
        <v>743</v>
      </c>
      <c r="R426" s="45" t="s">
        <v>38</v>
      </c>
      <c r="S426" s="138">
        <f>COUNTIFS('Raw Non-zero DMR Data'!$A:$A, A426, 'Raw Non-zero DMR Data'!$C:$C, U426, 'Raw Non-zero DMR Data'!$V:$V, V426)</f>
        <v>1</v>
      </c>
      <c r="T426" s="34">
        <f>SUMIFS('Raw Non-zero DMR Data'!$X:$X, 'Raw Non-zero DMR Data'!$A:$A, A426, 'Raw Non-zero DMR Data'!$C:$C, U426, 'Raw Non-zero DMR Data'!V:V, V426)</f>
        <v>2.9222707562500001</v>
      </c>
      <c r="U426" s="34" t="s">
        <v>1258</v>
      </c>
      <c r="V426" s="34" t="s">
        <v>1260</v>
      </c>
      <c r="W426" s="139">
        <v>51001020403</v>
      </c>
      <c r="X426" s="140" t="s">
        <v>745</v>
      </c>
    </row>
    <row r="427" spans="1:24" x14ac:dyDescent="0.35">
      <c r="A427" s="34">
        <v>2022</v>
      </c>
      <c r="B427" s="34" t="s">
        <v>228</v>
      </c>
      <c r="C427" s="34" t="s">
        <v>1258</v>
      </c>
      <c r="D427" s="34" t="s">
        <v>229</v>
      </c>
      <c r="E427" s="34" t="s">
        <v>1259</v>
      </c>
      <c r="F427" s="34" t="s">
        <v>108</v>
      </c>
      <c r="G427" s="34"/>
      <c r="H427" s="34">
        <v>38.395000000000003</v>
      </c>
      <c r="I427" s="34">
        <v>-84.302222</v>
      </c>
      <c r="J427" s="34"/>
      <c r="K427" s="105">
        <v>110020737540</v>
      </c>
      <c r="L427" s="34">
        <v>4952</v>
      </c>
      <c r="M427" s="48" t="str">
        <f>VLOOKUP(L427, '2017 SIC to NAICS'!A:D, 2)</f>
        <v>Sewerage Systems</v>
      </c>
      <c r="N427" s="34">
        <f>VLOOKUP(L427,'2017 SIC to NAICS'!A:D,3)</f>
        <v>221320</v>
      </c>
      <c r="O427" s="34" t="str">
        <f>VLOOKUP(L427,'2017 SIC to NAICS'!A:D,4)</f>
        <v>Sewage Treatment Facilities</v>
      </c>
      <c r="P427" s="36" t="s">
        <v>742</v>
      </c>
      <c r="Q427" s="137" t="s">
        <v>743</v>
      </c>
      <c r="R427" s="45" t="s">
        <v>38</v>
      </c>
      <c r="S427" s="138">
        <f>COUNTIFS('Raw Non-zero DMR Data'!$A:$A, A427, 'Raw Non-zero DMR Data'!$C:$C, U427, 'Raw Non-zero DMR Data'!$V:$V, V427)</f>
        <v>1</v>
      </c>
      <c r="T427" s="34">
        <f>SUMIFS('Raw Non-zero DMR Data'!$X:$X, 'Raw Non-zero DMR Data'!$A:$A, A427, 'Raw Non-zero DMR Data'!$C:$C, U427, 'Raw Non-zero DMR Data'!V:V, V427)</f>
        <v>2.7457809375000002</v>
      </c>
      <c r="U427" s="34" t="s">
        <v>1258</v>
      </c>
      <c r="V427" s="34" t="s">
        <v>1260</v>
      </c>
      <c r="W427" s="141" t="s">
        <v>1261</v>
      </c>
      <c r="X427" s="140" t="s">
        <v>745</v>
      </c>
    </row>
    <row r="428" spans="1:24" x14ac:dyDescent="0.35">
      <c r="A428" s="34">
        <v>2023</v>
      </c>
      <c r="B428" s="34" t="s">
        <v>228</v>
      </c>
      <c r="C428" s="34" t="s">
        <v>1258</v>
      </c>
      <c r="D428" s="34" t="s">
        <v>229</v>
      </c>
      <c r="E428" s="34" t="s">
        <v>1259</v>
      </c>
      <c r="F428" s="34" t="s">
        <v>108</v>
      </c>
      <c r="G428" s="34"/>
      <c r="H428" s="34">
        <v>38.395000000000003</v>
      </c>
      <c r="I428" s="34">
        <v>-84.302222</v>
      </c>
      <c r="J428" s="34"/>
      <c r="K428" s="105">
        <v>110020737540</v>
      </c>
      <c r="L428" s="34">
        <v>4952</v>
      </c>
      <c r="M428" s="48" t="str">
        <f>VLOOKUP(L428, '2017 SIC to NAICS'!A:D, 2)</f>
        <v>Sewerage Systems</v>
      </c>
      <c r="N428" s="34">
        <f>VLOOKUP(L428,'2017 SIC to NAICS'!A:D,3)</f>
        <v>221320</v>
      </c>
      <c r="O428" s="34" t="str">
        <f>VLOOKUP(L428,'2017 SIC to NAICS'!A:D,4)</f>
        <v>Sewage Treatment Facilities</v>
      </c>
      <c r="P428" s="36" t="s">
        <v>742</v>
      </c>
      <c r="Q428" s="137" t="s">
        <v>743</v>
      </c>
      <c r="R428" s="45" t="s">
        <v>38</v>
      </c>
      <c r="S428" s="138">
        <f>COUNTIFS('Raw Non-zero DMR Data'!$A:$A, A428, 'Raw Non-zero DMR Data'!$C:$C, U428, 'Raw Non-zero DMR Data'!$V:$V, V428)</f>
        <v>1</v>
      </c>
      <c r="T428" s="34">
        <f>SUMIFS('Raw Non-zero DMR Data'!$X:$X, 'Raw Non-zero DMR Data'!$A:$A, A428, 'Raw Non-zero DMR Data'!$C:$C, U428, 'Raw Non-zero DMR Data'!V:V, V428)</f>
        <v>2.9322868125000001</v>
      </c>
      <c r="U428" s="34" t="s">
        <v>1258</v>
      </c>
      <c r="V428" s="34" t="s">
        <v>1260</v>
      </c>
      <c r="W428" s="141" t="s">
        <v>1261</v>
      </c>
      <c r="X428" s="140" t="s">
        <v>745</v>
      </c>
    </row>
    <row r="429" spans="1:24" x14ac:dyDescent="0.35">
      <c r="A429" s="34">
        <v>2020</v>
      </c>
      <c r="B429" s="34" t="s">
        <v>235</v>
      </c>
      <c r="C429" s="34" t="s">
        <v>1262</v>
      </c>
      <c r="D429" s="34" t="s">
        <v>236</v>
      </c>
      <c r="E429" s="34" t="s">
        <v>1190</v>
      </c>
      <c r="F429" s="34" t="s">
        <v>108</v>
      </c>
      <c r="G429" s="34"/>
      <c r="H429" s="34">
        <v>38.417499999999997</v>
      </c>
      <c r="I429" s="34">
        <v>-85.611109999999996</v>
      </c>
      <c r="J429" s="34"/>
      <c r="K429" s="105">
        <v>110022905588</v>
      </c>
      <c r="L429" s="34">
        <v>4952</v>
      </c>
      <c r="M429" s="48" t="str">
        <f>VLOOKUP(L429, '2017 SIC to NAICS'!A:D, 2)</f>
        <v>Sewerage Systems</v>
      </c>
      <c r="N429" s="34">
        <f>VLOOKUP(L429,'2017 SIC to NAICS'!A:D,3)</f>
        <v>221320</v>
      </c>
      <c r="O429" s="34" t="str">
        <f>VLOOKUP(L429,'2017 SIC to NAICS'!A:D,4)</f>
        <v>Sewage Treatment Facilities</v>
      </c>
      <c r="P429" s="36" t="s">
        <v>742</v>
      </c>
      <c r="Q429" s="137" t="s">
        <v>743</v>
      </c>
      <c r="R429" s="45" t="s">
        <v>38</v>
      </c>
      <c r="S429" s="138">
        <f>COUNTIFS('Raw Non-zero DMR Data'!$A:$A, A429, 'Raw Non-zero DMR Data'!$C:$C, U429, 'Raw Non-zero DMR Data'!$V:$V, V429)</f>
        <v>1</v>
      </c>
      <c r="T429" s="34">
        <f>SUMIFS('Raw Non-zero DMR Data'!$X:$X, 'Raw Non-zero DMR Data'!$A:$A, A429, 'Raw Non-zero DMR Data'!$C:$C, U429, 'Raw Non-zero DMR Data'!V:V, V429)</f>
        <v>2.1310023125000002</v>
      </c>
      <c r="U429" s="34" t="s">
        <v>1262</v>
      </c>
      <c r="V429" s="34" t="s">
        <v>1263</v>
      </c>
      <c r="W429" s="139">
        <v>51401010604</v>
      </c>
      <c r="X429" s="140" t="s">
        <v>745</v>
      </c>
    </row>
    <row r="430" spans="1:24" x14ac:dyDescent="0.35">
      <c r="A430" s="34">
        <v>2021</v>
      </c>
      <c r="B430" s="34" t="s">
        <v>235</v>
      </c>
      <c r="C430" s="34" t="s">
        <v>1262</v>
      </c>
      <c r="D430" s="34" t="s">
        <v>236</v>
      </c>
      <c r="E430" s="34" t="s">
        <v>1190</v>
      </c>
      <c r="F430" s="34" t="s">
        <v>108</v>
      </c>
      <c r="G430" s="34"/>
      <c r="H430" s="34">
        <v>38.417499999999997</v>
      </c>
      <c r="I430" s="34">
        <v>-85.611109999999996</v>
      </c>
      <c r="J430" s="34"/>
      <c r="K430" s="105">
        <v>110022905588</v>
      </c>
      <c r="L430" s="34">
        <v>4952</v>
      </c>
      <c r="M430" s="48" t="str">
        <f>VLOOKUP(L430, '2017 SIC to NAICS'!A:D, 2)</f>
        <v>Sewerage Systems</v>
      </c>
      <c r="N430" s="34">
        <f>VLOOKUP(L430,'2017 SIC to NAICS'!A:D,3)</f>
        <v>221320</v>
      </c>
      <c r="O430" s="34" t="str">
        <f>VLOOKUP(L430,'2017 SIC to NAICS'!A:D,4)</f>
        <v>Sewage Treatment Facilities</v>
      </c>
      <c r="P430" s="36" t="s">
        <v>742</v>
      </c>
      <c r="Q430" s="137" t="s">
        <v>743</v>
      </c>
      <c r="R430" s="45" t="s">
        <v>38</v>
      </c>
      <c r="S430" s="138">
        <f>COUNTIFS('Raw Non-zero DMR Data'!$A:$A, A430, 'Raw Non-zero DMR Data'!$C:$C, U430, 'Raw Non-zero DMR Data'!$V:$V, V430)</f>
        <v>1</v>
      </c>
      <c r="T430" s="34">
        <f>SUMIFS('Raw Non-zero DMR Data'!$X:$X, 'Raw Non-zero DMR Data'!$A:$A, A430, 'Raw Non-zero DMR Data'!$C:$C, U430, 'Raw Non-zero DMR Data'!V:V, V430)</f>
        <v>1.982488375</v>
      </c>
      <c r="U430" s="34" t="s">
        <v>1262</v>
      </c>
      <c r="V430" s="34" t="s">
        <v>1263</v>
      </c>
      <c r="W430" s="139">
        <v>51401010604</v>
      </c>
      <c r="X430" s="140" t="s">
        <v>745</v>
      </c>
    </row>
    <row r="431" spans="1:24" x14ac:dyDescent="0.35">
      <c r="A431" s="34">
        <v>2022</v>
      </c>
      <c r="B431" s="34" t="s">
        <v>235</v>
      </c>
      <c r="C431" s="34" t="s">
        <v>1262</v>
      </c>
      <c r="D431" s="34" t="s">
        <v>236</v>
      </c>
      <c r="E431" s="34" t="s">
        <v>1190</v>
      </c>
      <c r="F431" s="34" t="s">
        <v>108</v>
      </c>
      <c r="G431" s="34"/>
      <c r="H431" s="34">
        <v>38.417499999999997</v>
      </c>
      <c r="I431" s="34">
        <v>-85.611109999999996</v>
      </c>
      <c r="J431" s="34"/>
      <c r="K431" s="105">
        <v>110022905588</v>
      </c>
      <c r="L431" s="34">
        <v>4952</v>
      </c>
      <c r="M431" s="48" t="str">
        <f>VLOOKUP(L431, '2017 SIC to NAICS'!A:D, 2)</f>
        <v>Sewerage Systems</v>
      </c>
      <c r="N431" s="34">
        <f>VLOOKUP(L431,'2017 SIC to NAICS'!A:D,3)</f>
        <v>221320</v>
      </c>
      <c r="O431" s="34" t="str">
        <f>VLOOKUP(L431,'2017 SIC to NAICS'!A:D,4)</f>
        <v>Sewage Treatment Facilities</v>
      </c>
      <c r="P431" s="36" t="s">
        <v>742</v>
      </c>
      <c r="Q431" s="137" t="s">
        <v>743</v>
      </c>
      <c r="R431" s="45" t="s">
        <v>38</v>
      </c>
      <c r="S431" s="138">
        <f>COUNTIFS('Raw Non-zero DMR Data'!$A:$A, A431, 'Raw Non-zero DMR Data'!$C:$C, U431, 'Raw Non-zero DMR Data'!$V:$V, V431)</f>
        <v>1</v>
      </c>
      <c r="T431" s="34">
        <f>SUMIFS('Raw Non-zero DMR Data'!$X:$X, 'Raw Non-zero DMR Data'!$A:$A, A431, 'Raw Non-zero DMR Data'!$C:$C, U431, 'Raw Non-zero DMR Data'!V:V, V431)</f>
        <v>2.756142375</v>
      </c>
      <c r="U431" s="34" t="s">
        <v>1262</v>
      </c>
      <c r="V431" s="34" t="s">
        <v>1263</v>
      </c>
      <c r="W431" s="141" t="s">
        <v>1264</v>
      </c>
      <c r="X431" s="140" t="s">
        <v>745</v>
      </c>
    </row>
    <row r="432" spans="1:24" x14ac:dyDescent="0.35">
      <c r="A432" s="34">
        <v>2023</v>
      </c>
      <c r="B432" s="34" t="s">
        <v>279</v>
      </c>
      <c r="C432" s="34" t="s">
        <v>1265</v>
      </c>
      <c r="D432" s="34" t="s">
        <v>280</v>
      </c>
      <c r="E432" s="34" t="s">
        <v>1266</v>
      </c>
      <c r="F432" s="34" t="s">
        <v>108</v>
      </c>
      <c r="G432" s="34"/>
      <c r="H432" s="34">
        <v>38.691943999999999</v>
      </c>
      <c r="I432" s="34">
        <v>-84.325000000000003</v>
      </c>
      <c r="J432" s="34"/>
      <c r="K432" s="105">
        <v>110023140420</v>
      </c>
      <c r="L432" s="34">
        <v>4952</v>
      </c>
      <c r="M432" s="48" t="str">
        <f>VLOOKUP(L432, '2017 SIC to NAICS'!A:D, 2)</f>
        <v>Sewerage Systems</v>
      </c>
      <c r="N432" s="34">
        <f>VLOOKUP(L432,'2017 SIC to NAICS'!A:D,3)</f>
        <v>221320</v>
      </c>
      <c r="O432" s="34" t="str">
        <f>VLOOKUP(L432,'2017 SIC to NAICS'!A:D,4)</f>
        <v>Sewage Treatment Facilities</v>
      </c>
      <c r="P432" s="36" t="s">
        <v>742</v>
      </c>
      <c r="Q432" s="137" t="s">
        <v>743</v>
      </c>
      <c r="R432" s="45" t="s">
        <v>38</v>
      </c>
      <c r="S432" s="138">
        <f>COUNTIFS('Raw Non-zero DMR Data'!$A:$A, A432, 'Raw Non-zero DMR Data'!$C:$C, U432, 'Raw Non-zero DMR Data'!$V:$V, V432)</f>
        <v>1</v>
      </c>
      <c r="T432" s="34">
        <f>SUMIFS('Raw Non-zero DMR Data'!$X:$X, 'Raw Non-zero DMR Data'!$A:$A, A432, 'Raw Non-zero DMR Data'!$C:$C, U432, 'Raw Non-zero DMR Data'!V:V, V432)</f>
        <v>1.4194029616874999</v>
      </c>
      <c r="U432" s="34" t="s">
        <v>1265</v>
      </c>
      <c r="V432" s="34" t="s">
        <v>1267</v>
      </c>
      <c r="W432" s="141" t="s">
        <v>1268</v>
      </c>
      <c r="X432" s="140" t="s">
        <v>745</v>
      </c>
    </row>
    <row r="433" spans="1:24" x14ac:dyDescent="0.35">
      <c r="A433" s="34">
        <v>2020</v>
      </c>
      <c r="B433" s="34" t="s">
        <v>473</v>
      </c>
      <c r="C433" s="34" t="s">
        <v>1269</v>
      </c>
      <c r="D433" s="34" t="s">
        <v>474</v>
      </c>
      <c r="E433" s="34" t="s">
        <v>1270</v>
      </c>
      <c r="F433" s="34" t="s">
        <v>108</v>
      </c>
      <c r="G433" s="34"/>
      <c r="H433" s="34">
        <v>38.127222000000003</v>
      </c>
      <c r="I433" s="34">
        <v>-83.769443999999993</v>
      </c>
      <c r="J433" s="34"/>
      <c r="K433" s="105">
        <v>110030443544</v>
      </c>
      <c r="L433" s="34">
        <v>4952</v>
      </c>
      <c r="M433" s="48" t="str">
        <f>VLOOKUP(L433, '2017 SIC to NAICS'!A:D, 2)</f>
        <v>Sewerage Systems</v>
      </c>
      <c r="N433" s="34">
        <f>VLOOKUP(L433,'2017 SIC to NAICS'!A:D,3)</f>
        <v>221320</v>
      </c>
      <c r="O433" s="34" t="str">
        <f>VLOOKUP(L433,'2017 SIC to NAICS'!A:D,4)</f>
        <v>Sewage Treatment Facilities</v>
      </c>
      <c r="P433" s="36" t="s">
        <v>742</v>
      </c>
      <c r="Q433" s="137" t="s">
        <v>743</v>
      </c>
      <c r="R433" s="45" t="s">
        <v>38</v>
      </c>
      <c r="S433" s="138">
        <f>COUNTIFS('Raw Non-zero DMR Data'!$A:$A, A433, 'Raw Non-zero DMR Data'!$C:$C, U433, 'Raw Non-zero DMR Data'!$V:$V, V433)</f>
        <v>1</v>
      </c>
      <c r="T433" s="34">
        <f>SUMIFS('Raw Non-zero DMR Data'!$X:$X, 'Raw Non-zero DMR Data'!$A:$A, A433, 'Raw Non-zero DMR Data'!$C:$C, U433, 'Raw Non-zero DMR Data'!V:V, V433)</f>
        <v>8.6345312499999993E-2</v>
      </c>
      <c r="U433" s="34" t="s">
        <v>1269</v>
      </c>
      <c r="V433" s="34" t="s">
        <v>1271</v>
      </c>
      <c r="W433" s="139">
        <v>51001010704</v>
      </c>
      <c r="X433" s="140" t="s">
        <v>745</v>
      </c>
    </row>
    <row r="434" spans="1:24" x14ac:dyDescent="0.35">
      <c r="A434" s="34">
        <v>2022</v>
      </c>
      <c r="B434" s="34" t="s">
        <v>118</v>
      </c>
      <c r="C434" s="34" t="s">
        <v>1272</v>
      </c>
      <c r="D434" s="34" t="s">
        <v>119</v>
      </c>
      <c r="E434" s="34" t="s">
        <v>1219</v>
      </c>
      <c r="F434" s="34" t="s">
        <v>108</v>
      </c>
      <c r="G434" s="34"/>
      <c r="H434" s="34">
        <v>37.801943999999999</v>
      </c>
      <c r="I434" s="34">
        <v>-84.261111</v>
      </c>
      <c r="J434" s="34"/>
      <c r="K434" s="105">
        <v>110031112659</v>
      </c>
      <c r="L434" s="34">
        <v>4952</v>
      </c>
      <c r="M434" s="48" t="str">
        <f>VLOOKUP(L434, '2017 SIC to NAICS'!A:D, 2)</f>
        <v>Sewerage Systems</v>
      </c>
      <c r="N434" s="34">
        <f>VLOOKUP(L434,'2017 SIC to NAICS'!A:D,3)</f>
        <v>221320</v>
      </c>
      <c r="O434" s="34" t="str">
        <f>VLOOKUP(L434,'2017 SIC to NAICS'!A:D,4)</f>
        <v>Sewage Treatment Facilities</v>
      </c>
      <c r="P434" s="36" t="s">
        <v>742</v>
      </c>
      <c r="Q434" s="137" t="s">
        <v>743</v>
      </c>
      <c r="R434" s="45" t="s">
        <v>38</v>
      </c>
      <c r="S434" s="138">
        <f>COUNTIFS('Raw Non-zero DMR Data'!$A:$A, A434, 'Raw Non-zero DMR Data'!$C:$C, U434, 'Raw Non-zero DMR Data'!$V:$V, V434)</f>
        <v>1</v>
      </c>
      <c r="T434" s="34">
        <f>SUMIFS('Raw Non-zero DMR Data'!$X:$X, 'Raw Non-zero DMR Data'!$A:$A, A434, 'Raw Non-zero DMR Data'!$C:$C, U434, 'Raw Non-zero DMR Data'!V:V, V434)</f>
        <v>34.448325875000002</v>
      </c>
      <c r="U434" s="34" t="s">
        <v>1272</v>
      </c>
      <c r="V434" s="34" t="s">
        <v>1273</v>
      </c>
      <c r="W434" s="141" t="s">
        <v>1274</v>
      </c>
      <c r="X434" s="140" t="s">
        <v>745</v>
      </c>
    </row>
    <row r="435" spans="1:24" x14ac:dyDescent="0.35">
      <c r="A435" s="34">
        <v>2023</v>
      </c>
      <c r="B435" s="34" t="s">
        <v>118</v>
      </c>
      <c r="C435" s="34" t="s">
        <v>1272</v>
      </c>
      <c r="D435" s="34" t="s">
        <v>119</v>
      </c>
      <c r="E435" s="34" t="s">
        <v>1219</v>
      </c>
      <c r="F435" s="34" t="s">
        <v>108</v>
      </c>
      <c r="G435" s="34"/>
      <c r="H435" s="34">
        <v>37.801943999999999</v>
      </c>
      <c r="I435" s="34">
        <v>-84.261111</v>
      </c>
      <c r="J435" s="34"/>
      <c r="K435" s="105">
        <v>110031112659</v>
      </c>
      <c r="L435" s="34">
        <v>4952</v>
      </c>
      <c r="M435" s="48" t="str">
        <f>VLOOKUP(L435, '2017 SIC to NAICS'!A:D, 2)</f>
        <v>Sewerage Systems</v>
      </c>
      <c r="N435" s="34">
        <f>VLOOKUP(L435,'2017 SIC to NAICS'!A:D,3)</f>
        <v>221320</v>
      </c>
      <c r="O435" s="34" t="str">
        <f>VLOOKUP(L435,'2017 SIC to NAICS'!A:D,4)</f>
        <v>Sewage Treatment Facilities</v>
      </c>
      <c r="P435" s="36" t="s">
        <v>742</v>
      </c>
      <c r="Q435" s="137" t="s">
        <v>743</v>
      </c>
      <c r="R435" s="45" t="s">
        <v>38</v>
      </c>
      <c r="S435" s="138">
        <f>COUNTIFS('Raw Non-zero DMR Data'!$A:$A, A435, 'Raw Non-zero DMR Data'!$C:$C, U435, 'Raw Non-zero DMR Data'!$V:$V, V435)</f>
        <v>1</v>
      </c>
      <c r="T435" s="34">
        <f>SUMIFS('Raw Non-zero DMR Data'!$X:$X, 'Raw Non-zero DMR Data'!$A:$A, A435, 'Raw Non-zero DMR Data'!$C:$C, U435, 'Raw Non-zero DMR Data'!V:V, V435)</f>
        <v>27.865359250000001</v>
      </c>
      <c r="U435" s="34" t="s">
        <v>1272</v>
      </c>
      <c r="V435" s="34" t="s">
        <v>1273</v>
      </c>
      <c r="W435" s="141" t="s">
        <v>1274</v>
      </c>
      <c r="X435" s="140" t="s">
        <v>745</v>
      </c>
    </row>
    <row r="436" spans="1:24" x14ac:dyDescent="0.35">
      <c r="A436" s="34">
        <v>2020</v>
      </c>
      <c r="B436" s="34" t="s">
        <v>635</v>
      </c>
      <c r="C436" s="34" t="s">
        <v>1275</v>
      </c>
      <c r="D436" s="34" t="s">
        <v>636</v>
      </c>
      <c r="E436" s="34" t="s">
        <v>1276</v>
      </c>
      <c r="F436" s="34" t="s">
        <v>108</v>
      </c>
      <c r="G436" s="34"/>
      <c r="H436" s="34">
        <v>39.00703</v>
      </c>
      <c r="I436" s="34">
        <v>-84.841210000000004</v>
      </c>
      <c r="J436" s="34"/>
      <c r="K436" s="105">
        <v>110055043705</v>
      </c>
      <c r="L436" s="34">
        <v>4952</v>
      </c>
      <c r="M436" s="48" t="str">
        <f>VLOOKUP(L436, '2017 SIC to NAICS'!A:D, 2)</f>
        <v>Sewerage Systems</v>
      </c>
      <c r="N436" s="34">
        <f>VLOOKUP(L436,'2017 SIC to NAICS'!A:D,3)</f>
        <v>221320</v>
      </c>
      <c r="O436" s="34" t="str">
        <f>VLOOKUP(L436,'2017 SIC to NAICS'!A:D,4)</f>
        <v>Sewage Treatment Facilities</v>
      </c>
      <c r="P436" s="36" t="s">
        <v>742</v>
      </c>
      <c r="Q436" s="137" t="s">
        <v>743</v>
      </c>
      <c r="R436" s="45" t="s">
        <v>38</v>
      </c>
      <c r="S436" s="138">
        <f>COUNTIFS('Raw Non-zero DMR Data'!$A:$A, A436, 'Raw Non-zero DMR Data'!$C:$C, U436, 'Raw Non-zero DMR Data'!$V:$V, V436)</f>
        <v>1</v>
      </c>
      <c r="T436" s="34">
        <f>SUMIFS('Raw Non-zero DMR Data'!$X:$X, 'Raw Non-zero DMR Data'!$A:$A, A436, 'Raw Non-zero DMR Data'!$C:$C, U436, 'Raw Non-zero DMR Data'!V:V, V436)</f>
        <v>5.7747744999999996E-3</v>
      </c>
      <c r="U436" s="34" t="s">
        <v>1275</v>
      </c>
      <c r="V436" s="34" t="s">
        <v>1277</v>
      </c>
      <c r="W436" s="139">
        <v>50902030804</v>
      </c>
      <c r="X436" s="140" t="s">
        <v>745</v>
      </c>
    </row>
    <row r="437" spans="1:24" x14ac:dyDescent="0.35">
      <c r="A437" s="34">
        <v>2019</v>
      </c>
      <c r="B437" s="34" t="s">
        <v>162</v>
      </c>
      <c r="C437" s="34" t="s">
        <v>1278</v>
      </c>
      <c r="D437" s="34" t="s">
        <v>163</v>
      </c>
      <c r="E437" s="34" t="s">
        <v>823</v>
      </c>
      <c r="F437" s="34" t="s">
        <v>108</v>
      </c>
      <c r="G437" s="34"/>
      <c r="H437" s="34">
        <v>37.915556000000002</v>
      </c>
      <c r="I437" s="34">
        <v>-84.268332999999998</v>
      </c>
      <c r="J437" s="34"/>
      <c r="K437" s="105">
        <v>110064596361</v>
      </c>
      <c r="L437" s="34">
        <v>4952</v>
      </c>
      <c r="M437" s="48" t="str">
        <f>VLOOKUP(L437, '2017 SIC to NAICS'!A:D, 2)</f>
        <v>Sewerage Systems</v>
      </c>
      <c r="N437" s="34">
        <f>VLOOKUP(L437,'2017 SIC to NAICS'!A:D,3)</f>
        <v>221320</v>
      </c>
      <c r="O437" s="34" t="str">
        <f>VLOOKUP(L437,'2017 SIC to NAICS'!A:D,4)</f>
        <v>Sewage Treatment Facilities</v>
      </c>
      <c r="P437" s="36" t="s">
        <v>742</v>
      </c>
      <c r="Q437" s="137" t="s">
        <v>743</v>
      </c>
      <c r="R437" s="45" t="s">
        <v>38</v>
      </c>
      <c r="S437" s="138">
        <f>COUNTIFS('Raw Non-zero DMR Data'!$A:$A, A437, 'Raw Non-zero DMR Data'!$C:$C, U437, 'Raw Non-zero DMR Data'!$V:$V, V437)</f>
        <v>1</v>
      </c>
      <c r="T437" s="34">
        <f>SUMIFS('Raw Non-zero DMR Data'!$X:$X, 'Raw Non-zero DMR Data'!$A:$A, A437, 'Raw Non-zero DMR Data'!$C:$C, U437, 'Raw Non-zero DMR Data'!V:V, V437)</f>
        <v>6.9836088749999998</v>
      </c>
      <c r="U437" s="34" t="s">
        <v>1278</v>
      </c>
      <c r="V437" s="34" t="s">
        <v>1279</v>
      </c>
      <c r="W437" s="139">
        <v>51002050107</v>
      </c>
      <c r="X437" s="140" t="s">
        <v>745</v>
      </c>
    </row>
    <row r="438" spans="1:24" x14ac:dyDescent="0.35">
      <c r="A438" s="34">
        <v>2020</v>
      </c>
      <c r="B438" s="34" t="s">
        <v>162</v>
      </c>
      <c r="C438" s="34" t="s">
        <v>1278</v>
      </c>
      <c r="D438" s="34" t="s">
        <v>163</v>
      </c>
      <c r="E438" s="34" t="s">
        <v>823</v>
      </c>
      <c r="F438" s="34" t="s">
        <v>108</v>
      </c>
      <c r="G438" s="34"/>
      <c r="H438" s="34">
        <v>37.915556000000002</v>
      </c>
      <c r="I438" s="34">
        <v>-84.268332999999998</v>
      </c>
      <c r="J438" s="34"/>
      <c r="K438" s="105">
        <v>110064596361</v>
      </c>
      <c r="L438" s="34">
        <v>4952</v>
      </c>
      <c r="M438" s="48" t="str">
        <f>VLOOKUP(L438, '2017 SIC to NAICS'!A:D, 2)</f>
        <v>Sewerage Systems</v>
      </c>
      <c r="N438" s="34">
        <f>VLOOKUP(L438,'2017 SIC to NAICS'!A:D,3)</f>
        <v>221320</v>
      </c>
      <c r="O438" s="34" t="str">
        <f>VLOOKUP(L438,'2017 SIC to NAICS'!A:D,4)</f>
        <v>Sewage Treatment Facilities</v>
      </c>
      <c r="P438" s="36" t="s">
        <v>742</v>
      </c>
      <c r="Q438" s="137" t="s">
        <v>743</v>
      </c>
      <c r="R438" s="45" t="s">
        <v>38</v>
      </c>
      <c r="S438" s="138">
        <f>COUNTIFS('Raw Non-zero DMR Data'!$A:$A, A438, 'Raw Non-zero DMR Data'!$C:$C, U438, 'Raw Non-zero DMR Data'!$V:$V, V438)</f>
        <v>1</v>
      </c>
      <c r="T438" s="34">
        <f>SUMIFS('Raw Non-zero DMR Data'!$X:$X, 'Raw Non-zero DMR Data'!$A:$A, A438, 'Raw Non-zero DMR Data'!$C:$C, U438, 'Raw Non-zero DMR Data'!V:V, V438)</f>
        <v>9.3943700000000003</v>
      </c>
      <c r="U438" s="34" t="s">
        <v>1278</v>
      </c>
      <c r="V438" s="34" t="s">
        <v>1279</v>
      </c>
      <c r="W438" s="139">
        <v>51002050107</v>
      </c>
      <c r="X438" s="140" t="s">
        <v>745</v>
      </c>
    </row>
    <row r="439" spans="1:24" x14ac:dyDescent="0.35">
      <c r="A439" s="34">
        <v>2020</v>
      </c>
      <c r="B439" s="34" t="s">
        <v>204</v>
      </c>
      <c r="C439" s="34" t="s">
        <v>1280</v>
      </c>
      <c r="D439" s="34" t="s">
        <v>205</v>
      </c>
      <c r="E439" s="34" t="s">
        <v>1281</v>
      </c>
      <c r="F439" s="34" t="s">
        <v>108</v>
      </c>
      <c r="G439" s="34"/>
      <c r="H439" s="34">
        <v>38.631208000000001</v>
      </c>
      <c r="I439" s="34">
        <v>-84.618809999999996</v>
      </c>
      <c r="J439" s="34"/>
      <c r="K439" s="105">
        <v>110045091379</v>
      </c>
      <c r="L439" s="34">
        <v>4952</v>
      </c>
      <c r="M439" s="48" t="str">
        <f>VLOOKUP(L439, '2017 SIC to NAICS'!A:D, 2)</f>
        <v>Sewerage Systems</v>
      </c>
      <c r="N439" s="34">
        <f>VLOOKUP(L439,'2017 SIC to NAICS'!A:D,3)</f>
        <v>221320</v>
      </c>
      <c r="O439" s="34" t="str">
        <f>VLOOKUP(L439,'2017 SIC to NAICS'!A:D,4)</f>
        <v>Sewage Treatment Facilities</v>
      </c>
      <c r="P439" s="36" t="s">
        <v>742</v>
      </c>
      <c r="Q439" s="137" t="s">
        <v>743</v>
      </c>
      <c r="R439" s="45" t="s">
        <v>38</v>
      </c>
      <c r="S439" s="138">
        <f>COUNTIFS('Raw Non-zero DMR Data'!$A:$A, A439, 'Raw Non-zero DMR Data'!$C:$C, U439, 'Raw Non-zero DMR Data'!$V:$V, V439)</f>
        <v>1</v>
      </c>
      <c r="T439" s="34">
        <f>SUMIFS('Raw Non-zero DMR Data'!$X:$X, 'Raw Non-zero DMR Data'!$A:$A, A439, 'Raw Non-zero DMR Data'!$C:$C, U439, 'Raw Non-zero DMR Data'!V:V, V439)</f>
        <v>4.1445749999999997</v>
      </c>
      <c r="U439" s="34" t="s">
        <v>1280</v>
      </c>
      <c r="V439" s="34" t="s">
        <v>1282</v>
      </c>
      <c r="W439" s="139">
        <v>51002051308</v>
      </c>
      <c r="X439" s="140" t="s">
        <v>745</v>
      </c>
    </row>
    <row r="440" spans="1:24" x14ac:dyDescent="0.35">
      <c r="A440" s="34">
        <v>2021</v>
      </c>
      <c r="B440" s="34" t="s">
        <v>204</v>
      </c>
      <c r="C440" s="34" t="s">
        <v>1280</v>
      </c>
      <c r="D440" s="34" t="s">
        <v>205</v>
      </c>
      <c r="E440" s="34" t="s">
        <v>1281</v>
      </c>
      <c r="F440" s="34" t="s">
        <v>108</v>
      </c>
      <c r="G440" s="34"/>
      <c r="H440" s="34">
        <v>38.631208000000001</v>
      </c>
      <c r="I440" s="34">
        <v>-84.618809999999996</v>
      </c>
      <c r="J440" s="34"/>
      <c r="K440" s="105">
        <v>110045091379</v>
      </c>
      <c r="L440" s="34">
        <v>4952</v>
      </c>
      <c r="M440" s="48" t="str">
        <f>VLOOKUP(L440, '2017 SIC to NAICS'!A:D, 2)</f>
        <v>Sewerage Systems</v>
      </c>
      <c r="N440" s="34">
        <f>VLOOKUP(L440,'2017 SIC to NAICS'!A:D,3)</f>
        <v>221320</v>
      </c>
      <c r="O440" s="34" t="str">
        <f>VLOOKUP(L440,'2017 SIC to NAICS'!A:D,4)</f>
        <v>Sewage Treatment Facilities</v>
      </c>
      <c r="P440" s="36" t="s">
        <v>742</v>
      </c>
      <c r="Q440" s="137" t="s">
        <v>743</v>
      </c>
      <c r="R440" s="45" t="s">
        <v>38</v>
      </c>
      <c r="S440" s="138">
        <f>COUNTIFS('Raw Non-zero DMR Data'!$A:$A, A440, 'Raw Non-zero DMR Data'!$C:$C, U440, 'Raw Non-zero DMR Data'!$V:$V, V440)</f>
        <v>1</v>
      </c>
      <c r="T440" s="34">
        <f>SUMIFS('Raw Non-zero DMR Data'!$X:$X, 'Raw Non-zero DMR Data'!$A:$A, A440, 'Raw Non-zero DMR Data'!$C:$C, U440, 'Raw Non-zero DMR Data'!V:V, V440)</f>
        <v>4.5452172500000003</v>
      </c>
      <c r="U440" s="34" t="s">
        <v>1280</v>
      </c>
      <c r="V440" s="34" t="s">
        <v>1282</v>
      </c>
      <c r="W440" s="139">
        <v>51002051308</v>
      </c>
      <c r="X440" s="140" t="s">
        <v>745</v>
      </c>
    </row>
    <row r="441" spans="1:24" x14ac:dyDescent="0.35">
      <c r="A441" s="34">
        <v>2021</v>
      </c>
      <c r="B441" s="34" t="s">
        <v>289</v>
      </c>
      <c r="C441" s="34" t="s">
        <v>1283</v>
      </c>
      <c r="D441" s="34" t="s">
        <v>290</v>
      </c>
      <c r="E441" s="34" t="s">
        <v>1190</v>
      </c>
      <c r="F441" s="34" t="s">
        <v>108</v>
      </c>
      <c r="G441" s="34"/>
      <c r="H441" s="34">
        <v>38.32978</v>
      </c>
      <c r="I441" s="34">
        <v>-85.540719999999993</v>
      </c>
      <c r="J441" s="34"/>
      <c r="K441" s="105">
        <v>110064615590</v>
      </c>
      <c r="L441" s="34">
        <v>4952</v>
      </c>
      <c r="M441" s="48" t="str">
        <f>VLOOKUP(L441, '2017 SIC to NAICS'!A:D, 2)</f>
        <v>Sewerage Systems</v>
      </c>
      <c r="N441" s="34">
        <f>VLOOKUP(L441,'2017 SIC to NAICS'!A:D,3)</f>
        <v>221320</v>
      </c>
      <c r="O441" s="34" t="str">
        <f>VLOOKUP(L441,'2017 SIC to NAICS'!A:D,4)</f>
        <v>Sewage Treatment Facilities</v>
      </c>
      <c r="P441" s="36" t="s">
        <v>742</v>
      </c>
      <c r="Q441" s="137" t="s">
        <v>743</v>
      </c>
      <c r="R441" s="45" t="s">
        <v>38</v>
      </c>
      <c r="S441" s="138">
        <f>COUNTIFS('Raw Non-zero DMR Data'!$A:$A, A441, 'Raw Non-zero DMR Data'!$C:$C, U441, 'Raw Non-zero DMR Data'!$V:$V, V441)</f>
        <v>1</v>
      </c>
      <c r="T441" s="34">
        <f>SUMIFS('Raw Non-zero DMR Data'!$X:$X, 'Raw Non-zero DMR Data'!$A:$A, A441, 'Raw Non-zero DMR Data'!$C:$C, U441, 'Raw Non-zero DMR Data'!V:V, V441)</f>
        <v>1.1846576874999999</v>
      </c>
      <c r="U441" s="34" t="s">
        <v>1283</v>
      </c>
      <c r="V441" s="34" t="s">
        <v>1129</v>
      </c>
      <c r="W441" s="139">
        <v>51401010504</v>
      </c>
      <c r="X441" s="140" t="s">
        <v>745</v>
      </c>
    </row>
    <row r="442" spans="1:24" x14ac:dyDescent="0.35">
      <c r="A442" s="34">
        <v>2022</v>
      </c>
      <c r="B442" s="34" t="s">
        <v>289</v>
      </c>
      <c r="C442" s="34" t="s">
        <v>1283</v>
      </c>
      <c r="D442" s="34" t="s">
        <v>290</v>
      </c>
      <c r="E442" s="34" t="s">
        <v>1190</v>
      </c>
      <c r="F442" s="34" t="s">
        <v>108</v>
      </c>
      <c r="G442" s="34"/>
      <c r="H442" s="34">
        <v>38.32978</v>
      </c>
      <c r="I442" s="34">
        <v>-85.540719999999993</v>
      </c>
      <c r="J442" s="34"/>
      <c r="K442" s="105">
        <v>110064615590</v>
      </c>
      <c r="L442" s="34">
        <v>4952</v>
      </c>
      <c r="M442" s="48" t="str">
        <f>VLOOKUP(L442, '2017 SIC to NAICS'!A:D, 2)</f>
        <v>Sewerage Systems</v>
      </c>
      <c r="N442" s="34">
        <f>VLOOKUP(L442,'2017 SIC to NAICS'!A:D,3)</f>
        <v>221320</v>
      </c>
      <c r="O442" s="34" t="str">
        <f>VLOOKUP(L442,'2017 SIC to NAICS'!A:D,4)</f>
        <v>Sewage Treatment Facilities</v>
      </c>
      <c r="P442" s="36" t="s">
        <v>742</v>
      </c>
      <c r="Q442" s="137" t="s">
        <v>743</v>
      </c>
      <c r="R442" s="45" t="s">
        <v>38</v>
      </c>
      <c r="S442" s="138">
        <f>COUNTIFS('Raw Non-zero DMR Data'!$A:$A, A442, 'Raw Non-zero DMR Data'!$C:$C, U442, 'Raw Non-zero DMR Data'!$V:$V, V442)</f>
        <v>1</v>
      </c>
      <c r="T442" s="34">
        <f>SUMIFS('Raw Non-zero DMR Data'!$X:$X, 'Raw Non-zero DMR Data'!$A:$A, A442, 'Raw Non-zero DMR Data'!$C:$C, U442, 'Raw Non-zero DMR Data'!V:V, V442)</f>
        <v>0.97397512500000005</v>
      </c>
      <c r="U442" s="34" t="s">
        <v>1283</v>
      </c>
      <c r="V442" s="34" t="s">
        <v>1129</v>
      </c>
      <c r="W442" s="141" t="s">
        <v>1130</v>
      </c>
      <c r="X442" s="140" t="s">
        <v>745</v>
      </c>
    </row>
    <row r="443" spans="1:24" x14ac:dyDescent="0.35">
      <c r="A443" s="34">
        <v>2023</v>
      </c>
      <c r="B443" s="34" t="s">
        <v>289</v>
      </c>
      <c r="C443" s="34" t="s">
        <v>1283</v>
      </c>
      <c r="D443" s="34" t="s">
        <v>290</v>
      </c>
      <c r="E443" s="34" t="s">
        <v>1190</v>
      </c>
      <c r="F443" s="34" t="s">
        <v>108</v>
      </c>
      <c r="G443" s="34"/>
      <c r="H443" s="34">
        <v>38.32978</v>
      </c>
      <c r="I443" s="34">
        <v>-85.540719999999993</v>
      </c>
      <c r="J443" s="34"/>
      <c r="K443" s="105">
        <v>110064615590</v>
      </c>
      <c r="L443" s="34">
        <v>4952</v>
      </c>
      <c r="M443" s="48" t="str">
        <f>VLOOKUP(L443, '2017 SIC to NAICS'!A:D, 2)</f>
        <v>Sewerage Systems</v>
      </c>
      <c r="N443" s="34">
        <f>VLOOKUP(L443,'2017 SIC to NAICS'!A:D,3)</f>
        <v>221320</v>
      </c>
      <c r="O443" s="34" t="str">
        <f>VLOOKUP(L443,'2017 SIC to NAICS'!A:D,4)</f>
        <v>Sewage Treatment Facilities</v>
      </c>
      <c r="P443" s="36" t="s">
        <v>742</v>
      </c>
      <c r="Q443" s="137" t="s">
        <v>743</v>
      </c>
      <c r="R443" s="45" t="s">
        <v>38</v>
      </c>
      <c r="S443" s="138">
        <f>COUNTIFS('Raw Non-zero DMR Data'!$A:$A, A443, 'Raw Non-zero DMR Data'!$C:$C, U443, 'Raw Non-zero DMR Data'!$V:$V, V443)</f>
        <v>1</v>
      </c>
      <c r="T443" s="34">
        <f>SUMIFS('Raw Non-zero DMR Data'!$X:$X, 'Raw Non-zero DMR Data'!$A:$A, A443, 'Raw Non-zero DMR Data'!$C:$C, U443, 'Raw Non-zero DMR Data'!V:V, V443)</f>
        <v>0.74256968749999996</v>
      </c>
      <c r="U443" s="34" t="s">
        <v>1283</v>
      </c>
      <c r="V443" s="34" t="s">
        <v>1129</v>
      </c>
      <c r="W443" s="141" t="s">
        <v>1130</v>
      </c>
      <c r="X443" s="140" t="s">
        <v>745</v>
      </c>
    </row>
    <row r="444" spans="1:24" x14ac:dyDescent="0.35">
      <c r="A444" s="34">
        <v>2019</v>
      </c>
      <c r="B444" s="34" t="s">
        <v>89</v>
      </c>
      <c r="C444" s="34" t="s">
        <v>1284</v>
      </c>
      <c r="D444" s="34" t="s">
        <v>90</v>
      </c>
      <c r="E444" s="34" t="s">
        <v>771</v>
      </c>
      <c r="F444" s="34" t="s">
        <v>91</v>
      </c>
      <c r="G444" s="34"/>
      <c r="H444" s="34">
        <v>30.223500000000001</v>
      </c>
      <c r="I444" s="34">
        <v>-93.286900000000003</v>
      </c>
      <c r="J444" s="34" t="s">
        <v>1285</v>
      </c>
      <c r="K444" s="105">
        <v>110000494894</v>
      </c>
      <c r="L444" s="34">
        <v>2869</v>
      </c>
      <c r="M444" s="48" t="str">
        <f>VLOOKUP(L444, '2017 SIC to NAICS'!A:D, 2)</f>
        <v>Industrial Organic Chemicals, Nec</v>
      </c>
      <c r="N444" s="34">
        <f>VLOOKUP(L444,'2017 SIC to NAICS'!A:D,3)</f>
        <v>325998</v>
      </c>
      <c r="O444" s="34" t="str">
        <f>VLOOKUP(L444,'2017 SIC to NAICS'!A:D,4)</f>
        <v>All Other Miscellaneous Chemical Product and Preparation Manufacturing</v>
      </c>
      <c r="P444" s="36" t="s">
        <v>748</v>
      </c>
      <c r="Q444" s="137" t="s">
        <v>749</v>
      </c>
      <c r="R444" s="143" t="s">
        <v>35</v>
      </c>
      <c r="S444" s="138">
        <f>COUNTIFS('Raw Non-zero DMR Data'!$A:$A, A444, 'Raw Non-zero DMR Data'!$C:$C, U444, 'Raw Non-zero DMR Data'!$V:$V, V444)</f>
        <v>1</v>
      </c>
      <c r="T444" s="34">
        <f>SUMIFS('Raw Non-zero DMR Data'!$X:$X, 'Raw Non-zero DMR Data'!$A:$A, A444, 'Raw Non-zero DMR Data'!$C:$C, U444, 'Raw Non-zero DMR Data'!V:V, V444)</f>
        <v>252.753272775</v>
      </c>
      <c r="U444" s="34" t="s">
        <v>1284</v>
      </c>
      <c r="V444" s="34" t="s">
        <v>1286</v>
      </c>
      <c r="W444" s="139">
        <v>80802060301</v>
      </c>
      <c r="X444" s="140" t="s">
        <v>1287</v>
      </c>
    </row>
    <row r="445" spans="1:24" x14ac:dyDescent="0.35">
      <c r="A445" s="34">
        <v>2020</v>
      </c>
      <c r="B445" s="34" t="s">
        <v>89</v>
      </c>
      <c r="C445" s="34" t="s">
        <v>1284</v>
      </c>
      <c r="D445" s="34" t="s">
        <v>90</v>
      </c>
      <c r="E445" s="34" t="s">
        <v>771</v>
      </c>
      <c r="F445" s="34" t="s">
        <v>91</v>
      </c>
      <c r="G445" s="34"/>
      <c r="H445" s="34">
        <v>30.223500000000001</v>
      </c>
      <c r="I445" s="34">
        <v>-93.286900000000003</v>
      </c>
      <c r="J445" s="34" t="s">
        <v>1285</v>
      </c>
      <c r="K445" s="105">
        <v>110000494894</v>
      </c>
      <c r="L445" s="34">
        <v>2869</v>
      </c>
      <c r="M445" s="48" t="str">
        <f>VLOOKUP(L445, '2017 SIC to NAICS'!A:D, 2)</f>
        <v>Industrial Organic Chemicals, Nec</v>
      </c>
      <c r="N445" s="34">
        <f>VLOOKUP(L445,'2017 SIC to NAICS'!A:D,3)</f>
        <v>325998</v>
      </c>
      <c r="O445" s="34" t="str">
        <f>VLOOKUP(L445,'2017 SIC to NAICS'!A:D,4)</f>
        <v>All Other Miscellaneous Chemical Product and Preparation Manufacturing</v>
      </c>
      <c r="P445" s="36" t="s">
        <v>748</v>
      </c>
      <c r="Q445" s="137" t="s">
        <v>749</v>
      </c>
      <c r="R445" s="143" t="s">
        <v>35</v>
      </c>
      <c r="S445" s="138">
        <f>COUNTIFS('Raw Non-zero DMR Data'!$A:$A, A445, 'Raw Non-zero DMR Data'!$C:$C, U445, 'Raw Non-zero DMR Data'!$V:$V, V445)</f>
        <v>1</v>
      </c>
      <c r="T445" s="34">
        <f>SUMIFS('Raw Non-zero DMR Data'!$X:$X, 'Raw Non-zero DMR Data'!$A:$A, A445, 'Raw Non-zero DMR Data'!$C:$C, U445, 'Raw Non-zero DMR Data'!V:V, V445)</f>
        <v>0.46269354000000001</v>
      </c>
      <c r="U445" s="34" t="s">
        <v>1284</v>
      </c>
      <c r="V445" s="34" t="s">
        <v>1286</v>
      </c>
      <c r="W445" s="139">
        <v>80802060301</v>
      </c>
      <c r="X445" s="140" t="s">
        <v>1287</v>
      </c>
    </row>
    <row r="446" spans="1:24" x14ac:dyDescent="0.35">
      <c r="A446" s="34">
        <v>2021</v>
      </c>
      <c r="B446" s="34" t="s">
        <v>89</v>
      </c>
      <c r="C446" s="34" t="s">
        <v>1284</v>
      </c>
      <c r="D446" s="34" t="s">
        <v>90</v>
      </c>
      <c r="E446" s="34" t="s">
        <v>771</v>
      </c>
      <c r="F446" s="34" t="s">
        <v>91</v>
      </c>
      <c r="G446" s="34"/>
      <c r="H446" s="34">
        <v>30.223500000000001</v>
      </c>
      <c r="I446" s="34">
        <v>-93.286900000000003</v>
      </c>
      <c r="J446" s="34" t="s">
        <v>1285</v>
      </c>
      <c r="K446" s="105">
        <v>110000494894</v>
      </c>
      <c r="L446" s="34">
        <v>2869</v>
      </c>
      <c r="M446" s="48" t="str">
        <f>VLOOKUP(L446, '2017 SIC to NAICS'!A:D, 2)</f>
        <v>Industrial Organic Chemicals, Nec</v>
      </c>
      <c r="N446" s="34">
        <f>VLOOKUP(L446,'2017 SIC to NAICS'!A:D,3)</f>
        <v>325998</v>
      </c>
      <c r="O446" s="34" t="str">
        <f>VLOOKUP(L446,'2017 SIC to NAICS'!A:D,4)</f>
        <v>All Other Miscellaneous Chemical Product and Preparation Manufacturing</v>
      </c>
      <c r="P446" s="36" t="s">
        <v>748</v>
      </c>
      <c r="Q446" s="137" t="s">
        <v>749</v>
      </c>
      <c r="R446" s="143" t="s">
        <v>35</v>
      </c>
      <c r="S446" s="138">
        <f>COUNTIFS('Raw Non-zero DMR Data'!$A:$A, A446, 'Raw Non-zero DMR Data'!$C:$C, U446, 'Raw Non-zero DMR Data'!$V:$V, V446)</f>
        <v>1</v>
      </c>
      <c r="T446" s="34">
        <f>SUMIFS('Raw Non-zero DMR Data'!$X:$X, 'Raw Non-zero DMR Data'!$A:$A, A446, 'Raw Non-zero DMR Data'!$C:$C, U446, 'Raw Non-zero DMR Data'!V:V, V446)</f>
        <v>790.63782490000006</v>
      </c>
      <c r="U446" s="34" t="s">
        <v>1284</v>
      </c>
      <c r="V446" s="34" t="s">
        <v>1286</v>
      </c>
      <c r="W446" s="139">
        <v>80802060301</v>
      </c>
      <c r="X446" s="140" t="s">
        <v>1287</v>
      </c>
    </row>
    <row r="447" spans="1:24" x14ac:dyDescent="0.35">
      <c r="A447" s="34">
        <v>2022</v>
      </c>
      <c r="B447" s="34" t="s">
        <v>89</v>
      </c>
      <c r="C447" s="34" t="s">
        <v>1284</v>
      </c>
      <c r="D447" s="34" t="s">
        <v>90</v>
      </c>
      <c r="E447" s="34" t="s">
        <v>771</v>
      </c>
      <c r="F447" s="34" t="s">
        <v>91</v>
      </c>
      <c r="G447" s="34"/>
      <c r="H447" s="34">
        <v>30.223500000000001</v>
      </c>
      <c r="I447" s="34">
        <v>-93.286900000000003</v>
      </c>
      <c r="J447" s="34" t="s">
        <v>1285</v>
      </c>
      <c r="K447" s="105">
        <v>110000494894</v>
      </c>
      <c r="L447" s="34">
        <v>2869</v>
      </c>
      <c r="M447" s="48" t="str">
        <f>VLOOKUP(L447, '2017 SIC to NAICS'!A:D, 2)</f>
        <v>Industrial Organic Chemicals, Nec</v>
      </c>
      <c r="N447" s="34">
        <f>VLOOKUP(L447,'2017 SIC to NAICS'!A:D,3)</f>
        <v>325998</v>
      </c>
      <c r="O447" s="34" t="str">
        <f>VLOOKUP(L447,'2017 SIC to NAICS'!A:D,4)</f>
        <v>All Other Miscellaneous Chemical Product and Preparation Manufacturing</v>
      </c>
      <c r="P447" s="36" t="s">
        <v>748</v>
      </c>
      <c r="Q447" s="137" t="s">
        <v>749</v>
      </c>
      <c r="R447" s="143" t="s">
        <v>35</v>
      </c>
      <c r="S447" s="138">
        <f>COUNTIFS('Raw Non-zero DMR Data'!$A:$A, A447, 'Raw Non-zero DMR Data'!$C:$C, U447, 'Raw Non-zero DMR Data'!$V:$V, V447)</f>
        <v>1</v>
      </c>
      <c r="T447" s="34">
        <f>SUMIFS('Raw Non-zero DMR Data'!$X:$X, 'Raw Non-zero DMR Data'!$A:$A, A447, 'Raw Non-zero DMR Data'!$C:$C, U447, 'Raw Non-zero DMR Data'!V:V, V447)</f>
        <v>48.838990500000001</v>
      </c>
      <c r="U447" s="34" t="s">
        <v>1284</v>
      </c>
      <c r="V447" s="34" t="s">
        <v>1286</v>
      </c>
      <c r="W447" s="141" t="s">
        <v>1288</v>
      </c>
      <c r="X447" s="140" t="s">
        <v>1287</v>
      </c>
    </row>
    <row r="448" spans="1:24" x14ac:dyDescent="0.35">
      <c r="A448" s="34">
        <v>2019</v>
      </c>
      <c r="B448" s="34" t="s">
        <v>317</v>
      </c>
      <c r="C448" s="34" t="s">
        <v>1289</v>
      </c>
      <c r="D448" s="34" t="s">
        <v>90</v>
      </c>
      <c r="E448" s="34" t="s">
        <v>771</v>
      </c>
      <c r="F448" s="34" t="s">
        <v>91</v>
      </c>
      <c r="G448" s="34"/>
      <c r="H448" s="34">
        <v>30.193916000000002</v>
      </c>
      <c r="I448" s="34">
        <v>-93.321347000000003</v>
      </c>
      <c r="J448" s="34"/>
      <c r="K448" s="105">
        <v>110000597266</v>
      </c>
      <c r="L448" s="34">
        <v>2821</v>
      </c>
      <c r="M448" s="48" t="str">
        <f>VLOOKUP(L448, '2017 SIC to NAICS'!A:D, 2)</f>
        <v>Plastics Materials and Resins</v>
      </c>
      <c r="N448" s="34">
        <f>VLOOKUP(L448,'2017 SIC to NAICS'!A:D,3)</f>
        <v>325211</v>
      </c>
      <c r="O448" s="34" t="str">
        <f>VLOOKUP(L448,'2017 SIC to NAICS'!A:D,4)</f>
        <v>Plastics Material and Resin Manufacturing</v>
      </c>
      <c r="P448" s="36" t="s">
        <v>796</v>
      </c>
      <c r="Q448" s="137" t="s">
        <v>797</v>
      </c>
      <c r="R448" s="45" t="s">
        <v>41</v>
      </c>
      <c r="S448" s="138">
        <f>COUNTIFS('Raw Non-zero DMR Data'!$A:$A, A448, 'Raw Non-zero DMR Data'!$C:$C, U448, 'Raw Non-zero DMR Data'!$V:$V, V448)</f>
        <v>1</v>
      </c>
      <c r="T448" s="34">
        <f>SUMIFS('Raw Non-zero DMR Data'!$X:$X, 'Raw Non-zero DMR Data'!$A:$A, A448, 'Raw Non-zero DMR Data'!$C:$C, U448, 'Raw Non-zero DMR Data'!V:V, V448)</f>
        <v>0.33141999999999999</v>
      </c>
      <c r="U448" s="34" t="s">
        <v>1289</v>
      </c>
      <c r="V448" s="34" t="s">
        <v>1286</v>
      </c>
      <c r="W448" s="139">
        <v>80802060301</v>
      </c>
      <c r="X448" s="140" t="s">
        <v>751</v>
      </c>
    </row>
    <row r="449" spans="1:24" x14ac:dyDescent="0.35">
      <c r="A449" s="34">
        <v>2020</v>
      </c>
      <c r="B449" s="34" t="s">
        <v>317</v>
      </c>
      <c r="C449" s="34" t="s">
        <v>1289</v>
      </c>
      <c r="D449" s="34" t="s">
        <v>90</v>
      </c>
      <c r="E449" s="34" t="s">
        <v>771</v>
      </c>
      <c r="F449" s="34" t="s">
        <v>91</v>
      </c>
      <c r="G449" s="34"/>
      <c r="H449" s="34">
        <v>30.193916000000002</v>
      </c>
      <c r="I449" s="34">
        <v>-93.321347000000003</v>
      </c>
      <c r="J449" s="34"/>
      <c r="K449" s="105">
        <v>110000597266</v>
      </c>
      <c r="L449" s="34">
        <v>2821</v>
      </c>
      <c r="M449" s="48" t="str">
        <f>VLOOKUP(L449, '2017 SIC to NAICS'!A:D, 2)</f>
        <v>Plastics Materials and Resins</v>
      </c>
      <c r="N449" s="34">
        <f>VLOOKUP(L449,'2017 SIC to NAICS'!A:D,3)</f>
        <v>325211</v>
      </c>
      <c r="O449" s="34" t="str">
        <f>VLOOKUP(L449,'2017 SIC to NAICS'!A:D,4)</f>
        <v>Plastics Material and Resin Manufacturing</v>
      </c>
      <c r="P449" s="36" t="s">
        <v>796</v>
      </c>
      <c r="Q449" s="137" t="s">
        <v>797</v>
      </c>
      <c r="R449" s="45" t="s">
        <v>41</v>
      </c>
      <c r="S449" s="138">
        <f>COUNTIFS('Raw Non-zero DMR Data'!$A:$A, A449, 'Raw Non-zero DMR Data'!$C:$C, U449, 'Raw Non-zero DMR Data'!$V:$V, V449)</f>
        <v>1</v>
      </c>
      <c r="T449" s="34">
        <f>SUMIFS('Raw Non-zero DMR Data'!$X:$X, 'Raw Non-zero DMR Data'!$A:$A, A449, 'Raw Non-zero DMR Data'!$C:$C, U449, 'Raw Non-zero DMR Data'!V:V, V449)</f>
        <v>0.414275</v>
      </c>
      <c r="U449" s="34" t="s">
        <v>1289</v>
      </c>
      <c r="V449" s="34" t="s">
        <v>1286</v>
      </c>
      <c r="W449" s="139">
        <v>80802060301</v>
      </c>
      <c r="X449" s="140" t="s">
        <v>751</v>
      </c>
    </row>
    <row r="450" spans="1:24" x14ac:dyDescent="0.35">
      <c r="A450" s="34">
        <v>2021</v>
      </c>
      <c r="B450" s="34" t="s">
        <v>317</v>
      </c>
      <c r="C450" s="34" t="s">
        <v>1289</v>
      </c>
      <c r="D450" s="34" t="s">
        <v>90</v>
      </c>
      <c r="E450" s="34" t="s">
        <v>771</v>
      </c>
      <c r="F450" s="34" t="s">
        <v>91</v>
      </c>
      <c r="G450" s="34"/>
      <c r="H450" s="34">
        <v>30.193916000000002</v>
      </c>
      <c r="I450" s="34">
        <v>-93.321347000000003</v>
      </c>
      <c r="J450" s="34"/>
      <c r="K450" s="105">
        <v>110000597266</v>
      </c>
      <c r="L450" s="34">
        <v>2821</v>
      </c>
      <c r="M450" s="48" t="str">
        <f>VLOOKUP(L450, '2017 SIC to NAICS'!A:D, 2)</f>
        <v>Plastics Materials and Resins</v>
      </c>
      <c r="N450" s="34">
        <f>VLOOKUP(L450,'2017 SIC to NAICS'!A:D,3)</f>
        <v>325211</v>
      </c>
      <c r="O450" s="34" t="str">
        <f>VLOOKUP(L450,'2017 SIC to NAICS'!A:D,4)</f>
        <v>Plastics Material and Resin Manufacturing</v>
      </c>
      <c r="P450" s="36" t="s">
        <v>796</v>
      </c>
      <c r="Q450" s="137" t="s">
        <v>797</v>
      </c>
      <c r="R450" s="45" t="s">
        <v>41</v>
      </c>
      <c r="S450" s="138">
        <f>COUNTIFS('Raw Non-zero DMR Data'!$A:$A, A450, 'Raw Non-zero DMR Data'!$C:$C, U450, 'Raw Non-zero DMR Data'!$V:$V, V450)</f>
        <v>1</v>
      </c>
      <c r="T450" s="34">
        <f>SUMIFS('Raw Non-zero DMR Data'!$X:$X, 'Raw Non-zero DMR Data'!$A:$A, A450, 'Raw Non-zero DMR Data'!$C:$C, U450, 'Raw Non-zero DMR Data'!V:V, V450)</f>
        <v>0.82855000000000001</v>
      </c>
      <c r="U450" s="34" t="s">
        <v>1289</v>
      </c>
      <c r="V450" s="34" t="s">
        <v>1286</v>
      </c>
      <c r="W450" s="139">
        <v>80802060301</v>
      </c>
      <c r="X450" s="140" t="s">
        <v>751</v>
      </c>
    </row>
    <row r="451" spans="1:24" x14ac:dyDescent="0.35">
      <c r="A451" s="34">
        <v>2019</v>
      </c>
      <c r="B451" s="34" t="s">
        <v>318</v>
      </c>
      <c r="C451" s="34" t="s">
        <v>1290</v>
      </c>
      <c r="D451" s="34" t="s">
        <v>319</v>
      </c>
      <c r="E451" s="34" t="s">
        <v>1291</v>
      </c>
      <c r="F451" s="34" t="s">
        <v>91</v>
      </c>
      <c r="G451" s="34"/>
      <c r="H451" s="34">
        <v>30.241299999999999</v>
      </c>
      <c r="I451" s="34">
        <v>-91.100899999999996</v>
      </c>
      <c r="J451" s="34"/>
      <c r="K451" s="105">
        <v>110000597426</v>
      </c>
      <c r="L451" s="34">
        <v>2819</v>
      </c>
      <c r="M451" s="48" t="str">
        <f>VLOOKUP(L451, '2017 SIC to NAICS'!A:D, 2)</f>
        <v>Industrial Inorganic Chemicals, Nec</v>
      </c>
      <c r="N451" s="34">
        <f>VLOOKUP(L451,'2017 SIC to NAICS'!A:D,3)</f>
        <v>331313</v>
      </c>
      <c r="O451" s="34" t="str">
        <f>VLOOKUP(L451,'2017 SIC to NAICS'!A:D,4)</f>
        <v>Alumina Refining and Primary Aluminum
Production</v>
      </c>
      <c r="P451" s="36" t="s">
        <v>785</v>
      </c>
      <c r="Q451" s="137" t="s">
        <v>786</v>
      </c>
      <c r="R451" s="45" t="s">
        <v>41</v>
      </c>
      <c r="S451" s="138">
        <f>COUNTIFS('Raw Non-zero DMR Data'!$A:$A, A451, 'Raw Non-zero DMR Data'!$C:$C, U451, 'Raw Non-zero DMR Data'!$V:$V, V451)</f>
        <v>1</v>
      </c>
      <c r="T451" s="34">
        <f>SUMIFS('Raw Non-zero DMR Data'!$X:$X, 'Raw Non-zero DMR Data'!$A:$A, A451, 'Raw Non-zero DMR Data'!$C:$C, U451, 'Raw Non-zero DMR Data'!V:V, V451)</f>
        <v>0.82855000000000001</v>
      </c>
      <c r="U451" s="34" t="s">
        <v>1290</v>
      </c>
      <c r="V451" s="34" t="s">
        <v>1292</v>
      </c>
      <c r="W451" s="139">
        <v>80702020801</v>
      </c>
      <c r="X451" s="140" t="s">
        <v>1293</v>
      </c>
    </row>
    <row r="452" spans="1:24" x14ac:dyDescent="0.35">
      <c r="A452" s="34">
        <v>2020</v>
      </c>
      <c r="B452" s="34" t="s">
        <v>318</v>
      </c>
      <c r="C452" s="34" t="s">
        <v>1290</v>
      </c>
      <c r="D452" s="34" t="s">
        <v>319</v>
      </c>
      <c r="E452" s="34" t="s">
        <v>1291</v>
      </c>
      <c r="F452" s="34" t="s">
        <v>91</v>
      </c>
      <c r="G452" s="34"/>
      <c r="H452" s="34">
        <v>30.241299999999999</v>
      </c>
      <c r="I452" s="34">
        <v>-91.100899999999996</v>
      </c>
      <c r="J452" s="34"/>
      <c r="K452" s="105">
        <v>110000597426</v>
      </c>
      <c r="L452" s="34">
        <v>2819</v>
      </c>
      <c r="M452" s="48" t="str">
        <f>VLOOKUP(L452, '2017 SIC to NAICS'!A:D, 2)</f>
        <v>Industrial Inorganic Chemicals, Nec</v>
      </c>
      <c r="N452" s="34">
        <f>VLOOKUP(L452,'2017 SIC to NAICS'!A:D,3)</f>
        <v>331313</v>
      </c>
      <c r="O452" s="34" t="str">
        <f>VLOOKUP(L452,'2017 SIC to NAICS'!A:D,4)</f>
        <v>Alumina Refining and Primary Aluminum
Production</v>
      </c>
      <c r="P452" s="36" t="s">
        <v>785</v>
      </c>
      <c r="Q452" s="137" t="s">
        <v>786</v>
      </c>
      <c r="R452" s="45" t="s">
        <v>41</v>
      </c>
      <c r="S452" s="138">
        <f>COUNTIFS('Raw Non-zero DMR Data'!$A:$A, A452, 'Raw Non-zero DMR Data'!$C:$C, U452, 'Raw Non-zero DMR Data'!$V:$V, V452)</f>
        <v>1</v>
      </c>
      <c r="T452" s="34">
        <f>SUMIFS('Raw Non-zero DMR Data'!$X:$X, 'Raw Non-zero DMR Data'!$A:$A, A452, 'Raw Non-zero DMR Data'!$C:$C, U452, 'Raw Non-zero DMR Data'!V:V, V452)</f>
        <v>0.82855000000000001</v>
      </c>
      <c r="U452" s="34" t="s">
        <v>1290</v>
      </c>
      <c r="V452" s="34" t="s">
        <v>1292</v>
      </c>
      <c r="W452" s="139">
        <v>80702020801</v>
      </c>
      <c r="X452" s="140" t="s">
        <v>1293</v>
      </c>
    </row>
    <row r="453" spans="1:24" x14ac:dyDescent="0.35">
      <c r="A453" s="34">
        <v>2021</v>
      </c>
      <c r="B453" s="34" t="s">
        <v>318</v>
      </c>
      <c r="C453" s="34" t="s">
        <v>1290</v>
      </c>
      <c r="D453" s="34" t="s">
        <v>319</v>
      </c>
      <c r="E453" s="34" t="s">
        <v>1291</v>
      </c>
      <c r="F453" s="34" t="s">
        <v>91</v>
      </c>
      <c r="G453" s="34"/>
      <c r="H453" s="34">
        <v>30.241299999999999</v>
      </c>
      <c r="I453" s="34">
        <v>-91.100899999999996</v>
      </c>
      <c r="J453" s="34"/>
      <c r="K453" s="105">
        <v>110000597426</v>
      </c>
      <c r="L453" s="34">
        <v>2819</v>
      </c>
      <c r="M453" s="48" t="str">
        <f>VLOOKUP(L453, '2017 SIC to NAICS'!A:D, 2)</f>
        <v>Industrial Inorganic Chemicals, Nec</v>
      </c>
      <c r="N453" s="34">
        <f>VLOOKUP(L453,'2017 SIC to NAICS'!A:D,3)</f>
        <v>331313</v>
      </c>
      <c r="O453" s="34" t="str">
        <f>VLOOKUP(L453,'2017 SIC to NAICS'!A:D,4)</f>
        <v>Alumina Refining and Primary Aluminum
Production</v>
      </c>
      <c r="P453" s="36" t="s">
        <v>785</v>
      </c>
      <c r="Q453" s="137" t="s">
        <v>786</v>
      </c>
      <c r="R453" s="45" t="s">
        <v>41</v>
      </c>
      <c r="S453" s="138">
        <f>COUNTIFS('Raw Non-zero DMR Data'!$A:$A, A453, 'Raw Non-zero DMR Data'!$C:$C, U453, 'Raw Non-zero DMR Data'!$V:$V, V453)</f>
        <v>1</v>
      </c>
      <c r="T453" s="34">
        <f>SUMIFS('Raw Non-zero DMR Data'!$X:$X, 'Raw Non-zero DMR Data'!$A:$A, A453, 'Raw Non-zero DMR Data'!$C:$C, U453, 'Raw Non-zero DMR Data'!V:V, V453)</f>
        <v>0.82855000000000001</v>
      </c>
      <c r="U453" s="34" t="s">
        <v>1290</v>
      </c>
      <c r="V453" s="34" t="s">
        <v>1292</v>
      </c>
      <c r="W453" s="139">
        <v>80702020801</v>
      </c>
      <c r="X453" s="140" t="s">
        <v>1293</v>
      </c>
    </row>
    <row r="454" spans="1:24" x14ac:dyDescent="0.35">
      <c r="A454" s="34">
        <v>2022</v>
      </c>
      <c r="B454" s="34" t="s">
        <v>318</v>
      </c>
      <c r="C454" s="34" t="s">
        <v>1290</v>
      </c>
      <c r="D454" s="34" t="s">
        <v>319</v>
      </c>
      <c r="E454" s="34" t="s">
        <v>1291</v>
      </c>
      <c r="F454" s="34" t="s">
        <v>91</v>
      </c>
      <c r="G454" s="34"/>
      <c r="H454" s="34">
        <v>30.241299999999999</v>
      </c>
      <c r="I454" s="34">
        <v>-91.100899999999996</v>
      </c>
      <c r="J454" s="34"/>
      <c r="K454" s="105">
        <v>110000597426</v>
      </c>
      <c r="L454" s="34">
        <v>2819</v>
      </c>
      <c r="M454" s="48" t="str">
        <f>VLOOKUP(L454, '2017 SIC to NAICS'!A:D, 2)</f>
        <v>Industrial Inorganic Chemicals, Nec</v>
      </c>
      <c r="N454" s="34">
        <f>VLOOKUP(L454,'2017 SIC to NAICS'!A:D,3)</f>
        <v>331313</v>
      </c>
      <c r="O454" s="34" t="str">
        <f>VLOOKUP(L454,'2017 SIC to NAICS'!A:D,4)</f>
        <v>Alumina Refining and Primary Aluminum
Production</v>
      </c>
      <c r="P454" s="36" t="s">
        <v>785</v>
      </c>
      <c r="Q454" s="137" t="s">
        <v>786</v>
      </c>
      <c r="R454" s="45" t="s">
        <v>41</v>
      </c>
      <c r="S454" s="138">
        <f>COUNTIFS('Raw Non-zero DMR Data'!$A:$A, A454, 'Raw Non-zero DMR Data'!$C:$C, U454, 'Raw Non-zero DMR Data'!$V:$V, V454)</f>
        <v>1</v>
      </c>
      <c r="T454" s="34">
        <f>SUMIFS('Raw Non-zero DMR Data'!$X:$X, 'Raw Non-zero DMR Data'!$A:$A, A454, 'Raw Non-zero DMR Data'!$C:$C, U454, 'Raw Non-zero DMR Data'!V:V, V454)</f>
        <v>0.82855000000000001</v>
      </c>
      <c r="U454" s="34" t="s">
        <v>1290</v>
      </c>
      <c r="V454" s="34" t="s">
        <v>1292</v>
      </c>
      <c r="W454" s="141" t="s">
        <v>1294</v>
      </c>
      <c r="X454" s="140" t="s">
        <v>1293</v>
      </c>
    </row>
    <row r="455" spans="1:24" x14ac:dyDescent="0.35">
      <c r="A455" s="34">
        <v>2023</v>
      </c>
      <c r="B455" s="34" t="s">
        <v>318</v>
      </c>
      <c r="C455" s="34" t="s">
        <v>1290</v>
      </c>
      <c r="D455" s="34" t="s">
        <v>319</v>
      </c>
      <c r="E455" s="34" t="s">
        <v>1291</v>
      </c>
      <c r="F455" s="34" t="s">
        <v>91</v>
      </c>
      <c r="G455" s="34"/>
      <c r="H455" s="34">
        <v>30.241299999999999</v>
      </c>
      <c r="I455" s="34">
        <v>-91.100899999999996</v>
      </c>
      <c r="J455" s="34"/>
      <c r="K455" s="105">
        <v>110000597426</v>
      </c>
      <c r="L455" s="34">
        <v>2819</v>
      </c>
      <c r="M455" s="48" t="str">
        <f>VLOOKUP(L455, '2017 SIC to NAICS'!A:D, 2)</f>
        <v>Industrial Inorganic Chemicals, Nec</v>
      </c>
      <c r="N455" s="34">
        <f>VLOOKUP(L455,'2017 SIC to NAICS'!A:D,3)</f>
        <v>331313</v>
      </c>
      <c r="O455" s="34" t="str">
        <f>VLOOKUP(L455,'2017 SIC to NAICS'!A:D,4)</f>
        <v>Alumina Refining and Primary Aluminum
Production</v>
      </c>
      <c r="P455" s="36" t="s">
        <v>785</v>
      </c>
      <c r="Q455" s="137" t="s">
        <v>786</v>
      </c>
      <c r="R455" s="45" t="s">
        <v>41</v>
      </c>
      <c r="S455" s="138">
        <f>COUNTIFS('Raw Non-zero DMR Data'!$A:$A, A455, 'Raw Non-zero DMR Data'!$C:$C, U455, 'Raw Non-zero DMR Data'!$V:$V, V455)</f>
        <v>1</v>
      </c>
      <c r="T455" s="34">
        <f>SUMIFS('Raw Non-zero DMR Data'!$X:$X, 'Raw Non-zero DMR Data'!$A:$A, A455, 'Raw Non-zero DMR Data'!$C:$C, U455, 'Raw Non-zero DMR Data'!V:V, V455)</f>
        <v>0.82855000000000001</v>
      </c>
      <c r="U455" s="34" t="s">
        <v>1290</v>
      </c>
      <c r="V455" s="34" t="s">
        <v>1292</v>
      </c>
      <c r="W455" s="141" t="s">
        <v>1294</v>
      </c>
      <c r="X455" s="140" t="s">
        <v>1293</v>
      </c>
    </row>
    <row r="456" spans="1:24" x14ac:dyDescent="0.35">
      <c r="A456" s="34">
        <v>2020</v>
      </c>
      <c r="B456" s="34" t="s">
        <v>539</v>
      </c>
      <c r="C456" s="34" t="s">
        <v>1295</v>
      </c>
      <c r="D456" s="34" t="s">
        <v>540</v>
      </c>
      <c r="E456" s="34" t="s">
        <v>1296</v>
      </c>
      <c r="F456" s="34" t="s">
        <v>91</v>
      </c>
      <c r="G456" s="34"/>
      <c r="H456" s="34">
        <v>29.808250000000001</v>
      </c>
      <c r="I456" s="34">
        <v>-90.01</v>
      </c>
      <c r="J456" s="34"/>
      <c r="K456" s="105">
        <v>110000575244</v>
      </c>
      <c r="L456" s="34">
        <v>2869</v>
      </c>
      <c r="M456" s="48" t="str">
        <f>VLOOKUP(L456, '2017 SIC to NAICS'!A:D, 2)</f>
        <v>Industrial Organic Chemicals, Nec</v>
      </c>
      <c r="N456" s="34">
        <f>VLOOKUP(L456,'2017 SIC to NAICS'!A:D,3)</f>
        <v>325998</v>
      </c>
      <c r="O456" s="34" t="str">
        <f>VLOOKUP(L456,'2017 SIC to NAICS'!A:D,4)</f>
        <v>All Other Miscellaneous Chemical Product and Preparation Manufacturing</v>
      </c>
      <c r="P456" s="36" t="s">
        <v>748</v>
      </c>
      <c r="Q456" s="137" t="s">
        <v>749</v>
      </c>
      <c r="R456" s="45" t="s">
        <v>41</v>
      </c>
      <c r="S456" s="138">
        <f>COUNTIFS('Raw Non-zero DMR Data'!$A:$A, A456, 'Raw Non-zero DMR Data'!$C:$C, U456, 'Raw Non-zero DMR Data'!$V:$V, V456)</f>
        <v>1</v>
      </c>
      <c r="T456" s="34">
        <f>SUMIFS('Raw Non-zero DMR Data'!$X:$X, 'Raw Non-zero DMR Data'!$A:$A, A456, 'Raw Non-zero DMR Data'!$C:$C, U456, 'Raw Non-zero DMR Data'!V:V, V456)</f>
        <v>3.1064280387500001E-2</v>
      </c>
      <c r="U456" s="34" t="s">
        <v>1295</v>
      </c>
      <c r="V456" s="34" t="s">
        <v>1297</v>
      </c>
      <c r="W456" s="139">
        <v>80903010404</v>
      </c>
      <c r="X456" s="140" t="s">
        <v>751</v>
      </c>
    </row>
    <row r="457" spans="1:24" x14ac:dyDescent="0.35">
      <c r="A457" s="34">
        <v>2019</v>
      </c>
      <c r="B457" s="34" t="s">
        <v>208</v>
      </c>
      <c r="C457" s="34" t="s">
        <v>1298</v>
      </c>
      <c r="D457" s="34" t="s">
        <v>209</v>
      </c>
      <c r="E457" s="34" t="s">
        <v>1299</v>
      </c>
      <c r="F457" s="34" t="s">
        <v>91</v>
      </c>
      <c r="G457" s="34"/>
      <c r="H457" s="34">
        <v>30.221900000000002</v>
      </c>
      <c r="I457" s="34">
        <v>-91.051500000000004</v>
      </c>
      <c r="J457" s="34"/>
      <c r="K457" s="105">
        <v>110033659878</v>
      </c>
      <c r="L457" s="34">
        <v>2869</v>
      </c>
      <c r="M457" s="48" t="str">
        <f>VLOOKUP(L457, '2017 SIC to NAICS'!A:D, 2)</f>
        <v>Industrial Organic Chemicals, Nec</v>
      </c>
      <c r="N457" s="34">
        <f>VLOOKUP(L457,'2017 SIC to NAICS'!A:D,3)</f>
        <v>325998</v>
      </c>
      <c r="O457" s="34" t="str">
        <f>VLOOKUP(L457,'2017 SIC to NAICS'!A:D,4)</f>
        <v>All Other Miscellaneous Chemical Product and Preparation Manufacturing</v>
      </c>
      <c r="P457" s="36" t="s">
        <v>748</v>
      </c>
      <c r="Q457" s="137" t="s">
        <v>749</v>
      </c>
      <c r="R457" s="45" t="s">
        <v>41</v>
      </c>
      <c r="S457" s="138">
        <f>COUNTIFS('Raw Non-zero DMR Data'!$A:$A, A457, 'Raw Non-zero DMR Data'!$C:$C, U457, 'Raw Non-zero DMR Data'!$V:$V, V457)</f>
        <v>1</v>
      </c>
      <c r="T457" s="34">
        <f>SUMIFS('Raw Non-zero DMR Data'!$X:$X, 'Raw Non-zero DMR Data'!$A:$A, A457, 'Raw Non-zero DMR Data'!$C:$C, U457, 'Raw Non-zero DMR Data'!V:V, V457)</f>
        <v>3.4799099999999998</v>
      </c>
      <c r="U457" s="34" t="s">
        <v>1298</v>
      </c>
      <c r="V457" s="34" t="s">
        <v>1300</v>
      </c>
      <c r="W457" s="139">
        <v>80702040103</v>
      </c>
      <c r="X457" s="140" t="s">
        <v>1301</v>
      </c>
    </row>
    <row r="458" spans="1:24" x14ac:dyDescent="0.35">
      <c r="A458" s="34">
        <v>2020</v>
      </c>
      <c r="B458" s="34" t="s">
        <v>208</v>
      </c>
      <c r="C458" s="34" t="s">
        <v>1298</v>
      </c>
      <c r="D458" s="34" t="s">
        <v>209</v>
      </c>
      <c r="E458" s="34" t="s">
        <v>1299</v>
      </c>
      <c r="F458" s="34" t="s">
        <v>91</v>
      </c>
      <c r="G458" s="34"/>
      <c r="H458" s="34">
        <v>30.221900000000002</v>
      </c>
      <c r="I458" s="34">
        <v>-91.051500000000004</v>
      </c>
      <c r="J458" s="34"/>
      <c r="K458" s="105">
        <v>110033659878</v>
      </c>
      <c r="L458" s="34">
        <v>2869</v>
      </c>
      <c r="M458" s="48" t="str">
        <f>VLOOKUP(L458, '2017 SIC to NAICS'!A:D, 2)</f>
        <v>Industrial Organic Chemicals, Nec</v>
      </c>
      <c r="N458" s="34">
        <f>VLOOKUP(L458,'2017 SIC to NAICS'!A:D,3)</f>
        <v>325998</v>
      </c>
      <c r="O458" s="34" t="str">
        <f>VLOOKUP(L458,'2017 SIC to NAICS'!A:D,4)</f>
        <v>All Other Miscellaneous Chemical Product and Preparation Manufacturing</v>
      </c>
      <c r="P458" s="36" t="s">
        <v>748</v>
      </c>
      <c r="Q458" s="137" t="s">
        <v>749</v>
      </c>
      <c r="R458" s="45" t="s">
        <v>41</v>
      </c>
      <c r="S458" s="138">
        <f>COUNTIFS('Raw Non-zero DMR Data'!$A:$A, A458, 'Raw Non-zero DMR Data'!$C:$C, U458, 'Raw Non-zero DMR Data'!$V:$V, V458)</f>
        <v>1</v>
      </c>
      <c r="T458" s="34">
        <f>SUMIFS('Raw Non-zero DMR Data'!$X:$X, 'Raw Non-zero DMR Data'!$A:$A, A458, 'Raw Non-zero DMR Data'!$C:$C, U458, 'Raw Non-zero DMR Data'!V:V, V458)</f>
        <v>3.1484899999999998</v>
      </c>
      <c r="U458" s="34" t="s">
        <v>1298</v>
      </c>
      <c r="V458" s="34" t="s">
        <v>1300</v>
      </c>
      <c r="W458" s="139">
        <v>80702040103</v>
      </c>
      <c r="X458" s="140" t="s">
        <v>1301</v>
      </c>
    </row>
    <row r="459" spans="1:24" x14ac:dyDescent="0.35">
      <c r="A459" s="34">
        <v>2021</v>
      </c>
      <c r="B459" s="34" t="s">
        <v>208</v>
      </c>
      <c r="C459" s="34" t="s">
        <v>1298</v>
      </c>
      <c r="D459" s="34" t="s">
        <v>209</v>
      </c>
      <c r="E459" s="34" t="s">
        <v>1299</v>
      </c>
      <c r="F459" s="34" t="s">
        <v>91</v>
      </c>
      <c r="G459" s="34"/>
      <c r="H459" s="34">
        <v>30.221900000000002</v>
      </c>
      <c r="I459" s="34">
        <v>-91.051500000000004</v>
      </c>
      <c r="J459" s="34"/>
      <c r="K459" s="105">
        <v>110033659878</v>
      </c>
      <c r="L459" s="34">
        <v>2869</v>
      </c>
      <c r="M459" s="48" t="str">
        <f>VLOOKUP(L459, '2017 SIC to NAICS'!A:D, 2)</f>
        <v>Industrial Organic Chemicals, Nec</v>
      </c>
      <c r="N459" s="34">
        <f>VLOOKUP(L459,'2017 SIC to NAICS'!A:D,3)</f>
        <v>325998</v>
      </c>
      <c r="O459" s="34" t="str">
        <f>VLOOKUP(L459,'2017 SIC to NAICS'!A:D,4)</f>
        <v>All Other Miscellaneous Chemical Product and Preparation Manufacturing</v>
      </c>
      <c r="P459" s="36" t="s">
        <v>748</v>
      </c>
      <c r="Q459" s="137" t="s">
        <v>749</v>
      </c>
      <c r="R459" s="45" t="s">
        <v>41</v>
      </c>
      <c r="S459" s="138">
        <f>COUNTIFS('Raw Non-zero DMR Data'!$A:$A, A459, 'Raw Non-zero DMR Data'!$C:$C, U459, 'Raw Non-zero DMR Data'!$V:$V, V459)</f>
        <v>1</v>
      </c>
      <c r="T459" s="34">
        <f>SUMIFS('Raw Non-zero DMR Data'!$X:$X, 'Raw Non-zero DMR Data'!$A:$A, A459, 'Raw Non-zero DMR Data'!$C:$C, U459, 'Raw Non-zero DMR Data'!V:V, V459)</f>
        <v>3.9770400000000001</v>
      </c>
      <c r="U459" s="34" t="s">
        <v>1298</v>
      </c>
      <c r="V459" s="34" t="s">
        <v>1300</v>
      </c>
      <c r="W459" s="139">
        <v>80702040103</v>
      </c>
      <c r="X459" s="140" t="s">
        <v>1301</v>
      </c>
    </row>
    <row r="460" spans="1:24" x14ac:dyDescent="0.35">
      <c r="A460" s="34">
        <v>2023</v>
      </c>
      <c r="B460" s="34" t="s">
        <v>208</v>
      </c>
      <c r="C460" s="34" t="s">
        <v>1298</v>
      </c>
      <c r="D460" s="34" t="s">
        <v>209</v>
      </c>
      <c r="E460" s="34" t="s">
        <v>1299</v>
      </c>
      <c r="F460" s="34" t="s">
        <v>91</v>
      </c>
      <c r="G460" s="34"/>
      <c r="H460" s="34">
        <v>30.221900000000002</v>
      </c>
      <c r="I460" s="34">
        <v>-91.051500000000004</v>
      </c>
      <c r="J460" s="34"/>
      <c r="K460" s="105">
        <v>110033659878</v>
      </c>
      <c r="L460" s="34">
        <v>2869</v>
      </c>
      <c r="M460" s="48" t="str">
        <f>VLOOKUP(L460, '2017 SIC to NAICS'!A:D, 2)</f>
        <v>Industrial Organic Chemicals, Nec</v>
      </c>
      <c r="N460" s="34">
        <f>VLOOKUP(L460,'2017 SIC to NAICS'!A:D,3)</f>
        <v>325998</v>
      </c>
      <c r="O460" s="34" t="str">
        <f>VLOOKUP(L460,'2017 SIC to NAICS'!A:D,4)</f>
        <v>All Other Miscellaneous Chemical Product and Preparation Manufacturing</v>
      </c>
      <c r="P460" s="36" t="s">
        <v>748</v>
      </c>
      <c r="Q460" s="137" t="s">
        <v>749</v>
      </c>
      <c r="R460" s="45" t="s">
        <v>41</v>
      </c>
      <c r="S460" s="138">
        <f>COUNTIFS('Raw Non-zero DMR Data'!$A:$A, A460, 'Raw Non-zero DMR Data'!$C:$C, U460, 'Raw Non-zero DMR Data'!$V:$V, V460)</f>
        <v>1</v>
      </c>
      <c r="T460" s="34">
        <f>SUMIFS('Raw Non-zero DMR Data'!$X:$X, 'Raw Non-zero DMR Data'!$A:$A, A460, 'Raw Non-zero DMR Data'!$C:$C, U460, 'Raw Non-zero DMR Data'!V:V, V460)</f>
        <v>3.8113299999999999</v>
      </c>
      <c r="U460" s="34" t="s">
        <v>1298</v>
      </c>
      <c r="V460" s="34" t="s">
        <v>1300</v>
      </c>
      <c r="W460" s="141" t="s">
        <v>1302</v>
      </c>
      <c r="X460" s="140" t="s">
        <v>1301</v>
      </c>
    </row>
    <row r="461" spans="1:24" x14ac:dyDescent="0.35">
      <c r="A461" s="34">
        <v>2019</v>
      </c>
      <c r="B461" s="34" t="s">
        <v>418</v>
      </c>
      <c r="C461" s="34" t="s">
        <v>1303</v>
      </c>
      <c r="D461" s="34" t="s">
        <v>419</v>
      </c>
      <c r="E461" s="34" t="s">
        <v>1304</v>
      </c>
      <c r="F461" s="34" t="s">
        <v>91</v>
      </c>
      <c r="G461" s="34"/>
      <c r="H461" s="34">
        <v>30.048590999999998</v>
      </c>
      <c r="I461" s="34">
        <v>-90.630941000000007</v>
      </c>
      <c r="J461" s="34"/>
      <c r="K461" s="105">
        <v>110007015871</v>
      </c>
      <c r="L461" s="34">
        <v>2869</v>
      </c>
      <c r="M461" s="48" t="str">
        <f>VLOOKUP(L461, '2017 SIC to NAICS'!A:D, 2)</f>
        <v>Industrial Organic Chemicals, Nec</v>
      </c>
      <c r="N461" s="34">
        <f>VLOOKUP(L461,'2017 SIC to NAICS'!A:D,3)</f>
        <v>325998</v>
      </c>
      <c r="O461" s="34" t="str">
        <f>VLOOKUP(L461,'2017 SIC to NAICS'!A:D,4)</f>
        <v>All Other Miscellaneous Chemical Product and Preparation Manufacturing</v>
      </c>
      <c r="P461" s="36" t="s">
        <v>748</v>
      </c>
      <c r="Q461" s="137" t="s">
        <v>749</v>
      </c>
      <c r="R461" s="45" t="s">
        <v>41</v>
      </c>
      <c r="S461" s="138">
        <f>COUNTIFS('Raw Non-zero DMR Data'!$A:$A, A461, 'Raw Non-zero DMR Data'!$C:$C, U461, 'Raw Non-zero DMR Data'!$V:$V, V461)</f>
        <v>1</v>
      </c>
      <c r="T461" s="34">
        <f>SUMIFS('Raw Non-zero DMR Data'!$X:$X, 'Raw Non-zero DMR Data'!$A:$A, A461, 'Raw Non-zero DMR Data'!$C:$C, U461, 'Raw Non-zero DMR Data'!V:V, V461)</f>
        <v>8.2854999999999998E-2</v>
      </c>
      <c r="U461" s="34" t="s">
        <v>1303</v>
      </c>
      <c r="V461" s="34" t="s">
        <v>1305</v>
      </c>
      <c r="W461" s="139">
        <v>80702040302</v>
      </c>
      <c r="X461" s="140" t="s">
        <v>1306</v>
      </c>
    </row>
    <row r="462" spans="1:24" x14ac:dyDescent="0.35">
      <c r="A462" s="34">
        <v>2020</v>
      </c>
      <c r="B462" s="34" t="s">
        <v>418</v>
      </c>
      <c r="C462" s="34" t="s">
        <v>1303</v>
      </c>
      <c r="D462" s="34" t="s">
        <v>419</v>
      </c>
      <c r="E462" s="34" t="s">
        <v>1304</v>
      </c>
      <c r="F462" s="34" t="s">
        <v>91</v>
      </c>
      <c r="G462" s="34"/>
      <c r="H462" s="34">
        <v>30.048590999999998</v>
      </c>
      <c r="I462" s="34">
        <v>-90.630941000000007</v>
      </c>
      <c r="J462" s="34"/>
      <c r="K462" s="105">
        <v>110007015871</v>
      </c>
      <c r="L462" s="34">
        <v>2869</v>
      </c>
      <c r="M462" s="48" t="str">
        <f>VLOOKUP(L462, '2017 SIC to NAICS'!A:D, 2)</f>
        <v>Industrial Organic Chemicals, Nec</v>
      </c>
      <c r="N462" s="34">
        <f>VLOOKUP(L462,'2017 SIC to NAICS'!A:D,3)</f>
        <v>325998</v>
      </c>
      <c r="O462" s="34" t="str">
        <f>VLOOKUP(L462,'2017 SIC to NAICS'!A:D,4)</f>
        <v>All Other Miscellaneous Chemical Product and Preparation Manufacturing</v>
      </c>
      <c r="P462" s="36" t="s">
        <v>748</v>
      </c>
      <c r="Q462" s="137" t="s">
        <v>749</v>
      </c>
      <c r="R462" s="45" t="s">
        <v>41</v>
      </c>
      <c r="S462" s="138">
        <f>COUNTIFS('Raw Non-zero DMR Data'!$A:$A, A462, 'Raw Non-zero DMR Data'!$C:$C, U462, 'Raw Non-zero DMR Data'!$V:$V, V462)</f>
        <v>1</v>
      </c>
      <c r="T462" s="34">
        <f>SUMIFS('Raw Non-zero DMR Data'!$X:$X, 'Raw Non-zero DMR Data'!$A:$A, A462, 'Raw Non-zero DMR Data'!$C:$C, U462, 'Raw Non-zero DMR Data'!V:V, V462)</f>
        <v>8.2854999999999998E-2</v>
      </c>
      <c r="U462" s="34" t="s">
        <v>1303</v>
      </c>
      <c r="V462" s="34" t="s">
        <v>1305</v>
      </c>
      <c r="W462" s="139">
        <v>80702040302</v>
      </c>
      <c r="X462" s="140" t="s">
        <v>1306</v>
      </c>
    </row>
    <row r="463" spans="1:24" x14ac:dyDescent="0.35">
      <c r="A463" s="34">
        <v>2021</v>
      </c>
      <c r="B463" s="34" t="s">
        <v>418</v>
      </c>
      <c r="C463" s="34" t="s">
        <v>1303</v>
      </c>
      <c r="D463" s="34" t="s">
        <v>419</v>
      </c>
      <c r="E463" s="34" t="s">
        <v>1304</v>
      </c>
      <c r="F463" s="34" t="s">
        <v>91</v>
      </c>
      <c r="G463" s="34"/>
      <c r="H463" s="34">
        <v>30.048590999999998</v>
      </c>
      <c r="I463" s="34">
        <v>-90.630941000000007</v>
      </c>
      <c r="J463" s="34"/>
      <c r="K463" s="105">
        <v>110007015871</v>
      </c>
      <c r="L463" s="34">
        <v>2869</v>
      </c>
      <c r="M463" s="48" t="str">
        <f>VLOOKUP(L463, '2017 SIC to NAICS'!A:D, 2)</f>
        <v>Industrial Organic Chemicals, Nec</v>
      </c>
      <c r="N463" s="34">
        <f>VLOOKUP(L463,'2017 SIC to NAICS'!A:D,3)</f>
        <v>325998</v>
      </c>
      <c r="O463" s="34" t="str">
        <f>VLOOKUP(L463,'2017 SIC to NAICS'!A:D,4)</f>
        <v>All Other Miscellaneous Chemical Product and Preparation Manufacturing</v>
      </c>
      <c r="P463" s="36" t="s">
        <v>748</v>
      </c>
      <c r="Q463" s="137" t="s">
        <v>749</v>
      </c>
      <c r="R463" s="45" t="s">
        <v>41</v>
      </c>
      <c r="S463" s="138">
        <f>COUNTIFS('Raw Non-zero DMR Data'!$A:$A, A463, 'Raw Non-zero DMR Data'!$C:$C, U463, 'Raw Non-zero DMR Data'!$V:$V, V463)</f>
        <v>1</v>
      </c>
      <c r="T463" s="34">
        <f>SUMIFS('Raw Non-zero DMR Data'!$X:$X, 'Raw Non-zero DMR Data'!$A:$A, A463, 'Raw Non-zero DMR Data'!$C:$C, U463, 'Raw Non-zero DMR Data'!V:V, V463)</f>
        <v>0.16571</v>
      </c>
      <c r="U463" s="34" t="s">
        <v>1303</v>
      </c>
      <c r="V463" s="34" t="s">
        <v>1305</v>
      </c>
      <c r="W463" s="139">
        <v>80702040302</v>
      </c>
      <c r="X463" s="140" t="s">
        <v>1306</v>
      </c>
    </row>
    <row r="464" spans="1:24" x14ac:dyDescent="0.35">
      <c r="A464" s="34">
        <v>2022</v>
      </c>
      <c r="B464" s="34" t="s">
        <v>418</v>
      </c>
      <c r="C464" s="34" t="s">
        <v>1303</v>
      </c>
      <c r="D464" s="34" t="s">
        <v>419</v>
      </c>
      <c r="E464" s="34" t="s">
        <v>1304</v>
      </c>
      <c r="F464" s="34" t="s">
        <v>91</v>
      </c>
      <c r="G464" s="34"/>
      <c r="H464" s="34">
        <v>30.048590999999998</v>
      </c>
      <c r="I464" s="34">
        <v>-90.630941000000007</v>
      </c>
      <c r="J464" s="34"/>
      <c r="K464" s="105">
        <v>110007015871</v>
      </c>
      <c r="L464" s="34">
        <v>2869</v>
      </c>
      <c r="M464" s="48" t="str">
        <f>VLOOKUP(L464, '2017 SIC to NAICS'!A:D, 2)</f>
        <v>Industrial Organic Chemicals, Nec</v>
      </c>
      <c r="N464" s="34">
        <f>VLOOKUP(L464,'2017 SIC to NAICS'!A:D,3)</f>
        <v>325998</v>
      </c>
      <c r="O464" s="34" t="str">
        <f>VLOOKUP(L464,'2017 SIC to NAICS'!A:D,4)</f>
        <v>All Other Miscellaneous Chemical Product and Preparation Manufacturing</v>
      </c>
      <c r="P464" s="36" t="s">
        <v>748</v>
      </c>
      <c r="Q464" s="137" t="s">
        <v>749</v>
      </c>
      <c r="R464" s="45" t="s">
        <v>41</v>
      </c>
      <c r="S464" s="138">
        <f>COUNTIFS('Raw Non-zero DMR Data'!$A:$A, A464, 'Raw Non-zero DMR Data'!$C:$C, U464, 'Raw Non-zero DMR Data'!$V:$V, V464)</f>
        <v>1</v>
      </c>
      <c r="T464" s="34">
        <f>SUMIFS('Raw Non-zero DMR Data'!$X:$X, 'Raw Non-zero DMR Data'!$A:$A, A464, 'Raw Non-zero DMR Data'!$C:$C, U464, 'Raw Non-zero DMR Data'!V:V, V464)</f>
        <v>8.2854999999999998E-2</v>
      </c>
      <c r="U464" s="34" t="s">
        <v>1303</v>
      </c>
      <c r="V464" s="34" t="s">
        <v>1305</v>
      </c>
      <c r="W464" s="141" t="s">
        <v>1307</v>
      </c>
      <c r="X464" s="140" t="s">
        <v>1306</v>
      </c>
    </row>
    <row r="465" spans="1:24" x14ac:dyDescent="0.35">
      <c r="A465" s="34">
        <v>2023</v>
      </c>
      <c r="B465" s="34" t="s">
        <v>418</v>
      </c>
      <c r="C465" s="34" t="s">
        <v>1303</v>
      </c>
      <c r="D465" s="34" t="s">
        <v>419</v>
      </c>
      <c r="E465" s="34" t="s">
        <v>1304</v>
      </c>
      <c r="F465" s="34" t="s">
        <v>91</v>
      </c>
      <c r="G465" s="34"/>
      <c r="H465" s="34">
        <v>30.048590999999998</v>
      </c>
      <c r="I465" s="34">
        <v>-90.630941000000007</v>
      </c>
      <c r="J465" s="34"/>
      <c r="K465" s="105">
        <v>110007015871</v>
      </c>
      <c r="L465" s="34">
        <v>2869</v>
      </c>
      <c r="M465" s="48" t="str">
        <f>VLOOKUP(L465, '2017 SIC to NAICS'!A:D, 2)</f>
        <v>Industrial Organic Chemicals, Nec</v>
      </c>
      <c r="N465" s="34">
        <f>VLOOKUP(L465,'2017 SIC to NAICS'!A:D,3)</f>
        <v>325998</v>
      </c>
      <c r="O465" s="34" t="str">
        <f>VLOOKUP(L465,'2017 SIC to NAICS'!A:D,4)</f>
        <v>All Other Miscellaneous Chemical Product and Preparation Manufacturing</v>
      </c>
      <c r="P465" s="36" t="s">
        <v>748</v>
      </c>
      <c r="Q465" s="137" t="s">
        <v>749</v>
      </c>
      <c r="R465" s="45" t="s">
        <v>41</v>
      </c>
      <c r="S465" s="138">
        <f>COUNTIFS('Raw Non-zero DMR Data'!$A:$A, A465, 'Raw Non-zero DMR Data'!$C:$C, U465, 'Raw Non-zero DMR Data'!$V:$V, V465)</f>
        <v>1</v>
      </c>
      <c r="T465" s="34">
        <f>SUMIFS('Raw Non-zero DMR Data'!$X:$X, 'Raw Non-zero DMR Data'!$A:$A, A465, 'Raw Non-zero DMR Data'!$C:$C, U465, 'Raw Non-zero DMR Data'!V:V, V465)</f>
        <v>8.2854999999999998E-2</v>
      </c>
      <c r="U465" s="34" t="s">
        <v>1303</v>
      </c>
      <c r="V465" s="34" t="s">
        <v>1305</v>
      </c>
      <c r="W465" s="141" t="s">
        <v>1307</v>
      </c>
      <c r="X465" s="140" t="s">
        <v>1306</v>
      </c>
    </row>
    <row r="466" spans="1:24" x14ac:dyDescent="0.35">
      <c r="A466" s="34">
        <v>2019</v>
      </c>
      <c r="B466" s="34" t="s">
        <v>364</v>
      </c>
      <c r="C466" s="34" t="s">
        <v>1308</v>
      </c>
      <c r="D466" s="34" t="s">
        <v>319</v>
      </c>
      <c r="E466" s="34" t="s">
        <v>1291</v>
      </c>
      <c r="F466" s="34" t="s">
        <v>91</v>
      </c>
      <c r="G466" s="34"/>
      <c r="H466" s="34">
        <v>30.250833</v>
      </c>
      <c r="I466" s="34">
        <v>-91.092277999999993</v>
      </c>
      <c r="J466" s="34"/>
      <c r="K466" s="105">
        <v>110056972432</v>
      </c>
      <c r="L466" s="34">
        <v>2869</v>
      </c>
      <c r="M466" s="48" t="str">
        <f>VLOOKUP(L466, '2017 SIC to NAICS'!A:D, 2)</f>
        <v>Industrial Organic Chemicals, Nec</v>
      </c>
      <c r="N466" s="34">
        <f>VLOOKUP(L466,'2017 SIC to NAICS'!A:D,3)</f>
        <v>325998</v>
      </c>
      <c r="O466" s="34" t="str">
        <f>VLOOKUP(L466,'2017 SIC to NAICS'!A:D,4)</f>
        <v>All Other Miscellaneous Chemical Product and Preparation Manufacturing</v>
      </c>
      <c r="P466" s="36" t="s">
        <v>748</v>
      </c>
      <c r="Q466" s="137" t="s">
        <v>749</v>
      </c>
      <c r="R466" s="45" t="s">
        <v>41</v>
      </c>
      <c r="S466" s="138">
        <f>COUNTIFS('Raw Non-zero DMR Data'!$A:$A, A466, 'Raw Non-zero DMR Data'!$C:$C, U466, 'Raw Non-zero DMR Data'!$V:$V, V466)</f>
        <v>1</v>
      </c>
      <c r="T466" s="34">
        <f>SUMIFS('Raw Non-zero DMR Data'!$X:$X, 'Raw Non-zero DMR Data'!$A:$A, A466, 'Raw Non-zero DMR Data'!$C:$C, U466, 'Raw Non-zero DMR Data'!V:V, V466)</f>
        <v>0.414275</v>
      </c>
      <c r="U466" s="34" t="s">
        <v>1308</v>
      </c>
      <c r="V466" s="34" t="s">
        <v>1292</v>
      </c>
      <c r="W466" s="139">
        <v>80702020801</v>
      </c>
      <c r="X466" s="140" t="s">
        <v>751</v>
      </c>
    </row>
    <row r="467" spans="1:24" x14ac:dyDescent="0.35">
      <c r="A467" s="34">
        <v>2020</v>
      </c>
      <c r="B467" s="34" t="s">
        <v>364</v>
      </c>
      <c r="C467" s="34" t="s">
        <v>1308</v>
      </c>
      <c r="D467" s="34" t="s">
        <v>319</v>
      </c>
      <c r="E467" s="34" t="s">
        <v>1291</v>
      </c>
      <c r="F467" s="34" t="s">
        <v>91</v>
      </c>
      <c r="G467" s="34"/>
      <c r="H467" s="34">
        <v>30.250833</v>
      </c>
      <c r="I467" s="34">
        <v>-91.092277999999993</v>
      </c>
      <c r="J467" s="34"/>
      <c r="K467" s="105">
        <v>110056972432</v>
      </c>
      <c r="L467" s="34">
        <v>2869</v>
      </c>
      <c r="M467" s="48" t="str">
        <f>VLOOKUP(L467, '2017 SIC to NAICS'!A:D, 2)</f>
        <v>Industrial Organic Chemicals, Nec</v>
      </c>
      <c r="N467" s="34">
        <f>VLOOKUP(L467,'2017 SIC to NAICS'!A:D,3)</f>
        <v>325998</v>
      </c>
      <c r="O467" s="34" t="str">
        <f>VLOOKUP(L467,'2017 SIC to NAICS'!A:D,4)</f>
        <v>All Other Miscellaneous Chemical Product and Preparation Manufacturing</v>
      </c>
      <c r="P467" s="36" t="s">
        <v>748</v>
      </c>
      <c r="Q467" s="137" t="s">
        <v>749</v>
      </c>
      <c r="R467" s="45" t="s">
        <v>41</v>
      </c>
      <c r="S467" s="138">
        <f>COUNTIFS('Raw Non-zero DMR Data'!$A:$A, A467, 'Raw Non-zero DMR Data'!$C:$C, U467, 'Raw Non-zero DMR Data'!$V:$V, V467)</f>
        <v>1</v>
      </c>
      <c r="T467" s="34">
        <f>SUMIFS('Raw Non-zero DMR Data'!$X:$X, 'Raw Non-zero DMR Data'!$A:$A, A467, 'Raw Non-zero DMR Data'!$C:$C, U467, 'Raw Non-zero DMR Data'!V:V, V467)</f>
        <v>0.414275</v>
      </c>
      <c r="U467" s="34" t="s">
        <v>1308</v>
      </c>
      <c r="V467" s="34" t="s">
        <v>1292</v>
      </c>
      <c r="W467" s="139">
        <v>80702020801</v>
      </c>
      <c r="X467" s="140" t="s">
        <v>751</v>
      </c>
    </row>
    <row r="468" spans="1:24" x14ac:dyDescent="0.35">
      <c r="A468" s="34">
        <v>2021</v>
      </c>
      <c r="B468" s="34" t="s">
        <v>364</v>
      </c>
      <c r="C468" s="34" t="s">
        <v>1308</v>
      </c>
      <c r="D468" s="34" t="s">
        <v>319</v>
      </c>
      <c r="E468" s="34" t="s">
        <v>1291</v>
      </c>
      <c r="F468" s="34" t="s">
        <v>91</v>
      </c>
      <c r="G468" s="34"/>
      <c r="H468" s="34">
        <v>30.250833</v>
      </c>
      <c r="I468" s="34">
        <v>-91.092277999999993</v>
      </c>
      <c r="J468" s="34"/>
      <c r="K468" s="105">
        <v>110056972432</v>
      </c>
      <c r="L468" s="34">
        <v>2869</v>
      </c>
      <c r="M468" s="48" t="str">
        <f>VLOOKUP(L468, '2017 SIC to NAICS'!A:D, 2)</f>
        <v>Industrial Organic Chemicals, Nec</v>
      </c>
      <c r="N468" s="34">
        <f>VLOOKUP(L468,'2017 SIC to NAICS'!A:D,3)</f>
        <v>325998</v>
      </c>
      <c r="O468" s="34" t="str">
        <f>VLOOKUP(L468,'2017 SIC to NAICS'!A:D,4)</f>
        <v>All Other Miscellaneous Chemical Product and Preparation Manufacturing</v>
      </c>
      <c r="P468" s="36" t="s">
        <v>748</v>
      </c>
      <c r="Q468" s="137" t="s">
        <v>749</v>
      </c>
      <c r="R468" s="45" t="s">
        <v>41</v>
      </c>
      <c r="S468" s="138">
        <f>COUNTIFS('Raw Non-zero DMR Data'!$A:$A, A468, 'Raw Non-zero DMR Data'!$C:$C, U468, 'Raw Non-zero DMR Data'!$V:$V, V468)</f>
        <v>1</v>
      </c>
      <c r="T468" s="34">
        <f>SUMIFS('Raw Non-zero DMR Data'!$X:$X, 'Raw Non-zero DMR Data'!$A:$A, A468, 'Raw Non-zero DMR Data'!$C:$C, U468, 'Raw Non-zero DMR Data'!V:V, V468)</f>
        <v>0.414275</v>
      </c>
      <c r="U468" s="34" t="s">
        <v>1308</v>
      </c>
      <c r="V468" s="34" t="s">
        <v>1292</v>
      </c>
      <c r="W468" s="139">
        <v>80702020801</v>
      </c>
      <c r="X468" s="140" t="s">
        <v>751</v>
      </c>
    </row>
    <row r="469" spans="1:24" x14ac:dyDescent="0.35">
      <c r="A469" s="34">
        <v>2022</v>
      </c>
      <c r="B469" s="34" t="s">
        <v>364</v>
      </c>
      <c r="C469" s="34" t="s">
        <v>1308</v>
      </c>
      <c r="D469" s="34" t="s">
        <v>319</v>
      </c>
      <c r="E469" s="34" t="s">
        <v>1291</v>
      </c>
      <c r="F469" s="34" t="s">
        <v>91</v>
      </c>
      <c r="G469" s="34"/>
      <c r="H469" s="34">
        <v>30.250833</v>
      </c>
      <c r="I469" s="34">
        <v>-91.092277999999993</v>
      </c>
      <c r="J469" s="34"/>
      <c r="K469" s="105">
        <v>110056972432</v>
      </c>
      <c r="L469" s="34">
        <v>2869</v>
      </c>
      <c r="M469" s="48" t="str">
        <f>VLOOKUP(L469, '2017 SIC to NAICS'!A:D, 2)</f>
        <v>Industrial Organic Chemicals, Nec</v>
      </c>
      <c r="N469" s="34">
        <f>VLOOKUP(L469,'2017 SIC to NAICS'!A:D,3)</f>
        <v>325998</v>
      </c>
      <c r="O469" s="34" t="str">
        <f>VLOOKUP(L469,'2017 SIC to NAICS'!A:D,4)</f>
        <v>All Other Miscellaneous Chemical Product and Preparation Manufacturing</v>
      </c>
      <c r="P469" s="36" t="s">
        <v>748</v>
      </c>
      <c r="Q469" s="137" t="s">
        <v>749</v>
      </c>
      <c r="R469" s="45" t="s">
        <v>41</v>
      </c>
      <c r="S469" s="138">
        <f>COUNTIFS('Raw Non-zero DMR Data'!$A:$A, A469, 'Raw Non-zero DMR Data'!$C:$C, U469, 'Raw Non-zero DMR Data'!$V:$V, V469)</f>
        <v>1</v>
      </c>
      <c r="T469" s="34">
        <f>SUMIFS('Raw Non-zero DMR Data'!$X:$X, 'Raw Non-zero DMR Data'!$A:$A, A469, 'Raw Non-zero DMR Data'!$C:$C, U469, 'Raw Non-zero DMR Data'!V:V, V469)</f>
        <v>0.414275</v>
      </c>
      <c r="U469" s="34" t="s">
        <v>1308</v>
      </c>
      <c r="V469" s="34" t="s">
        <v>1292</v>
      </c>
      <c r="W469" s="141" t="s">
        <v>1294</v>
      </c>
      <c r="X469" s="140" t="s">
        <v>751</v>
      </c>
    </row>
    <row r="470" spans="1:24" x14ac:dyDescent="0.35">
      <c r="A470" s="34">
        <v>2019</v>
      </c>
      <c r="B470" s="34" t="s">
        <v>533</v>
      </c>
      <c r="C470" s="34" t="s">
        <v>1309</v>
      </c>
      <c r="D470" s="34" t="s">
        <v>534</v>
      </c>
      <c r="E470" s="34" t="s">
        <v>1310</v>
      </c>
      <c r="F470" s="34" t="s">
        <v>91</v>
      </c>
      <c r="G470" s="34"/>
      <c r="H470" s="34">
        <v>30.486767</v>
      </c>
      <c r="I470" s="34">
        <v>-90.925479999999993</v>
      </c>
      <c r="J470" s="34"/>
      <c r="K470" s="105">
        <v>110000597355</v>
      </c>
      <c r="L470" s="34">
        <v>2899</v>
      </c>
      <c r="M470" s="48" t="str">
        <f>VLOOKUP(L470, '2017 SIC to NAICS'!A:D, 2)</f>
        <v>Chemical Preparations, Nec</v>
      </c>
      <c r="N470" s="34">
        <f>VLOOKUP(L470,'2017 SIC to NAICS'!A:D,3)</f>
        <v>325998</v>
      </c>
      <c r="O470" s="34" t="str">
        <f>VLOOKUP(L470,'2017 SIC to NAICS'!A:D,4)</f>
        <v>All Other Miscellaneous Chemical Product and Preparation Manufacturing</v>
      </c>
      <c r="P470" s="36" t="s">
        <v>748</v>
      </c>
      <c r="Q470" s="137" t="s">
        <v>749</v>
      </c>
      <c r="R470" s="45" t="s">
        <v>41</v>
      </c>
      <c r="S470" s="138">
        <f>COUNTIFS('Raw Non-zero DMR Data'!$A:$A, A470, 'Raw Non-zero DMR Data'!$C:$C, U470, 'Raw Non-zero DMR Data'!$V:$V, V470)</f>
        <v>1</v>
      </c>
      <c r="T470" s="34">
        <f>SUMIFS('Raw Non-zero DMR Data'!$X:$X, 'Raw Non-zero DMR Data'!$A:$A, A470, 'Raw Non-zero DMR Data'!$C:$C, U470, 'Raw Non-zero DMR Data'!V:V, V470)</f>
        <v>3.3141999999999998E-2</v>
      </c>
      <c r="U470" s="34" t="s">
        <v>1309</v>
      </c>
      <c r="V470" s="34" t="s">
        <v>1311</v>
      </c>
      <c r="W470" s="139">
        <v>80702020903</v>
      </c>
      <c r="X470" s="140" t="s">
        <v>751</v>
      </c>
    </row>
    <row r="471" spans="1:24" x14ac:dyDescent="0.35">
      <c r="A471" s="34">
        <v>2020</v>
      </c>
      <c r="B471" s="34" t="s">
        <v>533</v>
      </c>
      <c r="C471" s="34" t="s">
        <v>1309</v>
      </c>
      <c r="D471" s="34" t="s">
        <v>534</v>
      </c>
      <c r="E471" s="34" t="s">
        <v>1310</v>
      </c>
      <c r="F471" s="34" t="s">
        <v>91</v>
      </c>
      <c r="G471" s="34"/>
      <c r="H471" s="34">
        <v>30.486767</v>
      </c>
      <c r="I471" s="34">
        <v>-90.925479999999993</v>
      </c>
      <c r="J471" s="34"/>
      <c r="K471" s="105">
        <v>110000597355</v>
      </c>
      <c r="L471" s="34">
        <v>2899</v>
      </c>
      <c r="M471" s="48" t="str">
        <f>VLOOKUP(L471, '2017 SIC to NAICS'!A:D, 2)</f>
        <v>Chemical Preparations, Nec</v>
      </c>
      <c r="N471" s="34">
        <f>VLOOKUP(L471,'2017 SIC to NAICS'!A:D,3)</f>
        <v>325998</v>
      </c>
      <c r="O471" s="34" t="str">
        <f>VLOOKUP(L471,'2017 SIC to NAICS'!A:D,4)</f>
        <v>All Other Miscellaneous Chemical Product and Preparation Manufacturing</v>
      </c>
      <c r="P471" s="36" t="s">
        <v>748</v>
      </c>
      <c r="Q471" s="137" t="s">
        <v>749</v>
      </c>
      <c r="R471" s="45" t="s">
        <v>41</v>
      </c>
      <c r="S471" s="138">
        <f>COUNTIFS('Raw Non-zero DMR Data'!$A:$A, A471, 'Raw Non-zero DMR Data'!$C:$C, U471, 'Raw Non-zero DMR Data'!$V:$V, V471)</f>
        <v>1</v>
      </c>
      <c r="T471" s="34">
        <f>SUMIFS('Raw Non-zero DMR Data'!$X:$X, 'Raw Non-zero DMR Data'!$A:$A, A471, 'Raw Non-zero DMR Data'!$C:$C, U471, 'Raw Non-zero DMR Data'!V:V, V471)</f>
        <v>3.3141999999999998E-2</v>
      </c>
      <c r="U471" s="34" t="s">
        <v>1309</v>
      </c>
      <c r="V471" s="34" t="s">
        <v>1311</v>
      </c>
      <c r="W471" s="139">
        <v>80702020903</v>
      </c>
      <c r="X471" s="140" t="s">
        <v>751</v>
      </c>
    </row>
    <row r="472" spans="1:24" x14ac:dyDescent="0.35">
      <c r="A472" s="34">
        <v>2021</v>
      </c>
      <c r="B472" s="34" t="s">
        <v>533</v>
      </c>
      <c r="C472" s="34" t="s">
        <v>1309</v>
      </c>
      <c r="D472" s="34" t="s">
        <v>534</v>
      </c>
      <c r="E472" s="34" t="s">
        <v>1310</v>
      </c>
      <c r="F472" s="34" t="s">
        <v>91</v>
      </c>
      <c r="G472" s="34"/>
      <c r="H472" s="34">
        <v>30.486767</v>
      </c>
      <c r="I472" s="34">
        <v>-90.925479999999993</v>
      </c>
      <c r="J472" s="34"/>
      <c r="K472" s="105">
        <v>110000597355</v>
      </c>
      <c r="L472" s="34">
        <v>2899</v>
      </c>
      <c r="M472" s="48" t="str">
        <f>VLOOKUP(L472, '2017 SIC to NAICS'!A:D, 2)</f>
        <v>Chemical Preparations, Nec</v>
      </c>
      <c r="N472" s="34">
        <f>VLOOKUP(L472,'2017 SIC to NAICS'!A:D,3)</f>
        <v>325998</v>
      </c>
      <c r="O472" s="34" t="str">
        <f>VLOOKUP(L472,'2017 SIC to NAICS'!A:D,4)</f>
        <v>All Other Miscellaneous Chemical Product and Preparation Manufacturing</v>
      </c>
      <c r="P472" s="36" t="s">
        <v>748</v>
      </c>
      <c r="Q472" s="137" t="s">
        <v>749</v>
      </c>
      <c r="R472" s="45" t="s">
        <v>41</v>
      </c>
      <c r="S472" s="138">
        <f>COUNTIFS('Raw Non-zero DMR Data'!$A:$A, A472, 'Raw Non-zero DMR Data'!$C:$C, U472, 'Raw Non-zero DMR Data'!$V:$V, V472)</f>
        <v>1</v>
      </c>
      <c r="T472" s="34">
        <f>SUMIFS('Raw Non-zero DMR Data'!$X:$X, 'Raw Non-zero DMR Data'!$A:$A, A472, 'Raw Non-zero DMR Data'!$C:$C, U472, 'Raw Non-zero DMR Data'!V:V, V472)</f>
        <v>1.6570999999999999E-2</v>
      </c>
      <c r="U472" s="34" t="s">
        <v>1309</v>
      </c>
      <c r="V472" s="34" t="s">
        <v>1311</v>
      </c>
      <c r="W472" s="139">
        <v>80702020903</v>
      </c>
      <c r="X472" s="140" t="s">
        <v>751</v>
      </c>
    </row>
    <row r="473" spans="1:24" x14ac:dyDescent="0.35">
      <c r="A473" s="34">
        <v>2022</v>
      </c>
      <c r="B473" s="34" t="s">
        <v>533</v>
      </c>
      <c r="C473" s="34" t="s">
        <v>1309</v>
      </c>
      <c r="D473" s="34" t="s">
        <v>534</v>
      </c>
      <c r="E473" s="34" t="s">
        <v>1310</v>
      </c>
      <c r="F473" s="34" t="s">
        <v>91</v>
      </c>
      <c r="G473" s="34"/>
      <c r="H473" s="34">
        <v>30.486767</v>
      </c>
      <c r="I473" s="34">
        <v>-90.925479999999993</v>
      </c>
      <c r="J473" s="34"/>
      <c r="K473" s="105">
        <v>110000597355</v>
      </c>
      <c r="L473" s="34">
        <v>2899</v>
      </c>
      <c r="M473" s="48" t="str">
        <f>VLOOKUP(L473, '2017 SIC to NAICS'!A:D, 2)</f>
        <v>Chemical Preparations, Nec</v>
      </c>
      <c r="N473" s="34">
        <f>VLOOKUP(L473,'2017 SIC to NAICS'!A:D,3)</f>
        <v>325998</v>
      </c>
      <c r="O473" s="34" t="str">
        <f>VLOOKUP(L473,'2017 SIC to NAICS'!A:D,4)</f>
        <v>All Other Miscellaneous Chemical Product and Preparation Manufacturing</v>
      </c>
      <c r="P473" s="36" t="s">
        <v>748</v>
      </c>
      <c r="Q473" s="137" t="s">
        <v>749</v>
      </c>
      <c r="R473" s="45" t="s">
        <v>41</v>
      </c>
      <c r="S473" s="138">
        <f>COUNTIFS('Raw Non-zero DMR Data'!$A:$A, A473, 'Raw Non-zero DMR Data'!$C:$C, U473, 'Raw Non-zero DMR Data'!$V:$V, V473)</f>
        <v>1</v>
      </c>
      <c r="T473" s="34">
        <f>SUMIFS('Raw Non-zero DMR Data'!$X:$X, 'Raw Non-zero DMR Data'!$A:$A, A473, 'Raw Non-zero DMR Data'!$C:$C, U473, 'Raw Non-zero DMR Data'!V:V, V473)</f>
        <v>8.2855000000000005E-5</v>
      </c>
      <c r="U473" s="34" t="s">
        <v>1309</v>
      </c>
      <c r="V473" s="34" t="s">
        <v>1311</v>
      </c>
      <c r="W473" s="141" t="s">
        <v>1312</v>
      </c>
      <c r="X473" s="140" t="s">
        <v>751</v>
      </c>
    </row>
    <row r="474" spans="1:24" x14ac:dyDescent="0.35">
      <c r="A474" s="34">
        <v>2019</v>
      </c>
      <c r="B474" s="34" t="s">
        <v>575</v>
      </c>
      <c r="C474" s="34" t="s">
        <v>1313</v>
      </c>
      <c r="D474" s="34" t="s">
        <v>576</v>
      </c>
      <c r="E474" s="34" t="s">
        <v>1314</v>
      </c>
      <c r="F474" s="34" t="s">
        <v>91</v>
      </c>
      <c r="G474" s="34"/>
      <c r="H474" s="34">
        <v>32.008493999999999</v>
      </c>
      <c r="I474" s="34">
        <v>-93.335728000000003</v>
      </c>
      <c r="J474" s="34"/>
      <c r="K474" s="105">
        <v>110001131837</v>
      </c>
      <c r="L474" s="34">
        <v>4226</v>
      </c>
      <c r="M474" s="48" t="str">
        <f>VLOOKUP(L474, '2017 SIC to NAICS'!A:D, 2)</f>
        <v>Special Warehousing and Storage, Nec</v>
      </c>
      <c r="N474" s="34">
        <f>VLOOKUP(L474,'2017 SIC to NAICS'!A:D,3)</f>
        <v>493190</v>
      </c>
      <c r="O474" s="34" t="str">
        <f>VLOOKUP(L474,'2017 SIC to NAICS'!A:D,4)</f>
        <v>Other Warehousing and Storage</v>
      </c>
      <c r="P474" s="36" t="s">
        <v>765</v>
      </c>
      <c r="Q474" s="137" t="s">
        <v>766</v>
      </c>
      <c r="R474" s="45" t="s">
        <v>41</v>
      </c>
      <c r="S474" s="138">
        <f>COUNTIFS('Raw Non-zero DMR Data'!$A:$A, A474, 'Raw Non-zero DMR Data'!$C:$C, U474, 'Raw Non-zero DMR Data'!$V:$V, V474)</f>
        <v>1</v>
      </c>
      <c r="T474" s="34">
        <f>SUMIFS('Raw Non-zero DMR Data'!$X:$X, 'Raw Non-zero DMR Data'!$A:$A, A474, 'Raw Non-zero DMR Data'!$C:$C, U474, 'Raw Non-zero DMR Data'!V:V, V474)</f>
        <v>1.9046542027499998E-2</v>
      </c>
      <c r="U474" s="34" t="s">
        <v>1313</v>
      </c>
      <c r="V474" s="34" t="s">
        <v>1315</v>
      </c>
      <c r="W474" s="139">
        <v>111402020203</v>
      </c>
      <c r="X474" s="140" t="s">
        <v>812</v>
      </c>
    </row>
    <row r="475" spans="1:24" x14ac:dyDescent="0.35">
      <c r="A475" s="34">
        <v>2020</v>
      </c>
      <c r="B475" s="34" t="s">
        <v>575</v>
      </c>
      <c r="C475" s="34" t="s">
        <v>1313</v>
      </c>
      <c r="D475" s="34" t="s">
        <v>576</v>
      </c>
      <c r="E475" s="34" t="s">
        <v>1314</v>
      </c>
      <c r="F475" s="34" t="s">
        <v>91</v>
      </c>
      <c r="G475" s="34"/>
      <c r="H475" s="34">
        <v>32.008493999999999</v>
      </c>
      <c r="I475" s="34">
        <v>-93.335728000000003</v>
      </c>
      <c r="J475" s="34"/>
      <c r="K475" s="105">
        <v>110001131837</v>
      </c>
      <c r="L475" s="34">
        <v>4226</v>
      </c>
      <c r="M475" s="48" t="str">
        <f>VLOOKUP(L475, '2017 SIC to NAICS'!A:D, 2)</f>
        <v>Special Warehousing and Storage, Nec</v>
      </c>
      <c r="N475" s="34">
        <f>VLOOKUP(L475,'2017 SIC to NAICS'!A:D,3)</f>
        <v>493190</v>
      </c>
      <c r="O475" s="34" t="str">
        <f>VLOOKUP(L475,'2017 SIC to NAICS'!A:D,4)</f>
        <v>Other Warehousing and Storage</v>
      </c>
      <c r="P475" s="36" t="s">
        <v>765</v>
      </c>
      <c r="Q475" s="137" t="s">
        <v>766</v>
      </c>
      <c r="R475" s="45" t="s">
        <v>41</v>
      </c>
      <c r="S475" s="138">
        <f>COUNTIFS('Raw Non-zero DMR Data'!$A:$A, A475, 'Raw Non-zero DMR Data'!$C:$C, U475, 'Raw Non-zero DMR Data'!$V:$V, V475)</f>
        <v>1</v>
      </c>
      <c r="T475" s="34">
        <f>SUMIFS('Raw Non-zero DMR Data'!$X:$X, 'Raw Non-zero DMR Data'!$A:$A, A475, 'Raw Non-zero DMR Data'!$C:$C, U475, 'Raw Non-zero DMR Data'!V:V, V475)</f>
        <v>1.1921917299999999E-2</v>
      </c>
      <c r="U475" s="34" t="s">
        <v>1313</v>
      </c>
      <c r="V475" s="34" t="s">
        <v>1315</v>
      </c>
      <c r="W475" s="139">
        <v>111402020203</v>
      </c>
      <c r="X475" s="140" t="s">
        <v>812</v>
      </c>
    </row>
    <row r="476" spans="1:24" x14ac:dyDescent="0.35">
      <c r="A476" s="34">
        <v>2019</v>
      </c>
      <c r="B476" s="34" t="s">
        <v>573</v>
      </c>
      <c r="C476" s="34" t="s">
        <v>1316</v>
      </c>
      <c r="D476" s="34" t="s">
        <v>209</v>
      </c>
      <c r="E476" s="34" t="s">
        <v>1299</v>
      </c>
      <c r="F476" s="34" t="s">
        <v>91</v>
      </c>
      <c r="G476" s="34"/>
      <c r="H476" s="34">
        <v>30.233011999999999</v>
      </c>
      <c r="I476" s="34">
        <v>-91.022057000000004</v>
      </c>
      <c r="J476" s="34"/>
      <c r="K476" s="105">
        <v>110000911309</v>
      </c>
      <c r="L476" s="34">
        <v>4789</v>
      </c>
      <c r="M476" s="48" t="str">
        <f>VLOOKUP(L476, '2017 SIC to NAICS'!A:D, 2)</f>
        <v>Transportation Services, Nec</v>
      </c>
      <c r="N476" s="34">
        <f>VLOOKUP(L476,'2017 SIC to NAICS'!A:D,3)</f>
        <v>722310</v>
      </c>
      <c r="O476" s="34" t="str">
        <f>VLOOKUP(L476,'2017 SIC to NAICS'!A:D,4)</f>
        <v>Food Service Contractors</v>
      </c>
      <c r="P476" s="36" t="s">
        <v>737</v>
      </c>
      <c r="Q476" s="137" t="s">
        <v>737</v>
      </c>
      <c r="R476" s="45" t="s">
        <v>41</v>
      </c>
      <c r="S476" s="138">
        <f>COUNTIFS('Raw Non-zero DMR Data'!$A:$A, A476, 'Raw Non-zero DMR Data'!$C:$C, U476, 'Raw Non-zero DMR Data'!$V:$V, V476)</f>
        <v>1</v>
      </c>
      <c r="T476" s="34">
        <f>SUMIFS('Raw Non-zero DMR Data'!$X:$X, 'Raw Non-zero DMR Data'!$A:$A, A476, 'Raw Non-zero DMR Data'!$C:$C, U476, 'Raw Non-zero DMR Data'!V:V, V476)</f>
        <v>1.1140674375E-2</v>
      </c>
      <c r="U476" s="34" t="s">
        <v>1316</v>
      </c>
      <c r="V476" s="34" t="s">
        <v>1300</v>
      </c>
      <c r="W476" s="139">
        <v>80702040103</v>
      </c>
      <c r="X476" s="140" t="s">
        <v>812</v>
      </c>
    </row>
    <row r="477" spans="1:24" x14ac:dyDescent="0.35">
      <c r="A477" s="34">
        <v>2020</v>
      </c>
      <c r="B477" s="34" t="s">
        <v>573</v>
      </c>
      <c r="C477" s="34" t="s">
        <v>1316</v>
      </c>
      <c r="D477" s="34" t="s">
        <v>209</v>
      </c>
      <c r="E477" s="34" t="s">
        <v>1299</v>
      </c>
      <c r="F477" s="34" t="s">
        <v>91</v>
      </c>
      <c r="G477" s="34"/>
      <c r="H477" s="34">
        <v>30.233011999999999</v>
      </c>
      <c r="I477" s="34">
        <v>-91.022057000000004</v>
      </c>
      <c r="J477" s="34"/>
      <c r="K477" s="105">
        <v>110000911309</v>
      </c>
      <c r="L477" s="34">
        <v>4789</v>
      </c>
      <c r="M477" s="48" t="str">
        <f>VLOOKUP(L477, '2017 SIC to NAICS'!A:D, 2)</f>
        <v>Transportation Services, Nec</v>
      </c>
      <c r="N477" s="34">
        <f>VLOOKUP(L477,'2017 SIC to NAICS'!A:D,3)</f>
        <v>722310</v>
      </c>
      <c r="O477" s="34" t="str">
        <f>VLOOKUP(L477,'2017 SIC to NAICS'!A:D,4)</f>
        <v>Food Service Contractors</v>
      </c>
      <c r="P477" s="36" t="s">
        <v>737</v>
      </c>
      <c r="Q477" s="137" t="s">
        <v>737</v>
      </c>
      <c r="R477" s="45" t="s">
        <v>41</v>
      </c>
      <c r="S477" s="138">
        <f>COUNTIFS('Raw Non-zero DMR Data'!$A:$A, A477, 'Raw Non-zero DMR Data'!$C:$C, U477, 'Raw Non-zero DMR Data'!$V:$V, V477)</f>
        <v>1</v>
      </c>
      <c r="T477" s="34">
        <f>SUMIFS('Raw Non-zero DMR Data'!$X:$X, 'Raw Non-zero DMR Data'!$A:$A, A477, 'Raw Non-zero DMR Data'!$C:$C, U477, 'Raw Non-zero DMR Data'!V:V, V477)</f>
        <v>1.9371630000000001E-2</v>
      </c>
      <c r="U477" s="34" t="s">
        <v>1316</v>
      </c>
      <c r="V477" s="34" t="s">
        <v>1300</v>
      </c>
      <c r="W477" s="139">
        <v>80702040103</v>
      </c>
      <c r="X477" s="140" t="s">
        <v>812</v>
      </c>
    </row>
    <row r="478" spans="1:24" x14ac:dyDescent="0.35">
      <c r="A478" s="34">
        <v>2021</v>
      </c>
      <c r="B478" s="34" t="s">
        <v>573</v>
      </c>
      <c r="C478" s="34" t="s">
        <v>1316</v>
      </c>
      <c r="D478" s="34" t="s">
        <v>209</v>
      </c>
      <c r="E478" s="34" t="s">
        <v>1299</v>
      </c>
      <c r="F478" s="34" t="s">
        <v>91</v>
      </c>
      <c r="G478" s="34"/>
      <c r="H478" s="34">
        <v>30.233011999999999</v>
      </c>
      <c r="I478" s="34">
        <v>-91.022057000000004</v>
      </c>
      <c r="J478" s="34"/>
      <c r="K478" s="105">
        <v>110000911309</v>
      </c>
      <c r="L478" s="34">
        <v>4789</v>
      </c>
      <c r="M478" s="48" t="str">
        <f>VLOOKUP(L478, '2017 SIC to NAICS'!A:D, 2)</f>
        <v>Transportation Services, Nec</v>
      </c>
      <c r="N478" s="34">
        <f>VLOOKUP(L478,'2017 SIC to NAICS'!A:D,3)</f>
        <v>722310</v>
      </c>
      <c r="O478" s="34" t="str">
        <f>VLOOKUP(L478,'2017 SIC to NAICS'!A:D,4)</f>
        <v>Food Service Contractors</v>
      </c>
      <c r="P478" s="36" t="s">
        <v>737</v>
      </c>
      <c r="Q478" s="137" t="s">
        <v>737</v>
      </c>
      <c r="R478" s="45" t="s">
        <v>41</v>
      </c>
      <c r="S478" s="138">
        <f>COUNTIFS('Raw Non-zero DMR Data'!$A:$A, A478, 'Raw Non-zero DMR Data'!$C:$C, U478, 'Raw Non-zero DMR Data'!$V:$V, V478)</f>
        <v>1</v>
      </c>
      <c r="T478" s="34">
        <f>SUMIFS('Raw Non-zero DMR Data'!$X:$X, 'Raw Non-zero DMR Data'!$A:$A, A478, 'Raw Non-zero DMR Data'!$C:$C, U478, 'Raw Non-zero DMR Data'!V:V, V478)</f>
        <v>3.4713289551466602E-3</v>
      </c>
      <c r="U478" s="34" t="s">
        <v>1316</v>
      </c>
      <c r="V478" s="34" t="s">
        <v>1300</v>
      </c>
      <c r="W478" s="139">
        <v>80702040103</v>
      </c>
      <c r="X478" s="140" t="s">
        <v>812</v>
      </c>
    </row>
    <row r="479" spans="1:24" x14ac:dyDescent="0.35">
      <c r="A479" s="34">
        <v>2022</v>
      </c>
      <c r="B479" s="34" t="s">
        <v>573</v>
      </c>
      <c r="C479" s="34" t="s">
        <v>1316</v>
      </c>
      <c r="D479" s="34" t="s">
        <v>209</v>
      </c>
      <c r="E479" s="34" t="s">
        <v>1299</v>
      </c>
      <c r="F479" s="34" t="s">
        <v>91</v>
      </c>
      <c r="G479" s="34"/>
      <c r="H479" s="34">
        <v>30.233011999999999</v>
      </c>
      <c r="I479" s="34">
        <v>-91.022057000000004</v>
      </c>
      <c r="J479" s="34"/>
      <c r="K479" s="105">
        <v>110000911309</v>
      </c>
      <c r="L479" s="34">
        <v>4789</v>
      </c>
      <c r="M479" s="48" t="str">
        <f>VLOOKUP(L479, '2017 SIC to NAICS'!A:D, 2)</f>
        <v>Transportation Services, Nec</v>
      </c>
      <c r="N479" s="34">
        <f>VLOOKUP(L479,'2017 SIC to NAICS'!A:D,3)</f>
        <v>722310</v>
      </c>
      <c r="O479" s="34" t="str">
        <f>VLOOKUP(L479,'2017 SIC to NAICS'!A:D,4)</f>
        <v>Food Service Contractors</v>
      </c>
      <c r="P479" s="36" t="s">
        <v>737</v>
      </c>
      <c r="Q479" s="137" t="s">
        <v>737</v>
      </c>
      <c r="R479" s="45" t="s">
        <v>41</v>
      </c>
      <c r="S479" s="138">
        <f>COUNTIFS('Raw Non-zero DMR Data'!$A:$A, A479, 'Raw Non-zero DMR Data'!$C:$C, U479, 'Raw Non-zero DMR Data'!$V:$V, V479)</f>
        <v>1</v>
      </c>
      <c r="T479" s="34">
        <f>SUMIFS('Raw Non-zero DMR Data'!$X:$X, 'Raw Non-zero DMR Data'!$A:$A, A479, 'Raw Non-zero DMR Data'!$C:$C, U479, 'Raw Non-zero DMR Data'!V:V, V479)</f>
        <v>1.3200050407300001E-3</v>
      </c>
      <c r="U479" s="34" t="s">
        <v>1316</v>
      </c>
      <c r="V479" s="34" t="s">
        <v>1300</v>
      </c>
      <c r="W479" s="141" t="s">
        <v>1302</v>
      </c>
      <c r="X479" s="140" t="s">
        <v>812</v>
      </c>
    </row>
    <row r="480" spans="1:24" x14ac:dyDescent="0.35">
      <c r="A480" s="34">
        <v>2020</v>
      </c>
      <c r="B480" s="34" t="s">
        <v>611</v>
      </c>
      <c r="C480" s="34" t="s">
        <v>1317</v>
      </c>
      <c r="D480" s="34" t="s">
        <v>612</v>
      </c>
      <c r="E480" s="34" t="s">
        <v>612</v>
      </c>
      <c r="F480" s="34" t="s">
        <v>91</v>
      </c>
      <c r="G480" s="34"/>
      <c r="H480" s="34">
        <v>30.27083</v>
      </c>
      <c r="I480" s="34">
        <v>-92.037279999999996</v>
      </c>
      <c r="J480" s="34"/>
      <c r="K480" s="105">
        <v>110000846602</v>
      </c>
      <c r="L480" s="34">
        <v>2821</v>
      </c>
      <c r="M480" s="48" t="str">
        <f>VLOOKUP(L480, '2017 SIC to NAICS'!A:D, 2)</f>
        <v>Plastics Materials and Resins</v>
      </c>
      <c r="N480" s="34">
        <f>VLOOKUP(L480,'2017 SIC to NAICS'!A:D,3)</f>
        <v>325211</v>
      </c>
      <c r="O480" s="34" t="str">
        <f>VLOOKUP(L480,'2017 SIC to NAICS'!A:D,4)</f>
        <v>Plastics Material and Resin Manufacturing</v>
      </c>
      <c r="P480" s="36" t="s">
        <v>796</v>
      </c>
      <c r="Q480" s="137" t="s">
        <v>797</v>
      </c>
      <c r="R480" s="45" t="s">
        <v>41</v>
      </c>
      <c r="S480" s="138">
        <f>COUNTIFS('Raw Non-zero DMR Data'!$A:$A, A480, 'Raw Non-zero DMR Data'!$C:$C, U480, 'Raw Non-zero DMR Data'!$V:$V, V480)</f>
        <v>1</v>
      </c>
      <c r="T480" s="34">
        <f>SUMIFS('Raw Non-zero DMR Data'!$X:$X, 'Raw Non-zero DMR Data'!$A:$A, A480, 'Raw Non-zero DMR Data'!$C:$C, U480, 'Raw Non-zero DMR Data'!V:V, V480)</f>
        <v>2.6525279999999999E-3</v>
      </c>
      <c r="U480" s="34" t="s">
        <v>1317</v>
      </c>
      <c r="V480" s="34" t="s">
        <v>1318</v>
      </c>
      <c r="W480" s="139">
        <v>80801030105</v>
      </c>
      <c r="X480" s="140" t="s">
        <v>812</v>
      </c>
    </row>
    <row r="481" spans="1:24" x14ac:dyDescent="0.35">
      <c r="A481" s="34">
        <v>2022</v>
      </c>
      <c r="B481" s="34" t="s">
        <v>611</v>
      </c>
      <c r="C481" s="34" t="s">
        <v>1317</v>
      </c>
      <c r="D481" s="34" t="s">
        <v>612</v>
      </c>
      <c r="E481" s="34" t="s">
        <v>612</v>
      </c>
      <c r="F481" s="34" t="s">
        <v>91</v>
      </c>
      <c r="G481" s="34"/>
      <c r="H481" s="34">
        <v>30.27083</v>
      </c>
      <c r="I481" s="34">
        <v>-92.037279999999996</v>
      </c>
      <c r="J481" s="34"/>
      <c r="K481" s="105">
        <v>110000846602</v>
      </c>
      <c r="L481" s="34">
        <v>2821</v>
      </c>
      <c r="M481" s="48" t="str">
        <f>VLOOKUP(L481, '2017 SIC to NAICS'!A:D, 2)</f>
        <v>Plastics Materials and Resins</v>
      </c>
      <c r="N481" s="34">
        <f>VLOOKUP(L481,'2017 SIC to NAICS'!A:D,3)</f>
        <v>325211</v>
      </c>
      <c r="O481" s="34" t="str">
        <f>VLOOKUP(L481,'2017 SIC to NAICS'!A:D,4)</f>
        <v>Plastics Material and Resin Manufacturing</v>
      </c>
      <c r="P481" s="36" t="s">
        <v>796</v>
      </c>
      <c r="Q481" s="137" t="s">
        <v>797</v>
      </c>
      <c r="R481" s="45" t="s">
        <v>41</v>
      </c>
      <c r="S481" s="138">
        <f>COUNTIFS('Raw Non-zero DMR Data'!$A:$A, A481, 'Raw Non-zero DMR Data'!$C:$C, U481, 'Raw Non-zero DMR Data'!$V:$V, V481)</f>
        <v>1</v>
      </c>
      <c r="T481" s="34">
        <f>SUMIFS('Raw Non-zero DMR Data'!$X:$X, 'Raw Non-zero DMR Data'!$A:$A, A481, 'Raw Non-zero DMR Data'!$C:$C, U481, 'Raw Non-zero DMR Data'!V:V, V481)</f>
        <v>9.5877835000000005E-3</v>
      </c>
      <c r="U481" s="34" t="s">
        <v>1317</v>
      </c>
      <c r="V481" s="34" t="s">
        <v>1318</v>
      </c>
      <c r="W481" s="141" t="s">
        <v>1319</v>
      </c>
      <c r="X481" s="140" t="s">
        <v>812</v>
      </c>
    </row>
    <row r="482" spans="1:24" x14ac:dyDescent="0.35">
      <c r="A482" s="34">
        <v>2023</v>
      </c>
      <c r="B482" s="34" t="s">
        <v>611</v>
      </c>
      <c r="C482" s="34" t="s">
        <v>1317</v>
      </c>
      <c r="D482" s="34" t="s">
        <v>612</v>
      </c>
      <c r="E482" s="34" t="s">
        <v>612</v>
      </c>
      <c r="F482" s="34" t="s">
        <v>91</v>
      </c>
      <c r="G482" s="34"/>
      <c r="H482" s="34">
        <v>30.27083</v>
      </c>
      <c r="I482" s="34">
        <v>-92.037279999999996</v>
      </c>
      <c r="J482" s="34"/>
      <c r="K482" s="105">
        <v>110000846602</v>
      </c>
      <c r="L482" s="34">
        <v>2821</v>
      </c>
      <c r="M482" s="48" t="str">
        <f>VLOOKUP(L482, '2017 SIC to NAICS'!A:D, 2)</f>
        <v>Plastics Materials and Resins</v>
      </c>
      <c r="N482" s="34">
        <f>VLOOKUP(L482,'2017 SIC to NAICS'!A:D,3)</f>
        <v>325211</v>
      </c>
      <c r="O482" s="34" t="str">
        <f>VLOOKUP(L482,'2017 SIC to NAICS'!A:D,4)</f>
        <v>Plastics Material and Resin Manufacturing</v>
      </c>
      <c r="P482" s="36" t="s">
        <v>796</v>
      </c>
      <c r="Q482" s="137" t="s">
        <v>797</v>
      </c>
      <c r="R482" s="45" t="s">
        <v>41</v>
      </c>
      <c r="S482" s="138">
        <f>COUNTIFS('Raw Non-zero DMR Data'!$A:$A, A482, 'Raw Non-zero DMR Data'!$C:$C, U482, 'Raw Non-zero DMR Data'!$V:$V, V482)</f>
        <v>1</v>
      </c>
      <c r="T482" s="34">
        <f>SUMIFS('Raw Non-zero DMR Data'!$X:$X, 'Raw Non-zero DMR Data'!$A:$A, A482, 'Raw Non-zero DMR Data'!$C:$C, U482, 'Raw Non-zero DMR Data'!V:V, V482)</f>
        <v>4.0637557874999997E-3</v>
      </c>
      <c r="U482" s="34" t="s">
        <v>1317</v>
      </c>
      <c r="V482" s="34" t="s">
        <v>1318</v>
      </c>
      <c r="W482" s="141" t="s">
        <v>1319</v>
      </c>
      <c r="X482" s="140" t="s">
        <v>812</v>
      </c>
    </row>
    <row r="483" spans="1:24" x14ac:dyDescent="0.35">
      <c r="A483" s="34">
        <v>2019</v>
      </c>
      <c r="B483" s="34" t="s">
        <v>686</v>
      </c>
      <c r="C483" s="34" t="s">
        <v>1320</v>
      </c>
      <c r="D483" s="34" t="s">
        <v>304</v>
      </c>
      <c r="E483" s="34" t="s">
        <v>779</v>
      </c>
      <c r="F483" s="34" t="s">
        <v>91</v>
      </c>
      <c r="G483" s="34"/>
      <c r="H483" s="34">
        <v>30.563776000000001</v>
      </c>
      <c r="I483" s="34">
        <v>-91.212565999999995</v>
      </c>
      <c r="J483" s="34"/>
      <c r="K483" s="105">
        <v>110012254363</v>
      </c>
      <c r="L483" s="34">
        <v>4491</v>
      </c>
      <c r="M483" s="48" t="str">
        <f>VLOOKUP(L483, '2017 SIC to NAICS'!A:D, 2)</f>
        <v>Marine Cargo Handling</v>
      </c>
      <c r="N483" s="34">
        <f>VLOOKUP(L483,'2017 SIC to NAICS'!A:D,3)</f>
        <v>488320</v>
      </c>
      <c r="O483" s="34" t="str">
        <f>VLOOKUP(L483,'2017 SIC to NAICS'!A:D,4)</f>
        <v>Marine Cargo Handling</v>
      </c>
      <c r="P483" s="36" t="s">
        <v>765</v>
      </c>
      <c r="Q483" s="137" t="s">
        <v>766</v>
      </c>
      <c r="R483" s="45" t="s">
        <v>41</v>
      </c>
      <c r="S483" s="138">
        <f>COUNTIFS('Raw Non-zero DMR Data'!$A:$A, A483, 'Raw Non-zero DMR Data'!$C:$C, U483, 'Raw Non-zero DMR Data'!$V:$V, V483)</f>
        <v>1</v>
      </c>
      <c r="T483" s="34">
        <f>SUMIFS('Raw Non-zero DMR Data'!$X:$X, 'Raw Non-zero DMR Data'!$A:$A, A483, 'Raw Non-zero DMR Data'!$C:$C, U483, 'Raw Non-zero DMR Data'!V:V, V483)</f>
        <v>5.8632488750000002E-5</v>
      </c>
      <c r="U483" s="34" t="s">
        <v>1320</v>
      </c>
      <c r="V483" s="34" t="s">
        <v>1321</v>
      </c>
      <c r="W483" s="139">
        <v>80702010402</v>
      </c>
      <c r="X483" s="140" t="s">
        <v>812</v>
      </c>
    </row>
    <row r="484" spans="1:24" x14ac:dyDescent="0.35">
      <c r="A484" s="34">
        <v>2020</v>
      </c>
      <c r="B484" s="34" t="s">
        <v>686</v>
      </c>
      <c r="C484" s="34" t="s">
        <v>1320</v>
      </c>
      <c r="D484" s="34" t="s">
        <v>304</v>
      </c>
      <c r="E484" s="34" t="s">
        <v>779</v>
      </c>
      <c r="F484" s="34" t="s">
        <v>91</v>
      </c>
      <c r="G484" s="34"/>
      <c r="H484" s="34">
        <v>30.563776000000001</v>
      </c>
      <c r="I484" s="34">
        <v>-91.212565999999995</v>
      </c>
      <c r="J484" s="34"/>
      <c r="K484" s="105">
        <v>110012254363</v>
      </c>
      <c r="L484" s="34">
        <v>4491</v>
      </c>
      <c r="M484" s="48" t="str">
        <f>VLOOKUP(L484, '2017 SIC to NAICS'!A:D, 2)</f>
        <v>Marine Cargo Handling</v>
      </c>
      <c r="N484" s="34">
        <f>VLOOKUP(L484,'2017 SIC to NAICS'!A:D,3)</f>
        <v>488320</v>
      </c>
      <c r="O484" s="34" t="str">
        <f>VLOOKUP(L484,'2017 SIC to NAICS'!A:D,4)</f>
        <v>Marine Cargo Handling</v>
      </c>
      <c r="P484" s="36" t="s">
        <v>765</v>
      </c>
      <c r="Q484" s="137" t="s">
        <v>766</v>
      </c>
      <c r="R484" s="45" t="s">
        <v>41</v>
      </c>
      <c r="S484" s="138">
        <f>COUNTIFS('Raw Non-zero DMR Data'!$A:$A, A484, 'Raw Non-zero DMR Data'!$C:$C, U484, 'Raw Non-zero DMR Data'!$V:$V, V484)</f>
        <v>1</v>
      </c>
      <c r="T484" s="34">
        <f>SUMIFS('Raw Non-zero DMR Data'!$X:$X, 'Raw Non-zero DMR Data'!$A:$A, A484, 'Raw Non-zero DMR Data'!$C:$C, U484, 'Raw Non-zero DMR Data'!V:V, V484)</f>
        <v>1.478364225E-4</v>
      </c>
      <c r="U484" s="34" t="s">
        <v>1320</v>
      </c>
      <c r="V484" s="34" t="s">
        <v>1321</v>
      </c>
      <c r="W484" s="139">
        <v>80702010402</v>
      </c>
      <c r="X484" s="140" t="s">
        <v>812</v>
      </c>
    </row>
    <row r="485" spans="1:24" x14ac:dyDescent="0.35">
      <c r="A485" s="34">
        <v>2021</v>
      </c>
      <c r="B485" s="34" t="s">
        <v>686</v>
      </c>
      <c r="C485" s="34" t="s">
        <v>1320</v>
      </c>
      <c r="D485" s="34" t="s">
        <v>304</v>
      </c>
      <c r="E485" s="34" t="s">
        <v>779</v>
      </c>
      <c r="F485" s="34" t="s">
        <v>91</v>
      </c>
      <c r="G485" s="34"/>
      <c r="H485" s="34">
        <v>30.563776000000001</v>
      </c>
      <c r="I485" s="34">
        <v>-91.212565999999995</v>
      </c>
      <c r="J485" s="34"/>
      <c r="K485" s="105">
        <v>110012254363</v>
      </c>
      <c r="L485" s="34">
        <v>4491</v>
      </c>
      <c r="M485" s="48" t="str">
        <f>VLOOKUP(L485, '2017 SIC to NAICS'!A:D, 2)</f>
        <v>Marine Cargo Handling</v>
      </c>
      <c r="N485" s="34">
        <f>VLOOKUP(L485,'2017 SIC to NAICS'!A:D,3)</f>
        <v>488320</v>
      </c>
      <c r="O485" s="34" t="str">
        <f>VLOOKUP(L485,'2017 SIC to NAICS'!A:D,4)</f>
        <v>Marine Cargo Handling</v>
      </c>
      <c r="P485" s="36" t="s">
        <v>765</v>
      </c>
      <c r="Q485" s="137" t="s">
        <v>766</v>
      </c>
      <c r="R485" s="45" t="s">
        <v>41</v>
      </c>
      <c r="S485" s="138">
        <f>COUNTIFS('Raw Non-zero DMR Data'!$A:$A, A485, 'Raw Non-zero DMR Data'!$C:$C, U485, 'Raw Non-zero DMR Data'!$V:$V, V485)</f>
        <v>1</v>
      </c>
      <c r="T485" s="34">
        <f>SUMIFS('Raw Non-zero DMR Data'!$X:$X, 'Raw Non-zero DMR Data'!$A:$A, A485, 'Raw Non-zero DMR Data'!$C:$C, U485, 'Raw Non-zero DMR Data'!V:V, V485)</f>
        <v>1.389780085E-5</v>
      </c>
      <c r="U485" s="34" t="s">
        <v>1320</v>
      </c>
      <c r="V485" s="34" t="s">
        <v>1321</v>
      </c>
      <c r="W485" s="139">
        <v>80702010402</v>
      </c>
      <c r="X485" s="140" t="s">
        <v>812</v>
      </c>
    </row>
    <row r="486" spans="1:24" x14ac:dyDescent="0.35">
      <c r="A486" s="34">
        <v>2022</v>
      </c>
      <c r="B486" s="34" t="s">
        <v>686</v>
      </c>
      <c r="C486" s="34" t="s">
        <v>1320</v>
      </c>
      <c r="D486" s="34" t="s">
        <v>304</v>
      </c>
      <c r="E486" s="34" t="s">
        <v>779</v>
      </c>
      <c r="F486" s="34" t="s">
        <v>91</v>
      </c>
      <c r="G486" s="34"/>
      <c r="H486" s="34">
        <v>30.563776000000001</v>
      </c>
      <c r="I486" s="34">
        <v>-91.212565999999995</v>
      </c>
      <c r="J486" s="34"/>
      <c r="K486" s="105">
        <v>110012254363</v>
      </c>
      <c r="L486" s="34">
        <v>4491</v>
      </c>
      <c r="M486" s="48" t="str">
        <f>VLOOKUP(L486, '2017 SIC to NAICS'!A:D, 2)</f>
        <v>Marine Cargo Handling</v>
      </c>
      <c r="N486" s="34">
        <f>VLOOKUP(L486,'2017 SIC to NAICS'!A:D,3)</f>
        <v>488320</v>
      </c>
      <c r="O486" s="34" t="str">
        <f>VLOOKUP(L486,'2017 SIC to NAICS'!A:D,4)</f>
        <v>Marine Cargo Handling</v>
      </c>
      <c r="P486" s="36" t="s">
        <v>765</v>
      </c>
      <c r="Q486" s="137" t="s">
        <v>766</v>
      </c>
      <c r="R486" s="45" t="s">
        <v>41</v>
      </c>
      <c r="S486" s="138">
        <f>COUNTIFS('Raw Non-zero DMR Data'!$A:$A, A486, 'Raw Non-zero DMR Data'!$C:$C, U486, 'Raw Non-zero DMR Data'!$V:$V, V486)</f>
        <v>1</v>
      </c>
      <c r="T486" s="34">
        <f>SUMIFS('Raw Non-zero DMR Data'!$X:$X, 'Raw Non-zero DMR Data'!$A:$A, A486, 'Raw Non-zero DMR Data'!$C:$C, U486, 'Raw Non-zero DMR Data'!V:V, V486)</f>
        <v>6.3985425000000002E-6</v>
      </c>
      <c r="U486" s="34" t="s">
        <v>1320</v>
      </c>
      <c r="V486" s="34" t="s">
        <v>1321</v>
      </c>
      <c r="W486" s="141" t="s">
        <v>1322</v>
      </c>
      <c r="X486" s="140" t="s">
        <v>812</v>
      </c>
    </row>
    <row r="487" spans="1:24" x14ac:dyDescent="0.35">
      <c r="A487" s="34">
        <v>2023</v>
      </c>
      <c r="B487" s="34" t="s">
        <v>686</v>
      </c>
      <c r="C487" s="34" t="s">
        <v>1320</v>
      </c>
      <c r="D487" s="34" t="s">
        <v>304</v>
      </c>
      <c r="E487" s="34" t="s">
        <v>779</v>
      </c>
      <c r="F487" s="34" t="s">
        <v>91</v>
      </c>
      <c r="G487" s="34"/>
      <c r="H487" s="34">
        <v>30.563776000000001</v>
      </c>
      <c r="I487" s="34">
        <v>-91.212565999999995</v>
      </c>
      <c r="J487" s="34"/>
      <c r="K487" s="105">
        <v>110012254363</v>
      </c>
      <c r="L487" s="34">
        <v>4491</v>
      </c>
      <c r="M487" s="48" t="str">
        <f>VLOOKUP(L487, '2017 SIC to NAICS'!A:D, 2)</f>
        <v>Marine Cargo Handling</v>
      </c>
      <c r="N487" s="34">
        <f>VLOOKUP(L487,'2017 SIC to NAICS'!A:D,3)</f>
        <v>488320</v>
      </c>
      <c r="O487" s="34" t="str">
        <f>VLOOKUP(L487,'2017 SIC to NAICS'!A:D,4)</f>
        <v>Marine Cargo Handling</v>
      </c>
      <c r="P487" s="36" t="s">
        <v>765</v>
      </c>
      <c r="Q487" s="137" t="s">
        <v>766</v>
      </c>
      <c r="R487" s="45" t="s">
        <v>41</v>
      </c>
      <c r="S487" s="138">
        <f>COUNTIFS('Raw Non-zero DMR Data'!$A:$A, A487, 'Raw Non-zero DMR Data'!$C:$C, U487, 'Raw Non-zero DMR Data'!$V:$V, V487)</f>
        <v>1</v>
      </c>
      <c r="T487" s="34">
        <f>SUMIFS('Raw Non-zero DMR Data'!$X:$X, 'Raw Non-zero DMR Data'!$A:$A, A487, 'Raw Non-zero DMR Data'!$C:$C, U487, 'Raw Non-zero DMR Data'!V:V, V487)</f>
        <v>4.3460978624999997E-4</v>
      </c>
      <c r="U487" s="34" t="s">
        <v>1320</v>
      </c>
      <c r="V487" s="34" t="s">
        <v>1321</v>
      </c>
      <c r="W487" s="141" t="s">
        <v>1322</v>
      </c>
      <c r="X487" s="140" t="s">
        <v>812</v>
      </c>
    </row>
    <row r="488" spans="1:24" x14ac:dyDescent="0.35">
      <c r="A488" s="34">
        <v>2019</v>
      </c>
      <c r="B488" s="34" t="s">
        <v>368</v>
      </c>
      <c r="C488" s="34" t="s">
        <v>1323</v>
      </c>
      <c r="D488" s="34" t="s">
        <v>369</v>
      </c>
      <c r="E488" s="34" t="s">
        <v>1324</v>
      </c>
      <c r="F488" s="34" t="s">
        <v>91</v>
      </c>
      <c r="G488" s="34"/>
      <c r="H488" s="34">
        <v>29.924576999999999</v>
      </c>
      <c r="I488" s="34">
        <v>-90.145308</v>
      </c>
      <c r="J488" s="34"/>
      <c r="K488" s="105">
        <v>110000834688</v>
      </c>
      <c r="L488" s="34">
        <v>4226</v>
      </c>
      <c r="M488" s="48" t="str">
        <f>VLOOKUP(L488, '2017 SIC to NAICS'!A:D, 2)</f>
        <v>Special Warehousing and Storage, Nec</v>
      </c>
      <c r="N488" s="34">
        <f>VLOOKUP(L488,'2017 SIC to NAICS'!A:D,3)</f>
        <v>493190</v>
      </c>
      <c r="O488" s="34" t="str">
        <f>VLOOKUP(L488,'2017 SIC to NAICS'!A:D,4)</f>
        <v>Other Warehousing and Storage</v>
      </c>
      <c r="P488" s="36" t="s">
        <v>765</v>
      </c>
      <c r="Q488" s="137" t="s">
        <v>766</v>
      </c>
      <c r="R488" s="45" t="s">
        <v>41</v>
      </c>
      <c r="S488" s="138">
        <f>COUNTIFS('Raw Non-zero DMR Data'!$A:$A, A488, 'Raw Non-zero DMR Data'!$C:$C, U488, 'Raw Non-zero DMR Data'!$V:$V, V488)</f>
        <v>1</v>
      </c>
      <c r="T488" s="34">
        <f>SUMIFS('Raw Non-zero DMR Data'!$X:$X, 'Raw Non-zero DMR Data'!$A:$A, A488, 'Raw Non-zero DMR Data'!$C:$C, U488, 'Raw Non-zero DMR Data'!V:V, V488)</f>
        <v>0.25074205625000001</v>
      </c>
      <c r="U488" s="34" t="s">
        <v>1323</v>
      </c>
      <c r="V488" s="34" t="s">
        <v>1325</v>
      </c>
      <c r="W488" s="139">
        <v>80903010307</v>
      </c>
      <c r="X488" s="140" t="s">
        <v>812</v>
      </c>
    </row>
    <row r="489" spans="1:24" x14ac:dyDescent="0.35">
      <c r="A489" s="34">
        <v>2020</v>
      </c>
      <c r="B489" s="34" t="s">
        <v>368</v>
      </c>
      <c r="C489" s="34" t="s">
        <v>1323</v>
      </c>
      <c r="D489" s="34" t="s">
        <v>369</v>
      </c>
      <c r="E489" s="34" t="s">
        <v>1324</v>
      </c>
      <c r="F489" s="34" t="s">
        <v>91</v>
      </c>
      <c r="G489" s="34"/>
      <c r="H489" s="34">
        <v>29.924576999999999</v>
      </c>
      <c r="I489" s="34">
        <v>-90.145308</v>
      </c>
      <c r="J489" s="34"/>
      <c r="K489" s="105">
        <v>110000834688</v>
      </c>
      <c r="L489" s="34">
        <v>4226</v>
      </c>
      <c r="M489" s="48" t="str">
        <f>VLOOKUP(L489, '2017 SIC to NAICS'!A:D, 2)</f>
        <v>Special Warehousing and Storage, Nec</v>
      </c>
      <c r="N489" s="34">
        <f>VLOOKUP(L489,'2017 SIC to NAICS'!A:D,3)</f>
        <v>493190</v>
      </c>
      <c r="O489" s="34" t="str">
        <f>VLOOKUP(L489,'2017 SIC to NAICS'!A:D,4)</f>
        <v>Other Warehousing and Storage</v>
      </c>
      <c r="P489" s="36" t="s">
        <v>765</v>
      </c>
      <c r="Q489" s="137" t="s">
        <v>766</v>
      </c>
      <c r="R489" s="45" t="s">
        <v>41</v>
      </c>
      <c r="S489" s="138">
        <f>COUNTIFS('Raw Non-zero DMR Data'!$A:$A, A489, 'Raw Non-zero DMR Data'!$C:$C, U489, 'Raw Non-zero DMR Data'!$V:$V, V489)</f>
        <v>1</v>
      </c>
      <c r="T489" s="34">
        <f>SUMIFS('Raw Non-zero DMR Data'!$X:$X, 'Raw Non-zero DMR Data'!$A:$A, A489, 'Raw Non-zero DMR Data'!$C:$C, U489, 'Raw Non-zero DMR Data'!V:V, V489)</f>
        <v>0.31542411050000002</v>
      </c>
      <c r="U489" s="34" t="s">
        <v>1323</v>
      </c>
      <c r="V489" s="34" t="s">
        <v>1325</v>
      </c>
      <c r="W489" s="139">
        <v>80903010307</v>
      </c>
      <c r="X489" s="140" t="s">
        <v>739</v>
      </c>
    </row>
    <row r="490" spans="1:24" x14ac:dyDescent="0.35">
      <c r="A490" s="34">
        <v>2021</v>
      </c>
      <c r="B490" s="34" t="s">
        <v>368</v>
      </c>
      <c r="C490" s="34" t="s">
        <v>1323</v>
      </c>
      <c r="D490" s="34" t="s">
        <v>369</v>
      </c>
      <c r="E490" s="34" t="s">
        <v>1324</v>
      </c>
      <c r="F490" s="34" t="s">
        <v>91</v>
      </c>
      <c r="G490" s="34"/>
      <c r="H490" s="34">
        <v>29.924576999999999</v>
      </c>
      <c r="I490" s="34">
        <v>-90.145308</v>
      </c>
      <c r="J490" s="34"/>
      <c r="K490" s="105">
        <v>110000834688</v>
      </c>
      <c r="L490" s="34">
        <v>4226</v>
      </c>
      <c r="M490" s="48" t="str">
        <f>VLOOKUP(L490, '2017 SIC to NAICS'!A:D, 2)</f>
        <v>Special Warehousing and Storage, Nec</v>
      </c>
      <c r="N490" s="34">
        <f>VLOOKUP(L490,'2017 SIC to NAICS'!A:D,3)</f>
        <v>493190</v>
      </c>
      <c r="O490" s="34" t="str">
        <f>VLOOKUP(L490,'2017 SIC to NAICS'!A:D,4)</f>
        <v>Other Warehousing and Storage</v>
      </c>
      <c r="P490" s="36" t="s">
        <v>765</v>
      </c>
      <c r="Q490" s="137" t="s">
        <v>766</v>
      </c>
      <c r="R490" s="45" t="s">
        <v>41</v>
      </c>
      <c r="S490" s="138">
        <f>COUNTIFS('Raw Non-zero DMR Data'!$A:$A, A490, 'Raw Non-zero DMR Data'!$C:$C, U490, 'Raw Non-zero DMR Data'!$V:$V, V490)</f>
        <v>1</v>
      </c>
      <c r="T490" s="34">
        <f>SUMIFS('Raw Non-zero DMR Data'!$X:$X, 'Raw Non-zero DMR Data'!$A:$A, A490, 'Raw Non-zero DMR Data'!$C:$C, U490, 'Raw Non-zero DMR Data'!V:V, V490)</f>
        <v>0.37187151875000002</v>
      </c>
      <c r="U490" s="34" t="s">
        <v>1323</v>
      </c>
      <c r="V490" s="34" t="s">
        <v>1325</v>
      </c>
      <c r="W490" s="139">
        <v>80903010307</v>
      </c>
      <c r="X490" s="140" t="s">
        <v>739</v>
      </c>
    </row>
    <row r="491" spans="1:24" x14ac:dyDescent="0.35">
      <c r="A491" s="34">
        <v>2022</v>
      </c>
      <c r="B491" s="34" t="s">
        <v>368</v>
      </c>
      <c r="C491" s="34" t="s">
        <v>1323</v>
      </c>
      <c r="D491" s="34" t="s">
        <v>369</v>
      </c>
      <c r="E491" s="34" t="s">
        <v>1324</v>
      </c>
      <c r="F491" s="34" t="s">
        <v>91</v>
      </c>
      <c r="G491" s="34"/>
      <c r="H491" s="34">
        <v>29.924576999999999</v>
      </c>
      <c r="I491" s="34">
        <v>-90.145308</v>
      </c>
      <c r="J491" s="34"/>
      <c r="K491" s="105">
        <v>110000834688</v>
      </c>
      <c r="L491" s="34">
        <v>4226</v>
      </c>
      <c r="M491" s="48" t="str">
        <f>VLOOKUP(L491, '2017 SIC to NAICS'!A:D, 2)</f>
        <v>Special Warehousing and Storage, Nec</v>
      </c>
      <c r="N491" s="34">
        <f>VLOOKUP(L491,'2017 SIC to NAICS'!A:D,3)</f>
        <v>493190</v>
      </c>
      <c r="O491" s="34" t="str">
        <f>VLOOKUP(L491,'2017 SIC to NAICS'!A:D,4)</f>
        <v>Other Warehousing and Storage</v>
      </c>
      <c r="P491" s="36" t="s">
        <v>765</v>
      </c>
      <c r="Q491" s="137" t="s">
        <v>766</v>
      </c>
      <c r="R491" s="45" t="s">
        <v>41</v>
      </c>
      <c r="S491" s="138">
        <f>COUNTIFS('Raw Non-zero DMR Data'!$A:$A, A491, 'Raw Non-zero DMR Data'!$C:$C, U491, 'Raw Non-zero DMR Data'!$V:$V, V491)</f>
        <v>1</v>
      </c>
      <c r="T491" s="34">
        <f>SUMIFS('Raw Non-zero DMR Data'!$X:$X, 'Raw Non-zero DMR Data'!$A:$A, A491, 'Raw Non-zero DMR Data'!$C:$C, U491, 'Raw Non-zero DMR Data'!V:V, V491)</f>
        <v>0.19499544075</v>
      </c>
      <c r="U491" s="34" t="s">
        <v>1323</v>
      </c>
      <c r="V491" s="34" t="s">
        <v>1325</v>
      </c>
      <c r="W491" s="141" t="s">
        <v>1326</v>
      </c>
      <c r="X491" s="140" t="s">
        <v>812</v>
      </c>
    </row>
    <row r="492" spans="1:24" x14ac:dyDescent="0.35">
      <c r="A492" s="34">
        <v>2023</v>
      </c>
      <c r="B492" s="34" t="s">
        <v>368</v>
      </c>
      <c r="C492" s="34" t="s">
        <v>1323</v>
      </c>
      <c r="D492" s="34" t="s">
        <v>369</v>
      </c>
      <c r="E492" s="34" t="s">
        <v>1324</v>
      </c>
      <c r="F492" s="34" t="s">
        <v>91</v>
      </c>
      <c r="G492" s="34"/>
      <c r="H492" s="34">
        <v>29.924576999999999</v>
      </c>
      <c r="I492" s="34">
        <v>-90.145308</v>
      </c>
      <c r="J492" s="34"/>
      <c r="K492" s="105">
        <v>110000834688</v>
      </c>
      <c r="L492" s="34">
        <v>4226</v>
      </c>
      <c r="M492" s="48" t="str">
        <f>VLOOKUP(L492, '2017 SIC to NAICS'!A:D, 2)</f>
        <v>Special Warehousing and Storage, Nec</v>
      </c>
      <c r="N492" s="34">
        <f>VLOOKUP(L492,'2017 SIC to NAICS'!A:D,3)</f>
        <v>493190</v>
      </c>
      <c r="O492" s="34" t="str">
        <f>VLOOKUP(L492,'2017 SIC to NAICS'!A:D,4)</f>
        <v>Other Warehousing and Storage</v>
      </c>
      <c r="P492" s="36" t="s">
        <v>765</v>
      </c>
      <c r="Q492" s="137" t="s">
        <v>766</v>
      </c>
      <c r="R492" s="45" t="s">
        <v>41</v>
      </c>
      <c r="S492" s="138">
        <f>COUNTIFS('Raw Non-zero DMR Data'!$A:$A, A492, 'Raw Non-zero DMR Data'!$C:$C, U492, 'Raw Non-zero DMR Data'!$V:$V, V492)</f>
        <v>1</v>
      </c>
      <c r="T492" s="34">
        <f>SUMIFS('Raw Non-zero DMR Data'!$X:$X, 'Raw Non-zero DMR Data'!$A:$A, A492, 'Raw Non-zero DMR Data'!$C:$C, U492, 'Raw Non-zero DMR Data'!V:V, V492)</f>
        <v>1.7405201379999999E-2</v>
      </c>
      <c r="U492" s="34" t="s">
        <v>1323</v>
      </c>
      <c r="V492" s="34" t="s">
        <v>1325</v>
      </c>
      <c r="W492" s="141" t="s">
        <v>1326</v>
      </c>
      <c r="X492" s="140" t="s">
        <v>812</v>
      </c>
    </row>
    <row r="493" spans="1:24" x14ac:dyDescent="0.35">
      <c r="A493" s="34">
        <v>2019</v>
      </c>
      <c r="B493" s="34" t="s">
        <v>241</v>
      </c>
      <c r="C493" s="34" t="s">
        <v>1327</v>
      </c>
      <c r="D493" s="34" t="s">
        <v>90</v>
      </c>
      <c r="E493" s="34" t="s">
        <v>771</v>
      </c>
      <c r="F493" s="34" t="s">
        <v>91</v>
      </c>
      <c r="G493" s="34"/>
      <c r="H493" s="34">
        <v>30.23771</v>
      </c>
      <c r="I493" s="34">
        <v>-93.258650000000003</v>
      </c>
      <c r="J493" s="34"/>
      <c r="K493" s="105">
        <v>110064611969</v>
      </c>
      <c r="L493" s="34">
        <v>2819</v>
      </c>
      <c r="M493" s="48" t="str">
        <f>VLOOKUP(L493, '2017 SIC to NAICS'!A:D, 2)</f>
        <v>Industrial Inorganic Chemicals, Nec</v>
      </c>
      <c r="N493" s="34">
        <f>VLOOKUP(L493,'2017 SIC to NAICS'!A:D,3)</f>
        <v>331313</v>
      </c>
      <c r="O493" s="34" t="str">
        <f>VLOOKUP(L493,'2017 SIC to NAICS'!A:D,4)</f>
        <v>Alumina Refining and Primary Aluminum
Production</v>
      </c>
      <c r="P493" s="36" t="s">
        <v>785</v>
      </c>
      <c r="Q493" s="137" t="s">
        <v>786</v>
      </c>
      <c r="R493" s="45" t="s">
        <v>41</v>
      </c>
      <c r="S493" s="138">
        <f>COUNTIFS('Raw Non-zero DMR Data'!$A:$A, A493, 'Raw Non-zero DMR Data'!$C:$C, U493, 'Raw Non-zero DMR Data'!$V:$V, V493)</f>
        <v>1</v>
      </c>
      <c r="T493" s="34">
        <f>SUMIFS('Raw Non-zero DMR Data'!$X:$X, 'Raw Non-zero DMR Data'!$A:$A, A493, 'Raw Non-zero DMR Data'!$C:$C, U493, 'Raw Non-zero DMR Data'!V:V, V493)</f>
        <v>2.5903593749999998</v>
      </c>
      <c r="U493" s="34" t="s">
        <v>1327</v>
      </c>
      <c r="V493" s="34" t="s">
        <v>1328</v>
      </c>
      <c r="W493" s="139">
        <v>80802060302</v>
      </c>
      <c r="X493" s="140" t="s">
        <v>1329</v>
      </c>
    </row>
    <row r="494" spans="1:24" x14ac:dyDescent="0.35">
      <c r="A494" s="34">
        <v>2019</v>
      </c>
      <c r="B494" s="34" t="s">
        <v>195</v>
      </c>
      <c r="C494" s="34" t="s">
        <v>1330</v>
      </c>
      <c r="D494" s="34" t="s">
        <v>90</v>
      </c>
      <c r="E494" s="34" t="s">
        <v>771</v>
      </c>
      <c r="F494" s="34" t="s">
        <v>91</v>
      </c>
      <c r="G494" s="34"/>
      <c r="H494" s="34">
        <v>30.214192000000001</v>
      </c>
      <c r="I494" s="34">
        <v>-93.308589999999995</v>
      </c>
      <c r="J494" s="34"/>
      <c r="K494" s="105">
        <v>110070208769</v>
      </c>
      <c r="L494" s="34">
        <v>2869</v>
      </c>
      <c r="M494" s="48" t="str">
        <f>VLOOKUP(L494, '2017 SIC to NAICS'!A:D, 2)</f>
        <v>Industrial Organic Chemicals, Nec</v>
      </c>
      <c r="N494" s="34">
        <f>VLOOKUP(L494,'2017 SIC to NAICS'!A:D,3)</f>
        <v>325998</v>
      </c>
      <c r="O494" s="34" t="str">
        <f>VLOOKUP(L494,'2017 SIC to NAICS'!A:D,4)</f>
        <v>All Other Miscellaneous Chemical Product and Preparation Manufacturing</v>
      </c>
      <c r="P494" s="36" t="s">
        <v>748</v>
      </c>
      <c r="Q494" s="137" t="s">
        <v>749</v>
      </c>
      <c r="R494" s="45" t="s">
        <v>41</v>
      </c>
      <c r="S494" s="138">
        <f>COUNTIFS('Raw Non-zero DMR Data'!$A:$A, A494, 'Raw Non-zero DMR Data'!$C:$C, U494, 'Raw Non-zero DMR Data'!$V:$V, V494)</f>
        <v>1</v>
      </c>
      <c r="T494" s="34">
        <f>SUMIFS('Raw Non-zero DMR Data'!$X:$X, 'Raw Non-zero DMR Data'!$A:$A, A494, 'Raw Non-zero DMR Data'!$C:$C, U494, 'Raw Non-zero DMR Data'!V:V, V494)</f>
        <v>4.8884449999999999</v>
      </c>
      <c r="U494" s="34" t="s">
        <v>1330</v>
      </c>
      <c r="V494" s="34" t="s">
        <v>1286</v>
      </c>
      <c r="W494" s="139">
        <v>80802060301</v>
      </c>
      <c r="X494" s="140" t="s">
        <v>1331</v>
      </c>
    </row>
    <row r="495" spans="1:24" x14ac:dyDescent="0.35">
      <c r="A495" s="34">
        <v>2019</v>
      </c>
      <c r="B495" s="34" t="s">
        <v>449</v>
      </c>
      <c r="C495" s="34" t="s">
        <v>1332</v>
      </c>
      <c r="D495" s="34" t="s">
        <v>450</v>
      </c>
      <c r="E495" s="34" t="s">
        <v>1333</v>
      </c>
      <c r="F495" s="34" t="s">
        <v>451</v>
      </c>
      <c r="G495" s="34"/>
      <c r="H495" s="34">
        <v>41.952649999999998</v>
      </c>
      <c r="I495" s="34">
        <v>-71.269720000000007</v>
      </c>
      <c r="J495" s="34"/>
      <c r="K495" s="105">
        <v>110064621805</v>
      </c>
      <c r="L495" s="34">
        <v>3356</v>
      </c>
      <c r="M495" s="48" t="str">
        <f>VLOOKUP(L495, '2017 SIC to NAICS'!A:D, 2)</f>
        <v>Nonferrous Rolling and Drawing, Nec</v>
      </c>
      <c r="N495" s="34">
        <f>VLOOKUP(L495,'2017 SIC to NAICS'!A:D,3)</f>
        <v>331491</v>
      </c>
      <c r="O495" s="34" t="str">
        <f>VLOOKUP(L495,'2017 SIC to NAICS'!A:D,4)</f>
        <v>Nonferrous Metal (except Copper and Aluminum) Rolling, Drawing, and Extruding</v>
      </c>
      <c r="P495" s="36" t="s">
        <v>785</v>
      </c>
      <c r="Q495" s="137" t="s">
        <v>786</v>
      </c>
      <c r="R495" s="45" t="s">
        <v>41</v>
      </c>
      <c r="S495" s="138">
        <f>COUNTIFS('Raw Non-zero DMR Data'!$A:$A, A495, 'Raw Non-zero DMR Data'!$C:$C, U495, 'Raw Non-zero DMR Data'!$V:$V, V495)</f>
        <v>1</v>
      </c>
      <c r="T495" s="34">
        <f>SUMIFS('Raw Non-zero DMR Data'!$X:$X, 'Raw Non-zero DMR Data'!$A:$A, A495, 'Raw Non-zero DMR Data'!$C:$C, U495, 'Raw Non-zero DMR Data'!V:V, V495)</f>
        <v>0.10537091117625</v>
      </c>
      <c r="U495" s="34" t="s">
        <v>1332</v>
      </c>
      <c r="V495" s="34" t="s">
        <v>1334</v>
      </c>
      <c r="W495" s="139">
        <v>10900040401</v>
      </c>
      <c r="X495" s="140" t="s">
        <v>1335</v>
      </c>
    </row>
    <row r="496" spans="1:24" x14ac:dyDescent="0.35">
      <c r="A496" s="34">
        <v>2020</v>
      </c>
      <c r="B496" s="34" t="s">
        <v>449</v>
      </c>
      <c r="C496" s="34" t="s">
        <v>1332</v>
      </c>
      <c r="D496" s="34" t="s">
        <v>450</v>
      </c>
      <c r="E496" s="34" t="s">
        <v>1333</v>
      </c>
      <c r="F496" s="34" t="s">
        <v>451</v>
      </c>
      <c r="G496" s="34"/>
      <c r="H496" s="34">
        <v>41.952649999999998</v>
      </c>
      <c r="I496" s="34">
        <v>-71.269720000000007</v>
      </c>
      <c r="J496" s="34"/>
      <c r="K496" s="105">
        <v>110064621805</v>
      </c>
      <c r="L496" s="34">
        <v>3356</v>
      </c>
      <c r="M496" s="48" t="str">
        <f>VLOOKUP(L496, '2017 SIC to NAICS'!A:D, 2)</f>
        <v>Nonferrous Rolling and Drawing, Nec</v>
      </c>
      <c r="N496" s="34">
        <f>VLOOKUP(L496,'2017 SIC to NAICS'!A:D,3)</f>
        <v>331491</v>
      </c>
      <c r="O496" s="34" t="str">
        <f>VLOOKUP(L496,'2017 SIC to NAICS'!A:D,4)</f>
        <v>Nonferrous Metal (except Copper and Aluminum) Rolling, Drawing, and Extruding</v>
      </c>
      <c r="P496" s="36" t="s">
        <v>785</v>
      </c>
      <c r="Q496" s="137" t="s">
        <v>786</v>
      </c>
      <c r="R496" s="45" t="s">
        <v>41</v>
      </c>
      <c r="S496" s="138">
        <f>COUNTIFS('Raw Non-zero DMR Data'!$A:$A, A496, 'Raw Non-zero DMR Data'!$C:$C, U496, 'Raw Non-zero DMR Data'!$V:$V, V496)</f>
        <v>1</v>
      </c>
      <c r="T496" s="34">
        <f>SUMIFS('Raw Non-zero DMR Data'!$X:$X, 'Raw Non-zero DMR Data'!$A:$A, A496, 'Raw Non-zero DMR Data'!$C:$C, U496, 'Raw Non-zero DMR Data'!V:V, V496)</f>
        <v>9.5464871628750003E-2</v>
      </c>
      <c r="U496" s="34" t="s">
        <v>1332</v>
      </c>
      <c r="V496" s="34" t="s">
        <v>1334</v>
      </c>
      <c r="W496" s="139">
        <v>10900040401</v>
      </c>
      <c r="X496" s="140" t="s">
        <v>1335</v>
      </c>
    </row>
    <row r="497" spans="1:24" x14ac:dyDescent="0.35">
      <c r="A497" s="34">
        <v>2021</v>
      </c>
      <c r="B497" s="34" t="s">
        <v>449</v>
      </c>
      <c r="C497" s="34" t="s">
        <v>1332</v>
      </c>
      <c r="D497" s="34" t="s">
        <v>450</v>
      </c>
      <c r="E497" s="34" t="s">
        <v>1333</v>
      </c>
      <c r="F497" s="34" t="s">
        <v>451</v>
      </c>
      <c r="G497" s="34"/>
      <c r="H497" s="34">
        <v>41.952649999999998</v>
      </c>
      <c r="I497" s="34">
        <v>-71.269720000000007</v>
      </c>
      <c r="J497" s="34"/>
      <c r="K497" s="105">
        <v>110064621805</v>
      </c>
      <c r="L497" s="34">
        <v>3356</v>
      </c>
      <c r="M497" s="48" t="str">
        <f>VLOOKUP(L497, '2017 SIC to NAICS'!A:D, 2)</f>
        <v>Nonferrous Rolling and Drawing, Nec</v>
      </c>
      <c r="N497" s="34">
        <f>VLOOKUP(L497,'2017 SIC to NAICS'!A:D,3)</f>
        <v>331491</v>
      </c>
      <c r="O497" s="34" t="str">
        <f>VLOOKUP(L497,'2017 SIC to NAICS'!A:D,4)</f>
        <v>Nonferrous Metal (except Copper and Aluminum) Rolling, Drawing, and Extruding</v>
      </c>
      <c r="P497" s="36" t="s">
        <v>785</v>
      </c>
      <c r="Q497" s="137" t="s">
        <v>786</v>
      </c>
      <c r="R497" s="45" t="s">
        <v>41</v>
      </c>
      <c r="S497" s="138">
        <f>COUNTIFS('Raw Non-zero DMR Data'!$A:$A, A497, 'Raw Non-zero DMR Data'!$C:$C, U497, 'Raw Non-zero DMR Data'!$V:$V, V497)</f>
        <v>1</v>
      </c>
      <c r="T497" s="34">
        <f>SUMIFS('Raw Non-zero DMR Data'!$X:$X, 'Raw Non-zero DMR Data'!$A:$A, A497, 'Raw Non-zero DMR Data'!$C:$C, U497, 'Raw Non-zero DMR Data'!V:V, V497)</f>
        <v>0.11128052440875</v>
      </c>
      <c r="U497" s="34" t="s">
        <v>1332</v>
      </c>
      <c r="V497" s="34" t="s">
        <v>1334</v>
      </c>
      <c r="W497" s="139">
        <v>10900040401</v>
      </c>
      <c r="X497" s="140" t="s">
        <v>1335</v>
      </c>
    </row>
    <row r="498" spans="1:24" x14ac:dyDescent="0.35">
      <c r="A498" s="34">
        <v>2022</v>
      </c>
      <c r="B498" s="34" t="s">
        <v>449</v>
      </c>
      <c r="C498" s="34" t="s">
        <v>1332</v>
      </c>
      <c r="D498" s="34" t="s">
        <v>450</v>
      </c>
      <c r="E498" s="34" t="s">
        <v>1333</v>
      </c>
      <c r="F498" s="34" t="s">
        <v>451</v>
      </c>
      <c r="G498" s="34"/>
      <c r="H498" s="34">
        <v>41.952649999999998</v>
      </c>
      <c r="I498" s="34">
        <v>-71.269720000000007</v>
      </c>
      <c r="J498" s="34"/>
      <c r="K498" s="105">
        <v>110064621805</v>
      </c>
      <c r="L498" s="34">
        <v>3356</v>
      </c>
      <c r="M498" s="48" t="str">
        <f>VLOOKUP(L498, '2017 SIC to NAICS'!A:D, 2)</f>
        <v>Nonferrous Rolling and Drawing, Nec</v>
      </c>
      <c r="N498" s="34">
        <f>VLOOKUP(L498,'2017 SIC to NAICS'!A:D,3)</f>
        <v>331491</v>
      </c>
      <c r="O498" s="34" t="str">
        <f>VLOOKUP(L498,'2017 SIC to NAICS'!A:D,4)</f>
        <v>Nonferrous Metal (except Copper and Aluminum) Rolling, Drawing, and Extruding</v>
      </c>
      <c r="P498" s="36" t="s">
        <v>785</v>
      </c>
      <c r="Q498" s="137" t="s">
        <v>786</v>
      </c>
      <c r="R498" s="45" t="s">
        <v>41</v>
      </c>
      <c r="S498" s="138">
        <f>COUNTIFS('Raw Non-zero DMR Data'!$A:$A, A498, 'Raw Non-zero DMR Data'!$C:$C, U498, 'Raw Non-zero DMR Data'!$V:$V, V498)</f>
        <v>1</v>
      </c>
      <c r="T498" s="34">
        <f>SUMIFS('Raw Non-zero DMR Data'!$X:$X, 'Raw Non-zero DMR Data'!$A:$A, A498, 'Raw Non-zero DMR Data'!$C:$C, U498, 'Raw Non-zero DMR Data'!V:V, V498)</f>
        <v>9.5242458404999994E-2</v>
      </c>
      <c r="U498" s="34" t="s">
        <v>1332</v>
      </c>
      <c r="V498" s="34" t="s">
        <v>1334</v>
      </c>
      <c r="W498" s="141" t="s">
        <v>1336</v>
      </c>
      <c r="X498" s="140" t="s">
        <v>1335</v>
      </c>
    </row>
    <row r="499" spans="1:24" x14ac:dyDescent="0.35">
      <c r="A499" s="34">
        <v>2023</v>
      </c>
      <c r="B499" s="34" t="s">
        <v>449</v>
      </c>
      <c r="C499" s="34" t="s">
        <v>1332</v>
      </c>
      <c r="D499" s="34" t="s">
        <v>450</v>
      </c>
      <c r="E499" s="34" t="s">
        <v>1333</v>
      </c>
      <c r="F499" s="34" t="s">
        <v>451</v>
      </c>
      <c r="G499" s="34"/>
      <c r="H499" s="34">
        <v>41.952649999999998</v>
      </c>
      <c r="I499" s="34">
        <v>-71.269720000000007</v>
      </c>
      <c r="J499" s="34"/>
      <c r="K499" s="105">
        <v>110064621805</v>
      </c>
      <c r="L499" s="34">
        <v>3356</v>
      </c>
      <c r="M499" s="48" t="str">
        <f>VLOOKUP(L499, '2017 SIC to NAICS'!A:D, 2)</f>
        <v>Nonferrous Rolling and Drawing, Nec</v>
      </c>
      <c r="N499" s="34">
        <f>VLOOKUP(L499,'2017 SIC to NAICS'!A:D,3)</f>
        <v>331491</v>
      </c>
      <c r="O499" s="34" t="str">
        <f>VLOOKUP(L499,'2017 SIC to NAICS'!A:D,4)</f>
        <v>Nonferrous Metal (except Copper and Aluminum) Rolling, Drawing, and Extruding</v>
      </c>
      <c r="P499" s="36" t="s">
        <v>785</v>
      </c>
      <c r="Q499" s="137" t="s">
        <v>786</v>
      </c>
      <c r="R499" s="45" t="s">
        <v>41</v>
      </c>
      <c r="S499" s="138">
        <f>COUNTIFS('Raw Non-zero DMR Data'!$A:$A, A499, 'Raw Non-zero DMR Data'!$C:$C, U499, 'Raw Non-zero DMR Data'!$V:$V, V499)</f>
        <v>1</v>
      </c>
      <c r="T499" s="34">
        <f>SUMIFS('Raw Non-zero DMR Data'!$X:$X, 'Raw Non-zero DMR Data'!$A:$A, A499, 'Raw Non-zero DMR Data'!$C:$C, U499, 'Raw Non-zero DMR Data'!V:V, V499)</f>
        <v>0.11421404607750001</v>
      </c>
      <c r="U499" s="34" t="s">
        <v>1332</v>
      </c>
      <c r="V499" s="34" t="s">
        <v>1334</v>
      </c>
      <c r="W499" s="141" t="s">
        <v>1336</v>
      </c>
      <c r="X499" s="140" t="s">
        <v>1335</v>
      </c>
    </row>
    <row r="500" spans="1:24" x14ac:dyDescent="0.35">
      <c r="A500" s="34">
        <v>2023</v>
      </c>
      <c r="B500" s="34" t="s">
        <v>639</v>
      </c>
      <c r="C500" s="34" t="s">
        <v>1337</v>
      </c>
      <c r="D500" s="34" t="s">
        <v>640</v>
      </c>
      <c r="E500" s="34" t="s">
        <v>1338</v>
      </c>
      <c r="F500" s="34" t="s">
        <v>451</v>
      </c>
      <c r="G500" s="34"/>
      <c r="H500" s="34">
        <v>42.313240999999998</v>
      </c>
      <c r="I500" s="34">
        <v>-71.046143999999998</v>
      </c>
      <c r="J500" s="34"/>
      <c r="K500" s="105">
        <v>110071445083</v>
      </c>
      <c r="L500" s="34">
        <v>4959</v>
      </c>
      <c r="M500" s="48" t="str">
        <f>VLOOKUP(L500, '2017 SIC to NAICS'!A:D, 2)</f>
        <v>Sanitary Services, Nec</v>
      </c>
      <c r="N500" s="34">
        <f>VLOOKUP(L500,'2017 SIC to NAICS'!A:D,3)</f>
        <v>562998</v>
      </c>
      <c r="O500" s="34" t="str">
        <f>VLOOKUP(L500,'2017 SIC to NAICS'!A:D,4)</f>
        <v>All Other Miscellaneous Waste
Management Services</v>
      </c>
      <c r="P500" s="36" t="s">
        <v>754</v>
      </c>
      <c r="Q500" s="137" t="s">
        <v>755</v>
      </c>
      <c r="R500" s="45" t="s">
        <v>41</v>
      </c>
      <c r="S500" s="138">
        <f>COUNTIFS('Raw Non-zero DMR Data'!$A:$A, A500, 'Raw Non-zero DMR Data'!$C:$C, U500, 'Raw Non-zero DMR Data'!$V:$V, V500)</f>
        <v>1</v>
      </c>
      <c r="T500" s="34">
        <f>SUMIFS('Raw Non-zero DMR Data'!$X:$X, 'Raw Non-zero DMR Data'!$A:$A, A500, 'Raw Non-zero DMR Data'!$C:$C, U500, 'Raw Non-zero DMR Data'!V:V, V500)</f>
        <v>4.6591457500000004E-3</v>
      </c>
      <c r="U500" s="34" t="s">
        <v>1337</v>
      </c>
      <c r="V500" s="34" t="s">
        <v>1339</v>
      </c>
      <c r="W500" s="141" t="s">
        <v>1340</v>
      </c>
      <c r="X500" s="140" t="s">
        <v>739</v>
      </c>
    </row>
    <row r="501" spans="1:24" x14ac:dyDescent="0.35">
      <c r="A501" s="34">
        <v>2023</v>
      </c>
      <c r="B501" s="34" t="s">
        <v>537</v>
      </c>
      <c r="C501" s="34" t="s">
        <v>1341</v>
      </c>
      <c r="D501" s="34" t="s">
        <v>538</v>
      </c>
      <c r="E501" s="34" t="s">
        <v>1342</v>
      </c>
      <c r="F501" s="34" t="s">
        <v>451</v>
      </c>
      <c r="G501" s="34"/>
      <c r="H501" s="34">
        <v>42.380471999999997</v>
      </c>
      <c r="I501" s="34">
        <v>-71.175021999999998</v>
      </c>
      <c r="J501" s="34"/>
      <c r="K501" s="105">
        <v>110071514272</v>
      </c>
      <c r="L501" s="34">
        <v>4959</v>
      </c>
      <c r="M501" s="48" t="str">
        <f>VLOOKUP(L501, '2017 SIC to NAICS'!A:D, 2)</f>
        <v>Sanitary Services, Nec</v>
      </c>
      <c r="N501" s="34">
        <f>VLOOKUP(L501,'2017 SIC to NAICS'!A:D,3)</f>
        <v>562998</v>
      </c>
      <c r="O501" s="34" t="str">
        <f>VLOOKUP(L501,'2017 SIC to NAICS'!A:D,4)</f>
        <v>All Other Miscellaneous Waste
Management Services</v>
      </c>
      <c r="P501" s="36" t="s">
        <v>754</v>
      </c>
      <c r="Q501" s="137" t="s">
        <v>755</v>
      </c>
      <c r="R501" s="45" t="s">
        <v>38</v>
      </c>
      <c r="S501" s="138">
        <f>COUNTIFS('Raw Non-zero DMR Data'!$A:$A, A501, 'Raw Non-zero DMR Data'!$C:$C, U501, 'Raw Non-zero DMR Data'!$V:$V, V501)</f>
        <v>1</v>
      </c>
      <c r="T501" s="34">
        <f>SUMIFS('Raw Non-zero DMR Data'!$X:$X, 'Raw Non-zero DMR Data'!$A:$A, A501, 'Raw Non-zero DMR Data'!$C:$C, U501, 'Raw Non-zero DMR Data'!V:V, V501)</f>
        <v>3.2979462000000001E-2</v>
      </c>
      <c r="U501" s="34" t="s">
        <v>1341</v>
      </c>
      <c r="V501" s="34" t="s">
        <v>1343</v>
      </c>
      <c r="W501" s="141" t="s">
        <v>1344</v>
      </c>
      <c r="X501" s="140" t="s">
        <v>745</v>
      </c>
    </row>
    <row r="502" spans="1:24" x14ac:dyDescent="0.35">
      <c r="A502" s="34">
        <v>2020</v>
      </c>
      <c r="B502" s="34" t="s">
        <v>479</v>
      </c>
      <c r="C502" s="34" t="s">
        <v>1345</v>
      </c>
      <c r="D502" s="34" t="s">
        <v>480</v>
      </c>
      <c r="E502" s="34" t="s">
        <v>862</v>
      </c>
      <c r="F502" s="34" t="s">
        <v>481</v>
      </c>
      <c r="G502" s="34"/>
      <c r="H502" s="34">
        <v>38.987340000000003</v>
      </c>
      <c r="I502" s="34">
        <v>-77.026660000000007</v>
      </c>
      <c r="J502" s="34"/>
      <c r="K502" s="105">
        <v>110037096674</v>
      </c>
      <c r="L502" s="34">
        <v>1522</v>
      </c>
      <c r="M502" s="48" t="str">
        <f>VLOOKUP(L502, '2017 SIC to NAICS'!A:D, 2)</f>
        <v>Residential Construction, Nec</v>
      </c>
      <c r="N502" s="34">
        <f>VLOOKUP(L502,'2017 SIC to NAICS'!A:D,3)</f>
        <v>236220</v>
      </c>
      <c r="O502" s="34" t="str">
        <f>VLOOKUP(L502,'2017 SIC to NAICS'!A:D,4)</f>
        <v>Commercial and Institutional Building
Construction</v>
      </c>
      <c r="P502" s="36" t="s">
        <v>731</v>
      </c>
      <c r="Q502" s="137" t="s">
        <v>732</v>
      </c>
      <c r="R502" s="45" t="s">
        <v>41</v>
      </c>
      <c r="S502" s="138">
        <f>COUNTIFS('Raw Non-zero DMR Data'!$A:$A, A502, 'Raw Non-zero DMR Data'!$C:$C, U502, 'Raw Non-zero DMR Data'!$V:$V, V502)</f>
        <v>1</v>
      </c>
      <c r="T502" s="34">
        <f>SUMIFS('Raw Non-zero DMR Data'!$X:$X, 'Raw Non-zero DMR Data'!$A:$A, A502, 'Raw Non-zero DMR Data'!$C:$C, U502, 'Raw Non-zero DMR Data'!V:V, V502)</f>
        <v>2.7311939260000001E-2</v>
      </c>
      <c r="U502" s="34" t="s">
        <v>1345</v>
      </c>
      <c r="V502" s="34" t="s">
        <v>1346</v>
      </c>
      <c r="W502" s="139">
        <v>20700100102</v>
      </c>
      <c r="X502" s="140" t="s">
        <v>792</v>
      </c>
    </row>
    <row r="503" spans="1:24" x14ac:dyDescent="0.35">
      <c r="A503" s="34">
        <v>2021</v>
      </c>
      <c r="B503" s="34" t="s">
        <v>479</v>
      </c>
      <c r="C503" s="34" t="s">
        <v>1345</v>
      </c>
      <c r="D503" s="34" t="s">
        <v>480</v>
      </c>
      <c r="E503" s="34" t="s">
        <v>862</v>
      </c>
      <c r="F503" s="34" t="s">
        <v>481</v>
      </c>
      <c r="G503" s="34"/>
      <c r="H503" s="34">
        <v>38.987340000000003</v>
      </c>
      <c r="I503" s="34">
        <v>-77.026660000000007</v>
      </c>
      <c r="J503" s="34"/>
      <c r="K503" s="105">
        <v>110037096674</v>
      </c>
      <c r="L503" s="34">
        <v>1522</v>
      </c>
      <c r="M503" s="48" t="str">
        <f>VLOOKUP(L503, '2017 SIC to NAICS'!A:D, 2)</f>
        <v>Residential Construction, Nec</v>
      </c>
      <c r="N503" s="34">
        <f>VLOOKUP(L503,'2017 SIC to NAICS'!A:D,3)</f>
        <v>236220</v>
      </c>
      <c r="O503" s="34" t="str">
        <f>VLOOKUP(L503,'2017 SIC to NAICS'!A:D,4)</f>
        <v>Commercial and Institutional Building
Construction</v>
      </c>
      <c r="P503" s="36" t="s">
        <v>731</v>
      </c>
      <c r="Q503" s="137" t="s">
        <v>732</v>
      </c>
      <c r="R503" s="45" t="s">
        <v>41</v>
      </c>
      <c r="S503" s="138">
        <f>COUNTIFS('Raw Non-zero DMR Data'!$A:$A, A503, 'Raw Non-zero DMR Data'!$C:$C, U503, 'Raw Non-zero DMR Data'!$V:$V, V503)</f>
        <v>1</v>
      </c>
      <c r="T503" s="34">
        <f>SUMIFS('Raw Non-zero DMR Data'!$X:$X, 'Raw Non-zero DMR Data'!$A:$A, A503, 'Raw Non-zero DMR Data'!$C:$C, U503, 'Raw Non-zero DMR Data'!V:V, V503)</f>
        <v>6.9468385462500004E-2</v>
      </c>
      <c r="U503" s="34" t="s">
        <v>1345</v>
      </c>
      <c r="V503" s="34" t="s">
        <v>1346</v>
      </c>
      <c r="W503" s="139">
        <v>20700100102</v>
      </c>
      <c r="X503" s="140" t="s">
        <v>792</v>
      </c>
    </row>
    <row r="504" spans="1:24" x14ac:dyDescent="0.35">
      <c r="A504" s="34">
        <v>2019</v>
      </c>
      <c r="B504" s="34" t="s">
        <v>673</v>
      </c>
      <c r="C504" s="34" t="s">
        <v>1347</v>
      </c>
      <c r="D504" s="34" t="s">
        <v>674</v>
      </c>
      <c r="E504" s="34" t="s">
        <v>1250</v>
      </c>
      <c r="F504" s="34" t="s">
        <v>481</v>
      </c>
      <c r="G504" s="34"/>
      <c r="H504" s="34">
        <v>39.567390000000003</v>
      </c>
      <c r="I504" s="34">
        <v>-76.920410000000004</v>
      </c>
      <c r="J504" s="34"/>
      <c r="K504" s="105">
        <v>110041245015</v>
      </c>
      <c r="L504" s="34"/>
      <c r="M504" s="48" t="e">
        <f>VLOOKUP(L504, '2017 SIC to NAICS'!A:D, 2)</f>
        <v>#N/A</v>
      </c>
      <c r="N504" s="34" t="e">
        <f>VLOOKUP(L504,'2017 SIC to NAICS'!A:D,3)</f>
        <v>#N/A</v>
      </c>
      <c r="O504" s="34" t="e">
        <f>VLOOKUP(L504,'2017 SIC to NAICS'!A:D,4)</f>
        <v>#N/A</v>
      </c>
      <c r="P504" s="36" t="s">
        <v>737</v>
      </c>
      <c r="Q504" s="137" t="s">
        <v>737</v>
      </c>
      <c r="R504" s="45" t="s">
        <v>41</v>
      </c>
      <c r="S504" s="138">
        <f>COUNTIFS('Raw Non-zero DMR Data'!$A:$A, A504, 'Raw Non-zero DMR Data'!$C:$C, U504, 'Raw Non-zero DMR Data'!$V:$V, V504)</f>
        <v>1</v>
      </c>
      <c r="T504" s="34">
        <f>SUMIFS('Raw Non-zero DMR Data'!$X:$X, 'Raw Non-zero DMR Data'!$A:$A, A504, 'Raw Non-zero DMR Data'!$C:$C, U504, 'Raw Non-zero DMR Data'!V:V, V504)</f>
        <v>6.9421631250000005E-4</v>
      </c>
      <c r="U504" s="34" t="s">
        <v>1347</v>
      </c>
      <c r="V504" s="34" t="s">
        <v>1348</v>
      </c>
      <c r="W504" s="139">
        <v>20600030802</v>
      </c>
      <c r="X504" s="140" t="s">
        <v>812</v>
      </c>
    </row>
    <row r="505" spans="1:24" x14ac:dyDescent="0.35">
      <c r="A505" s="34">
        <v>2020</v>
      </c>
      <c r="B505" s="34" t="s">
        <v>673</v>
      </c>
      <c r="C505" s="34" t="s">
        <v>1347</v>
      </c>
      <c r="D505" s="34" t="s">
        <v>674</v>
      </c>
      <c r="E505" s="34" t="s">
        <v>1250</v>
      </c>
      <c r="F505" s="34" t="s">
        <v>481</v>
      </c>
      <c r="G505" s="34"/>
      <c r="H505" s="34">
        <v>39.567390000000003</v>
      </c>
      <c r="I505" s="34">
        <v>-76.920410000000004</v>
      </c>
      <c r="J505" s="34"/>
      <c r="K505" s="105">
        <v>110041245015</v>
      </c>
      <c r="L505" s="34"/>
      <c r="M505" s="48" t="e">
        <f>VLOOKUP(L505, '2017 SIC to NAICS'!A:D, 2)</f>
        <v>#N/A</v>
      </c>
      <c r="N505" s="34" t="e">
        <f>VLOOKUP(L505,'2017 SIC to NAICS'!A:D,3)</f>
        <v>#N/A</v>
      </c>
      <c r="O505" s="34" t="e">
        <f>VLOOKUP(L505,'2017 SIC to NAICS'!A:D,4)</f>
        <v>#N/A</v>
      </c>
      <c r="P505" s="36" t="s">
        <v>737</v>
      </c>
      <c r="Q505" s="137" t="s">
        <v>737</v>
      </c>
      <c r="R505" s="45" t="s">
        <v>41</v>
      </c>
      <c r="S505" s="138">
        <f>COUNTIFS('Raw Non-zero DMR Data'!$A:$A, A505, 'Raw Non-zero DMR Data'!$C:$C, U505, 'Raw Non-zero DMR Data'!$V:$V, V505)</f>
        <v>1</v>
      </c>
      <c r="T505" s="34">
        <f>SUMIFS('Raw Non-zero DMR Data'!$X:$X, 'Raw Non-zero DMR Data'!$A:$A, A505, 'Raw Non-zero DMR Data'!$C:$C, U505, 'Raw Non-zero DMR Data'!V:V, V505)</f>
        <v>7.5638493749999997E-4</v>
      </c>
      <c r="U505" s="34" t="s">
        <v>1347</v>
      </c>
      <c r="V505" s="34" t="s">
        <v>1348</v>
      </c>
      <c r="W505" s="139">
        <v>20600030802</v>
      </c>
      <c r="X505" s="140" t="s">
        <v>812</v>
      </c>
    </row>
    <row r="506" spans="1:24" x14ac:dyDescent="0.35">
      <c r="A506" s="34">
        <v>2021</v>
      </c>
      <c r="B506" s="34" t="s">
        <v>673</v>
      </c>
      <c r="C506" s="34" t="s">
        <v>1347</v>
      </c>
      <c r="D506" s="34" t="s">
        <v>674</v>
      </c>
      <c r="E506" s="34" t="s">
        <v>1250</v>
      </c>
      <c r="F506" s="34" t="s">
        <v>481</v>
      </c>
      <c r="G506" s="34"/>
      <c r="H506" s="34">
        <v>39.567390000000003</v>
      </c>
      <c r="I506" s="34">
        <v>-76.920410000000004</v>
      </c>
      <c r="J506" s="34"/>
      <c r="K506" s="105">
        <v>110041245015</v>
      </c>
      <c r="L506" s="34"/>
      <c r="M506" s="48" t="e">
        <f>VLOOKUP(L506, '2017 SIC to NAICS'!A:D, 2)</f>
        <v>#N/A</v>
      </c>
      <c r="N506" s="34" t="e">
        <f>VLOOKUP(L506,'2017 SIC to NAICS'!A:D,3)</f>
        <v>#N/A</v>
      </c>
      <c r="O506" s="34" t="e">
        <f>VLOOKUP(L506,'2017 SIC to NAICS'!A:D,4)</f>
        <v>#N/A</v>
      </c>
      <c r="P506" s="36" t="s">
        <v>737</v>
      </c>
      <c r="Q506" s="137" t="s">
        <v>737</v>
      </c>
      <c r="R506" s="45" t="s">
        <v>41</v>
      </c>
      <c r="S506" s="138">
        <f>COUNTIFS('Raw Non-zero DMR Data'!$A:$A, A506, 'Raw Non-zero DMR Data'!$C:$C, U506, 'Raw Non-zero DMR Data'!$V:$V, V506)</f>
        <v>1</v>
      </c>
      <c r="T506" s="34">
        <f>SUMIFS('Raw Non-zero DMR Data'!$X:$X, 'Raw Non-zero DMR Data'!$A:$A, A506, 'Raw Non-zero DMR Data'!$C:$C, U506, 'Raw Non-zero DMR Data'!V:V, V506)</f>
        <v>7.3911587500000001E-4</v>
      </c>
      <c r="U506" s="34" t="s">
        <v>1347</v>
      </c>
      <c r="V506" s="34" t="s">
        <v>1348</v>
      </c>
      <c r="W506" s="139">
        <v>20600030802</v>
      </c>
      <c r="X506" s="140" t="s">
        <v>812</v>
      </c>
    </row>
    <row r="507" spans="1:24" x14ac:dyDescent="0.35">
      <c r="A507" s="34">
        <v>2022</v>
      </c>
      <c r="B507" s="34" t="s">
        <v>673</v>
      </c>
      <c r="C507" s="34" t="s">
        <v>1347</v>
      </c>
      <c r="D507" s="34" t="s">
        <v>674</v>
      </c>
      <c r="E507" s="34" t="s">
        <v>1250</v>
      </c>
      <c r="F507" s="34" t="s">
        <v>481</v>
      </c>
      <c r="G507" s="34"/>
      <c r="H507" s="34">
        <v>39.567390000000003</v>
      </c>
      <c r="I507" s="34">
        <v>-76.920410000000004</v>
      </c>
      <c r="J507" s="34"/>
      <c r="K507" s="105">
        <v>110041245015</v>
      </c>
      <c r="L507" s="34"/>
      <c r="M507" s="48" t="e">
        <f>VLOOKUP(L507, '2017 SIC to NAICS'!A:D, 2)</f>
        <v>#N/A</v>
      </c>
      <c r="N507" s="34" t="e">
        <f>VLOOKUP(L507,'2017 SIC to NAICS'!A:D,3)</f>
        <v>#N/A</v>
      </c>
      <c r="O507" s="34" t="e">
        <f>VLOOKUP(L507,'2017 SIC to NAICS'!A:D,4)</f>
        <v>#N/A</v>
      </c>
      <c r="P507" s="36" t="s">
        <v>737</v>
      </c>
      <c r="Q507" s="137" t="s">
        <v>737</v>
      </c>
      <c r="R507" s="45" t="s">
        <v>41</v>
      </c>
      <c r="S507" s="138">
        <f>COUNTIFS('Raw Non-zero DMR Data'!$A:$A, A507, 'Raw Non-zero DMR Data'!$C:$C, U507, 'Raw Non-zero DMR Data'!$V:$V, V507)</f>
        <v>1</v>
      </c>
      <c r="T507" s="34">
        <f>SUMIFS('Raw Non-zero DMR Data'!$X:$X, 'Raw Non-zero DMR Data'!$A:$A, A507, 'Raw Non-zero DMR Data'!$C:$C, U507, 'Raw Non-zero DMR Data'!V:V, V507)</f>
        <v>1.0603204375E-3</v>
      </c>
      <c r="U507" s="34" t="s">
        <v>1347</v>
      </c>
      <c r="V507" s="34" t="s">
        <v>1348</v>
      </c>
      <c r="W507" s="141" t="s">
        <v>1349</v>
      </c>
      <c r="X507" s="140" t="s">
        <v>812</v>
      </c>
    </row>
    <row r="508" spans="1:24" x14ac:dyDescent="0.35">
      <c r="A508" s="34">
        <v>2023</v>
      </c>
      <c r="B508" s="34" t="s">
        <v>673</v>
      </c>
      <c r="C508" s="34" t="s">
        <v>1347</v>
      </c>
      <c r="D508" s="34" t="s">
        <v>674</v>
      </c>
      <c r="E508" s="34" t="s">
        <v>1250</v>
      </c>
      <c r="F508" s="34" t="s">
        <v>481</v>
      </c>
      <c r="G508" s="34"/>
      <c r="H508" s="34">
        <v>39.567390000000003</v>
      </c>
      <c r="I508" s="34">
        <v>-76.920410000000004</v>
      </c>
      <c r="J508" s="34"/>
      <c r="K508" s="105">
        <v>110041245015</v>
      </c>
      <c r="L508" s="34"/>
      <c r="M508" s="48" t="e">
        <f>VLOOKUP(L508, '2017 SIC to NAICS'!A:D, 2)</f>
        <v>#N/A</v>
      </c>
      <c r="N508" s="34" t="e">
        <f>VLOOKUP(L508,'2017 SIC to NAICS'!A:D,3)</f>
        <v>#N/A</v>
      </c>
      <c r="O508" s="34" t="e">
        <f>VLOOKUP(L508,'2017 SIC to NAICS'!A:D,4)</f>
        <v>#N/A</v>
      </c>
      <c r="P508" s="36" t="s">
        <v>737</v>
      </c>
      <c r="Q508" s="137" t="s">
        <v>737</v>
      </c>
      <c r="R508" s="45" t="s">
        <v>41</v>
      </c>
      <c r="S508" s="138">
        <f>COUNTIFS('Raw Non-zero DMR Data'!$A:$A, A508, 'Raw Non-zero DMR Data'!$C:$C, U508, 'Raw Non-zero DMR Data'!$V:$V, V508)</f>
        <v>1</v>
      </c>
      <c r="T508" s="34">
        <f>SUMIFS('Raw Non-zero DMR Data'!$X:$X, 'Raw Non-zero DMR Data'!$A:$A, A508, 'Raw Non-zero DMR Data'!$C:$C, U508, 'Raw Non-zero DMR Data'!V:V, V508)</f>
        <v>1.0257823125000001E-3</v>
      </c>
      <c r="U508" s="34" t="s">
        <v>1347</v>
      </c>
      <c r="V508" s="34" t="s">
        <v>1348</v>
      </c>
      <c r="W508" s="141" t="s">
        <v>1349</v>
      </c>
      <c r="X508" s="140" t="s">
        <v>812</v>
      </c>
    </row>
    <row r="509" spans="1:24" x14ac:dyDescent="0.35">
      <c r="A509" s="34">
        <v>2019</v>
      </c>
      <c r="B509" s="34" t="s">
        <v>590</v>
      </c>
      <c r="C509" s="34" t="s">
        <v>1350</v>
      </c>
      <c r="D509" s="34" t="s">
        <v>591</v>
      </c>
      <c r="E509" s="34" t="s">
        <v>1351</v>
      </c>
      <c r="F509" s="34" t="s">
        <v>592</v>
      </c>
      <c r="G509" s="34"/>
      <c r="H509" s="34">
        <v>44.740049999999997</v>
      </c>
      <c r="I509" s="34">
        <v>-68.824690000000004</v>
      </c>
      <c r="J509" s="34"/>
      <c r="K509" s="105">
        <v>110000314598</v>
      </c>
      <c r="L509" s="34">
        <v>2812</v>
      </c>
      <c r="M509" s="48" t="str">
        <f>VLOOKUP(L509, '2017 SIC to NAICS'!A:D, 2)</f>
        <v>Alkalies and Chlorine</v>
      </c>
      <c r="N509" s="34">
        <f>VLOOKUP(L509,'2017 SIC to NAICS'!A:D,3)</f>
        <v>325180</v>
      </c>
      <c r="O509" s="34" t="str">
        <f>VLOOKUP(L509,'2017 SIC to NAICS'!A:D,4)</f>
        <v>Other Basic Inorganic Chemical
Manufacturing</v>
      </c>
      <c r="P509" s="36" t="s">
        <v>1352</v>
      </c>
      <c r="Q509" s="137" t="s">
        <v>1353</v>
      </c>
      <c r="R509" s="45" t="s">
        <v>41</v>
      </c>
      <c r="S509" s="138">
        <f>COUNTIFS('Raw Non-zero DMR Data'!$A:$A, A509, 'Raw Non-zero DMR Data'!$C:$C, U509, 'Raw Non-zero DMR Data'!$V:$V, V509)</f>
        <v>1</v>
      </c>
      <c r="T509" s="34">
        <f>SUMIFS('Raw Non-zero DMR Data'!$X:$X, 'Raw Non-zero DMR Data'!$A:$A, A509, 'Raw Non-zero DMR Data'!$C:$C, U509, 'Raw Non-zero DMR Data'!V:V, V509)</f>
        <v>1.546551E-2</v>
      </c>
      <c r="U509" s="34" t="s">
        <v>1350</v>
      </c>
      <c r="V509" s="34" t="s">
        <v>1354</v>
      </c>
      <c r="W509" s="139">
        <v>10200051007</v>
      </c>
      <c r="X509" s="140" t="s">
        <v>812</v>
      </c>
    </row>
    <row r="510" spans="1:24" x14ac:dyDescent="0.35">
      <c r="A510" s="34">
        <v>2019</v>
      </c>
      <c r="B510" s="34" t="s">
        <v>428</v>
      </c>
      <c r="C510" s="34" t="s">
        <v>1355</v>
      </c>
      <c r="D510" s="34" t="s">
        <v>429</v>
      </c>
      <c r="E510" s="34" t="s">
        <v>406</v>
      </c>
      <c r="F510" s="34" t="s">
        <v>181</v>
      </c>
      <c r="G510" s="34"/>
      <c r="H510" s="34">
        <v>43.394015000000003</v>
      </c>
      <c r="I510" s="34">
        <v>-86.397982999999996</v>
      </c>
      <c r="J510" s="34"/>
      <c r="K510" s="105">
        <v>110009291872</v>
      </c>
      <c r="L510" s="34">
        <v>2869</v>
      </c>
      <c r="M510" s="48" t="str">
        <f>VLOOKUP(L510, '2017 SIC to NAICS'!A:D, 2)</f>
        <v>Industrial Organic Chemicals, Nec</v>
      </c>
      <c r="N510" s="34">
        <f>VLOOKUP(L510,'2017 SIC to NAICS'!A:D,3)</f>
        <v>325998</v>
      </c>
      <c r="O510" s="34" t="str">
        <f>VLOOKUP(L510,'2017 SIC to NAICS'!A:D,4)</f>
        <v>All Other Miscellaneous Chemical Product and Preparation Manufacturing</v>
      </c>
      <c r="P510" s="36" t="s">
        <v>748</v>
      </c>
      <c r="Q510" s="137" t="s">
        <v>749</v>
      </c>
      <c r="R510" s="45" t="s">
        <v>41</v>
      </c>
      <c r="S510" s="138">
        <f>COUNTIFS('Raw Non-zero DMR Data'!$A:$A, A510, 'Raw Non-zero DMR Data'!$C:$C, U510, 'Raw Non-zero DMR Data'!$V:$V, V510)</f>
        <v>1</v>
      </c>
      <c r="T510" s="34">
        <f>SUMIFS('Raw Non-zero DMR Data'!$X:$X, 'Raw Non-zero DMR Data'!$A:$A, A510, 'Raw Non-zero DMR Data'!$C:$C, U510, 'Raw Non-zero DMR Data'!V:V, V510)</f>
        <v>4.0745506075E-2</v>
      </c>
      <c r="U510" s="34" t="s">
        <v>1355</v>
      </c>
      <c r="V510" s="34" t="s">
        <v>1356</v>
      </c>
      <c r="W510" s="139">
        <v>40601010904</v>
      </c>
      <c r="X510" s="140" t="s">
        <v>812</v>
      </c>
    </row>
    <row r="511" spans="1:24" x14ac:dyDescent="0.35">
      <c r="A511" s="34">
        <v>2020</v>
      </c>
      <c r="B511" s="34" t="s">
        <v>428</v>
      </c>
      <c r="C511" s="34" t="s">
        <v>1355</v>
      </c>
      <c r="D511" s="34" t="s">
        <v>429</v>
      </c>
      <c r="E511" s="34" t="s">
        <v>406</v>
      </c>
      <c r="F511" s="34" t="s">
        <v>181</v>
      </c>
      <c r="G511" s="34"/>
      <c r="H511" s="34">
        <v>43.394015000000003</v>
      </c>
      <c r="I511" s="34">
        <v>-86.397982999999996</v>
      </c>
      <c r="J511" s="34"/>
      <c r="K511" s="105">
        <v>110009291872</v>
      </c>
      <c r="L511" s="34">
        <v>2869</v>
      </c>
      <c r="M511" s="48" t="str">
        <f>VLOOKUP(L511, '2017 SIC to NAICS'!A:D, 2)</f>
        <v>Industrial Organic Chemicals, Nec</v>
      </c>
      <c r="N511" s="34">
        <f>VLOOKUP(L511,'2017 SIC to NAICS'!A:D,3)</f>
        <v>325998</v>
      </c>
      <c r="O511" s="34" t="str">
        <f>VLOOKUP(L511,'2017 SIC to NAICS'!A:D,4)</f>
        <v>All Other Miscellaneous Chemical Product and Preparation Manufacturing</v>
      </c>
      <c r="P511" s="36" t="s">
        <v>748</v>
      </c>
      <c r="Q511" s="137" t="s">
        <v>749</v>
      </c>
      <c r="R511" s="45" t="s">
        <v>41</v>
      </c>
      <c r="S511" s="138">
        <f>COUNTIFS('Raw Non-zero DMR Data'!$A:$A, A511, 'Raw Non-zero DMR Data'!$C:$C, U511, 'Raw Non-zero DMR Data'!$V:$V, V511)</f>
        <v>1</v>
      </c>
      <c r="T511" s="34">
        <f>SUMIFS('Raw Non-zero DMR Data'!$X:$X, 'Raw Non-zero DMR Data'!$A:$A, A511, 'Raw Non-zero DMR Data'!$C:$C, U511, 'Raw Non-zero DMR Data'!V:V, V511)</f>
        <v>4.2771730124999997E-2</v>
      </c>
      <c r="U511" s="34" t="s">
        <v>1355</v>
      </c>
      <c r="V511" s="34" t="s">
        <v>1356</v>
      </c>
      <c r="W511" s="139">
        <v>40601010904</v>
      </c>
      <c r="X511" s="140" t="s">
        <v>812</v>
      </c>
    </row>
    <row r="512" spans="1:24" x14ac:dyDescent="0.35">
      <c r="A512" s="34">
        <v>2021</v>
      </c>
      <c r="B512" s="34" t="s">
        <v>428</v>
      </c>
      <c r="C512" s="34" t="s">
        <v>1355</v>
      </c>
      <c r="D512" s="34" t="s">
        <v>429</v>
      </c>
      <c r="E512" s="34" t="s">
        <v>406</v>
      </c>
      <c r="F512" s="34" t="s">
        <v>181</v>
      </c>
      <c r="G512" s="34"/>
      <c r="H512" s="34">
        <v>43.394015000000003</v>
      </c>
      <c r="I512" s="34">
        <v>-86.397982999999996</v>
      </c>
      <c r="J512" s="34"/>
      <c r="K512" s="105">
        <v>110009291872</v>
      </c>
      <c r="L512" s="34">
        <v>2869</v>
      </c>
      <c r="M512" s="48" t="str">
        <f>VLOOKUP(L512, '2017 SIC to NAICS'!A:D, 2)</f>
        <v>Industrial Organic Chemicals, Nec</v>
      </c>
      <c r="N512" s="34">
        <f>VLOOKUP(L512,'2017 SIC to NAICS'!A:D,3)</f>
        <v>325998</v>
      </c>
      <c r="O512" s="34" t="str">
        <f>VLOOKUP(L512,'2017 SIC to NAICS'!A:D,4)</f>
        <v>All Other Miscellaneous Chemical Product and Preparation Manufacturing</v>
      </c>
      <c r="P512" s="36" t="s">
        <v>748</v>
      </c>
      <c r="Q512" s="137" t="s">
        <v>749</v>
      </c>
      <c r="R512" s="45" t="s">
        <v>41</v>
      </c>
      <c r="S512" s="138">
        <f>COUNTIFS('Raw Non-zero DMR Data'!$A:$A, A512, 'Raw Non-zero DMR Data'!$C:$C, U512, 'Raw Non-zero DMR Data'!$V:$V, V512)</f>
        <v>1</v>
      </c>
      <c r="T512" s="34">
        <f>SUMIFS('Raw Non-zero DMR Data'!$X:$X, 'Raw Non-zero DMR Data'!$A:$A, A512, 'Raw Non-zero DMR Data'!$C:$C, U512, 'Raw Non-zero DMR Data'!V:V, V512)</f>
        <v>3.8392731149999998E-2</v>
      </c>
      <c r="U512" s="34" t="s">
        <v>1355</v>
      </c>
      <c r="V512" s="34" t="s">
        <v>1356</v>
      </c>
      <c r="W512" s="139">
        <v>40601010904</v>
      </c>
      <c r="X512" s="140" t="s">
        <v>812</v>
      </c>
    </row>
    <row r="513" spans="1:24" x14ac:dyDescent="0.35">
      <c r="A513" s="34">
        <v>2022</v>
      </c>
      <c r="B513" s="34" t="s">
        <v>428</v>
      </c>
      <c r="C513" s="34" t="s">
        <v>1355</v>
      </c>
      <c r="D513" s="34" t="s">
        <v>429</v>
      </c>
      <c r="E513" s="34" t="s">
        <v>406</v>
      </c>
      <c r="F513" s="34" t="s">
        <v>181</v>
      </c>
      <c r="G513" s="34"/>
      <c r="H513" s="34">
        <v>43.394015000000003</v>
      </c>
      <c r="I513" s="34">
        <v>-86.397982999999996</v>
      </c>
      <c r="J513" s="34"/>
      <c r="K513" s="105">
        <v>110009291872</v>
      </c>
      <c r="L513" s="34">
        <v>2869</v>
      </c>
      <c r="M513" s="48" t="str">
        <f>VLOOKUP(L513, '2017 SIC to NAICS'!A:D, 2)</f>
        <v>Industrial Organic Chemicals, Nec</v>
      </c>
      <c r="N513" s="34">
        <f>VLOOKUP(L513,'2017 SIC to NAICS'!A:D,3)</f>
        <v>325998</v>
      </c>
      <c r="O513" s="34" t="str">
        <f>VLOOKUP(L513,'2017 SIC to NAICS'!A:D,4)</f>
        <v>All Other Miscellaneous Chemical Product and Preparation Manufacturing</v>
      </c>
      <c r="P513" s="36" t="s">
        <v>748</v>
      </c>
      <c r="Q513" s="137" t="s">
        <v>749</v>
      </c>
      <c r="R513" s="45" t="s">
        <v>41</v>
      </c>
      <c r="S513" s="138">
        <f>COUNTIFS('Raw Non-zero DMR Data'!$A:$A, A513, 'Raw Non-zero DMR Data'!$C:$C, U513, 'Raw Non-zero DMR Data'!$V:$V, V513)</f>
        <v>1</v>
      </c>
      <c r="T513" s="34">
        <f>SUMIFS('Raw Non-zero DMR Data'!$X:$X, 'Raw Non-zero DMR Data'!$A:$A, A513, 'Raw Non-zero DMR Data'!$C:$C, U513, 'Raw Non-zero DMR Data'!V:V, V513)</f>
        <v>0.13325349880000001</v>
      </c>
      <c r="U513" s="34" t="s">
        <v>1355</v>
      </c>
      <c r="V513" s="34" t="s">
        <v>1356</v>
      </c>
      <c r="W513" s="141" t="s">
        <v>1357</v>
      </c>
      <c r="X513" s="140" t="s">
        <v>812</v>
      </c>
    </row>
    <row r="514" spans="1:24" x14ac:dyDescent="0.35">
      <c r="A514" s="34">
        <v>2023</v>
      </c>
      <c r="B514" s="34" t="s">
        <v>428</v>
      </c>
      <c r="C514" s="34" t="s">
        <v>1355</v>
      </c>
      <c r="D514" s="34" t="s">
        <v>429</v>
      </c>
      <c r="E514" s="34" t="s">
        <v>406</v>
      </c>
      <c r="F514" s="34" t="s">
        <v>181</v>
      </c>
      <c r="G514" s="34"/>
      <c r="H514" s="34">
        <v>43.394015000000003</v>
      </c>
      <c r="I514" s="34">
        <v>-86.397982999999996</v>
      </c>
      <c r="J514" s="34"/>
      <c r="K514" s="105">
        <v>110009291872</v>
      </c>
      <c r="L514" s="34">
        <v>2869</v>
      </c>
      <c r="M514" s="48" t="str">
        <f>VLOOKUP(L514, '2017 SIC to NAICS'!A:D, 2)</f>
        <v>Industrial Organic Chemicals, Nec</v>
      </c>
      <c r="N514" s="34">
        <f>VLOOKUP(L514,'2017 SIC to NAICS'!A:D,3)</f>
        <v>325998</v>
      </c>
      <c r="O514" s="34" t="str">
        <f>VLOOKUP(L514,'2017 SIC to NAICS'!A:D,4)</f>
        <v>All Other Miscellaneous Chemical Product and Preparation Manufacturing</v>
      </c>
      <c r="P514" s="36" t="s">
        <v>748</v>
      </c>
      <c r="Q514" s="137" t="s">
        <v>749</v>
      </c>
      <c r="R514" s="45" t="s">
        <v>41</v>
      </c>
      <c r="S514" s="138">
        <f>COUNTIFS('Raw Non-zero DMR Data'!$A:$A, A514, 'Raw Non-zero DMR Data'!$C:$C, U514, 'Raw Non-zero DMR Data'!$V:$V, V514)</f>
        <v>1</v>
      </c>
      <c r="T514" s="34">
        <f>SUMIFS('Raw Non-zero DMR Data'!$X:$X, 'Raw Non-zero DMR Data'!$A:$A, A514, 'Raw Non-zero DMR Data'!$C:$C, U514, 'Raw Non-zero DMR Data'!V:V, V514)</f>
        <v>0.15662201310000001</v>
      </c>
      <c r="U514" s="34" t="s">
        <v>1355</v>
      </c>
      <c r="V514" s="34" t="s">
        <v>1356</v>
      </c>
      <c r="W514" s="141" t="s">
        <v>1357</v>
      </c>
      <c r="X514" s="140" t="s">
        <v>812</v>
      </c>
    </row>
    <row r="515" spans="1:24" x14ac:dyDescent="0.35">
      <c r="A515" s="34">
        <v>2019</v>
      </c>
      <c r="B515" s="34" t="s">
        <v>499</v>
      </c>
      <c r="C515" s="34" t="s">
        <v>1358</v>
      </c>
      <c r="D515" s="34" t="s">
        <v>500</v>
      </c>
      <c r="E515" s="34" t="s">
        <v>1359</v>
      </c>
      <c r="F515" s="34" t="s">
        <v>181</v>
      </c>
      <c r="G515" s="34"/>
      <c r="H515" s="34">
        <v>43.185969999999998</v>
      </c>
      <c r="I515" s="34">
        <v>-85.256680000000003</v>
      </c>
      <c r="J515" s="34"/>
      <c r="K515" s="105">
        <v>110000408238</v>
      </c>
      <c r="L515" s="34">
        <v>3632</v>
      </c>
      <c r="M515" s="48" t="str">
        <f>VLOOKUP(L515, '2017 SIC to NAICS'!A:D, 2)</f>
        <v>Household Refrigerators and Freezers</v>
      </c>
      <c r="N515" s="34">
        <f>VLOOKUP(L515,'2017 SIC to NAICS'!A:D,3)</f>
        <v>335220</v>
      </c>
      <c r="O515" s="34" t="str">
        <f>VLOOKUP(L515,'2017 SIC to NAICS'!A:D,4)</f>
        <v>Major Household Appliance Manufacturing</v>
      </c>
      <c r="P515" s="36" t="s">
        <v>1360</v>
      </c>
      <c r="Q515" s="137" t="s">
        <v>1361</v>
      </c>
      <c r="R515" s="45" t="s">
        <v>41</v>
      </c>
      <c r="S515" s="138">
        <f>COUNTIFS('Raw Non-zero DMR Data'!$A:$A, A515, 'Raw Non-zero DMR Data'!$C:$C, U515, 'Raw Non-zero DMR Data'!$V:$V, V515)</f>
        <v>1</v>
      </c>
      <c r="T515" s="34">
        <f>SUMIFS('Raw Non-zero DMR Data'!$X:$X, 'Raw Non-zero DMR Data'!$A:$A, A515, 'Raw Non-zero DMR Data'!$C:$C, U515, 'Raw Non-zero DMR Data'!V:V, V515)</f>
        <v>5.5560772000000001E-2</v>
      </c>
      <c r="U515" s="34" t="s">
        <v>1358</v>
      </c>
      <c r="V515" s="34" t="s">
        <v>1362</v>
      </c>
      <c r="W515" s="139">
        <v>40500060206</v>
      </c>
      <c r="X515" s="140" t="s">
        <v>812</v>
      </c>
    </row>
    <row r="516" spans="1:24" x14ac:dyDescent="0.35">
      <c r="A516" s="34">
        <v>2020</v>
      </c>
      <c r="B516" s="34" t="s">
        <v>499</v>
      </c>
      <c r="C516" s="34" t="s">
        <v>1358</v>
      </c>
      <c r="D516" s="34" t="s">
        <v>500</v>
      </c>
      <c r="E516" s="34" t="s">
        <v>1359</v>
      </c>
      <c r="F516" s="34" t="s">
        <v>181</v>
      </c>
      <c r="G516" s="34"/>
      <c r="H516" s="34">
        <v>43.185969999999998</v>
      </c>
      <c r="I516" s="34">
        <v>-85.256680000000003</v>
      </c>
      <c r="J516" s="34"/>
      <c r="K516" s="105">
        <v>110000408238</v>
      </c>
      <c r="L516" s="34">
        <v>3632</v>
      </c>
      <c r="M516" s="48" t="str">
        <f>VLOOKUP(L516, '2017 SIC to NAICS'!A:D, 2)</f>
        <v>Household Refrigerators and Freezers</v>
      </c>
      <c r="N516" s="34">
        <f>VLOOKUP(L516,'2017 SIC to NAICS'!A:D,3)</f>
        <v>335220</v>
      </c>
      <c r="O516" s="34" t="str">
        <f>VLOOKUP(L516,'2017 SIC to NAICS'!A:D,4)</f>
        <v>Major Household Appliance Manufacturing</v>
      </c>
      <c r="P516" s="36" t="s">
        <v>1360</v>
      </c>
      <c r="Q516" s="137" t="s">
        <v>1361</v>
      </c>
      <c r="R516" s="45" t="s">
        <v>41</v>
      </c>
      <c r="S516" s="138">
        <f>COUNTIFS('Raw Non-zero DMR Data'!$A:$A, A516, 'Raw Non-zero DMR Data'!$C:$C, U516, 'Raw Non-zero DMR Data'!$V:$V, V516)</f>
        <v>1</v>
      </c>
      <c r="T516" s="34">
        <f>SUMIFS('Raw Non-zero DMR Data'!$X:$X, 'Raw Non-zero DMR Data'!$A:$A, A516, 'Raw Non-zero DMR Data'!$C:$C, U516, 'Raw Non-zero DMR Data'!V:V, V516)</f>
        <v>1.3346273360000001E-2</v>
      </c>
      <c r="U516" s="34" t="s">
        <v>1358</v>
      </c>
      <c r="V516" s="34" t="s">
        <v>1362</v>
      </c>
      <c r="W516" s="139">
        <v>40500060206</v>
      </c>
      <c r="X516" s="140" t="s">
        <v>812</v>
      </c>
    </row>
    <row r="517" spans="1:24" x14ac:dyDescent="0.35">
      <c r="A517" s="34">
        <v>2021</v>
      </c>
      <c r="B517" s="34" t="s">
        <v>499</v>
      </c>
      <c r="C517" s="34" t="s">
        <v>1358</v>
      </c>
      <c r="D517" s="34" t="s">
        <v>500</v>
      </c>
      <c r="E517" s="34" t="s">
        <v>1359</v>
      </c>
      <c r="F517" s="34" t="s">
        <v>181</v>
      </c>
      <c r="G517" s="34"/>
      <c r="H517" s="34">
        <v>43.185969999999998</v>
      </c>
      <c r="I517" s="34">
        <v>-85.256680000000003</v>
      </c>
      <c r="J517" s="34"/>
      <c r="K517" s="105">
        <v>110000408238</v>
      </c>
      <c r="L517" s="34">
        <v>3632</v>
      </c>
      <c r="M517" s="48" t="str">
        <f>VLOOKUP(L517, '2017 SIC to NAICS'!A:D, 2)</f>
        <v>Household Refrigerators and Freezers</v>
      </c>
      <c r="N517" s="34">
        <f>VLOOKUP(L517,'2017 SIC to NAICS'!A:D,3)</f>
        <v>335220</v>
      </c>
      <c r="O517" s="34" t="str">
        <f>VLOOKUP(L517,'2017 SIC to NAICS'!A:D,4)</f>
        <v>Major Household Appliance Manufacturing</v>
      </c>
      <c r="P517" s="36" t="s">
        <v>1360</v>
      </c>
      <c r="Q517" s="137" t="s">
        <v>1361</v>
      </c>
      <c r="R517" s="45" t="s">
        <v>41</v>
      </c>
      <c r="S517" s="138">
        <f>COUNTIFS('Raw Non-zero DMR Data'!$A:$A, A517, 'Raw Non-zero DMR Data'!$C:$C, U517, 'Raw Non-zero DMR Data'!$V:$V, V517)</f>
        <v>1</v>
      </c>
      <c r="T517" s="34">
        <f>SUMIFS('Raw Non-zero DMR Data'!$X:$X, 'Raw Non-zero DMR Data'!$A:$A, A517, 'Raw Non-zero DMR Data'!$C:$C, U517, 'Raw Non-zero DMR Data'!V:V, V517)</f>
        <v>4.8063898200000001E-4</v>
      </c>
      <c r="U517" s="34" t="s">
        <v>1358</v>
      </c>
      <c r="V517" s="34" t="s">
        <v>1362</v>
      </c>
      <c r="W517" s="139">
        <v>40500060206</v>
      </c>
      <c r="X517" s="140" t="s">
        <v>812</v>
      </c>
    </row>
    <row r="518" spans="1:24" x14ac:dyDescent="0.35">
      <c r="A518" s="34">
        <v>2022</v>
      </c>
      <c r="B518" s="34" t="s">
        <v>499</v>
      </c>
      <c r="C518" s="34" t="s">
        <v>1358</v>
      </c>
      <c r="D518" s="34" t="s">
        <v>500</v>
      </c>
      <c r="E518" s="34" t="s">
        <v>1359</v>
      </c>
      <c r="F518" s="34" t="s">
        <v>181</v>
      </c>
      <c r="G518" s="34"/>
      <c r="H518" s="34">
        <v>43.185969999999998</v>
      </c>
      <c r="I518" s="34">
        <v>-85.256680000000003</v>
      </c>
      <c r="J518" s="34"/>
      <c r="K518" s="105">
        <v>110000408238</v>
      </c>
      <c r="L518" s="34">
        <v>3632</v>
      </c>
      <c r="M518" s="48" t="str">
        <f>VLOOKUP(L518, '2017 SIC to NAICS'!A:D, 2)</f>
        <v>Household Refrigerators and Freezers</v>
      </c>
      <c r="N518" s="34">
        <f>VLOOKUP(L518,'2017 SIC to NAICS'!A:D,3)</f>
        <v>335220</v>
      </c>
      <c r="O518" s="34" t="str">
        <f>VLOOKUP(L518,'2017 SIC to NAICS'!A:D,4)</f>
        <v>Major Household Appliance Manufacturing</v>
      </c>
      <c r="P518" s="36" t="s">
        <v>1360</v>
      </c>
      <c r="Q518" s="137" t="s">
        <v>1361</v>
      </c>
      <c r="R518" s="45" t="s">
        <v>41</v>
      </c>
      <c r="S518" s="138">
        <f>COUNTIFS('Raw Non-zero DMR Data'!$A:$A, A518, 'Raw Non-zero DMR Data'!$C:$C, U518, 'Raw Non-zero DMR Data'!$V:$V, V518)</f>
        <v>1</v>
      </c>
      <c r="T518" s="34">
        <f>SUMIFS('Raw Non-zero DMR Data'!$X:$X, 'Raw Non-zero DMR Data'!$A:$A, A518, 'Raw Non-zero DMR Data'!$C:$C, U518, 'Raw Non-zero DMR Data'!V:V, V518)</f>
        <v>5.4560692418181801E-3</v>
      </c>
      <c r="U518" s="34" t="s">
        <v>1358</v>
      </c>
      <c r="V518" s="34" t="s">
        <v>1362</v>
      </c>
      <c r="W518" s="141" t="s">
        <v>1363</v>
      </c>
      <c r="X518" s="140" t="s">
        <v>812</v>
      </c>
    </row>
    <row r="519" spans="1:24" x14ac:dyDescent="0.35">
      <c r="A519" s="34">
        <v>2023</v>
      </c>
      <c r="B519" s="34" t="s">
        <v>499</v>
      </c>
      <c r="C519" s="34" t="s">
        <v>1358</v>
      </c>
      <c r="D519" s="34" t="s">
        <v>500</v>
      </c>
      <c r="E519" s="34" t="s">
        <v>1359</v>
      </c>
      <c r="F519" s="34" t="s">
        <v>181</v>
      </c>
      <c r="G519" s="34"/>
      <c r="H519" s="34">
        <v>43.185969999999998</v>
      </c>
      <c r="I519" s="34">
        <v>-85.256680000000003</v>
      </c>
      <c r="J519" s="34"/>
      <c r="K519" s="105">
        <v>110000408238</v>
      </c>
      <c r="L519" s="34">
        <v>3632</v>
      </c>
      <c r="M519" s="48" t="str">
        <f>VLOOKUP(L519, '2017 SIC to NAICS'!A:D, 2)</f>
        <v>Household Refrigerators and Freezers</v>
      </c>
      <c r="N519" s="34">
        <f>VLOOKUP(L519,'2017 SIC to NAICS'!A:D,3)</f>
        <v>335220</v>
      </c>
      <c r="O519" s="34" t="str">
        <f>VLOOKUP(L519,'2017 SIC to NAICS'!A:D,4)</f>
        <v>Major Household Appliance Manufacturing</v>
      </c>
      <c r="P519" s="36" t="s">
        <v>1360</v>
      </c>
      <c r="Q519" s="137" t="s">
        <v>1361</v>
      </c>
      <c r="R519" s="45" t="s">
        <v>41</v>
      </c>
      <c r="S519" s="138">
        <f>COUNTIFS('Raw Non-zero DMR Data'!$A:$A, A519, 'Raw Non-zero DMR Data'!$C:$C, U519, 'Raw Non-zero DMR Data'!$V:$V, V519)</f>
        <v>1</v>
      </c>
      <c r="T519" s="34">
        <f>SUMIFS('Raw Non-zero DMR Data'!$X:$X, 'Raw Non-zero DMR Data'!$A:$A, A519, 'Raw Non-zero DMR Data'!$C:$C, U519, 'Raw Non-zero DMR Data'!V:V, V519)</f>
        <v>1.30214639635E-3</v>
      </c>
      <c r="U519" s="34" t="s">
        <v>1358</v>
      </c>
      <c r="V519" s="34" t="s">
        <v>1362</v>
      </c>
      <c r="W519" s="141" t="s">
        <v>1363</v>
      </c>
      <c r="X519" s="140" t="s">
        <v>812</v>
      </c>
    </row>
    <row r="520" spans="1:24" x14ac:dyDescent="0.35">
      <c r="A520" s="34">
        <v>2021</v>
      </c>
      <c r="B520" s="34" t="s">
        <v>467</v>
      </c>
      <c r="C520" s="34" t="s">
        <v>1364</v>
      </c>
      <c r="D520" s="34" t="s">
        <v>308</v>
      </c>
      <c r="E520" s="34" t="s">
        <v>1365</v>
      </c>
      <c r="F520" s="34" t="s">
        <v>181</v>
      </c>
      <c r="G520" s="34"/>
      <c r="H520" s="34">
        <v>42.293660000000003</v>
      </c>
      <c r="I520" s="34">
        <v>-85.223643999999993</v>
      </c>
      <c r="J520" s="34"/>
      <c r="K520" s="105">
        <v>110009900884</v>
      </c>
      <c r="L520" s="34">
        <v>9999</v>
      </c>
      <c r="M520" s="48" t="str">
        <f>VLOOKUP(L520, '2017 SIC to NAICS'!A:D, 2)</f>
        <v>Nonclassifiable Establishments</v>
      </c>
      <c r="N520" s="34">
        <f>VLOOKUP(L520,'2017 SIC to NAICS'!A:D,3)</f>
        <v>0</v>
      </c>
      <c r="O520" s="34">
        <f>VLOOKUP(L520,'2017 SIC to NAICS'!A:D,4)</f>
        <v>0</v>
      </c>
      <c r="P520" s="36" t="s">
        <v>737</v>
      </c>
      <c r="Q520" s="137" t="s">
        <v>737</v>
      </c>
      <c r="R520" s="45" t="s">
        <v>41</v>
      </c>
      <c r="S520" s="138">
        <f>COUNTIFS('Raw Non-zero DMR Data'!$A:$A, A520, 'Raw Non-zero DMR Data'!$C:$C, U520, 'Raw Non-zero DMR Data'!$V:$V, V520)</f>
        <v>1</v>
      </c>
      <c r="T520" s="34">
        <f>SUMIFS('Raw Non-zero DMR Data'!$X:$X, 'Raw Non-zero DMR Data'!$A:$A, A520, 'Raw Non-zero DMR Data'!$C:$C, U520, 'Raw Non-zero DMR Data'!V:V, V520)</f>
        <v>8.6169915599999994E-2</v>
      </c>
      <c r="U520" s="34" t="s">
        <v>1364</v>
      </c>
      <c r="V520" s="34" t="s">
        <v>1366</v>
      </c>
      <c r="W520" s="139">
        <v>40500030410</v>
      </c>
      <c r="X520" s="140" t="s">
        <v>739</v>
      </c>
    </row>
    <row r="521" spans="1:24" x14ac:dyDescent="0.35">
      <c r="A521" s="34">
        <v>2022</v>
      </c>
      <c r="B521" s="34" t="s">
        <v>467</v>
      </c>
      <c r="C521" s="34" t="s">
        <v>1364</v>
      </c>
      <c r="D521" s="34" t="s">
        <v>308</v>
      </c>
      <c r="E521" s="34" t="s">
        <v>1365</v>
      </c>
      <c r="F521" s="34" t="s">
        <v>181</v>
      </c>
      <c r="G521" s="34"/>
      <c r="H521" s="34">
        <v>42.293660000000003</v>
      </c>
      <c r="I521" s="34">
        <v>-85.223643999999993</v>
      </c>
      <c r="J521" s="34"/>
      <c r="K521" s="105">
        <v>110009900884</v>
      </c>
      <c r="L521" s="34">
        <v>9999</v>
      </c>
      <c r="M521" s="48" t="str">
        <f>VLOOKUP(L521, '2017 SIC to NAICS'!A:D, 2)</f>
        <v>Nonclassifiable Establishments</v>
      </c>
      <c r="N521" s="34">
        <f>VLOOKUP(L521,'2017 SIC to NAICS'!A:D,3)</f>
        <v>0</v>
      </c>
      <c r="O521" s="34">
        <f>VLOOKUP(L521,'2017 SIC to NAICS'!A:D,4)</f>
        <v>0</v>
      </c>
      <c r="P521" s="36" t="s">
        <v>737</v>
      </c>
      <c r="Q521" s="137" t="s">
        <v>737</v>
      </c>
      <c r="R521" s="45" t="s">
        <v>41</v>
      </c>
      <c r="S521" s="138">
        <f>COUNTIFS('Raw Non-zero DMR Data'!$A:$A, A521, 'Raw Non-zero DMR Data'!$C:$C, U521, 'Raw Non-zero DMR Data'!$V:$V, V521)</f>
        <v>1</v>
      </c>
      <c r="T521" s="34">
        <f>SUMIFS('Raw Non-zero DMR Data'!$X:$X, 'Raw Non-zero DMR Data'!$A:$A, A521, 'Raw Non-zero DMR Data'!$C:$C, U521, 'Raw Non-zero DMR Data'!V:V, V521)</f>
        <v>9.8874798E-2</v>
      </c>
      <c r="U521" s="34" t="s">
        <v>1364</v>
      </c>
      <c r="V521" s="34" t="s">
        <v>1366</v>
      </c>
      <c r="W521" s="141" t="s">
        <v>1367</v>
      </c>
      <c r="X521" s="140" t="s">
        <v>739</v>
      </c>
    </row>
    <row r="522" spans="1:24" x14ac:dyDescent="0.35">
      <c r="A522" s="34">
        <v>2023</v>
      </c>
      <c r="B522" s="34" t="s">
        <v>467</v>
      </c>
      <c r="C522" s="34" t="s">
        <v>1364</v>
      </c>
      <c r="D522" s="34" t="s">
        <v>308</v>
      </c>
      <c r="E522" s="34" t="s">
        <v>1365</v>
      </c>
      <c r="F522" s="34" t="s">
        <v>181</v>
      </c>
      <c r="G522" s="34"/>
      <c r="H522" s="34">
        <v>42.293660000000003</v>
      </c>
      <c r="I522" s="34">
        <v>-85.223643999999993</v>
      </c>
      <c r="J522" s="34"/>
      <c r="K522" s="105">
        <v>110009900884</v>
      </c>
      <c r="L522" s="34">
        <v>9999</v>
      </c>
      <c r="M522" s="48" t="str">
        <f>VLOOKUP(L522, '2017 SIC to NAICS'!A:D, 2)</f>
        <v>Nonclassifiable Establishments</v>
      </c>
      <c r="N522" s="34">
        <f>VLOOKUP(L522,'2017 SIC to NAICS'!A:D,3)</f>
        <v>0</v>
      </c>
      <c r="O522" s="34">
        <f>VLOOKUP(L522,'2017 SIC to NAICS'!A:D,4)</f>
        <v>0</v>
      </c>
      <c r="P522" s="36" t="s">
        <v>737</v>
      </c>
      <c r="Q522" s="137" t="s">
        <v>737</v>
      </c>
      <c r="R522" s="45" t="s">
        <v>41</v>
      </c>
      <c r="S522" s="138">
        <f>COUNTIFS('Raw Non-zero DMR Data'!$A:$A, A522, 'Raw Non-zero DMR Data'!$C:$C, U522, 'Raw Non-zero DMR Data'!$V:$V, V522)</f>
        <v>1</v>
      </c>
      <c r="T522" s="34">
        <f>SUMIFS('Raw Non-zero DMR Data'!$X:$X, 'Raw Non-zero DMR Data'!$A:$A, A522, 'Raw Non-zero DMR Data'!$C:$C, U522, 'Raw Non-zero DMR Data'!V:V, V522)</f>
        <v>8.8866122500000005E-2</v>
      </c>
      <c r="U522" s="34" t="s">
        <v>1364</v>
      </c>
      <c r="V522" s="34" t="s">
        <v>1366</v>
      </c>
      <c r="W522" s="141" t="s">
        <v>1367</v>
      </c>
      <c r="X522" s="140" t="s">
        <v>739</v>
      </c>
    </row>
    <row r="523" spans="1:24" x14ac:dyDescent="0.35">
      <c r="A523" s="34">
        <v>2019</v>
      </c>
      <c r="B523" s="34" t="s">
        <v>405</v>
      </c>
      <c r="C523" s="34" t="s">
        <v>1368</v>
      </c>
      <c r="D523" s="34" t="s">
        <v>406</v>
      </c>
      <c r="E523" s="34" t="s">
        <v>406</v>
      </c>
      <c r="F523" s="34" t="s">
        <v>181</v>
      </c>
      <c r="G523" s="34"/>
      <c r="H523" s="34">
        <v>43.215029999999999</v>
      </c>
      <c r="I523" s="34">
        <v>-86.245689999999996</v>
      </c>
      <c r="J523" s="34"/>
      <c r="K523" s="105">
        <v>110000410957</v>
      </c>
      <c r="L523" s="34">
        <v>3714</v>
      </c>
      <c r="M523" s="48" t="str">
        <f>VLOOKUP(L523, '2017 SIC to NAICS'!A:D, 2)</f>
        <v>Motor Vehicle Parts and Accessories</v>
      </c>
      <c r="N523" s="34">
        <f>VLOOKUP(L523,'2017 SIC to NAICS'!A:D,3)</f>
        <v>336390</v>
      </c>
      <c r="O523" s="34" t="str">
        <f>VLOOKUP(L523,'2017 SIC to NAICS'!A:D,4)</f>
        <v>Other Motor Vehicle Parts Manufacturing</v>
      </c>
      <c r="P523" s="36" t="s">
        <v>832</v>
      </c>
      <c r="Q523" s="137" t="s">
        <v>833</v>
      </c>
      <c r="R523" s="45" t="s">
        <v>41</v>
      </c>
      <c r="S523" s="138">
        <f>COUNTIFS('Raw Non-zero DMR Data'!$A:$A, A523, 'Raw Non-zero DMR Data'!$C:$C, U523, 'Raw Non-zero DMR Data'!$V:$V, V523)</f>
        <v>1</v>
      </c>
      <c r="T523" s="34">
        <f>SUMIFS('Raw Non-zero DMR Data'!$X:$X, 'Raw Non-zero DMR Data'!$A:$A, A523, 'Raw Non-zero DMR Data'!$C:$C, U523, 'Raw Non-zero DMR Data'!V:V, V523)</f>
        <v>0.15481407</v>
      </c>
      <c r="U523" s="34" t="s">
        <v>1368</v>
      </c>
      <c r="V523" s="34" t="s">
        <v>1369</v>
      </c>
      <c r="W523" s="139">
        <v>40601021004</v>
      </c>
      <c r="X523" s="140" t="s">
        <v>812</v>
      </c>
    </row>
    <row r="524" spans="1:24" x14ac:dyDescent="0.35">
      <c r="A524" s="34">
        <v>2020</v>
      </c>
      <c r="B524" s="34" t="s">
        <v>405</v>
      </c>
      <c r="C524" s="34" t="s">
        <v>1368</v>
      </c>
      <c r="D524" s="34" t="s">
        <v>406</v>
      </c>
      <c r="E524" s="34" t="s">
        <v>406</v>
      </c>
      <c r="F524" s="34" t="s">
        <v>181</v>
      </c>
      <c r="G524" s="34"/>
      <c r="H524" s="34">
        <v>43.215029999999999</v>
      </c>
      <c r="I524" s="34">
        <v>-86.245689999999996</v>
      </c>
      <c r="J524" s="34"/>
      <c r="K524" s="105">
        <v>110000410957</v>
      </c>
      <c r="L524" s="34">
        <v>3714</v>
      </c>
      <c r="M524" s="48" t="str">
        <f>VLOOKUP(L524, '2017 SIC to NAICS'!A:D, 2)</f>
        <v>Motor Vehicle Parts and Accessories</v>
      </c>
      <c r="N524" s="34">
        <f>VLOOKUP(L524,'2017 SIC to NAICS'!A:D,3)</f>
        <v>336390</v>
      </c>
      <c r="O524" s="34" t="str">
        <f>VLOOKUP(L524,'2017 SIC to NAICS'!A:D,4)</f>
        <v>Other Motor Vehicle Parts Manufacturing</v>
      </c>
      <c r="P524" s="36" t="s">
        <v>832</v>
      </c>
      <c r="Q524" s="137" t="s">
        <v>833</v>
      </c>
      <c r="R524" s="45" t="s">
        <v>41</v>
      </c>
      <c r="S524" s="138">
        <f>COUNTIFS('Raw Non-zero DMR Data'!$A:$A, A524, 'Raw Non-zero DMR Data'!$C:$C, U524, 'Raw Non-zero DMR Data'!$V:$V, V524)</f>
        <v>1</v>
      </c>
      <c r="T524" s="34">
        <f>SUMIFS('Raw Non-zero DMR Data'!$X:$X, 'Raw Non-zero DMR Data'!$A:$A, A524, 'Raw Non-zero DMR Data'!$C:$C, U524, 'Raw Non-zero DMR Data'!V:V, V524)</f>
        <v>0.1956712525</v>
      </c>
      <c r="U524" s="34" t="s">
        <v>1368</v>
      </c>
      <c r="V524" s="34" t="s">
        <v>1369</v>
      </c>
      <c r="W524" s="139">
        <v>40601021004</v>
      </c>
      <c r="X524" s="140" t="s">
        <v>812</v>
      </c>
    </row>
    <row r="525" spans="1:24" x14ac:dyDescent="0.35">
      <c r="A525" s="34">
        <v>2021</v>
      </c>
      <c r="B525" s="34" t="s">
        <v>405</v>
      </c>
      <c r="C525" s="34" t="s">
        <v>1368</v>
      </c>
      <c r="D525" s="34" t="s">
        <v>406</v>
      </c>
      <c r="E525" s="34" t="s">
        <v>406</v>
      </c>
      <c r="F525" s="34" t="s">
        <v>181</v>
      </c>
      <c r="G525" s="34"/>
      <c r="H525" s="34">
        <v>43.215029999999999</v>
      </c>
      <c r="I525" s="34">
        <v>-86.245689999999996</v>
      </c>
      <c r="J525" s="34"/>
      <c r="K525" s="105">
        <v>110000410957</v>
      </c>
      <c r="L525" s="34">
        <v>3714</v>
      </c>
      <c r="M525" s="48" t="str">
        <f>VLOOKUP(L525, '2017 SIC to NAICS'!A:D, 2)</f>
        <v>Motor Vehicle Parts and Accessories</v>
      </c>
      <c r="N525" s="34">
        <f>VLOOKUP(L525,'2017 SIC to NAICS'!A:D,3)</f>
        <v>336390</v>
      </c>
      <c r="O525" s="34" t="str">
        <f>VLOOKUP(L525,'2017 SIC to NAICS'!A:D,4)</f>
        <v>Other Motor Vehicle Parts Manufacturing</v>
      </c>
      <c r="P525" s="36" t="s">
        <v>832</v>
      </c>
      <c r="Q525" s="137" t="s">
        <v>833</v>
      </c>
      <c r="R525" s="45" t="s">
        <v>41</v>
      </c>
      <c r="S525" s="138">
        <f>COUNTIFS('Raw Non-zero DMR Data'!$A:$A, A525, 'Raw Non-zero DMR Data'!$C:$C, U525, 'Raw Non-zero DMR Data'!$V:$V, V525)</f>
        <v>1</v>
      </c>
      <c r="T525" s="34">
        <f>SUMIFS('Raw Non-zero DMR Data'!$X:$X, 'Raw Non-zero DMR Data'!$A:$A, A525, 'Raw Non-zero DMR Data'!$C:$C, U525, 'Raw Non-zero DMR Data'!V:V, V525)</f>
        <v>0.20718711500000001</v>
      </c>
      <c r="U525" s="34" t="s">
        <v>1368</v>
      </c>
      <c r="V525" s="34" t="s">
        <v>1369</v>
      </c>
      <c r="W525" s="139">
        <v>40601021004</v>
      </c>
      <c r="X525" s="140" t="s">
        <v>812</v>
      </c>
    </row>
    <row r="526" spans="1:24" x14ac:dyDescent="0.35">
      <c r="A526" s="34">
        <v>2022</v>
      </c>
      <c r="B526" s="34" t="s">
        <v>405</v>
      </c>
      <c r="C526" s="34" t="s">
        <v>1368</v>
      </c>
      <c r="D526" s="34" t="s">
        <v>406</v>
      </c>
      <c r="E526" s="34" t="s">
        <v>406</v>
      </c>
      <c r="F526" s="34" t="s">
        <v>181</v>
      </c>
      <c r="G526" s="34"/>
      <c r="H526" s="34">
        <v>43.215029999999999</v>
      </c>
      <c r="I526" s="34">
        <v>-86.245689999999996</v>
      </c>
      <c r="J526" s="34"/>
      <c r="K526" s="105">
        <v>110000410957</v>
      </c>
      <c r="L526" s="34">
        <v>3714</v>
      </c>
      <c r="M526" s="48" t="str">
        <f>VLOOKUP(L526, '2017 SIC to NAICS'!A:D, 2)</f>
        <v>Motor Vehicle Parts and Accessories</v>
      </c>
      <c r="N526" s="34">
        <f>VLOOKUP(L526,'2017 SIC to NAICS'!A:D,3)</f>
        <v>336390</v>
      </c>
      <c r="O526" s="34" t="str">
        <f>VLOOKUP(L526,'2017 SIC to NAICS'!A:D,4)</f>
        <v>Other Motor Vehicle Parts Manufacturing</v>
      </c>
      <c r="P526" s="36" t="s">
        <v>832</v>
      </c>
      <c r="Q526" s="137" t="s">
        <v>833</v>
      </c>
      <c r="R526" s="45" t="s">
        <v>41</v>
      </c>
      <c r="S526" s="138">
        <f>COUNTIFS('Raw Non-zero DMR Data'!$A:$A, A526, 'Raw Non-zero DMR Data'!$C:$C, U526, 'Raw Non-zero DMR Data'!$V:$V, V526)</f>
        <v>1</v>
      </c>
      <c r="T526" s="34">
        <f>SUMIFS('Raw Non-zero DMR Data'!$X:$X, 'Raw Non-zero DMR Data'!$A:$A, A526, 'Raw Non-zero DMR Data'!$C:$C, U526, 'Raw Non-zero DMR Data'!V:V, V526)</f>
        <v>0.2159967025</v>
      </c>
      <c r="U526" s="34" t="s">
        <v>1368</v>
      </c>
      <c r="V526" s="34" t="s">
        <v>1369</v>
      </c>
      <c r="W526" s="141" t="s">
        <v>1370</v>
      </c>
      <c r="X526" s="140" t="s">
        <v>812</v>
      </c>
    </row>
    <row r="527" spans="1:24" x14ac:dyDescent="0.35">
      <c r="A527" s="34">
        <v>2023</v>
      </c>
      <c r="B527" s="34" t="s">
        <v>405</v>
      </c>
      <c r="C527" s="34" t="s">
        <v>1368</v>
      </c>
      <c r="D527" s="34" t="s">
        <v>406</v>
      </c>
      <c r="E527" s="34" t="s">
        <v>406</v>
      </c>
      <c r="F527" s="34" t="s">
        <v>181</v>
      </c>
      <c r="G527" s="34"/>
      <c r="H527" s="34">
        <v>43.215029999999999</v>
      </c>
      <c r="I527" s="34">
        <v>-86.245689999999996</v>
      </c>
      <c r="J527" s="34"/>
      <c r="K527" s="105">
        <v>110000410957</v>
      </c>
      <c r="L527" s="34">
        <v>3714</v>
      </c>
      <c r="M527" s="48" t="str">
        <f>VLOOKUP(L527, '2017 SIC to NAICS'!A:D, 2)</f>
        <v>Motor Vehicle Parts and Accessories</v>
      </c>
      <c r="N527" s="34">
        <f>VLOOKUP(L527,'2017 SIC to NAICS'!A:D,3)</f>
        <v>336390</v>
      </c>
      <c r="O527" s="34" t="str">
        <f>VLOOKUP(L527,'2017 SIC to NAICS'!A:D,4)</f>
        <v>Other Motor Vehicle Parts Manufacturing</v>
      </c>
      <c r="P527" s="36" t="s">
        <v>832</v>
      </c>
      <c r="Q527" s="137" t="s">
        <v>833</v>
      </c>
      <c r="R527" s="45" t="s">
        <v>41</v>
      </c>
      <c r="S527" s="138">
        <f>COUNTIFS('Raw Non-zero DMR Data'!$A:$A, A527, 'Raw Non-zero DMR Data'!$C:$C, U527, 'Raw Non-zero DMR Data'!$V:$V, V527)</f>
        <v>1</v>
      </c>
      <c r="T527" s="34">
        <f>SUMIFS('Raw Non-zero DMR Data'!$X:$X, 'Raw Non-zero DMR Data'!$A:$A, A527, 'Raw Non-zero DMR Data'!$C:$C, U527, 'Raw Non-zero DMR Data'!V:V, V527)</f>
        <v>0.19230638750000001</v>
      </c>
      <c r="U527" s="34" t="s">
        <v>1368</v>
      </c>
      <c r="V527" s="34" t="s">
        <v>1369</v>
      </c>
      <c r="W527" s="141" t="s">
        <v>1370</v>
      </c>
      <c r="X527" s="140" t="s">
        <v>812</v>
      </c>
    </row>
    <row r="528" spans="1:24" x14ac:dyDescent="0.35">
      <c r="A528" s="34">
        <v>2020</v>
      </c>
      <c r="B528" s="34" t="s">
        <v>179</v>
      </c>
      <c r="C528" s="34" t="s">
        <v>1371</v>
      </c>
      <c r="D528" s="34" t="s">
        <v>180</v>
      </c>
      <c r="E528" s="34" t="s">
        <v>1372</v>
      </c>
      <c r="F528" s="34" t="s">
        <v>181</v>
      </c>
      <c r="G528" s="34"/>
      <c r="H528" s="34">
        <v>42.718290000000003</v>
      </c>
      <c r="I528" s="34">
        <v>-85.463239999999999</v>
      </c>
      <c r="J528" s="34"/>
      <c r="K528" s="105">
        <v>110000410190</v>
      </c>
      <c r="L528" s="34">
        <v>3639</v>
      </c>
      <c r="M528" s="48" t="str">
        <f>VLOOKUP(L528, '2017 SIC to NAICS'!A:D, 2)</f>
        <v>Household Appliances, Nec</v>
      </c>
      <c r="N528" s="34">
        <f>VLOOKUP(L528,'2017 SIC to NAICS'!A:D,3)</f>
        <v>335220</v>
      </c>
      <c r="O528" s="34" t="str">
        <f>VLOOKUP(L528,'2017 SIC to NAICS'!A:D,4)</f>
        <v>Major Household Appliance Manufacturing</v>
      </c>
      <c r="P528" s="36" t="s">
        <v>1360</v>
      </c>
      <c r="Q528" s="137" t="s">
        <v>1361</v>
      </c>
      <c r="R528" s="45" t="s">
        <v>41</v>
      </c>
      <c r="S528" s="138">
        <f>COUNTIFS('Raw Non-zero DMR Data'!$A:$A, A528, 'Raw Non-zero DMR Data'!$C:$C, U528, 'Raw Non-zero DMR Data'!$V:$V, V528)</f>
        <v>1</v>
      </c>
      <c r="T528" s="34">
        <f>SUMIFS('Raw Non-zero DMR Data'!$X:$X, 'Raw Non-zero DMR Data'!$A:$A, A528, 'Raw Non-zero DMR Data'!$C:$C, U528, 'Raw Non-zero DMR Data'!V:V, V528)</f>
        <v>3.7397692500000003E-2</v>
      </c>
      <c r="U528" s="34" t="s">
        <v>1371</v>
      </c>
      <c r="V528" s="34" t="s">
        <v>1373</v>
      </c>
      <c r="W528" s="139">
        <v>40500070406</v>
      </c>
      <c r="X528" s="140" t="s">
        <v>840</v>
      </c>
    </row>
    <row r="529" spans="1:24" x14ac:dyDescent="0.35">
      <c r="A529" s="34">
        <v>2021</v>
      </c>
      <c r="B529" s="34" t="s">
        <v>179</v>
      </c>
      <c r="C529" s="34" t="s">
        <v>1371</v>
      </c>
      <c r="D529" s="34" t="s">
        <v>180</v>
      </c>
      <c r="E529" s="34" t="s">
        <v>1372</v>
      </c>
      <c r="F529" s="34" t="s">
        <v>181</v>
      </c>
      <c r="G529" s="34"/>
      <c r="H529" s="34">
        <v>42.718290000000003</v>
      </c>
      <c r="I529" s="34">
        <v>-85.463239999999999</v>
      </c>
      <c r="J529" s="34"/>
      <c r="K529" s="105">
        <v>110000410190</v>
      </c>
      <c r="L529" s="34">
        <v>3639</v>
      </c>
      <c r="M529" s="48" t="str">
        <f>VLOOKUP(L529, '2017 SIC to NAICS'!A:D, 2)</f>
        <v>Household Appliances, Nec</v>
      </c>
      <c r="N529" s="34">
        <f>VLOOKUP(L529,'2017 SIC to NAICS'!A:D,3)</f>
        <v>335220</v>
      </c>
      <c r="O529" s="34" t="str">
        <f>VLOOKUP(L529,'2017 SIC to NAICS'!A:D,4)</f>
        <v>Major Household Appliance Manufacturing</v>
      </c>
      <c r="P529" s="36" t="s">
        <v>1360</v>
      </c>
      <c r="Q529" s="137" t="s">
        <v>1361</v>
      </c>
      <c r="R529" s="45" t="s">
        <v>41</v>
      </c>
      <c r="S529" s="138">
        <f>COUNTIFS('Raw Non-zero DMR Data'!$A:$A, A529, 'Raw Non-zero DMR Data'!$C:$C, U529, 'Raw Non-zero DMR Data'!$V:$V, V529)</f>
        <v>1</v>
      </c>
      <c r="T529" s="34">
        <f>SUMIFS('Raw Non-zero DMR Data'!$X:$X, 'Raw Non-zero DMR Data'!$A:$A, A529, 'Raw Non-zero DMR Data'!$C:$C, U529, 'Raw Non-zero DMR Data'!V:V, V529)</f>
        <v>3.6593380000000002E-2</v>
      </c>
      <c r="U529" s="34" t="s">
        <v>1371</v>
      </c>
      <c r="V529" s="34" t="s">
        <v>1373</v>
      </c>
      <c r="W529" s="139">
        <v>40500070406</v>
      </c>
      <c r="X529" s="140" t="s">
        <v>840</v>
      </c>
    </row>
    <row r="530" spans="1:24" x14ac:dyDescent="0.35">
      <c r="A530" s="34">
        <v>2022</v>
      </c>
      <c r="B530" s="34" t="s">
        <v>179</v>
      </c>
      <c r="C530" s="34" t="s">
        <v>1371</v>
      </c>
      <c r="D530" s="34" t="s">
        <v>180</v>
      </c>
      <c r="E530" s="34" t="s">
        <v>1372</v>
      </c>
      <c r="F530" s="34" t="s">
        <v>181</v>
      </c>
      <c r="G530" s="34"/>
      <c r="H530" s="34">
        <v>42.718290000000003</v>
      </c>
      <c r="I530" s="34">
        <v>-85.463239999999999</v>
      </c>
      <c r="J530" s="34"/>
      <c r="K530" s="105">
        <v>110000410190</v>
      </c>
      <c r="L530" s="34">
        <v>3639</v>
      </c>
      <c r="M530" s="48" t="str">
        <f>VLOOKUP(L530, '2017 SIC to NAICS'!A:D, 2)</f>
        <v>Household Appliances, Nec</v>
      </c>
      <c r="N530" s="34">
        <f>VLOOKUP(L530,'2017 SIC to NAICS'!A:D,3)</f>
        <v>335220</v>
      </c>
      <c r="O530" s="34" t="str">
        <f>VLOOKUP(L530,'2017 SIC to NAICS'!A:D,4)</f>
        <v>Major Household Appliance Manufacturing</v>
      </c>
      <c r="P530" s="36" t="s">
        <v>1360</v>
      </c>
      <c r="Q530" s="137" t="s">
        <v>1361</v>
      </c>
      <c r="R530" s="45" t="s">
        <v>41</v>
      </c>
      <c r="S530" s="138">
        <f>COUNTIFS('Raw Non-zero DMR Data'!$A:$A, A530, 'Raw Non-zero DMR Data'!$C:$C, U530, 'Raw Non-zero DMR Data'!$V:$V, V530)</f>
        <v>1</v>
      </c>
      <c r="T530" s="34">
        <f>SUMIFS('Raw Non-zero DMR Data'!$X:$X, 'Raw Non-zero DMR Data'!$A:$A, A530, 'Raw Non-zero DMR Data'!$C:$C, U530, 'Raw Non-zero DMR Data'!V:V, V530)</f>
        <v>5.7667624120000003</v>
      </c>
      <c r="U530" s="34" t="s">
        <v>1371</v>
      </c>
      <c r="V530" s="34" t="s">
        <v>1373</v>
      </c>
      <c r="W530" s="141" t="s">
        <v>1374</v>
      </c>
      <c r="X530" s="140" t="s">
        <v>840</v>
      </c>
    </row>
    <row r="531" spans="1:24" x14ac:dyDescent="0.35">
      <c r="A531" s="34">
        <v>2023</v>
      </c>
      <c r="B531" s="34" t="s">
        <v>179</v>
      </c>
      <c r="C531" s="34" t="s">
        <v>1371</v>
      </c>
      <c r="D531" s="34" t="s">
        <v>180</v>
      </c>
      <c r="E531" s="34" t="s">
        <v>1372</v>
      </c>
      <c r="F531" s="34" t="s">
        <v>181</v>
      </c>
      <c r="G531" s="34"/>
      <c r="H531" s="34">
        <v>42.718290000000003</v>
      </c>
      <c r="I531" s="34">
        <v>-85.463239999999999</v>
      </c>
      <c r="J531" s="34"/>
      <c r="K531" s="105">
        <v>110000410190</v>
      </c>
      <c r="L531" s="34">
        <v>3639</v>
      </c>
      <c r="M531" s="48" t="str">
        <f>VLOOKUP(L531, '2017 SIC to NAICS'!A:D, 2)</f>
        <v>Household Appliances, Nec</v>
      </c>
      <c r="N531" s="34">
        <f>VLOOKUP(L531,'2017 SIC to NAICS'!A:D,3)</f>
        <v>335220</v>
      </c>
      <c r="O531" s="34" t="str">
        <f>VLOOKUP(L531,'2017 SIC to NAICS'!A:D,4)</f>
        <v>Major Household Appliance Manufacturing</v>
      </c>
      <c r="P531" s="36" t="s">
        <v>1360</v>
      </c>
      <c r="Q531" s="137" t="s">
        <v>1361</v>
      </c>
      <c r="R531" s="45" t="s">
        <v>41</v>
      </c>
      <c r="S531" s="138">
        <f>COUNTIFS('Raw Non-zero DMR Data'!$A:$A, A531, 'Raw Non-zero DMR Data'!$C:$C, U531, 'Raw Non-zero DMR Data'!$V:$V, V531)</f>
        <v>1</v>
      </c>
      <c r="T531" s="34">
        <f>SUMIFS('Raw Non-zero DMR Data'!$X:$X, 'Raw Non-zero DMR Data'!$A:$A, A531, 'Raw Non-zero DMR Data'!$C:$C, U531, 'Raw Non-zero DMR Data'!V:V, V531)</f>
        <v>3.890241925E-2</v>
      </c>
      <c r="U531" s="34" t="s">
        <v>1371</v>
      </c>
      <c r="V531" s="34" t="s">
        <v>1373</v>
      </c>
      <c r="W531" s="141" t="s">
        <v>1374</v>
      </c>
      <c r="X531" s="140" t="s">
        <v>840</v>
      </c>
    </row>
    <row r="532" spans="1:24" x14ac:dyDescent="0.35">
      <c r="A532" s="34">
        <v>2021</v>
      </c>
      <c r="B532" s="34" t="s">
        <v>475</v>
      </c>
      <c r="C532" s="34" t="s">
        <v>1375</v>
      </c>
      <c r="D532" s="34" t="s">
        <v>476</v>
      </c>
      <c r="E532" s="34" t="s">
        <v>1365</v>
      </c>
      <c r="F532" s="34" t="s">
        <v>181</v>
      </c>
      <c r="G532" s="34"/>
      <c r="H532" s="34">
        <v>42.250990000000002</v>
      </c>
      <c r="I532" s="34">
        <v>-84.736580000000004</v>
      </c>
      <c r="J532" s="34"/>
      <c r="K532" s="105">
        <v>110009900679</v>
      </c>
      <c r="L532" s="34">
        <v>1799</v>
      </c>
      <c r="M532" s="48" t="str">
        <f>VLOOKUP(L532, '2017 SIC to NAICS'!A:D, 2)</f>
        <v>Special Trade Contractors, Nec</v>
      </c>
      <c r="N532" s="34">
        <f>VLOOKUP(L532,'2017 SIC to NAICS'!A:D,3)</f>
        <v>562910</v>
      </c>
      <c r="O532" s="34" t="str">
        <f>VLOOKUP(L532,'2017 SIC to NAICS'!A:D,4)</f>
        <v>Remediation Services</v>
      </c>
      <c r="P532" s="36" t="s">
        <v>754</v>
      </c>
      <c r="Q532" s="137" t="s">
        <v>755</v>
      </c>
      <c r="R532" s="45" t="s">
        <v>41</v>
      </c>
      <c r="S532" s="138">
        <f>COUNTIFS('Raw Non-zero DMR Data'!$A:$A, A532, 'Raw Non-zero DMR Data'!$C:$C, U532, 'Raw Non-zero DMR Data'!$V:$V, V532)</f>
        <v>1</v>
      </c>
      <c r="T532" s="34">
        <f>SUMIFS('Raw Non-zero DMR Data'!$X:$X, 'Raw Non-zero DMR Data'!$A:$A, A532, 'Raw Non-zero DMR Data'!$C:$C, U532, 'Raw Non-zero DMR Data'!V:V, V532)</f>
        <v>7.4280625000000003E-2</v>
      </c>
      <c r="U532" s="34" t="s">
        <v>1375</v>
      </c>
      <c r="V532" s="34" t="s">
        <v>1376</v>
      </c>
      <c r="W532" s="139">
        <v>40500030406</v>
      </c>
      <c r="X532" s="140" t="s">
        <v>739</v>
      </c>
    </row>
    <row r="533" spans="1:24" x14ac:dyDescent="0.35">
      <c r="A533" s="34">
        <v>2022</v>
      </c>
      <c r="B533" s="34" t="s">
        <v>475</v>
      </c>
      <c r="C533" s="34" t="s">
        <v>1375</v>
      </c>
      <c r="D533" s="34" t="s">
        <v>476</v>
      </c>
      <c r="E533" s="34" t="s">
        <v>1365</v>
      </c>
      <c r="F533" s="34" t="s">
        <v>181</v>
      </c>
      <c r="G533" s="34"/>
      <c r="H533" s="34">
        <v>42.250990000000002</v>
      </c>
      <c r="I533" s="34">
        <v>-84.736580000000004</v>
      </c>
      <c r="J533" s="34"/>
      <c r="K533" s="105">
        <v>110009900679</v>
      </c>
      <c r="L533" s="34">
        <v>1799</v>
      </c>
      <c r="M533" s="48" t="str">
        <f>VLOOKUP(L533, '2017 SIC to NAICS'!A:D, 2)</f>
        <v>Special Trade Contractors, Nec</v>
      </c>
      <c r="N533" s="34">
        <f>VLOOKUP(L533,'2017 SIC to NAICS'!A:D,3)</f>
        <v>562910</v>
      </c>
      <c r="O533" s="34" t="str">
        <f>VLOOKUP(L533,'2017 SIC to NAICS'!A:D,4)</f>
        <v>Remediation Services</v>
      </c>
      <c r="P533" s="36" t="s">
        <v>754</v>
      </c>
      <c r="Q533" s="137" t="s">
        <v>755</v>
      </c>
      <c r="R533" s="45" t="s">
        <v>41</v>
      </c>
      <c r="S533" s="138">
        <f>COUNTIFS('Raw Non-zero DMR Data'!$A:$A, A533, 'Raw Non-zero DMR Data'!$C:$C, U533, 'Raw Non-zero DMR Data'!$V:$V, V533)</f>
        <v>1</v>
      </c>
      <c r="T533" s="34">
        <f>SUMIFS('Raw Non-zero DMR Data'!$X:$X, 'Raw Non-zero DMR Data'!$A:$A, A533, 'Raw Non-zero DMR Data'!$C:$C, U533, 'Raw Non-zero DMR Data'!V:V, V533)</f>
        <v>7.0584744545454506E-2</v>
      </c>
      <c r="U533" s="34" t="s">
        <v>1375</v>
      </c>
      <c r="V533" s="34" t="s">
        <v>1376</v>
      </c>
      <c r="W533" s="141" t="s">
        <v>1377</v>
      </c>
      <c r="X533" s="140" t="s">
        <v>739</v>
      </c>
    </row>
    <row r="534" spans="1:24" x14ac:dyDescent="0.35">
      <c r="A534" s="34">
        <v>2023</v>
      </c>
      <c r="B534" s="34" t="s">
        <v>475</v>
      </c>
      <c r="C534" s="34" t="s">
        <v>1375</v>
      </c>
      <c r="D534" s="34" t="s">
        <v>476</v>
      </c>
      <c r="E534" s="34" t="s">
        <v>1365</v>
      </c>
      <c r="F534" s="34" t="s">
        <v>181</v>
      </c>
      <c r="G534" s="34"/>
      <c r="H534" s="34">
        <v>42.250990000000002</v>
      </c>
      <c r="I534" s="34">
        <v>-84.736580000000004</v>
      </c>
      <c r="J534" s="34"/>
      <c r="K534" s="105">
        <v>110009900679</v>
      </c>
      <c r="L534" s="34">
        <v>1799</v>
      </c>
      <c r="M534" s="48" t="str">
        <f>VLOOKUP(L534, '2017 SIC to NAICS'!A:D, 2)</f>
        <v>Special Trade Contractors, Nec</v>
      </c>
      <c r="N534" s="34">
        <f>VLOOKUP(L534,'2017 SIC to NAICS'!A:D,3)</f>
        <v>562910</v>
      </c>
      <c r="O534" s="34" t="str">
        <f>VLOOKUP(L534,'2017 SIC to NAICS'!A:D,4)</f>
        <v>Remediation Services</v>
      </c>
      <c r="P534" s="36" t="s">
        <v>754</v>
      </c>
      <c r="Q534" s="137" t="s">
        <v>755</v>
      </c>
      <c r="R534" s="45" t="s">
        <v>41</v>
      </c>
      <c r="S534" s="138">
        <f>COUNTIFS('Raw Non-zero DMR Data'!$A:$A, A534, 'Raw Non-zero DMR Data'!$C:$C, U534, 'Raw Non-zero DMR Data'!$V:$V, V534)</f>
        <v>1</v>
      </c>
      <c r="T534" s="34">
        <f>SUMIFS('Raw Non-zero DMR Data'!$X:$X, 'Raw Non-zero DMR Data'!$A:$A, A534, 'Raw Non-zero DMR Data'!$C:$C, U534, 'Raw Non-zero DMR Data'!V:V, V534)</f>
        <v>7.8614450000000002E-2</v>
      </c>
      <c r="U534" s="34" t="s">
        <v>1375</v>
      </c>
      <c r="V534" s="34" t="s">
        <v>1376</v>
      </c>
      <c r="W534" s="141" t="s">
        <v>1377</v>
      </c>
      <c r="X534" s="140" t="s">
        <v>739</v>
      </c>
    </row>
    <row r="535" spans="1:24" x14ac:dyDescent="0.35">
      <c r="A535" s="34">
        <v>2020</v>
      </c>
      <c r="B535" s="34" t="s">
        <v>703</v>
      </c>
      <c r="C535" s="34" t="s">
        <v>1378</v>
      </c>
      <c r="D535" s="34" t="s">
        <v>704</v>
      </c>
      <c r="E535" s="34" t="s">
        <v>1379</v>
      </c>
      <c r="F535" s="34" t="s">
        <v>181</v>
      </c>
      <c r="G535" s="34"/>
      <c r="H535" s="34">
        <v>41.948850999999998</v>
      </c>
      <c r="I535" s="34">
        <v>-83.958619999999996</v>
      </c>
      <c r="J535" s="34"/>
      <c r="K535" s="105">
        <v>110056966699</v>
      </c>
      <c r="L535" s="34">
        <v>2821</v>
      </c>
      <c r="M535" s="48" t="str">
        <f>VLOOKUP(L535, '2017 SIC to NAICS'!A:D, 2)</f>
        <v>Plastics Materials and Resins</v>
      </c>
      <c r="N535" s="34">
        <f>VLOOKUP(L535,'2017 SIC to NAICS'!A:D,3)</f>
        <v>325211</v>
      </c>
      <c r="O535" s="34" t="str">
        <f>VLOOKUP(L535,'2017 SIC to NAICS'!A:D,4)</f>
        <v>Plastics Material and Resin Manufacturing</v>
      </c>
      <c r="P535" s="36" t="s">
        <v>796</v>
      </c>
      <c r="Q535" s="137" t="s">
        <v>797</v>
      </c>
      <c r="R535" s="45" t="s">
        <v>41</v>
      </c>
      <c r="S535" s="138">
        <f>COUNTIFS('Raw Non-zero DMR Data'!$A:$A, A535, 'Raw Non-zero DMR Data'!$C:$C, U535, 'Raw Non-zero DMR Data'!$V:$V, V535)</f>
        <v>1</v>
      </c>
      <c r="T535" s="34">
        <f>SUMIFS('Raw Non-zero DMR Data'!$X:$X, 'Raw Non-zero DMR Data'!$A:$A, A535, 'Raw Non-zero DMR Data'!$C:$C, U535, 'Raw Non-zero DMR Data'!V:V, V535)</f>
        <v>4.6221000000000002E-6</v>
      </c>
      <c r="U535" s="34" t="s">
        <v>1378</v>
      </c>
      <c r="V535" s="34" t="s">
        <v>1380</v>
      </c>
      <c r="W535" s="139">
        <v>41000020108</v>
      </c>
      <c r="X535" s="140" t="s">
        <v>751</v>
      </c>
    </row>
    <row r="536" spans="1:24" x14ac:dyDescent="0.35">
      <c r="A536" s="34">
        <v>2022</v>
      </c>
      <c r="B536" s="34" t="s">
        <v>703</v>
      </c>
      <c r="C536" s="34" t="s">
        <v>1378</v>
      </c>
      <c r="D536" s="34" t="s">
        <v>704</v>
      </c>
      <c r="E536" s="34" t="s">
        <v>1379</v>
      </c>
      <c r="F536" s="34" t="s">
        <v>181</v>
      </c>
      <c r="G536" s="34"/>
      <c r="H536" s="34">
        <v>41.948850999999998</v>
      </c>
      <c r="I536" s="34">
        <v>-83.958619999999996</v>
      </c>
      <c r="J536" s="34"/>
      <c r="K536" s="105">
        <v>110056966699</v>
      </c>
      <c r="L536" s="34">
        <v>2821</v>
      </c>
      <c r="M536" s="48" t="str">
        <f>VLOOKUP(L536, '2017 SIC to NAICS'!A:D, 2)</f>
        <v>Plastics Materials and Resins</v>
      </c>
      <c r="N536" s="34">
        <f>VLOOKUP(L536,'2017 SIC to NAICS'!A:D,3)</f>
        <v>325211</v>
      </c>
      <c r="O536" s="34" t="str">
        <f>VLOOKUP(L536,'2017 SIC to NAICS'!A:D,4)</f>
        <v>Plastics Material and Resin Manufacturing</v>
      </c>
      <c r="P536" s="36" t="s">
        <v>796</v>
      </c>
      <c r="Q536" s="137" t="s">
        <v>797</v>
      </c>
      <c r="R536" s="45" t="s">
        <v>41</v>
      </c>
      <c r="S536" s="138">
        <f>COUNTIFS('Raw Non-zero DMR Data'!$A:$A, A536, 'Raw Non-zero DMR Data'!$C:$C, U536, 'Raw Non-zero DMR Data'!$V:$V, V536)</f>
        <v>1</v>
      </c>
      <c r="T536" s="34">
        <f>SUMIFS('Raw Non-zero DMR Data'!$X:$X, 'Raw Non-zero DMR Data'!$A:$A, A536, 'Raw Non-zero DMR Data'!$C:$C, U536, 'Raw Non-zero DMR Data'!V:V, V536)</f>
        <v>3.2354700000000002E-6</v>
      </c>
      <c r="U536" s="34" t="s">
        <v>1378</v>
      </c>
      <c r="V536" s="34" t="s">
        <v>1380</v>
      </c>
      <c r="W536" s="141" t="s">
        <v>1381</v>
      </c>
      <c r="X536" s="140" t="s">
        <v>751</v>
      </c>
    </row>
    <row r="537" spans="1:24" x14ac:dyDescent="0.35">
      <c r="A537" s="34">
        <v>2023</v>
      </c>
      <c r="B537" s="34" t="s">
        <v>703</v>
      </c>
      <c r="C537" s="34" t="s">
        <v>1378</v>
      </c>
      <c r="D537" s="34" t="s">
        <v>704</v>
      </c>
      <c r="E537" s="34" t="s">
        <v>1379</v>
      </c>
      <c r="F537" s="34" t="s">
        <v>181</v>
      </c>
      <c r="G537" s="34"/>
      <c r="H537" s="34">
        <v>41.948850999999998</v>
      </c>
      <c r="I537" s="34">
        <v>-83.958619999999996</v>
      </c>
      <c r="J537" s="34"/>
      <c r="K537" s="105">
        <v>110056966699</v>
      </c>
      <c r="L537" s="34">
        <v>2821</v>
      </c>
      <c r="M537" s="48" t="str">
        <f>VLOOKUP(L537, '2017 SIC to NAICS'!A:D, 2)</f>
        <v>Plastics Materials and Resins</v>
      </c>
      <c r="N537" s="34">
        <f>VLOOKUP(L537,'2017 SIC to NAICS'!A:D,3)</f>
        <v>325211</v>
      </c>
      <c r="O537" s="34" t="str">
        <f>VLOOKUP(L537,'2017 SIC to NAICS'!A:D,4)</f>
        <v>Plastics Material and Resin Manufacturing</v>
      </c>
      <c r="P537" s="36" t="s">
        <v>796</v>
      </c>
      <c r="Q537" s="137" t="s">
        <v>797</v>
      </c>
      <c r="R537" s="45" t="s">
        <v>41</v>
      </c>
      <c r="S537" s="138">
        <f>COUNTIFS('Raw Non-zero DMR Data'!$A:$A, A537, 'Raw Non-zero DMR Data'!$C:$C, U537, 'Raw Non-zero DMR Data'!$V:$V, V537)</f>
        <v>1</v>
      </c>
      <c r="T537" s="34">
        <f>SUMIFS('Raw Non-zero DMR Data'!$X:$X, 'Raw Non-zero DMR Data'!$A:$A, A537, 'Raw Non-zero DMR Data'!$C:$C, U537, 'Raw Non-zero DMR Data'!V:V, V537)</f>
        <v>4.4919108500000003E-6</v>
      </c>
      <c r="U537" s="34" t="s">
        <v>1378</v>
      </c>
      <c r="V537" s="34" t="s">
        <v>1380</v>
      </c>
      <c r="W537" s="141" t="s">
        <v>1381</v>
      </c>
      <c r="X537" s="140" t="s">
        <v>751</v>
      </c>
    </row>
    <row r="538" spans="1:24" x14ac:dyDescent="0.35">
      <c r="A538" s="34">
        <v>2021</v>
      </c>
      <c r="B538" s="34" t="s">
        <v>307</v>
      </c>
      <c r="C538" s="34" t="s">
        <v>1382</v>
      </c>
      <c r="D538" s="34" t="s">
        <v>308</v>
      </c>
      <c r="E538" s="34" t="s">
        <v>1365</v>
      </c>
      <c r="F538" s="34" t="s">
        <v>181</v>
      </c>
      <c r="G538" s="34"/>
      <c r="H538" s="34">
        <v>42.338805999999998</v>
      </c>
      <c r="I538" s="34">
        <v>-85.144028000000006</v>
      </c>
      <c r="J538" s="34"/>
      <c r="K538" s="105">
        <v>110006040989</v>
      </c>
      <c r="L538" s="34">
        <v>9999</v>
      </c>
      <c r="M538" s="48" t="str">
        <f>VLOOKUP(L538, '2017 SIC to NAICS'!A:D, 2)</f>
        <v>Nonclassifiable Establishments</v>
      </c>
      <c r="N538" s="34">
        <f>VLOOKUP(L538,'2017 SIC to NAICS'!A:D,3)</f>
        <v>0</v>
      </c>
      <c r="O538" s="34">
        <f>VLOOKUP(L538,'2017 SIC to NAICS'!A:D,4)</f>
        <v>0</v>
      </c>
      <c r="P538" s="36" t="s">
        <v>737</v>
      </c>
      <c r="Q538" s="137" t="s">
        <v>737</v>
      </c>
      <c r="R538" s="45" t="s">
        <v>41</v>
      </c>
      <c r="S538" s="138">
        <f>COUNTIFS('Raw Non-zero DMR Data'!$A:$A, A538, 'Raw Non-zero DMR Data'!$C:$C, U538, 'Raw Non-zero DMR Data'!$V:$V, V538)</f>
        <v>1</v>
      </c>
      <c r="T538" s="34">
        <f>SUMIFS('Raw Non-zero DMR Data'!$X:$X, 'Raw Non-zero DMR Data'!$A:$A, A538, 'Raw Non-zero DMR Data'!$C:$C, U538, 'Raw Non-zero DMR Data'!V:V, V538)</f>
        <v>0.84246529999999997</v>
      </c>
      <c r="U538" s="34" t="s">
        <v>1382</v>
      </c>
      <c r="V538" s="34" t="s">
        <v>1383</v>
      </c>
      <c r="W538" s="139">
        <v>40500030312</v>
      </c>
      <c r="X538" s="140" t="s">
        <v>739</v>
      </c>
    </row>
    <row r="539" spans="1:24" x14ac:dyDescent="0.35">
      <c r="A539" s="34">
        <v>2022</v>
      </c>
      <c r="B539" s="34" t="s">
        <v>307</v>
      </c>
      <c r="C539" s="34" t="s">
        <v>1382</v>
      </c>
      <c r="D539" s="34" t="s">
        <v>308</v>
      </c>
      <c r="E539" s="34" t="s">
        <v>1365</v>
      </c>
      <c r="F539" s="34" t="s">
        <v>181</v>
      </c>
      <c r="G539" s="34"/>
      <c r="H539" s="34">
        <v>42.338805999999998</v>
      </c>
      <c r="I539" s="34">
        <v>-85.144028000000006</v>
      </c>
      <c r="J539" s="34"/>
      <c r="K539" s="105">
        <v>110006040989</v>
      </c>
      <c r="L539" s="34">
        <v>9999</v>
      </c>
      <c r="M539" s="48" t="str">
        <f>VLOOKUP(L539, '2017 SIC to NAICS'!A:D, 2)</f>
        <v>Nonclassifiable Establishments</v>
      </c>
      <c r="N539" s="34">
        <f>VLOOKUP(L539,'2017 SIC to NAICS'!A:D,3)</f>
        <v>0</v>
      </c>
      <c r="O539" s="34">
        <f>VLOOKUP(L539,'2017 SIC to NAICS'!A:D,4)</f>
        <v>0</v>
      </c>
      <c r="P539" s="36" t="s">
        <v>737</v>
      </c>
      <c r="Q539" s="137" t="s">
        <v>737</v>
      </c>
      <c r="R539" s="45" t="s">
        <v>41</v>
      </c>
      <c r="S539" s="138">
        <f>COUNTIFS('Raw Non-zero DMR Data'!$A:$A, A539, 'Raw Non-zero DMR Data'!$C:$C, U539, 'Raw Non-zero DMR Data'!$V:$V, V539)</f>
        <v>1</v>
      </c>
      <c r="T539" s="34">
        <f>SUMIFS('Raw Non-zero DMR Data'!$X:$X, 'Raw Non-zero DMR Data'!$A:$A, A539, 'Raw Non-zero DMR Data'!$C:$C, U539, 'Raw Non-zero DMR Data'!V:V, V539)</f>
        <v>0.87463780000000002</v>
      </c>
      <c r="U539" s="34" t="s">
        <v>1382</v>
      </c>
      <c r="V539" s="34" t="s">
        <v>1383</v>
      </c>
      <c r="W539" s="141" t="s">
        <v>1384</v>
      </c>
      <c r="X539" s="140" t="s">
        <v>739</v>
      </c>
    </row>
    <row r="540" spans="1:24" x14ac:dyDescent="0.35">
      <c r="A540" s="34">
        <v>2023</v>
      </c>
      <c r="B540" s="34" t="s">
        <v>307</v>
      </c>
      <c r="C540" s="34" t="s">
        <v>1382</v>
      </c>
      <c r="D540" s="34" t="s">
        <v>308</v>
      </c>
      <c r="E540" s="34" t="s">
        <v>1365</v>
      </c>
      <c r="F540" s="34" t="s">
        <v>181</v>
      </c>
      <c r="G540" s="34"/>
      <c r="H540" s="34">
        <v>42.338805999999998</v>
      </c>
      <c r="I540" s="34">
        <v>-85.144028000000006</v>
      </c>
      <c r="J540" s="34"/>
      <c r="K540" s="105">
        <v>110006040989</v>
      </c>
      <c r="L540" s="34">
        <v>9999</v>
      </c>
      <c r="M540" s="48" t="str">
        <f>VLOOKUP(L540, '2017 SIC to NAICS'!A:D, 2)</f>
        <v>Nonclassifiable Establishments</v>
      </c>
      <c r="N540" s="34">
        <f>VLOOKUP(L540,'2017 SIC to NAICS'!A:D,3)</f>
        <v>0</v>
      </c>
      <c r="O540" s="34">
        <f>VLOOKUP(L540,'2017 SIC to NAICS'!A:D,4)</f>
        <v>0</v>
      </c>
      <c r="P540" s="36" t="s">
        <v>737</v>
      </c>
      <c r="Q540" s="137" t="s">
        <v>737</v>
      </c>
      <c r="R540" s="45" t="s">
        <v>41</v>
      </c>
      <c r="S540" s="138">
        <f>COUNTIFS('Raw Non-zero DMR Data'!$A:$A, A540, 'Raw Non-zero DMR Data'!$C:$C, U540, 'Raw Non-zero DMR Data'!$V:$V, V540)</f>
        <v>1</v>
      </c>
      <c r="T540" s="34">
        <f>SUMIFS('Raw Non-zero DMR Data'!$X:$X, 'Raw Non-zero DMR Data'!$A:$A, A540, 'Raw Non-zero DMR Data'!$C:$C, U540, 'Raw Non-zero DMR Data'!V:V, V540)</f>
        <v>0.90419864999999999</v>
      </c>
      <c r="U540" s="34" t="s">
        <v>1382</v>
      </c>
      <c r="V540" s="34" t="s">
        <v>1383</v>
      </c>
      <c r="W540" s="141" t="s">
        <v>1384</v>
      </c>
      <c r="X540" s="140" t="s">
        <v>739</v>
      </c>
    </row>
    <row r="541" spans="1:24" x14ac:dyDescent="0.35">
      <c r="A541" s="34">
        <v>2019</v>
      </c>
      <c r="B541" s="34" t="s">
        <v>648</v>
      </c>
      <c r="C541" s="34" t="s">
        <v>1385</v>
      </c>
      <c r="D541" s="34" t="s">
        <v>378</v>
      </c>
      <c r="E541" s="34" t="s">
        <v>814</v>
      </c>
      <c r="F541" s="34" t="s">
        <v>181</v>
      </c>
      <c r="G541" s="34"/>
      <c r="H541" s="34">
        <v>42.672580000000004</v>
      </c>
      <c r="I541" s="34">
        <v>-84.663955999999999</v>
      </c>
      <c r="J541" s="34"/>
      <c r="K541" s="105">
        <v>110009900312</v>
      </c>
      <c r="L541" s="34">
        <v>9199</v>
      </c>
      <c r="M541" s="48" t="str">
        <f>VLOOKUP(L541, '2017 SIC to NAICS'!A:D, 2)</f>
        <v>General Government, Nec</v>
      </c>
      <c r="N541" s="34">
        <f>VLOOKUP(L541,'2017 SIC to NAICS'!A:D,3)</f>
        <v>921190</v>
      </c>
      <c r="O541" s="34" t="str">
        <f>VLOOKUP(L541,'2017 SIC to NAICS'!A:D,4)</f>
        <v>Other General Government Support</v>
      </c>
      <c r="P541" s="36" t="s">
        <v>754</v>
      </c>
      <c r="Q541" s="137" t="s">
        <v>755</v>
      </c>
      <c r="R541" s="45" t="s">
        <v>41</v>
      </c>
      <c r="S541" s="138">
        <f>COUNTIFS('Raw Non-zero DMR Data'!$A:$A, A541, 'Raw Non-zero DMR Data'!$C:$C, U541, 'Raw Non-zero DMR Data'!$V:$V, V541)</f>
        <v>1</v>
      </c>
      <c r="T541" s="34">
        <f>SUMIFS('Raw Non-zero DMR Data'!$X:$X, 'Raw Non-zero DMR Data'!$A:$A, A541, 'Raw Non-zero DMR Data'!$C:$C, U541, 'Raw Non-zero DMR Data'!V:V, V541)</f>
        <v>2.999991E-3</v>
      </c>
      <c r="U541" s="34" t="s">
        <v>1385</v>
      </c>
      <c r="V541" s="34" t="s">
        <v>1386</v>
      </c>
      <c r="W541" s="139">
        <v>40500040703</v>
      </c>
      <c r="X541" s="140" t="s">
        <v>792</v>
      </c>
    </row>
    <row r="542" spans="1:24" x14ac:dyDescent="0.35">
      <c r="A542" s="34">
        <v>2020</v>
      </c>
      <c r="B542" s="34" t="s">
        <v>648</v>
      </c>
      <c r="C542" s="34" t="s">
        <v>1385</v>
      </c>
      <c r="D542" s="34" t="s">
        <v>378</v>
      </c>
      <c r="E542" s="34" t="s">
        <v>814</v>
      </c>
      <c r="F542" s="34" t="s">
        <v>181</v>
      </c>
      <c r="G542" s="34"/>
      <c r="H542" s="34">
        <v>42.672580000000004</v>
      </c>
      <c r="I542" s="34">
        <v>-84.663955999999999</v>
      </c>
      <c r="J542" s="34"/>
      <c r="K542" s="105">
        <v>110009900312</v>
      </c>
      <c r="L542" s="34">
        <v>9199</v>
      </c>
      <c r="M542" s="48" t="str">
        <f>VLOOKUP(L542, '2017 SIC to NAICS'!A:D, 2)</f>
        <v>General Government, Nec</v>
      </c>
      <c r="N542" s="34">
        <f>VLOOKUP(L542,'2017 SIC to NAICS'!A:D,3)</f>
        <v>921190</v>
      </c>
      <c r="O542" s="34" t="str">
        <f>VLOOKUP(L542,'2017 SIC to NAICS'!A:D,4)</f>
        <v>Other General Government Support</v>
      </c>
      <c r="P542" s="36" t="s">
        <v>754</v>
      </c>
      <c r="Q542" s="137" t="s">
        <v>755</v>
      </c>
      <c r="R542" s="45" t="s">
        <v>41</v>
      </c>
      <c r="S542" s="138">
        <f>COUNTIFS('Raw Non-zero DMR Data'!$A:$A, A542, 'Raw Non-zero DMR Data'!$C:$C, U542, 'Raw Non-zero DMR Data'!$V:$V, V542)</f>
        <v>1</v>
      </c>
      <c r="T542" s="34">
        <f>SUMIFS('Raw Non-zero DMR Data'!$X:$X, 'Raw Non-zero DMR Data'!$A:$A, A542, 'Raw Non-zero DMR Data'!$C:$C, U542, 'Raw Non-zero DMR Data'!V:V, V542)</f>
        <v>3.7977313636363601E-3</v>
      </c>
      <c r="U542" s="34" t="s">
        <v>1385</v>
      </c>
      <c r="V542" s="34" t="s">
        <v>1386</v>
      </c>
      <c r="W542" s="139">
        <v>40500040703</v>
      </c>
      <c r="X542" s="140" t="s">
        <v>792</v>
      </c>
    </row>
    <row r="543" spans="1:24" x14ac:dyDescent="0.35">
      <c r="A543" s="34">
        <v>2021</v>
      </c>
      <c r="B543" s="34" t="s">
        <v>648</v>
      </c>
      <c r="C543" s="34" t="s">
        <v>1385</v>
      </c>
      <c r="D543" s="34" t="s">
        <v>378</v>
      </c>
      <c r="E543" s="34" t="s">
        <v>814</v>
      </c>
      <c r="F543" s="34" t="s">
        <v>181</v>
      </c>
      <c r="G543" s="34"/>
      <c r="H543" s="34">
        <v>42.672580000000004</v>
      </c>
      <c r="I543" s="34">
        <v>-84.663955999999999</v>
      </c>
      <c r="J543" s="34"/>
      <c r="K543" s="105">
        <v>110009900312</v>
      </c>
      <c r="L543" s="34">
        <v>9199</v>
      </c>
      <c r="M543" s="48" t="str">
        <f>VLOOKUP(L543, '2017 SIC to NAICS'!A:D, 2)</f>
        <v>General Government, Nec</v>
      </c>
      <c r="N543" s="34">
        <f>VLOOKUP(L543,'2017 SIC to NAICS'!A:D,3)</f>
        <v>921190</v>
      </c>
      <c r="O543" s="34" t="str">
        <f>VLOOKUP(L543,'2017 SIC to NAICS'!A:D,4)</f>
        <v>Other General Government Support</v>
      </c>
      <c r="P543" s="36" t="s">
        <v>754</v>
      </c>
      <c r="Q543" s="137" t="s">
        <v>755</v>
      </c>
      <c r="R543" s="45" t="s">
        <v>41</v>
      </c>
      <c r="S543" s="138">
        <f>COUNTIFS('Raw Non-zero DMR Data'!$A:$A, A543, 'Raw Non-zero DMR Data'!$C:$C, U543, 'Raw Non-zero DMR Data'!$V:$V, V543)</f>
        <v>1</v>
      </c>
      <c r="T543" s="34">
        <f>SUMIFS('Raw Non-zero DMR Data'!$X:$X, 'Raw Non-zero DMR Data'!$A:$A, A543, 'Raw Non-zero DMR Data'!$C:$C, U543, 'Raw Non-zero DMR Data'!V:V, V543)</f>
        <v>4.0279281818181804E-3</v>
      </c>
      <c r="U543" s="34" t="s">
        <v>1385</v>
      </c>
      <c r="V543" s="34" t="s">
        <v>1386</v>
      </c>
      <c r="W543" s="139">
        <v>40500040703</v>
      </c>
      <c r="X543" s="140" t="s">
        <v>792</v>
      </c>
    </row>
    <row r="544" spans="1:24" x14ac:dyDescent="0.35">
      <c r="A544" s="34">
        <v>2022</v>
      </c>
      <c r="B544" s="34" t="s">
        <v>648</v>
      </c>
      <c r="C544" s="34" t="s">
        <v>1385</v>
      </c>
      <c r="D544" s="34" t="s">
        <v>378</v>
      </c>
      <c r="E544" s="34" t="s">
        <v>814</v>
      </c>
      <c r="F544" s="34" t="s">
        <v>181</v>
      </c>
      <c r="G544" s="34"/>
      <c r="H544" s="34">
        <v>42.672580000000004</v>
      </c>
      <c r="I544" s="34">
        <v>-84.663955999999999</v>
      </c>
      <c r="J544" s="34"/>
      <c r="K544" s="105">
        <v>110009900312</v>
      </c>
      <c r="L544" s="34">
        <v>9199</v>
      </c>
      <c r="M544" s="48" t="str">
        <f>VLOOKUP(L544, '2017 SIC to NAICS'!A:D, 2)</f>
        <v>General Government, Nec</v>
      </c>
      <c r="N544" s="34">
        <f>VLOOKUP(L544,'2017 SIC to NAICS'!A:D,3)</f>
        <v>921190</v>
      </c>
      <c r="O544" s="34" t="str">
        <f>VLOOKUP(L544,'2017 SIC to NAICS'!A:D,4)</f>
        <v>Other General Government Support</v>
      </c>
      <c r="P544" s="36" t="s">
        <v>754</v>
      </c>
      <c r="Q544" s="137" t="s">
        <v>755</v>
      </c>
      <c r="R544" s="45" t="s">
        <v>41</v>
      </c>
      <c r="S544" s="138">
        <f>COUNTIFS('Raw Non-zero DMR Data'!$A:$A, A544, 'Raw Non-zero DMR Data'!$C:$C, U544, 'Raw Non-zero DMR Data'!$V:$V, V544)</f>
        <v>1</v>
      </c>
      <c r="T544" s="34">
        <f>SUMIFS('Raw Non-zero DMR Data'!$X:$X, 'Raw Non-zero DMR Data'!$A:$A, A544, 'Raw Non-zero DMR Data'!$C:$C, U544, 'Raw Non-zero DMR Data'!V:V, V544)</f>
        <v>2.5295155000000001E-3</v>
      </c>
      <c r="U544" s="34" t="s">
        <v>1385</v>
      </c>
      <c r="V544" s="34" t="s">
        <v>1386</v>
      </c>
      <c r="W544" s="141" t="s">
        <v>1387</v>
      </c>
      <c r="X544" s="140" t="s">
        <v>792</v>
      </c>
    </row>
    <row r="545" spans="1:24" x14ac:dyDescent="0.35">
      <c r="A545" s="34">
        <v>2023</v>
      </c>
      <c r="B545" s="34" t="s">
        <v>648</v>
      </c>
      <c r="C545" s="34" t="s">
        <v>1385</v>
      </c>
      <c r="D545" s="34" t="s">
        <v>378</v>
      </c>
      <c r="E545" s="34" t="s">
        <v>814</v>
      </c>
      <c r="F545" s="34" t="s">
        <v>181</v>
      </c>
      <c r="G545" s="34"/>
      <c r="H545" s="34">
        <v>42.672580000000004</v>
      </c>
      <c r="I545" s="34">
        <v>-84.663955999999999</v>
      </c>
      <c r="J545" s="34"/>
      <c r="K545" s="105">
        <v>110009900312</v>
      </c>
      <c r="L545" s="34">
        <v>9199</v>
      </c>
      <c r="M545" s="48" t="str">
        <f>VLOOKUP(L545, '2017 SIC to NAICS'!A:D, 2)</f>
        <v>General Government, Nec</v>
      </c>
      <c r="N545" s="34">
        <f>VLOOKUP(L545,'2017 SIC to NAICS'!A:D,3)</f>
        <v>921190</v>
      </c>
      <c r="O545" s="34" t="str">
        <f>VLOOKUP(L545,'2017 SIC to NAICS'!A:D,4)</f>
        <v>Other General Government Support</v>
      </c>
      <c r="P545" s="36" t="s">
        <v>754</v>
      </c>
      <c r="Q545" s="137" t="s">
        <v>755</v>
      </c>
      <c r="R545" s="45" t="s">
        <v>41</v>
      </c>
      <c r="S545" s="138">
        <f>COUNTIFS('Raw Non-zero DMR Data'!$A:$A, A545, 'Raw Non-zero DMR Data'!$C:$C, U545, 'Raw Non-zero DMR Data'!$V:$V, V545)</f>
        <v>1</v>
      </c>
      <c r="T545" s="34">
        <f>SUMIFS('Raw Non-zero DMR Data'!$X:$X, 'Raw Non-zero DMR Data'!$A:$A, A545, 'Raw Non-zero DMR Data'!$C:$C, U545, 'Raw Non-zero DMR Data'!V:V, V545)</f>
        <v>3.3002768137500001E-3</v>
      </c>
      <c r="U545" s="34" t="s">
        <v>1385</v>
      </c>
      <c r="V545" s="34" t="s">
        <v>1386</v>
      </c>
      <c r="W545" s="141" t="s">
        <v>1387</v>
      </c>
      <c r="X545" s="140" t="s">
        <v>792</v>
      </c>
    </row>
    <row r="546" spans="1:24" x14ac:dyDescent="0.35">
      <c r="A546" s="34">
        <v>2019</v>
      </c>
      <c r="B546" s="34" t="s">
        <v>441</v>
      </c>
      <c r="C546" s="34" t="s">
        <v>1388</v>
      </c>
      <c r="D546" s="34" t="s">
        <v>357</v>
      </c>
      <c r="E546" s="34" t="s">
        <v>1389</v>
      </c>
      <c r="F546" s="34" t="s">
        <v>181</v>
      </c>
      <c r="G546" s="34"/>
      <c r="H546" s="34">
        <v>44.260753000000001</v>
      </c>
      <c r="I546" s="34">
        <v>-85.408919999999995</v>
      </c>
      <c r="J546" s="34"/>
      <c r="K546" s="105">
        <v>110001301074</v>
      </c>
      <c r="L546" s="34">
        <v>3635</v>
      </c>
      <c r="M546" s="48" t="str">
        <f>VLOOKUP(L546, '2017 SIC to NAICS'!A:D, 2)</f>
        <v>Household Vacuum Cleaners</v>
      </c>
      <c r="N546" s="34">
        <f>VLOOKUP(L546,'2017 SIC to NAICS'!A:D,3)</f>
        <v>335210</v>
      </c>
      <c r="O546" s="34" t="str">
        <f>VLOOKUP(L546,'2017 SIC to NAICS'!A:D,4)</f>
        <v>Small Electrical Appliance Manufacturing</v>
      </c>
      <c r="P546" s="36" t="s">
        <v>1360</v>
      </c>
      <c r="Q546" s="137" t="s">
        <v>1361</v>
      </c>
      <c r="R546" s="45" t="s">
        <v>41</v>
      </c>
      <c r="S546" s="138">
        <f>COUNTIFS('Raw Non-zero DMR Data'!$A:$A, A546, 'Raw Non-zero DMR Data'!$C:$C, U546, 'Raw Non-zero DMR Data'!$V:$V, V546)</f>
        <v>1</v>
      </c>
      <c r="T546" s="34">
        <f>SUMIFS('Raw Non-zero DMR Data'!$X:$X, 'Raw Non-zero DMR Data'!$A:$A, A546, 'Raw Non-zero DMR Data'!$C:$C, U546, 'Raw Non-zero DMR Data'!V:V, V546)</f>
        <v>7.0594034999999999E-2</v>
      </c>
      <c r="U546" s="34" t="s">
        <v>1388</v>
      </c>
      <c r="V546" s="34" t="s">
        <v>1390</v>
      </c>
      <c r="W546" s="139">
        <v>40601020303</v>
      </c>
      <c r="X546" s="140" t="s">
        <v>812</v>
      </c>
    </row>
    <row r="547" spans="1:24" x14ac:dyDescent="0.35">
      <c r="A547" s="34">
        <v>2020</v>
      </c>
      <c r="B547" s="34" t="s">
        <v>441</v>
      </c>
      <c r="C547" s="34" t="s">
        <v>1388</v>
      </c>
      <c r="D547" s="34" t="s">
        <v>357</v>
      </c>
      <c r="E547" s="34" t="s">
        <v>1389</v>
      </c>
      <c r="F547" s="34" t="s">
        <v>181</v>
      </c>
      <c r="G547" s="34"/>
      <c r="H547" s="34">
        <v>44.260753000000001</v>
      </c>
      <c r="I547" s="34">
        <v>-85.408919999999995</v>
      </c>
      <c r="J547" s="34"/>
      <c r="K547" s="105">
        <v>110001301074</v>
      </c>
      <c r="L547" s="34">
        <v>3635</v>
      </c>
      <c r="M547" s="48" t="str">
        <f>VLOOKUP(L547, '2017 SIC to NAICS'!A:D, 2)</f>
        <v>Household Vacuum Cleaners</v>
      </c>
      <c r="N547" s="34">
        <f>VLOOKUP(L547,'2017 SIC to NAICS'!A:D,3)</f>
        <v>335210</v>
      </c>
      <c r="O547" s="34" t="str">
        <f>VLOOKUP(L547,'2017 SIC to NAICS'!A:D,4)</f>
        <v>Small Electrical Appliance Manufacturing</v>
      </c>
      <c r="P547" s="36" t="s">
        <v>1360</v>
      </c>
      <c r="Q547" s="137" t="s">
        <v>1361</v>
      </c>
      <c r="R547" s="45" t="s">
        <v>41</v>
      </c>
      <c r="S547" s="138">
        <f>COUNTIFS('Raw Non-zero DMR Data'!$A:$A, A547, 'Raw Non-zero DMR Data'!$C:$C, U547, 'Raw Non-zero DMR Data'!$V:$V, V547)</f>
        <v>1</v>
      </c>
      <c r="T547" s="34">
        <f>SUMIFS('Raw Non-zero DMR Data'!$X:$X, 'Raw Non-zero DMR Data'!$A:$A, A547, 'Raw Non-zero DMR Data'!$C:$C, U547, 'Raw Non-zero DMR Data'!V:V, V547)</f>
        <v>5.4623743636363603E-2</v>
      </c>
      <c r="U547" s="34" t="s">
        <v>1388</v>
      </c>
      <c r="V547" s="34" t="s">
        <v>1390</v>
      </c>
      <c r="W547" s="139">
        <v>40601020303</v>
      </c>
      <c r="X547" s="140" t="s">
        <v>792</v>
      </c>
    </row>
    <row r="548" spans="1:24" x14ac:dyDescent="0.35">
      <c r="A548" s="34">
        <v>2021</v>
      </c>
      <c r="B548" s="34" t="s">
        <v>441</v>
      </c>
      <c r="C548" s="34" t="s">
        <v>1388</v>
      </c>
      <c r="D548" s="34" t="s">
        <v>357</v>
      </c>
      <c r="E548" s="34" t="s">
        <v>1389</v>
      </c>
      <c r="F548" s="34" t="s">
        <v>181</v>
      </c>
      <c r="G548" s="34"/>
      <c r="H548" s="34">
        <v>44.260753000000001</v>
      </c>
      <c r="I548" s="34">
        <v>-85.408919999999995</v>
      </c>
      <c r="J548" s="34"/>
      <c r="K548" s="105">
        <v>110001301074</v>
      </c>
      <c r="L548" s="34">
        <v>3635</v>
      </c>
      <c r="M548" s="48" t="str">
        <f>VLOOKUP(L548, '2017 SIC to NAICS'!A:D, 2)</f>
        <v>Household Vacuum Cleaners</v>
      </c>
      <c r="N548" s="34">
        <f>VLOOKUP(L548,'2017 SIC to NAICS'!A:D,3)</f>
        <v>335210</v>
      </c>
      <c r="O548" s="34" t="str">
        <f>VLOOKUP(L548,'2017 SIC to NAICS'!A:D,4)</f>
        <v>Small Electrical Appliance Manufacturing</v>
      </c>
      <c r="P548" s="36" t="s">
        <v>1360</v>
      </c>
      <c r="Q548" s="137" t="s">
        <v>1361</v>
      </c>
      <c r="R548" s="45" t="s">
        <v>41</v>
      </c>
      <c r="S548" s="138">
        <f>COUNTIFS('Raw Non-zero DMR Data'!$A:$A, A548, 'Raw Non-zero DMR Data'!$C:$C, U548, 'Raw Non-zero DMR Data'!$V:$V, V548)</f>
        <v>1</v>
      </c>
      <c r="T548" s="34">
        <f>SUMIFS('Raw Non-zero DMR Data'!$X:$X, 'Raw Non-zero DMR Data'!$A:$A, A548, 'Raw Non-zero DMR Data'!$C:$C, U548, 'Raw Non-zero DMR Data'!V:V, V548)</f>
        <v>4.5204254999999999E-2</v>
      </c>
      <c r="U548" s="34" t="s">
        <v>1388</v>
      </c>
      <c r="V548" s="34" t="s">
        <v>1390</v>
      </c>
      <c r="W548" s="139">
        <v>40601020303</v>
      </c>
      <c r="X548" s="140" t="s">
        <v>812</v>
      </c>
    </row>
    <row r="549" spans="1:24" x14ac:dyDescent="0.35">
      <c r="A549" s="34">
        <v>2022</v>
      </c>
      <c r="B549" s="34" t="s">
        <v>441</v>
      </c>
      <c r="C549" s="34" t="s">
        <v>1388</v>
      </c>
      <c r="D549" s="34" t="s">
        <v>357</v>
      </c>
      <c r="E549" s="34" t="s">
        <v>1389</v>
      </c>
      <c r="F549" s="34" t="s">
        <v>181</v>
      </c>
      <c r="G549" s="34"/>
      <c r="H549" s="34">
        <v>44.260753000000001</v>
      </c>
      <c r="I549" s="34">
        <v>-85.408919999999995</v>
      </c>
      <c r="J549" s="34"/>
      <c r="K549" s="105">
        <v>110001301074</v>
      </c>
      <c r="L549" s="34">
        <v>3635</v>
      </c>
      <c r="M549" s="48" t="str">
        <f>VLOOKUP(L549, '2017 SIC to NAICS'!A:D, 2)</f>
        <v>Household Vacuum Cleaners</v>
      </c>
      <c r="N549" s="34">
        <f>VLOOKUP(L549,'2017 SIC to NAICS'!A:D,3)</f>
        <v>335210</v>
      </c>
      <c r="O549" s="34" t="str">
        <f>VLOOKUP(L549,'2017 SIC to NAICS'!A:D,4)</f>
        <v>Small Electrical Appliance Manufacturing</v>
      </c>
      <c r="P549" s="36" t="s">
        <v>1360</v>
      </c>
      <c r="Q549" s="137" t="s">
        <v>1361</v>
      </c>
      <c r="R549" s="45" t="s">
        <v>41</v>
      </c>
      <c r="S549" s="138">
        <f>COUNTIFS('Raw Non-zero DMR Data'!$A:$A, A549, 'Raw Non-zero DMR Data'!$C:$C, U549, 'Raw Non-zero DMR Data'!$V:$V, V549)</f>
        <v>1</v>
      </c>
      <c r="T549" s="34">
        <f>SUMIFS('Raw Non-zero DMR Data'!$X:$X, 'Raw Non-zero DMR Data'!$A:$A, A549, 'Raw Non-zero DMR Data'!$C:$C, U549, 'Raw Non-zero DMR Data'!V:V, V549)</f>
        <v>1.2085505E-2</v>
      </c>
      <c r="U549" s="34" t="s">
        <v>1388</v>
      </c>
      <c r="V549" s="34" t="s">
        <v>1390</v>
      </c>
      <c r="W549" s="141" t="s">
        <v>1391</v>
      </c>
      <c r="X549" s="140" t="s">
        <v>812</v>
      </c>
    </row>
    <row r="550" spans="1:24" x14ac:dyDescent="0.35">
      <c r="A550" s="34">
        <v>2023</v>
      </c>
      <c r="B550" s="34" t="s">
        <v>441</v>
      </c>
      <c r="C550" s="34" t="s">
        <v>1388</v>
      </c>
      <c r="D550" s="34" t="s">
        <v>357</v>
      </c>
      <c r="E550" s="34" t="s">
        <v>1389</v>
      </c>
      <c r="F550" s="34" t="s">
        <v>181</v>
      </c>
      <c r="G550" s="34"/>
      <c r="H550" s="34">
        <v>44.260753000000001</v>
      </c>
      <c r="I550" s="34">
        <v>-85.408919999999995</v>
      </c>
      <c r="J550" s="34"/>
      <c r="K550" s="105">
        <v>110001301074</v>
      </c>
      <c r="L550" s="34">
        <v>3635</v>
      </c>
      <c r="M550" s="48" t="str">
        <f>VLOOKUP(L550, '2017 SIC to NAICS'!A:D, 2)</f>
        <v>Household Vacuum Cleaners</v>
      </c>
      <c r="N550" s="34">
        <f>VLOOKUP(L550,'2017 SIC to NAICS'!A:D,3)</f>
        <v>335210</v>
      </c>
      <c r="O550" s="34" t="str">
        <f>VLOOKUP(L550,'2017 SIC to NAICS'!A:D,4)</f>
        <v>Small Electrical Appliance Manufacturing</v>
      </c>
      <c r="P550" s="36" t="s">
        <v>1360</v>
      </c>
      <c r="Q550" s="137" t="s">
        <v>1361</v>
      </c>
      <c r="R550" s="45" t="s">
        <v>41</v>
      </c>
      <c r="S550" s="138">
        <f>COUNTIFS('Raw Non-zero DMR Data'!$A:$A, A550, 'Raw Non-zero DMR Data'!$C:$C, U550, 'Raw Non-zero DMR Data'!$V:$V, V550)</f>
        <v>1</v>
      </c>
      <c r="T550" s="34">
        <f>SUMIFS('Raw Non-zero DMR Data'!$X:$X, 'Raw Non-zero DMR Data'!$A:$A, A550, 'Raw Non-zero DMR Data'!$C:$C, U550, 'Raw Non-zero DMR Data'!V:V, V550)</f>
        <v>0.1338281375</v>
      </c>
      <c r="U550" s="34" t="s">
        <v>1388</v>
      </c>
      <c r="V550" s="34" t="s">
        <v>1390</v>
      </c>
      <c r="W550" s="141" t="s">
        <v>1391</v>
      </c>
      <c r="X550" s="140" t="s">
        <v>812</v>
      </c>
    </row>
    <row r="551" spans="1:24" x14ac:dyDescent="0.35">
      <c r="A551" s="34">
        <v>2019</v>
      </c>
      <c r="B551" s="34" t="s">
        <v>390</v>
      </c>
      <c r="C551" s="34" t="s">
        <v>1392</v>
      </c>
      <c r="D551" s="34" t="s">
        <v>391</v>
      </c>
      <c r="E551" s="34" t="s">
        <v>1393</v>
      </c>
      <c r="F551" s="34" t="s">
        <v>181</v>
      </c>
      <c r="G551" s="34"/>
      <c r="H551" s="34">
        <v>45.145420000000001</v>
      </c>
      <c r="I551" s="34">
        <v>-84.660679999999999</v>
      </c>
      <c r="J551" s="34"/>
      <c r="K551" s="105">
        <v>110000412296</v>
      </c>
      <c r="L551" s="34">
        <v>1799</v>
      </c>
      <c r="M551" s="48" t="str">
        <f>VLOOKUP(L551, '2017 SIC to NAICS'!A:D, 2)</f>
        <v>Special Trade Contractors, Nec</v>
      </c>
      <c r="N551" s="34">
        <f>VLOOKUP(L551,'2017 SIC to NAICS'!A:D,3)</f>
        <v>562910</v>
      </c>
      <c r="O551" s="34" t="str">
        <f>VLOOKUP(L551,'2017 SIC to NAICS'!A:D,4)</f>
        <v>Remediation Services</v>
      </c>
      <c r="P551" s="36" t="s">
        <v>754</v>
      </c>
      <c r="Q551" s="137" t="s">
        <v>755</v>
      </c>
      <c r="R551" s="45" t="s">
        <v>41</v>
      </c>
      <c r="S551" s="138">
        <f>COUNTIFS('Raw Non-zero DMR Data'!$A:$A, A551, 'Raw Non-zero DMR Data'!$C:$C, U551, 'Raw Non-zero DMR Data'!$V:$V, V551)</f>
        <v>1</v>
      </c>
      <c r="T551" s="34">
        <f>SUMIFS('Raw Non-zero DMR Data'!$X:$X, 'Raw Non-zero DMR Data'!$A:$A, A551, 'Raw Non-zero DMR Data'!$C:$C, U551, 'Raw Non-zero DMR Data'!V:V, V551)</f>
        <v>0.26100981499999998</v>
      </c>
      <c r="U551" s="34" t="s">
        <v>1392</v>
      </c>
      <c r="V551" s="34" t="s">
        <v>1394</v>
      </c>
      <c r="W551" s="139">
        <v>40700040102</v>
      </c>
      <c r="X551" s="140" t="s">
        <v>739</v>
      </c>
    </row>
    <row r="552" spans="1:24" x14ac:dyDescent="0.35">
      <c r="A552" s="34">
        <v>2020</v>
      </c>
      <c r="B552" s="34" t="s">
        <v>390</v>
      </c>
      <c r="C552" s="34" t="s">
        <v>1392</v>
      </c>
      <c r="D552" s="34" t="s">
        <v>391</v>
      </c>
      <c r="E552" s="34" t="s">
        <v>1393</v>
      </c>
      <c r="F552" s="34" t="s">
        <v>181</v>
      </c>
      <c r="G552" s="34"/>
      <c r="H552" s="34">
        <v>45.145420000000001</v>
      </c>
      <c r="I552" s="34">
        <v>-84.660679999999999</v>
      </c>
      <c r="J552" s="34"/>
      <c r="K552" s="105">
        <v>110000412296</v>
      </c>
      <c r="L552" s="34">
        <v>1799</v>
      </c>
      <c r="M552" s="48" t="str">
        <f>VLOOKUP(L552, '2017 SIC to NAICS'!A:D, 2)</f>
        <v>Special Trade Contractors, Nec</v>
      </c>
      <c r="N552" s="34">
        <f>VLOOKUP(L552,'2017 SIC to NAICS'!A:D,3)</f>
        <v>562910</v>
      </c>
      <c r="O552" s="34" t="str">
        <f>VLOOKUP(L552,'2017 SIC to NAICS'!A:D,4)</f>
        <v>Remediation Services</v>
      </c>
      <c r="P552" s="36" t="s">
        <v>754</v>
      </c>
      <c r="Q552" s="137" t="s">
        <v>755</v>
      </c>
      <c r="R552" s="45" t="s">
        <v>41</v>
      </c>
      <c r="S552" s="138">
        <f>COUNTIFS('Raw Non-zero DMR Data'!$A:$A, A552, 'Raw Non-zero DMR Data'!$C:$C, U552, 'Raw Non-zero DMR Data'!$V:$V, V552)</f>
        <v>1</v>
      </c>
      <c r="T552" s="34">
        <f>SUMIFS('Raw Non-zero DMR Data'!$X:$X, 'Raw Non-zero DMR Data'!$A:$A, A552, 'Raw Non-zero DMR Data'!$C:$C, U552, 'Raw Non-zero DMR Data'!V:V, V552)</f>
        <v>0.24757781345454499</v>
      </c>
      <c r="U552" s="34" t="s">
        <v>1392</v>
      </c>
      <c r="V552" s="34" t="s">
        <v>1394</v>
      </c>
      <c r="W552" s="139">
        <v>40700040102</v>
      </c>
      <c r="X552" s="140" t="s">
        <v>739</v>
      </c>
    </row>
    <row r="553" spans="1:24" x14ac:dyDescent="0.35">
      <c r="A553" s="34">
        <v>2021</v>
      </c>
      <c r="B553" s="34" t="s">
        <v>390</v>
      </c>
      <c r="C553" s="34" t="s">
        <v>1392</v>
      </c>
      <c r="D553" s="34" t="s">
        <v>391</v>
      </c>
      <c r="E553" s="34" t="s">
        <v>1393</v>
      </c>
      <c r="F553" s="34" t="s">
        <v>181</v>
      </c>
      <c r="G553" s="34"/>
      <c r="H553" s="34">
        <v>45.145420000000001</v>
      </c>
      <c r="I553" s="34">
        <v>-84.660679999999999</v>
      </c>
      <c r="J553" s="34"/>
      <c r="K553" s="105">
        <v>110000412296</v>
      </c>
      <c r="L553" s="34">
        <v>1799</v>
      </c>
      <c r="M553" s="48" t="str">
        <f>VLOOKUP(L553, '2017 SIC to NAICS'!A:D, 2)</f>
        <v>Special Trade Contractors, Nec</v>
      </c>
      <c r="N553" s="34">
        <f>VLOOKUP(L553,'2017 SIC to NAICS'!A:D,3)</f>
        <v>562910</v>
      </c>
      <c r="O553" s="34" t="str">
        <f>VLOOKUP(L553,'2017 SIC to NAICS'!A:D,4)</f>
        <v>Remediation Services</v>
      </c>
      <c r="P553" s="36" t="s">
        <v>754</v>
      </c>
      <c r="Q553" s="137" t="s">
        <v>755</v>
      </c>
      <c r="R553" s="45" t="s">
        <v>41</v>
      </c>
      <c r="S553" s="138">
        <f>COUNTIFS('Raw Non-zero DMR Data'!$A:$A, A553, 'Raw Non-zero DMR Data'!$C:$C, U553, 'Raw Non-zero DMR Data'!$V:$V, V553)</f>
        <v>1</v>
      </c>
      <c r="T553" s="34">
        <f>SUMIFS('Raw Non-zero DMR Data'!$X:$X, 'Raw Non-zero DMR Data'!$A:$A, A553, 'Raw Non-zero DMR Data'!$C:$C, U553, 'Raw Non-zero DMR Data'!V:V, V553)</f>
        <v>0.26160262169999998</v>
      </c>
      <c r="U553" s="34" t="s">
        <v>1392</v>
      </c>
      <c r="V553" s="34" t="s">
        <v>1394</v>
      </c>
      <c r="W553" s="139">
        <v>40700040102</v>
      </c>
      <c r="X553" s="140" t="s">
        <v>739</v>
      </c>
    </row>
    <row r="554" spans="1:24" x14ac:dyDescent="0.35">
      <c r="A554" s="34">
        <v>2022</v>
      </c>
      <c r="B554" s="34" t="s">
        <v>390</v>
      </c>
      <c r="C554" s="34" t="s">
        <v>1392</v>
      </c>
      <c r="D554" s="34" t="s">
        <v>391</v>
      </c>
      <c r="E554" s="34" t="s">
        <v>1393</v>
      </c>
      <c r="F554" s="34" t="s">
        <v>181</v>
      </c>
      <c r="G554" s="34"/>
      <c r="H554" s="34">
        <v>45.145420000000001</v>
      </c>
      <c r="I554" s="34">
        <v>-84.660679999999999</v>
      </c>
      <c r="J554" s="34"/>
      <c r="K554" s="105">
        <v>110000412296</v>
      </c>
      <c r="L554" s="34">
        <v>1799</v>
      </c>
      <c r="M554" s="48" t="str">
        <f>VLOOKUP(L554, '2017 SIC to NAICS'!A:D, 2)</f>
        <v>Special Trade Contractors, Nec</v>
      </c>
      <c r="N554" s="34">
        <f>VLOOKUP(L554,'2017 SIC to NAICS'!A:D,3)</f>
        <v>562910</v>
      </c>
      <c r="O554" s="34" t="str">
        <f>VLOOKUP(L554,'2017 SIC to NAICS'!A:D,4)</f>
        <v>Remediation Services</v>
      </c>
      <c r="P554" s="36" t="s">
        <v>754</v>
      </c>
      <c r="Q554" s="137" t="s">
        <v>755</v>
      </c>
      <c r="R554" s="45" t="s">
        <v>41</v>
      </c>
      <c r="S554" s="138">
        <f>COUNTIFS('Raw Non-zero DMR Data'!$A:$A, A554, 'Raw Non-zero DMR Data'!$C:$C, U554, 'Raw Non-zero DMR Data'!$V:$V, V554)</f>
        <v>1</v>
      </c>
      <c r="T554" s="34">
        <f>SUMIFS('Raw Non-zero DMR Data'!$X:$X, 'Raw Non-zero DMR Data'!$A:$A, A554, 'Raw Non-zero DMR Data'!$C:$C, U554, 'Raw Non-zero DMR Data'!V:V, V554)</f>
        <v>0.23822733225000001</v>
      </c>
      <c r="U554" s="34" t="s">
        <v>1392</v>
      </c>
      <c r="V554" s="34" t="s">
        <v>1394</v>
      </c>
      <c r="W554" s="141" t="s">
        <v>1395</v>
      </c>
      <c r="X554" s="140" t="s">
        <v>739</v>
      </c>
    </row>
    <row r="555" spans="1:24" x14ac:dyDescent="0.35">
      <c r="A555" s="34">
        <v>2023</v>
      </c>
      <c r="B555" s="34" t="s">
        <v>390</v>
      </c>
      <c r="C555" s="34" t="s">
        <v>1392</v>
      </c>
      <c r="D555" s="34" t="s">
        <v>391</v>
      </c>
      <c r="E555" s="34" t="s">
        <v>1393</v>
      </c>
      <c r="F555" s="34" t="s">
        <v>181</v>
      </c>
      <c r="G555" s="34"/>
      <c r="H555" s="34">
        <v>45.145420000000001</v>
      </c>
      <c r="I555" s="34">
        <v>-84.660679999999999</v>
      </c>
      <c r="J555" s="34"/>
      <c r="K555" s="105">
        <v>110000412296</v>
      </c>
      <c r="L555" s="34">
        <v>1799</v>
      </c>
      <c r="M555" s="48" t="str">
        <f>VLOOKUP(L555, '2017 SIC to NAICS'!A:D, 2)</f>
        <v>Special Trade Contractors, Nec</v>
      </c>
      <c r="N555" s="34">
        <f>VLOOKUP(L555,'2017 SIC to NAICS'!A:D,3)</f>
        <v>562910</v>
      </c>
      <c r="O555" s="34" t="str">
        <f>VLOOKUP(L555,'2017 SIC to NAICS'!A:D,4)</f>
        <v>Remediation Services</v>
      </c>
      <c r="P555" s="36" t="s">
        <v>754</v>
      </c>
      <c r="Q555" s="137" t="s">
        <v>755</v>
      </c>
      <c r="R555" s="45" t="s">
        <v>41</v>
      </c>
      <c r="S555" s="138">
        <f>COUNTIFS('Raw Non-zero DMR Data'!$A:$A, A555, 'Raw Non-zero DMR Data'!$C:$C, U555, 'Raw Non-zero DMR Data'!$V:$V, V555)</f>
        <v>1</v>
      </c>
      <c r="T555" s="34">
        <f>SUMIFS('Raw Non-zero DMR Data'!$X:$X, 'Raw Non-zero DMR Data'!$A:$A, A555, 'Raw Non-zero DMR Data'!$C:$C, U555, 'Raw Non-zero DMR Data'!V:V, V555)</f>
        <v>0.21080633200000001</v>
      </c>
      <c r="U555" s="34" t="s">
        <v>1392</v>
      </c>
      <c r="V555" s="34" t="s">
        <v>1394</v>
      </c>
      <c r="W555" s="141" t="s">
        <v>1395</v>
      </c>
      <c r="X555" s="140" t="s">
        <v>739</v>
      </c>
    </row>
    <row r="556" spans="1:24" x14ac:dyDescent="0.35">
      <c r="A556" s="34">
        <v>2022</v>
      </c>
      <c r="B556" s="34" t="s">
        <v>505</v>
      </c>
      <c r="C556" s="34" t="s">
        <v>1396</v>
      </c>
      <c r="D556" s="34" t="s">
        <v>409</v>
      </c>
      <c r="E556" s="34" t="s">
        <v>1397</v>
      </c>
      <c r="F556" s="34" t="s">
        <v>181</v>
      </c>
      <c r="G556" s="34"/>
      <c r="H556" s="34">
        <v>41.802622</v>
      </c>
      <c r="I556" s="34">
        <v>-85.388092</v>
      </c>
      <c r="J556" s="34"/>
      <c r="K556" s="105">
        <v>110009900330</v>
      </c>
      <c r="L556" s="34">
        <v>4953</v>
      </c>
      <c r="M556" s="48" t="str">
        <f>VLOOKUP(L556, '2017 SIC to NAICS'!A:D, 2)</f>
        <v>Refuse Systems</v>
      </c>
      <c r="N556" s="34">
        <f>VLOOKUP(L556,'2017 SIC to NAICS'!A:D,3)</f>
        <v>562920</v>
      </c>
      <c r="O556" s="34" t="str">
        <f>VLOOKUP(L556,'2017 SIC to NAICS'!A:D,4)</f>
        <v>Materials Recovery Facilities</v>
      </c>
      <c r="P556" s="36" t="s">
        <v>754</v>
      </c>
      <c r="Q556" s="137" t="s">
        <v>755</v>
      </c>
      <c r="R556" s="45" t="s">
        <v>39</v>
      </c>
      <c r="S556" s="138">
        <f>COUNTIFS('Raw Non-zero DMR Data'!$A:$A, A556, 'Raw Non-zero DMR Data'!$C:$C, U556, 'Raw Non-zero DMR Data'!$V:$V, V556)</f>
        <v>1</v>
      </c>
      <c r="T556" s="34">
        <f>SUMIFS('Raw Non-zero DMR Data'!$X:$X, 'Raw Non-zero DMR Data'!$A:$A, A556, 'Raw Non-zero DMR Data'!$C:$C, U556, 'Raw Non-zero DMR Data'!V:V, V556)</f>
        <v>5.0407116000000002E-2</v>
      </c>
      <c r="U556" s="34" t="s">
        <v>1396</v>
      </c>
      <c r="V556" s="34" t="s">
        <v>1398</v>
      </c>
      <c r="W556" s="141" t="s">
        <v>1399</v>
      </c>
      <c r="X556" s="140" t="s">
        <v>745</v>
      </c>
    </row>
    <row r="557" spans="1:24" x14ac:dyDescent="0.35">
      <c r="A557" s="34">
        <v>2023</v>
      </c>
      <c r="B557" s="34" t="s">
        <v>505</v>
      </c>
      <c r="C557" s="34" t="s">
        <v>1396</v>
      </c>
      <c r="D557" s="34" t="s">
        <v>409</v>
      </c>
      <c r="E557" s="34" t="s">
        <v>1397</v>
      </c>
      <c r="F557" s="34" t="s">
        <v>181</v>
      </c>
      <c r="G557" s="34"/>
      <c r="H557" s="34">
        <v>41.802622</v>
      </c>
      <c r="I557" s="34">
        <v>-85.388092</v>
      </c>
      <c r="J557" s="34"/>
      <c r="K557" s="105">
        <v>110009900330</v>
      </c>
      <c r="L557" s="34">
        <v>4953</v>
      </c>
      <c r="M557" s="48" t="str">
        <f>VLOOKUP(L557, '2017 SIC to NAICS'!A:D, 2)</f>
        <v>Refuse Systems</v>
      </c>
      <c r="N557" s="34">
        <f>VLOOKUP(L557,'2017 SIC to NAICS'!A:D,3)</f>
        <v>562920</v>
      </c>
      <c r="O557" s="34" t="str">
        <f>VLOOKUP(L557,'2017 SIC to NAICS'!A:D,4)</f>
        <v>Materials Recovery Facilities</v>
      </c>
      <c r="P557" s="36" t="s">
        <v>754</v>
      </c>
      <c r="Q557" s="137" t="s">
        <v>755</v>
      </c>
      <c r="R557" s="45" t="s">
        <v>39</v>
      </c>
      <c r="S557" s="138">
        <f>COUNTIFS('Raw Non-zero DMR Data'!$A:$A, A557, 'Raw Non-zero DMR Data'!$C:$C, U557, 'Raw Non-zero DMR Data'!$V:$V, V557)</f>
        <v>1</v>
      </c>
      <c r="T557" s="34">
        <f>SUMIFS('Raw Non-zero DMR Data'!$X:$X, 'Raw Non-zero DMR Data'!$A:$A, A557, 'Raw Non-zero DMR Data'!$C:$C, U557, 'Raw Non-zero DMR Data'!V:V, V557)</f>
        <v>5.2608093500000001E-2</v>
      </c>
      <c r="U557" s="34" t="s">
        <v>1396</v>
      </c>
      <c r="V557" s="34" t="s">
        <v>1398</v>
      </c>
      <c r="W557" s="141" t="s">
        <v>1399</v>
      </c>
      <c r="X557" s="140" t="s">
        <v>745</v>
      </c>
    </row>
    <row r="558" spans="1:24" x14ac:dyDescent="0.35">
      <c r="A558" s="34">
        <v>2019</v>
      </c>
      <c r="B558" s="34" t="s">
        <v>497</v>
      </c>
      <c r="C558" s="34" t="s">
        <v>1400</v>
      </c>
      <c r="D558" s="34" t="s">
        <v>498</v>
      </c>
      <c r="E558" s="34" t="s">
        <v>1401</v>
      </c>
      <c r="F558" s="34" t="s">
        <v>181</v>
      </c>
      <c r="G558" s="34"/>
      <c r="H558" s="34">
        <v>41.775967999999999</v>
      </c>
      <c r="I558" s="34">
        <v>-86.654864000000003</v>
      </c>
      <c r="J558" s="34"/>
      <c r="K558" s="105">
        <v>110001847761</v>
      </c>
      <c r="L558" s="34">
        <v>4953</v>
      </c>
      <c r="M558" s="48" t="str">
        <f>VLOOKUP(L558, '2017 SIC to NAICS'!A:D, 2)</f>
        <v>Refuse Systems</v>
      </c>
      <c r="N558" s="34">
        <f>VLOOKUP(L558,'2017 SIC to NAICS'!A:D,3)</f>
        <v>562920</v>
      </c>
      <c r="O558" s="34" t="str">
        <f>VLOOKUP(L558,'2017 SIC to NAICS'!A:D,4)</f>
        <v>Materials Recovery Facilities</v>
      </c>
      <c r="P558" s="36" t="s">
        <v>754</v>
      </c>
      <c r="Q558" s="137" t="s">
        <v>755</v>
      </c>
      <c r="R558" s="45" t="s">
        <v>40</v>
      </c>
      <c r="S558" s="138">
        <f>COUNTIFS('Raw Non-zero DMR Data'!$A:$A, A558, 'Raw Non-zero DMR Data'!$C:$C, U558, 'Raw Non-zero DMR Data'!$V:$V, V558)</f>
        <v>1</v>
      </c>
      <c r="T558" s="34">
        <f>SUMIFS('Raw Non-zero DMR Data'!$X:$X, 'Raw Non-zero DMR Data'!$A:$A, A558, 'Raw Non-zero DMR Data'!$C:$C, U558, 'Raw Non-zero DMR Data'!V:V, V558)</f>
        <v>3.5547343636363603E-2</v>
      </c>
      <c r="U558" s="34" t="s">
        <v>1400</v>
      </c>
      <c r="V558" s="34" t="s">
        <v>1402</v>
      </c>
      <c r="W558" s="139">
        <v>40400010206</v>
      </c>
      <c r="X558" s="140" t="s">
        <v>745</v>
      </c>
    </row>
    <row r="559" spans="1:24" x14ac:dyDescent="0.35">
      <c r="A559" s="34">
        <v>2020</v>
      </c>
      <c r="B559" s="34" t="s">
        <v>497</v>
      </c>
      <c r="C559" s="34" t="s">
        <v>1400</v>
      </c>
      <c r="D559" s="34" t="s">
        <v>498</v>
      </c>
      <c r="E559" s="34" t="s">
        <v>1401</v>
      </c>
      <c r="F559" s="34" t="s">
        <v>181</v>
      </c>
      <c r="G559" s="34"/>
      <c r="H559" s="34">
        <v>41.775967999999999</v>
      </c>
      <c r="I559" s="34">
        <v>-86.654864000000003</v>
      </c>
      <c r="J559" s="34"/>
      <c r="K559" s="105">
        <v>110001847761</v>
      </c>
      <c r="L559" s="34">
        <v>4953</v>
      </c>
      <c r="M559" s="48" t="str">
        <f>VLOOKUP(L559, '2017 SIC to NAICS'!A:D, 2)</f>
        <v>Refuse Systems</v>
      </c>
      <c r="N559" s="34">
        <f>VLOOKUP(L559,'2017 SIC to NAICS'!A:D,3)</f>
        <v>562920</v>
      </c>
      <c r="O559" s="34" t="str">
        <f>VLOOKUP(L559,'2017 SIC to NAICS'!A:D,4)</f>
        <v>Materials Recovery Facilities</v>
      </c>
      <c r="P559" s="36" t="s">
        <v>754</v>
      </c>
      <c r="Q559" s="137" t="s">
        <v>755</v>
      </c>
      <c r="R559" s="45" t="s">
        <v>40</v>
      </c>
      <c r="S559" s="138">
        <f>COUNTIFS('Raw Non-zero DMR Data'!$A:$A, A559, 'Raw Non-zero DMR Data'!$C:$C, U559, 'Raw Non-zero DMR Data'!$V:$V, V559)</f>
        <v>1</v>
      </c>
      <c r="T559" s="34">
        <f>SUMIFS('Raw Non-zero DMR Data'!$X:$X, 'Raw Non-zero DMR Data'!$A:$A, A559, 'Raw Non-zero DMR Data'!$C:$C, U559, 'Raw Non-zero DMR Data'!V:V, V559)</f>
        <v>5.5975608000000003E-2</v>
      </c>
      <c r="U559" s="34" t="s">
        <v>1400</v>
      </c>
      <c r="V559" s="34" t="s">
        <v>1402</v>
      </c>
      <c r="W559" s="139">
        <v>40400010206</v>
      </c>
      <c r="X559" s="140" t="s">
        <v>745</v>
      </c>
    </row>
    <row r="560" spans="1:24" x14ac:dyDescent="0.35">
      <c r="A560" s="34">
        <v>2021</v>
      </c>
      <c r="B560" s="34" t="s">
        <v>497</v>
      </c>
      <c r="C560" s="34" t="s">
        <v>1400</v>
      </c>
      <c r="D560" s="34" t="s">
        <v>498</v>
      </c>
      <c r="E560" s="34" t="s">
        <v>1401</v>
      </c>
      <c r="F560" s="34" t="s">
        <v>181</v>
      </c>
      <c r="G560" s="34"/>
      <c r="H560" s="34">
        <v>41.775967999999999</v>
      </c>
      <c r="I560" s="34">
        <v>-86.654864000000003</v>
      </c>
      <c r="J560" s="34"/>
      <c r="K560" s="105">
        <v>110001847761</v>
      </c>
      <c r="L560" s="34">
        <v>4953</v>
      </c>
      <c r="M560" s="48" t="str">
        <f>VLOOKUP(L560, '2017 SIC to NAICS'!A:D, 2)</f>
        <v>Refuse Systems</v>
      </c>
      <c r="N560" s="34">
        <f>VLOOKUP(L560,'2017 SIC to NAICS'!A:D,3)</f>
        <v>562920</v>
      </c>
      <c r="O560" s="34" t="str">
        <f>VLOOKUP(L560,'2017 SIC to NAICS'!A:D,4)</f>
        <v>Materials Recovery Facilities</v>
      </c>
      <c r="P560" s="36" t="s">
        <v>754</v>
      </c>
      <c r="Q560" s="137" t="s">
        <v>755</v>
      </c>
      <c r="R560" s="45" t="s">
        <v>40</v>
      </c>
      <c r="S560" s="138">
        <f>COUNTIFS('Raw Non-zero DMR Data'!$A:$A, A560, 'Raw Non-zero DMR Data'!$C:$C, U560, 'Raw Non-zero DMR Data'!$V:$V, V560)</f>
        <v>1</v>
      </c>
      <c r="T560" s="34">
        <f>SUMIFS('Raw Non-zero DMR Data'!$X:$X, 'Raw Non-zero DMR Data'!$A:$A, A560, 'Raw Non-zero DMR Data'!$C:$C, U560, 'Raw Non-zero DMR Data'!V:V, V560)</f>
        <v>1.6623720000000001E-3</v>
      </c>
      <c r="U560" s="34" t="s">
        <v>1400</v>
      </c>
      <c r="V560" s="34" t="s">
        <v>1402</v>
      </c>
      <c r="W560" s="139">
        <v>40400010206</v>
      </c>
      <c r="X560" s="140" t="s">
        <v>745</v>
      </c>
    </row>
    <row r="561" spans="1:24" x14ac:dyDescent="0.35">
      <c r="A561" s="34">
        <v>2019</v>
      </c>
      <c r="B561" s="34" t="s">
        <v>584</v>
      </c>
      <c r="C561" s="34" t="s">
        <v>1403</v>
      </c>
      <c r="D561" s="34" t="s">
        <v>585</v>
      </c>
      <c r="E561" s="34" t="s">
        <v>1372</v>
      </c>
      <c r="F561" s="34" t="s">
        <v>181</v>
      </c>
      <c r="G561" s="34"/>
      <c r="H561" s="34">
        <v>42.665671000000003</v>
      </c>
      <c r="I561" s="34">
        <v>-85.290707999999995</v>
      </c>
      <c r="J561" s="34"/>
      <c r="K561" s="105">
        <v>110034151450</v>
      </c>
      <c r="L561" s="34">
        <v>4953</v>
      </c>
      <c r="M561" s="48" t="str">
        <f>VLOOKUP(L561, '2017 SIC to NAICS'!A:D, 2)</f>
        <v>Refuse Systems</v>
      </c>
      <c r="N561" s="34">
        <f>VLOOKUP(L561,'2017 SIC to NAICS'!A:D,3)</f>
        <v>562920</v>
      </c>
      <c r="O561" s="34" t="str">
        <f>VLOOKUP(L561,'2017 SIC to NAICS'!A:D,4)</f>
        <v>Materials Recovery Facilities</v>
      </c>
      <c r="P561" s="36" t="s">
        <v>754</v>
      </c>
      <c r="Q561" s="137" t="s">
        <v>755</v>
      </c>
      <c r="R561" s="45" t="s">
        <v>39</v>
      </c>
      <c r="S561" s="138">
        <f>COUNTIFS('Raw Non-zero DMR Data'!$A:$A, A561, 'Raw Non-zero DMR Data'!$C:$C, U561, 'Raw Non-zero DMR Data'!$V:$V, V561)</f>
        <v>1</v>
      </c>
      <c r="T561" s="34">
        <f>SUMIFS('Raw Non-zero DMR Data'!$X:$X, 'Raw Non-zero DMR Data'!$A:$A, A561, 'Raw Non-zero DMR Data'!$C:$C, U561, 'Raw Non-zero DMR Data'!V:V, V561)</f>
        <v>1.3692237499999999E-2</v>
      </c>
      <c r="U561" s="34" t="s">
        <v>1403</v>
      </c>
      <c r="V561" s="34" t="s">
        <v>1404</v>
      </c>
      <c r="W561" s="139">
        <v>40500070402</v>
      </c>
      <c r="X561" s="140" t="s">
        <v>745</v>
      </c>
    </row>
    <row r="562" spans="1:24" x14ac:dyDescent="0.35">
      <c r="A562" s="34">
        <v>2020</v>
      </c>
      <c r="B562" s="34" t="s">
        <v>584</v>
      </c>
      <c r="C562" s="34" t="s">
        <v>1403</v>
      </c>
      <c r="D562" s="34" t="s">
        <v>585</v>
      </c>
      <c r="E562" s="34" t="s">
        <v>1372</v>
      </c>
      <c r="F562" s="34" t="s">
        <v>181</v>
      </c>
      <c r="G562" s="34"/>
      <c r="H562" s="34">
        <v>42.665671000000003</v>
      </c>
      <c r="I562" s="34">
        <v>-85.290707999999995</v>
      </c>
      <c r="J562" s="34"/>
      <c r="K562" s="105">
        <v>110034151450</v>
      </c>
      <c r="L562" s="34">
        <v>4953</v>
      </c>
      <c r="M562" s="48" t="str">
        <f>VLOOKUP(L562, '2017 SIC to NAICS'!A:D, 2)</f>
        <v>Refuse Systems</v>
      </c>
      <c r="N562" s="34">
        <f>VLOOKUP(L562,'2017 SIC to NAICS'!A:D,3)</f>
        <v>562920</v>
      </c>
      <c r="O562" s="34" t="str">
        <f>VLOOKUP(L562,'2017 SIC to NAICS'!A:D,4)</f>
        <v>Materials Recovery Facilities</v>
      </c>
      <c r="P562" s="36" t="s">
        <v>754</v>
      </c>
      <c r="Q562" s="137" t="s">
        <v>755</v>
      </c>
      <c r="R562" s="45" t="s">
        <v>39</v>
      </c>
      <c r="S562" s="138">
        <f>COUNTIFS('Raw Non-zero DMR Data'!$A:$A, A562, 'Raw Non-zero DMR Data'!$C:$C, U562, 'Raw Non-zero DMR Data'!$V:$V, V562)</f>
        <v>1</v>
      </c>
      <c r="T562" s="34">
        <f>SUMIFS('Raw Non-zero DMR Data'!$X:$X, 'Raw Non-zero DMR Data'!$A:$A, A562, 'Raw Non-zero DMR Data'!$C:$C, U562, 'Raw Non-zero DMR Data'!V:V, V562)</f>
        <v>1.71933625E-2</v>
      </c>
      <c r="U562" s="34" t="s">
        <v>1403</v>
      </c>
      <c r="V562" s="34" t="s">
        <v>1404</v>
      </c>
      <c r="W562" s="139">
        <v>40500070402</v>
      </c>
      <c r="X562" s="140" t="s">
        <v>745</v>
      </c>
    </row>
    <row r="563" spans="1:24" x14ac:dyDescent="0.35">
      <c r="A563" s="34">
        <v>2021</v>
      </c>
      <c r="B563" s="34" t="s">
        <v>584</v>
      </c>
      <c r="C563" s="34" t="s">
        <v>1403</v>
      </c>
      <c r="D563" s="34" t="s">
        <v>585</v>
      </c>
      <c r="E563" s="34" t="s">
        <v>1372</v>
      </c>
      <c r="F563" s="34" t="s">
        <v>181</v>
      </c>
      <c r="G563" s="34"/>
      <c r="H563" s="34">
        <v>42.665671000000003</v>
      </c>
      <c r="I563" s="34">
        <v>-85.290707999999995</v>
      </c>
      <c r="J563" s="34"/>
      <c r="K563" s="105">
        <v>110034151450</v>
      </c>
      <c r="L563" s="34">
        <v>4953</v>
      </c>
      <c r="M563" s="48" t="str">
        <f>VLOOKUP(L563, '2017 SIC to NAICS'!A:D, 2)</f>
        <v>Refuse Systems</v>
      </c>
      <c r="N563" s="34">
        <f>VLOOKUP(L563,'2017 SIC to NAICS'!A:D,3)</f>
        <v>562920</v>
      </c>
      <c r="O563" s="34" t="str">
        <f>VLOOKUP(L563,'2017 SIC to NAICS'!A:D,4)</f>
        <v>Materials Recovery Facilities</v>
      </c>
      <c r="P563" s="36" t="s">
        <v>754</v>
      </c>
      <c r="Q563" s="137" t="s">
        <v>755</v>
      </c>
      <c r="R563" s="45" t="s">
        <v>39</v>
      </c>
      <c r="S563" s="138">
        <f>COUNTIFS('Raw Non-zero DMR Data'!$A:$A, A563, 'Raw Non-zero DMR Data'!$C:$C, U563, 'Raw Non-zero DMR Data'!$V:$V, V563)</f>
        <v>1</v>
      </c>
      <c r="T563" s="34">
        <f>SUMIFS('Raw Non-zero DMR Data'!$X:$X, 'Raw Non-zero DMR Data'!$A:$A, A563, 'Raw Non-zero DMR Data'!$C:$C, U563, 'Raw Non-zero DMR Data'!V:V, V563)</f>
        <v>1.5158925E-2</v>
      </c>
      <c r="U563" s="34" t="s">
        <v>1403</v>
      </c>
      <c r="V563" s="34" t="s">
        <v>1404</v>
      </c>
      <c r="W563" s="139">
        <v>40500070402</v>
      </c>
      <c r="X563" s="140" t="s">
        <v>745</v>
      </c>
    </row>
    <row r="564" spans="1:24" x14ac:dyDescent="0.35">
      <c r="A564" s="34">
        <v>2022</v>
      </c>
      <c r="B564" s="34" t="s">
        <v>584</v>
      </c>
      <c r="C564" s="34" t="s">
        <v>1403</v>
      </c>
      <c r="D564" s="34" t="s">
        <v>585</v>
      </c>
      <c r="E564" s="34" t="s">
        <v>1372</v>
      </c>
      <c r="F564" s="34" t="s">
        <v>181</v>
      </c>
      <c r="G564" s="34"/>
      <c r="H564" s="34">
        <v>42.665671000000003</v>
      </c>
      <c r="I564" s="34">
        <v>-85.290707999999995</v>
      </c>
      <c r="J564" s="34"/>
      <c r="K564" s="105">
        <v>110034151450</v>
      </c>
      <c r="L564" s="34">
        <v>4953</v>
      </c>
      <c r="M564" s="48" t="str">
        <f>VLOOKUP(L564, '2017 SIC to NAICS'!A:D, 2)</f>
        <v>Refuse Systems</v>
      </c>
      <c r="N564" s="34">
        <f>VLOOKUP(L564,'2017 SIC to NAICS'!A:D,3)</f>
        <v>562920</v>
      </c>
      <c r="O564" s="34" t="str">
        <f>VLOOKUP(L564,'2017 SIC to NAICS'!A:D,4)</f>
        <v>Materials Recovery Facilities</v>
      </c>
      <c r="P564" s="36" t="s">
        <v>754</v>
      </c>
      <c r="Q564" s="137" t="s">
        <v>755</v>
      </c>
      <c r="R564" s="45" t="s">
        <v>39</v>
      </c>
      <c r="S564" s="138">
        <f>COUNTIFS('Raw Non-zero DMR Data'!$A:$A, A564, 'Raw Non-zero DMR Data'!$C:$C, U564, 'Raw Non-zero DMR Data'!$V:$V, V564)</f>
        <v>1</v>
      </c>
      <c r="T564" s="34">
        <f>SUMIFS('Raw Non-zero DMR Data'!$X:$X, 'Raw Non-zero DMR Data'!$A:$A, A564, 'Raw Non-zero DMR Data'!$C:$C, U564, 'Raw Non-zero DMR Data'!V:V, V564)</f>
        <v>1.54144125E-2</v>
      </c>
      <c r="U564" s="34" t="s">
        <v>1403</v>
      </c>
      <c r="V564" s="34" t="s">
        <v>1404</v>
      </c>
      <c r="W564" s="141" t="s">
        <v>1405</v>
      </c>
      <c r="X564" s="140" t="s">
        <v>745</v>
      </c>
    </row>
    <row r="565" spans="1:24" x14ac:dyDescent="0.35">
      <c r="A565" s="34">
        <v>2023</v>
      </c>
      <c r="B565" s="34" t="s">
        <v>584</v>
      </c>
      <c r="C565" s="34" t="s">
        <v>1403</v>
      </c>
      <c r="D565" s="34" t="s">
        <v>585</v>
      </c>
      <c r="E565" s="34" t="s">
        <v>1372</v>
      </c>
      <c r="F565" s="34" t="s">
        <v>181</v>
      </c>
      <c r="G565" s="34"/>
      <c r="H565" s="34">
        <v>42.665671000000003</v>
      </c>
      <c r="I565" s="34">
        <v>-85.290707999999995</v>
      </c>
      <c r="J565" s="34"/>
      <c r="K565" s="105">
        <v>110034151450</v>
      </c>
      <c r="L565" s="34">
        <v>4953</v>
      </c>
      <c r="M565" s="48" t="str">
        <f>VLOOKUP(L565, '2017 SIC to NAICS'!A:D, 2)</f>
        <v>Refuse Systems</v>
      </c>
      <c r="N565" s="34">
        <f>VLOOKUP(L565,'2017 SIC to NAICS'!A:D,3)</f>
        <v>562920</v>
      </c>
      <c r="O565" s="34" t="str">
        <f>VLOOKUP(L565,'2017 SIC to NAICS'!A:D,4)</f>
        <v>Materials Recovery Facilities</v>
      </c>
      <c r="P565" s="36" t="s">
        <v>754</v>
      </c>
      <c r="Q565" s="137" t="s">
        <v>755</v>
      </c>
      <c r="R565" s="45" t="s">
        <v>39</v>
      </c>
      <c r="S565" s="138">
        <f>COUNTIFS('Raw Non-zero DMR Data'!$A:$A, A565, 'Raw Non-zero DMR Data'!$C:$C, U565, 'Raw Non-zero DMR Data'!$V:$V, V565)</f>
        <v>1</v>
      </c>
      <c r="T565" s="34">
        <f>SUMIFS('Raw Non-zero DMR Data'!$X:$X, 'Raw Non-zero DMR Data'!$A:$A, A565, 'Raw Non-zero DMR Data'!$C:$C, U565, 'Raw Non-zero DMR Data'!V:V, V565)</f>
        <v>1.0739937499999999E-2</v>
      </c>
      <c r="U565" s="34" t="s">
        <v>1403</v>
      </c>
      <c r="V565" s="34" t="s">
        <v>1404</v>
      </c>
      <c r="W565" s="141" t="s">
        <v>1405</v>
      </c>
      <c r="X565" s="140" t="s">
        <v>745</v>
      </c>
    </row>
    <row r="566" spans="1:24" x14ac:dyDescent="0.35">
      <c r="A566" s="34">
        <v>2022</v>
      </c>
      <c r="B566" s="34" t="s">
        <v>408</v>
      </c>
      <c r="C566" s="34" t="s">
        <v>1406</v>
      </c>
      <c r="D566" s="34" t="s">
        <v>409</v>
      </c>
      <c r="E566" s="34" t="s">
        <v>604</v>
      </c>
      <c r="F566" s="34" t="s">
        <v>181</v>
      </c>
      <c r="G566" s="34"/>
      <c r="H566" s="34">
        <v>41.804830000000003</v>
      </c>
      <c r="I566" s="34">
        <v>-85.413839999999993</v>
      </c>
      <c r="J566" s="34"/>
      <c r="K566" s="105">
        <v>110009900116</v>
      </c>
      <c r="L566" s="34">
        <v>2591</v>
      </c>
      <c r="M566" s="48" t="str">
        <f>VLOOKUP(L566, '2017 SIC to NAICS'!A:D, 2)</f>
        <v>Drapery Hardware and Blinds and Shades</v>
      </c>
      <c r="N566" s="34">
        <f>VLOOKUP(L566,'2017 SIC to NAICS'!A:D,3)</f>
        <v>337920</v>
      </c>
      <c r="O566" s="34" t="str">
        <f>VLOOKUP(L566,'2017 SIC to NAICS'!A:D,4)</f>
        <v>Blind and Shade Manufacturing</v>
      </c>
      <c r="P566" s="36" t="s">
        <v>737</v>
      </c>
      <c r="Q566" s="137" t="s">
        <v>737</v>
      </c>
      <c r="R566" s="45" t="s">
        <v>41</v>
      </c>
      <c r="S566" s="138">
        <f>COUNTIFS('Raw Non-zero DMR Data'!$A:$A, A566, 'Raw Non-zero DMR Data'!$C:$C, U566, 'Raw Non-zero DMR Data'!$V:$V, V566)</f>
        <v>1</v>
      </c>
      <c r="T566" s="34">
        <f>SUMIFS('Raw Non-zero DMR Data'!$X:$X, 'Raw Non-zero DMR Data'!$A:$A, A566, 'Raw Non-zero DMR Data'!$C:$C, U566, 'Raw Non-zero DMR Data'!V:V, V566)</f>
        <v>0.19716822000000001</v>
      </c>
      <c r="U566" s="34" t="s">
        <v>1406</v>
      </c>
      <c r="V566" s="34" t="s">
        <v>1407</v>
      </c>
      <c r="W566" s="141" t="s">
        <v>1408</v>
      </c>
      <c r="X566" s="140" t="s">
        <v>739</v>
      </c>
    </row>
    <row r="567" spans="1:24" x14ac:dyDescent="0.35">
      <c r="A567" s="34">
        <v>2023</v>
      </c>
      <c r="B567" s="34" t="s">
        <v>408</v>
      </c>
      <c r="C567" s="34" t="s">
        <v>1406</v>
      </c>
      <c r="D567" s="34" t="s">
        <v>409</v>
      </c>
      <c r="E567" s="34" t="s">
        <v>604</v>
      </c>
      <c r="F567" s="34" t="s">
        <v>181</v>
      </c>
      <c r="G567" s="34"/>
      <c r="H567" s="34">
        <v>41.804830000000003</v>
      </c>
      <c r="I567" s="34">
        <v>-85.413839999999993</v>
      </c>
      <c r="J567" s="34"/>
      <c r="K567" s="105">
        <v>110009900116</v>
      </c>
      <c r="L567" s="34">
        <v>2591</v>
      </c>
      <c r="M567" s="48" t="str">
        <f>VLOOKUP(L567, '2017 SIC to NAICS'!A:D, 2)</f>
        <v>Drapery Hardware and Blinds and Shades</v>
      </c>
      <c r="N567" s="34">
        <f>VLOOKUP(L567,'2017 SIC to NAICS'!A:D,3)</f>
        <v>337920</v>
      </c>
      <c r="O567" s="34" t="str">
        <f>VLOOKUP(L567,'2017 SIC to NAICS'!A:D,4)</f>
        <v>Blind and Shade Manufacturing</v>
      </c>
      <c r="P567" s="36" t="s">
        <v>737</v>
      </c>
      <c r="Q567" s="137" t="s">
        <v>737</v>
      </c>
      <c r="R567" s="45" t="s">
        <v>41</v>
      </c>
      <c r="S567" s="138">
        <f>COUNTIFS('Raw Non-zero DMR Data'!$A:$A, A567, 'Raw Non-zero DMR Data'!$C:$C, U567, 'Raw Non-zero DMR Data'!$V:$V, V567)</f>
        <v>1</v>
      </c>
      <c r="T567" s="34">
        <f>SUMIFS('Raw Non-zero DMR Data'!$X:$X, 'Raw Non-zero DMR Data'!$A:$A, A567, 'Raw Non-zero DMR Data'!$C:$C, U567, 'Raw Non-zero DMR Data'!V:V, V567)</f>
        <v>0.164515659687725</v>
      </c>
      <c r="U567" s="34" t="s">
        <v>1406</v>
      </c>
      <c r="V567" s="34" t="s">
        <v>1407</v>
      </c>
      <c r="W567" s="141" t="s">
        <v>1408</v>
      </c>
      <c r="X567" s="140" t="s">
        <v>739</v>
      </c>
    </row>
    <row r="568" spans="1:24" x14ac:dyDescent="0.35">
      <c r="A568" s="34">
        <v>2020</v>
      </c>
      <c r="B568" s="34" t="s">
        <v>526</v>
      </c>
      <c r="C568" s="34" t="s">
        <v>1409</v>
      </c>
      <c r="D568" s="34" t="s">
        <v>527</v>
      </c>
      <c r="E568" s="34" t="s">
        <v>1410</v>
      </c>
      <c r="F568" s="34" t="s">
        <v>181</v>
      </c>
      <c r="G568" s="34"/>
      <c r="H568" s="34">
        <v>43.905769999999997</v>
      </c>
      <c r="I568" s="34">
        <v>-85.801850000000002</v>
      </c>
      <c r="J568" s="34"/>
      <c r="K568" s="105">
        <v>110009899967</v>
      </c>
      <c r="L568" s="34">
        <v>3317</v>
      </c>
      <c r="M568" s="48" t="str">
        <f>VLOOKUP(L568, '2017 SIC to NAICS'!A:D, 2)</f>
        <v>Steel Pipe and Tubes</v>
      </c>
      <c r="N568" s="34">
        <f>VLOOKUP(L568,'2017 SIC to NAICS'!A:D,3)</f>
        <v>331210</v>
      </c>
      <c r="O568" s="34" t="str">
        <f>VLOOKUP(L568,'2017 SIC to NAICS'!A:D,4)</f>
        <v>Iron and Steel Pipe and Tube
Manufacturing from Purchased Steel</v>
      </c>
      <c r="P568" s="36" t="s">
        <v>785</v>
      </c>
      <c r="Q568" s="137" t="s">
        <v>786</v>
      </c>
      <c r="R568" s="45" t="s">
        <v>41</v>
      </c>
      <c r="S568" s="138">
        <f>COUNTIFS('Raw Non-zero DMR Data'!$A:$A, A568, 'Raw Non-zero DMR Data'!$C:$C, U568, 'Raw Non-zero DMR Data'!$V:$V, V568)</f>
        <v>1</v>
      </c>
      <c r="T568" s="34">
        <f>SUMIFS('Raw Non-zero DMR Data'!$X:$X, 'Raw Non-zero DMR Data'!$A:$A, A568, 'Raw Non-zero DMR Data'!$C:$C, U568, 'Raw Non-zero DMR Data'!V:V, V568)</f>
        <v>3.5863631999999999E-2</v>
      </c>
      <c r="U568" s="34" t="s">
        <v>1409</v>
      </c>
      <c r="V568" s="34" t="s">
        <v>1411</v>
      </c>
      <c r="W568" s="139">
        <v>40601010502</v>
      </c>
      <c r="X568" s="140" t="s">
        <v>812</v>
      </c>
    </row>
    <row r="569" spans="1:24" x14ac:dyDescent="0.35">
      <c r="A569" s="34">
        <v>2019</v>
      </c>
      <c r="B569" s="34" t="s">
        <v>186</v>
      </c>
      <c r="C569" s="34" t="s">
        <v>1412</v>
      </c>
      <c r="D569" s="34" t="s">
        <v>187</v>
      </c>
      <c r="E569" s="34" t="s">
        <v>1413</v>
      </c>
      <c r="F569" s="34" t="s">
        <v>181</v>
      </c>
      <c r="G569" s="34"/>
      <c r="H569" s="34">
        <v>43.064709999999998</v>
      </c>
      <c r="I569" s="34">
        <v>-86.233519999999999</v>
      </c>
      <c r="J569" s="34"/>
      <c r="K569" s="105">
        <v>110006739832</v>
      </c>
      <c r="L569" s="34">
        <v>5812</v>
      </c>
      <c r="M569" s="48" t="str">
        <f>VLOOKUP(L569, '2017 SIC to NAICS'!A:D, 2)</f>
        <v>Eating Places</v>
      </c>
      <c r="N569" s="34">
        <f>VLOOKUP(L569,'2017 SIC to NAICS'!A:D,3)</f>
        <v>722515</v>
      </c>
      <c r="O569" s="34" t="str">
        <f>VLOOKUP(L569,'2017 SIC to NAICS'!A:D,4)</f>
        <v>Snack and Nonalcoholic Beverage Bars</v>
      </c>
      <c r="P569" s="36" t="s">
        <v>737</v>
      </c>
      <c r="Q569" s="137" t="s">
        <v>737</v>
      </c>
      <c r="R569" s="45" t="s">
        <v>41</v>
      </c>
      <c r="S569" s="138">
        <f>COUNTIFS('Raw Non-zero DMR Data'!$A:$A, A569, 'Raw Non-zero DMR Data'!$C:$C, U569, 'Raw Non-zero DMR Data'!$V:$V, V569)</f>
        <v>1</v>
      </c>
      <c r="T569" s="34">
        <f>SUMIFS('Raw Non-zero DMR Data'!$X:$X, 'Raw Non-zero DMR Data'!$A:$A, A569, 'Raw Non-zero DMR Data'!$C:$C, U569, 'Raw Non-zero DMR Data'!V:V, V569)</f>
        <v>3.5550234E-2</v>
      </c>
      <c r="U569" s="34" t="s">
        <v>1412</v>
      </c>
      <c r="V569" s="34" t="s">
        <v>1414</v>
      </c>
      <c r="W569" s="139">
        <v>40500060712</v>
      </c>
      <c r="X569" s="140" t="s">
        <v>812</v>
      </c>
    </row>
    <row r="570" spans="1:24" x14ac:dyDescent="0.35">
      <c r="A570" s="34">
        <v>2020</v>
      </c>
      <c r="B570" s="34" t="s">
        <v>186</v>
      </c>
      <c r="C570" s="34" t="s">
        <v>1412</v>
      </c>
      <c r="D570" s="34" t="s">
        <v>187</v>
      </c>
      <c r="E570" s="34" t="s">
        <v>1413</v>
      </c>
      <c r="F570" s="34" t="s">
        <v>181</v>
      </c>
      <c r="G570" s="34"/>
      <c r="H570" s="34">
        <v>43.064709999999998</v>
      </c>
      <c r="I570" s="34">
        <v>-86.233519999999999</v>
      </c>
      <c r="J570" s="34"/>
      <c r="K570" s="105">
        <v>110006739832</v>
      </c>
      <c r="L570" s="34">
        <v>5812</v>
      </c>
      <c r="M570" s="48" t="str">
        <f>VLOOKUP(L570, '2017 SIC to NAICS'!A:D, 2)</f>
        <v>Eating Places</v>
      </c>
      <c r="N570" s="34">
        <f>VLOOKUP(L570,'2017 SIC to NAICS'!A:D,3)</f>
        <v>722515</v>
      </c>
      <c r="O570" s="34" t="str">
        <f>VLOOKUP(L570,'2017 SIC to NAICS'!A:D,4)</f>
        <v>Snack and Nonalcoholic Beverage Bars</v>
      </c>
      <c r="P570" s="36" t="s">
        <v>737</v>
      </c>
      <c r="Q570" s="137" t="s">
        <v>737</v>
      </c>
      <c r="R570" s="45" t="s">
        <v>41</v>
      </c>
      <c r="S570" s="138">
        <f>COUNTIFS('Raw Non-zero DMR Data'!$A:$A, A570, 'Raw Non-zero DMR Data'!$C:$C, U570, 'Raw Non-zero DMR Data'!$V:$V, V570)</f>
        <v>1</v>
      </c>
      <c r="T570" s="34">
        <f>SUMIFS('Raw Non-zero DMR Data'!$X:$X, 'Raw Non-zero DMR Data'!$A:$A, A570, 'Raw Non-zero DMR Data'!$C:$C, U570, 'Raw Non-zero DMR Data'!V:V, V570)</f>
        <v>5.7326528571428502E-3</v>
      </c>
      <c r="U570" s="34" t="s">
        <v>1412</v>
      </c>
      <c r="V570" s="34" t="s">
        <v>1414</v>
      </c>
      <c r="W570" s="139">
        <v>40500060712</v>
      </c>
      <c r="X570" s="140" t="s">
        <v>812</v>
      </c>
    </row>
    <row r="571" spans="1:24" x14ac:dyDescent="0.35">
      <c r="A571" s="34">
        <v>2021</v>
      </c>
      <c r="B571" s="34" t="s">
        <v>186</v>
      </c>
      <c r="C571" s="34" t="s">
        <v>1412</v>
      </c>
      <c r="D571" s="34" t="s">
        <v>187</v>
      </c>
      <c r="E571" s="34" t="s">
        <v>1413</v>
      </c>
      <c r="F571" s="34" t="s">
        <v>181</v>
      </c>
      <c r="G571" s="34"/>
      <c r="H571" s="34">
        <v>43.064709999999998</v>
      </c>
      <c r="I571" s="34">
        <v>-86.233519999999999</v>
      </c>
      <c r="J571" s="34"/>
      <c r="K571" s="105">
        <v>110006739832</v>
      </c>
      <c r="L571" s="34">
        <v>5812</v>
      </c>
      <c r="M571" s="48" t="str">
        <f>VLOOKUP(L571, '2017 SIC to NAICS'!A:D, 2)</f>
        <v>Eating Places</v>
      </c>
      <c r="N571" s="34">
        <f>VLOOKUP(L571,'2017 SIC to NAICS'!A:D,3)</f>
        <v>722515</v>
      </c>
      <c r="O571" s="34" t="str">
        <f>VLOOKUP(L571,'2017 SIC to NAICS'!A:D,4)</f>
        <v>Snack and Nonalcoholic Beverage Bars</v>
      </c>
      <c r="P571" s="36" t="s">
        <v>737</v>
      </c>
      <c r="Q571" s="137" t="s">
        <v>737</v>
      </c>
      <c r="R571" s="45" t="s">
        <v>41</v>
      </c>
      <c r="S571" s="138">
        <f>COUNTIFS('Raw Non-zero DMR Data'!$A:$A, A571, 'Raw Non-zero DMR Data'!$C:$C, U571, 'Raw Non-zero DMR Data'!$V:$V, V571)</f>
        <v>1</v>
      </c>
      <c r="T571" s="34">
        <f>SUMIFS('Raw Non-zero DMR Data'!$X:$X, 'Raw Non-zero DMR Data'!$A:$A, A571, 'Raw Non-zero DMR Data'!$C:$C, U571, 'Raw Non-zero DMR Data'!V:V, V571)</f>
        <v>2.1791437274999999E-2</v>
      </c>
      <c r="U571" s="34" t="s">
        <v>1412</v>
      </c>
      <c r="V571" s="34" t="s">
        <v>1414</v>
      </c>
      <c r="W571" s="139">
        <v>40500060712</v>
      </c>
      <c r="X571" s="140" t="s">
        <v>812</v>
      </c>
    </row>
    <row r="572" spans="1:24" x14ac:dyDescent="0.35">
      <c r="A572" s="34">
        <v>2022</v>
      </c>
      <c r="B572" s="34" t="s">
        <v>186</v>
      </c>
      <c r="C572" s="34" t="s">
        <v>1412</v>
      </c>
      <c r="D572" s="34" t="s">
        <v>187</v>
      </c>
      <c r="E572" s="34" t="s">
        <v>1413</v>
      </c>
      <c r="F572" s="34" t="s">
        <v>181</v>
      </c>
      <c r="G572" s="34"/>
      <c r="H572" s="34">
        <v>43.064709999999998</v>
      </c>
      <c r="I572" s="34">
        <v>-86.233519999999999</v>
      </c>
      <c r="J572" s="34"/>
      <c r="K572" s="105">
        <v>110006739832</v>
      </c>
      <c r="L572" s="34">
        <v>5812</v>
      </c>
      <c r="M572" s="48" t="str">
        <f>VLOOKUP(L572, '2017 SIC to NAICS'!A:D, 2)</f>
        <v>Eating Places</v>
      </c>
      <c r="N572" s="34">
        <f>VLOOKUP(L572,'2017 SIC to NAICS'!A:D,3)</f>
        <v>722515</v>
      </c>
      <c r="O572" s="34" t="str">
        <f>VLOOKUP(L572,'2017 SIC to NAICS'!A:D,4)</f>
        <v>Snack and Nonalcoholic Beverage Bars</v>
      </c>
      <c r="P572" s="36" t="s">
        <v>737</v>
      </c>
      <c r="Q572" s="137" t="s">
        <v>737</v>
      </c>
      <c r="R572" s="45" t="s">
        <v>41</v>
      </c>
      <c r="S572" s="138">
        <f>COUNTIFS('Raw Non-zero DMR Data'!$A:$A, A572, 'Raw Non-zero DMR Data'!$C:$C, U572, 'Raw Non-zero DMR Data'!$V:$V, V572)</f>
        <v>1</v>
      </c>
      <c r="T572" s="34">
        <f>SUMIFS('Raw Non-zero DMR Data'!$X:$X, 'Raw Non-zero DMR Data'!$A:$A, A572, 'Raw Non-zero DMR Data'!$C:$C, U572, 'Raw Non-zero DMR Data'!V:V, V572)</f>
        <v>5.5843581143999996</v>
      </c>
      <c r="U572" s="34" t="s">
        <v>1412</v>
      </c>
      <c r="V572" s="34" t="s">
        <v>1414</v>
      </c>
      <c r="W572" s="141" t="s">
        <v>1415</v>
      </c>
      <c r="X572" s="140" t="s">
        <v>745</v>
      </c>
    </row>
    <row r="573" spans="1:24" x14ac:dyDescent="0.35">
      <c r="A573" s="34">
        <v>2023</v>
      </c>
      <c r="B573" s="34" t="s">
        <v>186</v>
      </c>
      <c r="C573" s="34" t="s">
        <v>1412</v>
      </c>
      <c r="D573" s="34" t="s">
        <v>187</v>
      </c>
      <c r="E573" s="34" t="s">
        <v>1413</v>
      </c>
      <c r="F573" s="34" t="s">
        <v>181</v>
      </c>
      <c r="G573" s="34"/>
      <c r="H573" s="34">
        <v>43.064709999999998</v>
      </c>
      <c r="I573" s="34">
        <v>-86.233519999999999</v>
      </c>
      <c r="J573" s="34"/>
      <c r="K573" s="105">
        <v>110006739832</v>
      </c>
      <c r="L573" s="34">
        <v>5812</v>
      </c>
      <c r="M573" s="48" t="str">
        <f>VLOOKUP(L573, '2017 SIC to NAICS'!A:D, 2)</f>
        <v>Eating Places</v>
      </c>
      <c r="N573" s="34">
        <f>VLOOKUP(L573,'2017 SIC to NAICS'!A:D,3)</f>
        <v>722515</v>
      </c>
      <c r="O573" s="34" t="str">
        <f>VLOOKUP(L573,'2017 SIC to NAICS'!A:D,4)</f>
        <v>Snack and Nonalcoholic Beverage Bars</v>
      </c>
      <c r="P573" s="36" t="s">
        <v>737</v>
      </c>
      <c r="Q573" s="137" t="s">
        <v>737</v>
      </c>
      <c r="R573" s="45" t="s">
        <v>41</v>
      </c>
      <c r="S573" s="138">
        <f>COUNTIFS('Raw Non-zero DMR Data'!$A:$A, A573, 'Raw Non-zero DMR Data'!$C:$C, U573, 'Raw Non-zero DMR Data'!$V:$V, V573)</f>
        <v>1</v>
      </c>
      <c r="T573" s="34">
        <f>SUMIFS('Raw Non-zero DMR Data'!$X:$X, 'Raw Non-zero DMR Data'!$A:$A, A573, 'Raw Non-zero DMR Data'!$C:$C, U573, 'Raw Non-zero DMR Data'!V:V, V573)</f>
        <v>1.2063552E-2</v>
      </c>
      <c r="U573" s="34" t="s">
        <v>1412</v>
      </c>
      <c r="V573" s="34" t="s">
        <v>1414</v>
      </c>
      <c r="W573" s="141" t="s">
        <v>1415</v>
      </c>
      <c r="X573" s="140" t="s">
        <v>812</v>
      </c>
    </row>
    <row r="574" spans="1:24" x14ac:dyDescent="0.35">
      <c r="A574" s="34">
        <v>2022</v>
      </c>
      <c r="B574" s="34" t="s">
        <v>356</v>
      </c>
      <c r="C574" s="34" t="s">
        <v>1416</v>
      </c>
      <c r="D574" s="34" t="s">
        <v>357</v>
      </c>
      <c r="E574" s="34" t="s">
        <v>1389</v>
      </c>
      <c r="F574" s="34" t="s">
        <v>181</v>
      </c>
      <c r="G574" s="34"/>
      <c r="H574" s="34">
        <v>44.250408</v>
      </c>
      <c r="I574" s="34">
        <v>-85.402265</v>
      </c>
      <c r="J574" s="34"/>
      <c r="K574" s="105">
        <v>110006739878</v>
      </c>
      <c r="L574" s="34">
        <v>9999</v>
      </c>
      <c r="M574" s="48" t="str">
        <f>VLOOKUP(L574, '2017 SIC to NAICS'!A:D, 2)</f>
        <v>Nonclassifiable Establishments</v>
      </c>
      <c r="N574" s="34">
        <f>VLOOKUP(L574,'2017 SIC to NAICS'!A:D,3)</f>
        <v>0</v>
      </c>
      <c r="O574" s="34">
        <f>VLOOKUP(L574,'2017 SIC to NAICS'!A:D,4)</f>
        <v>0</v>
      </c>
      <c r="P574" s="36" t="s">
        <v>737</v>
      </c>
      <c r="Q574" s="137" t="s">
        <v>737</v>
      </c>
      <c r="R574" s="45" t="s">
        <v>41</v>
      </c>
      <c r="S574" s="138">
        <f>COUNTIFS('Raw Non-zero DMR Data'!$A:$A, A574, 'Raw Non-zero DMR Data'!$C:$C, U574, 'Raw Non-zero DMR Data'!$V:$V, V574)</f>
        <v>1</v>
      </c>
      <c r="T574" s="34">
        <f>SUMIFS('Raw Non-zero DMR Data'!$X:$X, 'Raw Non-zero DMR Data'!$A:$A, A574, 'Raw Non-zero DMR Data'!$C:$C, U574, 'Raw Non-zero DMR Data'!V:V, V574)</f>
        <v>0.22743126320000001</v>
      </c>
      <c r="U574" s="34" t="s">
        <v>1416</v>
      </c>
      <c r="V574" s="34" t="s">
        <v>1417</v>
      </c>
      <c r="W574" s="141" t="s">
        <v>1418</v>
      </c>
      <c r="X574" s="140" t="s">
        <v>739</v>
      </c>
    </row>
    <row r="575" spans="1:24" x14ac:dyDescent="0.35">
      <c r="A575" s="34">
        <v>2023</v>
      </c>
      <c r="B575" s="34" t="s">
        <v>356</v>
      </c>
      <c r="C575" s="34" t="s">
        <v>1416</v>
      </c>
      <c r="D575" s="34" t="s">
        <v>357</v>
      </c>
      <c r="E575" s="34" t="s">
        <v>1389</v>
      </c>
      <c r="F575" s="34" t="s">
        <v>181</v>
      </c>
      <c r="G575" s="34"/>
      <c r="H575" s="34">
        <v>44.250408</v>
      </c>
      <c r="I575" s="34">
        <v>-85.402265</v>
      </c>
      <c r="J575" s="34"/>
      <c r="K575" s="105">
        <v>110006739878</v>
      </c>
      <c r="L575" s="34">
        <v>9999</v>
      </c>
      <c r="M575" s="48" t="str">
        <f>VLOOKUP(L575, '2017 SIC to NAICS'!A:D, 2)</f>
        <v>Nonclassifiable Establishments</v>
      </c>
      <c r="N575" s="34">
        <f>VLOOKUP(L575,'2017 SIC to NAICS'!A:D,3)</f>
        <v>0</v>
      </c>
      <c r="O575" s="34">
        <f>VLOOKUP(L575,'2017 SIC to NAICS'!A:D,4)</f>
        <v>0</v>
      </c>
      <c r="P575" s="36" t="s">
        <v>737</v>
      </c>
      <c r="Q575" s="137" t="s">
        <v>737</v>
      </c>
      <c r="R575" s="45" t="s">
        <v>41</v>
      </c>
      <c r="S575" s="138">
        <f>COUNTIFS('Raw Non-zero DMR Data'!$A:$A, A575, 'Raw Non-zero DMR Data'!$C:$C, U575, 'Raw Non-zero DMR Data'!$V:$V, V575)</f>
        <v>1</v>
      </c>
      <c r="T575" s="34">
        <f>SUMIFS('Raw Non-zero DMR Data'!$X:$X, 'Raw Non-zero DMR Data'!$A:$A, A575, 'Raw Non-zero DMR Data'!$C:$C, U575, 'Raw Non-zero DMR Data'!V:V, V575)</f>
        <v>0.49486505590000002</v>
      </c>
      <c r="U575" s="34" t="s">
        <v>1416</v>
      </c>
      <c r="V575" s="34" t="s">
        <v>1417</v>
      </c>
      <c r="W575" s="141" t="s">
        <v>1418</v>
      </c>
      <c r="X575" s="140" t="s">
        <v>739</v>
      </c>
    </row>
    <row r="576" spans="1:24" x14ac:dyDescent="0.35">
      <c r="A576" s="34">
        <v>2021</v>
      </c>
      <c r="B576" s="34" t="s">
        <v>549</v>
      </c>
      <c r="C576" s="34" t="s">
        <v>1419</v>
      </c>
      <c r="D576" s="34" t="s">
        <v>507</v>
      </c>
      <c r="E576" s="34" t="s">
        <v>1086</v>
      </c>
      <c r="F576" s="34" t="s">
        <v>181</v>
      </c>
      <c r="G576" s="34"/>
      <c r="H576" s="34">
        <v>43.977820999999999</v>
      </c>
      <c r="I576" s="34">
        <v>-86.457807000000003</v>
      </c>
      <c r="J576" s="34"/>
      <c r="K576" s="105">
        <v>110006739789</v>
      </c>
      <c r="L576" s="34">
        <v>9999</v>
      </c>
      <c r="M576" s="48" t="str">
        <f>VLOOKUP(L576, '2017 SIC to NAICS'!A:D, 2)</f>
        <v>Nonclassifiable Establishments</v>
      </c>
      <c r="N576" s="34">
        <f>VLOOKUP(L576,'2017 SIC to NAICS'!A:D,3)</f>
        <v>0</v>
      </c>
      <c r="O576" s="34">
        <f>VLOOKUP(L576,'2017 SIC to NAICS'!A:D,4)</f>
        <v>0</v>
      </c>
      <c r="P576" s="36" t="s">
        <v>737</v>
      </c>
      <c r="Q576" s="137" t="s">
        <v>737</v>
      </c>
      <c r="R576" s="45" t="s">
        <v>41</v>
      </c>
      <c r="S576" s="138">
        <f>COUNTIFS('Raw Non-zero DMR Data'!$A:$A, A576, 'Raw Non-zero DMR Data'!$C:$C, U576, 'Raw Non-zero DMR Data'!$V:$V, V576)</f>
        <v>1</v>
      </c>
      <c r="T576" s="34">
        <f>SUMIFS('Raw Non-zero DMR Data'!$X:$X, 'Raw Non-zero DMR Data'!$A:$A, A576, 'Raw Non-zero DMR Data'!$C:$C, U576, 'Raw Non-zero DMR Data'!V:V, V576)</f>
        <v>2.6652456000000001E-2</v>
      </c>
      <c r="U576" s="34" t="s">
        <v>1419</v>
      </c>
      <c r="V576" s="34" t="s">
        <v>1420</v>
      </c>
      <c r="W576" s="139">
        <v>40601010203</v>
      </c>
      <c r="X576" s="140" t="s">
        <v>739</v>
      </c>
    </row>
    <row r="577" spans="1:24" x14ac:dyDescent="0.35">
      <c r="A577" s="34">
        <v>2022</v>
      </c>
      <c r="B577" s="34" t="s">
        <v>549</v>
      </c>
      <c r="C577" s="34" t="s">
        <v>1419</v>
      </c>
      <c r="D577" s="34" t="s">
        <v>507</v>
      </c>
      <c r="E577" s="34" t="s">
        <v>1086</v>
      </c>
      <c r="F577" s="34" t="s">
        <v>181</v>
      </c>
      <c r="G577" s="34"/>
      <c r="H577" s="34">
        <v>43.977820999999999</v>
      </c>
      <c r="I577" s="34">
        <v>-86.457807000000003</v>
      </c>
      <c r="J577" s="34"/>
      <c r="K577" s="105">
        <v>110006739789</v>
      </c>
      <c r="L577" s="34">
        <v>9999</v>
      </c>
      <c r="M577" s="48" t="str">
        <f>VLOOKUP(L577, '2017 SIC to NAICS'!A:D, 2)</f>
        <v>Nonclassifiable Establishments</v>
      </c>
      <c r="N577" s="34">
        <f>VLOOKUP(L577,'2017 SIC to NAICS'!A:D,3)</f>
        <v>0</v>
      </c>
      <c r="O577" s="34">
        <f>VLOOKUP(L577,'2017 SIC to NAICS'!A:D,4)</f>
        <v>0</v>
      </c>
      <c r="P577" s="36" t="s">
        <v>737</v>
      </c>
      <c r="Q577" s="137" t="s">
        <v>737</v>
      </c>
      <c r="R577" s="45" t="s">
        <v>41</v>
      </c>
      <c r="S577" s="138">
        <f>COUNTIFS('Raw Non-zero DMR Data'!$A:$A, A577, 'Raw Non-zero DMR Data'!$C:$C, U577, 'Raw Non-zero DMR Data'!$V:$V, V577)</f>
        <v>1</v>
      </c>
      <c r="T577" s="34">
        <f>SUMIFS('Raw Non-zero DMR Data'!$X:$X, 'Raw Non-zero DMR Data'!$A:$A, A577, 'Raw Non-zero DMR Data'!$C:$C, U577, 'Raw Non-zero DMR Data'!V:V, V577)</f>
        <v>2.6413243999999999E-2</v>
      </c>
      <c r="U577" s="34" t="s">
        <v>1419</v>
      </c>
      <c r="V577" s="34" t="s">
        <v>1420</v>
      </c>
      <c r="W577" s="141" t="s">
        <v>1421</v>
      </c>
      <c r="X577" s="140" t="s">
        <v>739</v>
      </c>
    </row>
    <row r="578" spans="1:24" x14ac:dyDescent="0.35">
      <c r="A578" s="34">
        <v>2023</v>
      </c>
      <c r="B578" s="34" t="s">
        <v>549</v>
      </c>
      <c r="C578" s="34" t="s">
        <v>1419</v>
      </c>
      <c r="D578" s="34" t="s">
        <v>507</v>
      </c>
      <c r="E578" s="34" t="s">
        <v>1086</v>
      </c>
      <c r="F578" s="34" t="s">
        <v>181</v>
      </c>
      <c r="G578" s="34"/>
      <c r="H578" s="34">
        <v>43.977820999999999</v>
      </c>
      <c r="I578" s="34">
        <v>-86.457807000000003</v>
      </c>
      <c r="J578" s="34"/>
      <c r="K578" s="105">
        <v>110006739789</v>
      </c>
      <c r="L578" s="34">
        <v>9999</v>
      </c>
      <c r="M578" s="48" t="str">
        <f>VLOOKUP(L578, '2017 SIC to NAICS'!A:D, 2)</f>
        <v>Nonclassifiable Establishments</v>
      </c>
      <c r="N578" s="34">
        <f>VLOOKUP(L578,'2017 SIC to NAICS'!A:D,3)</f>
        <v>0</v>
      </c>
      <c r="O578" s="34">
        <f>VLOOKUP(L578,'2017 SIC to NAICS'!A:D,4)</f>
        <v>0</v>
      </c>
      <c r="P578" s="36" t="s">
        <v>737</v>
      </c>
      <c r="Q578" s="137" t="s">
        <v>737</v>
      </c>
      <c r="R578" s="45" t="s">
        <v>41</v>
      </c>
      <c r="S578" s="138">
        <f>COUNTIFS('Raw Non-zero DMR Data'!$A:$A, A578, 'Raw Non-zero DMR Data'!$C:$C, U578, 'Raw Non-zero DMR Data'!$V:$V, V578)</f>
        <v>1</v>
      </c>
      <c r="T578" s="34">
        <f>SUMIFS('Raw Non-zero DMR Data'!$X:$X, 'Raw Non-zero DMR Data'!$A:$A, A578, 'Raw Non-zero DMR Data'!$C:$C, U578, 'Raw Non-zero DMR Data'!V:V, V578)</f>
        <v>2.7437465000000001E-2</v>
      </c>
      <c r="U578" s="34" t="s">
        <v>1419</v>
      </c>
      <c r="V578" s="34" t="s">
        <v>1420</v>
      </c>
      <c r="W578" s="141" t="s">
        <v>1421</v>
      </c>
      <c r="X578" s="140" t="s">
        <v>739</v>
      </c>
    </row>
    <row r="579" spans="1:24" x14ac:dyDescent="0.35">
      <c r="A579" s="34">
        <v>2019</v>
      </c>
      <c r="B579" s="34" t="s">
        <v>386</v>
      </c>
      <c r="C579" s="34" t="s">
        <v>1422</v>
      </c>
      <c r="D579" s="34" t="s">
        <v>387</v>
      </c>
      <c r="E579" s="34" t="s">
        <v>1423</v>
      </c>
      <c r="F579" s="34" t="s">
        <v>181</v>
      </c>
      <c r="G579" s="34"/>
      <c r="H579" s="34">
        <v>42.591610000000003</v>
      </c>
      <c r="I579" s="34">
        <v>-83.602609999999999</v>
      </c>
      <c r="J579" s="34"/>
      <c r="K579" s="105">
        <v>110003597395</v>
      </c>
      <c r="L579" s="34">
        <v>1799</v>
      </c>
      <c r="M579" s="48" t="str">
        <f>VLOOKUP(L579, '2017 SIC to NAICS'!A:D, 2)</f>
        <v>Special Trade Contractors, Nec</v>
      </c>
      <c r="N579" s="34">
        <f>VLOOKUP(L579,'2017 SIC to NAICS'!A:D,3)</f>
        <v>562910</v>
      </c>
      <c r="O579" s="34" t="str">
        <f>VLOOKUP(L579,'2017 SIC to NAICS'!A:D,4)</f>
        <v>Remediation Services</v>
      </c>
      <c r="P579" s="36" t="s">
        <v>754</v>
      </c>
      <c r="Q579" s="137" t="s">
        <v>755</v>
      </c>
      <c r="R579" s="45" t="s">
        <v>41</v>
      </c>
      <c r="S579" s="138">
        <f>COUNTIFS('Raw Non-zero DMR Data'!$A:$A, A579, 'Raw Non-zero DMR Data'!$C:$C, U579, 'Raw Non-zero DMR Data'!$V:$V, V579)</f>
        <v>1</v>
      </c>
      <c r="T579" s="34">
        <f>SUMIFS('Raw Non-zero DMR Data'!$X:$X, 'Raw Non-zero DMR Data'!$A:$A, A579, 'Raw Non-zero DMR Data'!$C:$C, U579, 'Raw Non-zero DMR Data'!V:V, V579)</f>
        <v>0.28251646887499998</v>
      </c>
      <c r="U579" s="34" t="s">
        <v>1422</v>
      </c>
      <c r="V579" s="34" t="s">
        <v>1424</v>
      </c>
      <c r="W579" s="139">
        <v>40900050104</v>
      </c>
      <c r="X579" s="140" t="s">
        <v>739</v>
      </c>
    </row>
    <row r="580" spans="1:24" x14ac:dyDescent="0.35">
      <c r="A580" s="34">
        <v>2020</v>
      </c>
      <c r="B580" s="34" t="s">
        <v>386</v>
      </c>
      <c r="C580" s="34" t="s">
        <v>1422</v>
      </c>
      <c r="D580" s="34" t="s">
        <v>387</v>
      </c>
      <c r="E580" s="34" t="s">
        <v>1423</v>
      </c>
      <c r="F580" s="34" t="s">
        <v>181</v>
      </c>
      <c r="G580" s="34"/>
      <c r="H580" s="34">
        <v>42.591610000000003</v>
      </c>
      <c r="I580" s="34">
        <v>-83.602609999999999</v>
      </c>
      <c r="J580" s="34"/>
      <c r="K580" s="105">
        <v>110003597395</v>
      </c>
      <c r="L580" s="34">
        <v>1799</v>
      </c>
      <c r="M580" s="48" t="str">
        <f>VLOOKUP(L580, '2017 SIC to NAICS'!A:D, 2)</f>
        <v>Special Trade Contractors, Nec</v>
      </c>
      <c r="N580" s="34">
        <f>VLOOKUP(L580,'2017 SIC to NAICS'!A:D,3)</f>
        <v>562910</v>
      </c>
      <c r="O580" s="34" t="str">
        <f>VLOOKUP(L580,'2017 SIC to NAICS'!A:D,4)</f>
        <v>Remediation Services</v>
      </c>
      <c r="P580" s="36" t="s">
        <v>754</v>
      </c>
      <c r="Q580" s="137" t="s">
        <v>755</v>
      </c>
      <c r="R580" s="45" t="s">
        <v>41</v>
      </c>
      <c r="S580" s="138">
        <f>COUNTIFS('Raw Non-zero DMR Data'!$A:$A, A580, 'Raw Non-zero DMR Data'!$C:$C, U580, 'Raw Non-zero DMR Data'!$V:$V, V580)</f>
        <v>1</v>
      </c>
      <c r="T580" s="34">
        <f>SUMIFS('Raw Non-zero DMR Data'!$X:$X, 'Raw Non-zero DMR Data'!$A:$A, A580, 'Raw Non-zero DMR Data'!$C:$C, U580, 'Raw Non-zero DMR Data'!V:V, V580)</f>
        <v>9.5096610999999998E-2</v>
      </c>
      <c r="U580" s="34" t="s">
        <v>1422</v>
      </c>
      <c r="V580" s="34" t="s">
        <v>1424</v>
      </c>
      <c r="W580" s="139">
        <v>40900050104</v>
      </c>
      <c r="X580" s="140" t="s">
        <v>739</v>
      </c>
    </row>
    <row r="581" spans="1:24" x14ac:dyDescent="0.35">
      <c r="A581" s="34">
        <v>2021</v>
      </c>
      <c r="B581" s="34" t="s">
        <v>386</v>
      </c>
      <c r="C581" s="34" t="s">
        <v>1422</v>
      </c>
      <c r="D581" s="34" t="s">
        <v>387</v>
      </c>
      <c r="E581" s="34" t="s">
        <v>1423</v>
      </c>
      <c r="F581" s="34" t="s">
        <v>181</v>
      </c>
      <c r="G581" s="34"/>
      <c r="H581" s="34">
        <v>42.591610000000003</v>
      </c>
      <c r="I581" s="34">
        <v>-83.602609999999999</v>
      </c>
      <c r="J581" s="34"/>
      <c r="K581" s="105">
        <v>110003597395</v>
      </c>
      <c r="L581" s="34">
        <v>1799</v>
      </c>
      <c r="M581" s="48" t="str">
        <f>VLOOKUP(L581, '2017 SIC to NAICS'!A:D, 2)</f>
        <v>Special Trade Contractors, Nec</v>
      </c>
      <c r="N581" s="34">
        <f>VLOOKUP(L581,'2017 SIC to NAICS'!A:D,3)</f>
        <v>562910</v>
      </c>
      <c r="O581" s="34" t="str">
        <f>VLOOKUP(L581,'2017 SIC to NAICS'!A:D,4)</f>
        <v>Remediation Services</v>
      </c>
      <c r="P581" s="36" t="s">
        <v>754</v>
      </c>
      <c r="Q581" s="137" t="s">
        <v>755</v>
      </c>
      <c r="R581" s="45" t="s">
        <v>41</v>
      </c>
      <c r="S581" s="138">
        <f>COUNTIFS('Raw Non-zero DMR Data'!$A:$A, A581, 'Raw Non-zero DMR Data'!$C:$C, U581, 'Raw Non-zero DMR Data'!$V:$V, V581)</f>
        <v>1</v>
      </c>
      <c r="T581" s="34">
        <f>SUMIFS('Raw Non-zero DMR Data'!$X:$X, 'Raw Non-zero DMR Data'!$A:$A, A581, 'Raw Non-zero DMR Data'!$C:$C, U581, 'Raw Non-zero DMR Data'!V:V, V581)</f>
        <v>0.25480582149999997</v>
      </c>
      <c r="U581" s="34" t="s">
        <v>1422</v>
      </c>
      <c r="V581" s="34" t="s">
        <v>1424</v>
      </c>
      <c r="W581" s="139">
        <v>40900050104</v>
      </c>
      <c r="X581" s="140" t="s">
        <v>739</v>
      </c>
    </row>
    <row r="582" spans="1:24" x14ac:dyDescent="0.35">
      <c r="A582" s="34">
        <v>2022</v>
      </c>
      <c r="B582" s="34" t="s">
        <v>386</v>
      </c>
      <c r="C582" s="34" t="s">
        <v>1422</v>
      </c>
      <c r="D582" s="34" t="s">
        <v>387</v>
      </c>
      <c r="E582" s="34" t="s">
        <v>1423</v>
      </c>
      <c r="F582" s="34" t="s">
        <v>181</v>
      </c>
      <c r="G582" s="34"/>
      <c r="H582" s="34">
        <v>42.591610000000003</v>
      </c>
      <c r="I582" s="34">
        <v>-83.602609999999999</v>
      </c>
      <c r="J582" s="34"/>
      <c r="K582" s="105">
        <v>110003597395</v>
      </c>
      <c r="L582" s="34">
        <v>1799</v>
      </c>
      <c r="M582" s="48" t="str">
        <f>VLOOKUP(L582, '2017 SIC to NAICS'!A:D, 2)</f>
        <v>Special Trade Contractors, Nec</v>
      </c>
      <c r="N582" s="34">
        <f>VLOOKUP(L582,'2017 SIC to NAICS'!A:D,3)</f>
        <v>562910</v>
      </c>
      <c r="O582" s="34" t="str">
        <f>VLOOKUP(L582,'2017 SIC to NAICS'!A:D,4)</f>
        <v>Remediation Services</v>
      </c>
      <c r="P582" s="36" t="s">
        <v>754</v>
      </c>
      <c r="Q582" s="137" t="s">
        <v>755</v>
      </c>
      <c r="R582" s="45" t="s">
        <v>41</v>
      </c>
      <c r="S582" s="138">
        <f>COUNTIFS('Raw Non-zero DMR Data'!$A:$A, A582, 'Raw Non-zero DMR Data'!$C:$C, U582, 'Raw Non-zero DMR Data'!$V:$V, V582)</f>
        <v>1</v>
      </c>
      <c r="T582" s="34">
        <f>SUMIFS('Raw Non-zero DMR Data'!$X:$X, 'Raw Non-zero DMR Data'!$A:$A, A582, 'Raw Non-zero DMR Data'!$C:$C, U582, 'Raw Non-zero DMR Data'!V:V, V582)</f>
        <v>0.25225832725000003</v>
      </c>
      <c r="U582" s="34" t="s">
        <v>1422</v>
      </c>
      <c r="V582" s="34" t="s">
        <v>1424</v>
      </c>
      <c r="W582" s="141" t="s">
        <v>1425</v>
      </c>
      <c r="X582" s="140" t="s">
        <v>739</v>
      </c>
    </row>
    <row r="583" spans="1:24" x14ac:dyDescent="0.35">
      <c r="A583" s="34">
        <v>2023</v>
      </c>
      <c r="B583" s="34" t="s">
        <v>386</v>
      </c>
      <c r="C583" s="34" t="s">
        <v>1422</v>
      </c>
      <c r="D583" s="34" t="s">
        <v>387</v>
      </c>
      <c r="E583" s="34" t="s">
        <v>1423</v>
      </c>
      <c r="F583" s="34" t="s">
        <v>181</v>
      </c>
      <c r="G583" s="34"/>
      <c r="H583" s="34">
        <v>42.591610000000003</v>
      </c>
      <c r="I583" s="34">
        <v>-83.602609999999999</v>
      </c>
      <c r="J583" s="34"/>
      <c r="K583" s="105">
        <v>110003597395</v>
      </c>
      <c r="L583" s="34">
        <v>1799</v>
      </c>
      <c r="M583" s="48" t="str">
        <f>VLOOKUP(L583, '2017 SIC to NAICS'!A:D, 2)</f>
        <v>Special Trade Contractors, Nec</v>
      </c>
      <c r="N583" s="34">
        <f>VLOOKUP(L583,'2017 SIC to NAICS'!A:D,3)</f>
        <v>562910</v>
      </c>
      <c r="O583" s="34" t="str">
        <f>VLOOKUP(L583,'2017 SIC to NAICS'!A:D,4)</f>
        <v>Remediation Services</v>
      </c>
      <c r="P583" s="36" t="s">
        <v>754</v>
      </c>
      <c r="Q583" s="137" t="s">
        <v>755</v>
      </c>
      <c r="R583" s="45" t="s">
        <v>41</v>
      </c>
      <c r="S583" s="138">
        <f>COUNTIFS('Raw Non-zero DMR Data'!$A:$A, A583, 'Raw Non-zero DMR Data'!$C:$C, U583, 'Raw Non-zero DMR Data'!$V:$V, V583)</f>
        <v>1</v>
      </c>
      <c r="T583" s="34">
        <f>SUMIFS('Raw Non-zero DMR Data'!$X:$X, 'Raw Non-zero DMR Data'!$A:$A, A583, 'Raw Non-zero DMR Data'!$C:$C, U583, 'Raw Non-zero DMR Data'!V:V, V583)</f>
        <v>0.22491359475</v>
      </c>
      <c r="U583" s="34" t="s">
        <v>1422</v>
      </c>
      <c r="V583" s="34" t="s">
        <v>1424</v>
      </c>
      <c r="W583" s="141" t="s">
        <v>1425</v>
      </c>
      <c r="X583" s="140" t="s">
        <v>739</v>
      </c>
    </row>
    <row r="584" spans="1:24" x14ac:dyDescent="0.35">
      <c r="A584" s="34">
        <v>2021</v>
      </c>
      <c r="B584" s="34" t="s">
        <v>597</v>
      </c>
      <c r="C584" s="34" t="s">
        <v>1426</v>
      </c>
      <c r="D584" s="34" t="s">
        <v>598</v>
      </c>
      <c r="E584" s="34" t="s">
        <v>1310</v>
      </c>
      <c r="F584" s="34" t="s">
        <v>181</v>
      </c>
      <c r="G584" s="34"/>
      <c r="H584" s="34">
        <v>42.456085000000002</v>
      </c>
      <c r="I584" s="34">
        <v>-84.084230000000005</v>
      </c>
      <c r="J584" s="34"/>
      <c r="K584" s="105">
        <v>110016695272</v>
      </c>
      <c r="L584" s="34">
        <v>9511</v>
      </c>
      <c r="M584" s="48" t="str">
        <f>VLOOKUP(L584, '2017 SIC to NAICS'!A:D, 2)</f>
        <v>Air, Water, and Solid Waste Management</v>
      </c>
      <c r="N584" s="34">
        <f>VLOOKUP(L584,'2017 SIC to NAICS'!A:D,3)</f>
        <v>924110</v>
      </c>
      <c r="O584" s="34" t="str">
        <f>VLOOKUP(L584,'2017 SIC to NAICS'!A:D,4)</f>
        <v>Administration of Air and Water Resource
and Solid Waste Management Programs</v>
      </c>
      <c r="P584" s="36" t="s">
        <v>754</v>
      </c>
      <c r="Q584" s="137" t="s">
        <v>755</v>
      </c>
      <c r="R584" s="45" t="s">
        <v>41</v>
      </c>
      <c r="S584" s="138">
        <f>COUNTIFS('Raw Non-zero DMR Data'!$A:$A, A584, 'Raw Non-zero DMR Data'!$C:$C, U584, 'Raw Non-zero DMR Data'!$V:$V, V584)</f>
        <v>1</v>
      </c>
      <c r="T584" s="34">
        <f>SUMIFS('Raw Non-zero DMR Data'!$X:$X, 'Raw Non-zero DMR Data'!$A:$A, A584, 'Raw Non-zero DMR Data'!$C:$C, U584, 'Raw Non-zero DMR Data'!V:V, V584)</f>
        <v>1.312770475E-2</v>
      </c>
      <c r="U584" s="34" t="s">
        <v>1426</v>
      </c>
      <c r="V584" s="34" t="s">
        <v>1427</v>
      </c>
      <c r="W584" s="139">
        <v>40900050305</v>
      </c>
      <c r="X584" s="140" t="s">
        <v>1428</v>
      </c>
    </row>
    <row r="585" spans="1:24" x14ac:dyDescent="0.35">
      <c r="A585" s="34">
        <v>2022</v>
      </c>
      <c r="B585" s="34" t="s">
        <v>597</v>
      </c>
      <c r="C585" s="34" t="s">
        <v>1426</v>
      </c>
      <c r="D585" s="34" t="s">
        <v>598</v>
      </c>
      <c r="E585" s="34" t="s">
        <v>1310</v>
      </c>
      <c r="F585" s="34" t="s">
        <v>181</v>
      </c>
      <c r="G585" s="34"/>
      <c r="H585" s="34">
        <v>42.456085000000002</v>
      </c>
      <c r="I585" s="34">
        <v>-84.084230000000005</v>
      </c>
      <c r="J585" s="34"/>
      <c r="K585" s="105">
        <v>110016695272</v>
      </c>
      <c r="L585" s="34">
        <v>9511</v>
      </c>
      <c r="M585" s="48" t="str">
        <f>VLOOKUP(L585, '2017 SIC to NAICS'!A:D, 2)</f>
        <v>Air, Water, and Solid Waste Management</v>
      </c>
      <c r="N585" s="34">
        <f>VLOOKUP(L585,'2017 SIC to NAICS'!A:D,3)</f>
        <v>924110</v>
      </c>
      <c r="O585" s="34" t="str">
        <f>VLOOKUP(L585,'2017 SIC to NAICS'!A:D,4)</f>
        <v>Administration of Air and Water Resource
and Solid Waste Management Programs</v>
      </c>
      <c r="P585" s="36" t="s">
        <v>754</v>
      </c>
      <c r="Q585" s="137" t="s">
        <v>755</v>
      </c>
      <c r="R585" s="45" t="s">
        <v>41</v>
      </c>
      <c r="S585" s="138">
        <f>COUNTIFS('Raw Non-zero DMR Data'!$A:$A, A585, 'Raw Non-zero DMR Data'!$C:$C, U585, 'Raw Non-zero DMR Data'!$V:$V, V585)</f>
        <v>1</v>
      </c>
      <c r="T585" s="34">
        <f>SUMIFS('Raw Non-zero DMR Data'!$X:$X, 'Raw Non-zero DMR Data'!$A:$A, A585, 'Raw Non-zero DMR Data'!$C:$C, U585, 'Raw Non-zero DMR Data'!V:V, V585)</f>
        <v>1.182150125E-2</v>
      </c>
      <c r="U585" s="34" t="s">
        <v>1426</v>
      </c>
      <c r="V585" s="34" t="s">
        <v>1427</v>
      </c>
      <c r="W585" s="141" t="s">
        <v>1429</v>
      </c>
      <c r="X585" s="140" t="s">
        <v>1428</v>
      </c>
    </row>
    <row r="586" spans="1:24" x14ac:dyDescent="0.35">
      <c r="A586" s="34">
        <v>2023</v>
      </c>
      <c r="B586" s="34" t="s">
        <v>597</v>
      </c>
      <c r="C586" s="34" t="s">
        <v>1426</v>
      </c>
      <c r="D586" s="34" t="s">
        <v>598</v>
      </c>
      <c r="E586" s="34" t="s">
        <v>1310</v>
      </c>
      <c r="F586" s="34" t="s">
        <v>181</v>
      </c>
      <c r="G586" s="34"/>
      <c r="H586" s="34">
        <v>42.456085000000002</v>
      </c>
      <c r="I586" s="34">
        <v>-84.084230000000005</v>
      </c>
      <c r="J586" s="34"/>
      <c r="K586" s="105">
        <v>110016695272</v>
      </c>
      <c r="L586" s="34">
        <v>9511</v>
      </c>
      <c r="M586" s="48" t="str">
        <f>VLOOKUP(L586, '2017 SIC to NAICS'!A:D, 2)</f>
        <v>Air, Water, and Solid Waste Management</v>
      </c>
      <c r="N586" s="34">
        <f>VLOOKUP(L586,'2017 SIC to NAICS'!A:D,3)</f>
        <v>924110</v>
      </c>
      <c r="O586" s="34" t="str">
        <f>VLOOKUP(L586,'2017 SIC to NAICS'!A:D,4)</f>
        <v>Administration of Air and Water Resource
and Solid Waste Management Programs</v>
      </c>
      <c r="P586" s="36" t="s">
        <v>754</v>
      </c>
      <c r="Q586" s="137" t="s">
        <v>755</v>
      </c>
      <c r="R586" s="45" t="s">
        <v>41</v>
      </c>
      <c r="S586" s="138">
        <f>COUNTIFS('Raw Non-zero DMR Data'!$A:$A, A586, 'Raw Non-zero DMR Data'!$C:$C, U586, 'Raw Non-zero DMR Data'!$V:$V, V586)</f>
        <v>1</v>
      </c>
      <c r="T586" s="34">
        <f>SUMIFS('Raw Non-zero DMR Data'!$X:$X, 'Raw Non-zero DMR Data'!$A:$A, A586, 'Raw Non-zero DMR Data'!$C:$C, U586, 'Raw Non-zero DMR Data'!V:V, V586)</f>
        <v>1.1171427499999999E-2</v>
      </c>
      <c r="U586" s="34" t="s">
        <v>1426</v>
      </c>
      <c r="V586" s="34" t="s">
        <v>1427</v>
      </c>
      <c r="W586" s="141" t="s">
        <v>1429</v>
      </c>
      <c r="X586" s="140" t="s">
        <v>1428</v>
      </c>
    </row>
    <row r="587" spans="1:24" x14ac:dyDescent="0.35">
      <c r="A587" s="34">
        <v>2019</v>
      </c>
      <c r="B587" s="34" t="s">
        <v>603</v>
      </c>
      <c r="C587" s="34" t="s">
        <v>1430</v>
      </c>
      <c r="D587" s="34" t="s">
        <v>604</v>
      </c>
      <c r="E587" s="34" t="s">
        <v>1401</v>
      </c>
      <c r="F587" s="34" t="s">
        <v>181</v>
      </c>
      <c r="G587" s="34"/>
      <c r="H587" s="34">
        <v>42.04945</v>
      </c>
      <c r="I587" s="34">
        <v>-86.511949999999999</v>
      </c>
      <c r="J587" s="34"/>
      <c r="K587" s="105">
        <v>110000409406</v>
      </c>
      <c r="L587" s="34">
        <v>3321</v>
      </c>
      <c r="M587" s="48" t="str">
        <f>VLOOKUP(L587, '2017 SIC to NAICS'!A:D, 2)</f>
        <v>Gray and Ductile Iron Foundries</v>
      </c>
      <c r="N587" s="34">
        <f>VLOOKUP(L587,'2017 SIC to NAICS'!A:D,3)</f>
        <v>331511</v>
      </c>
      <c r="O587" s="34" t="str">
        <f>VLOOKUP(L587,'2017 SIC to NAICS'!A:D,4)</f>
        <v>Iron Foundries</v>
      </c>
      <c r="P587" s="36" t="s">
        <v>785</v>
      </c>
      <c r="Q587" s="137" t="s">
        <v>786</v>
      </c>
      <c r="R587" s="45" t="s">
        <v>41</v>
      </c>
      <c r="S587" s="138">
        <f>COUNTIFS('Raw Non-zero DMR Data'!$A:$A, A587, 'Raw Non-zero DMR Data'!$C:$C, U587, 'Raw Non-zero DMR Data'!$V:$V, V587)</f>
        <v>1</v>
      </c>
      <c r="T587" s="34">
        <f>SUMIFS('Raw Non-zero DMR Data'!$X:$X, 'Raw Non-zero DMR Data'!$A:$A, A587, 'Raw Non-zero DMR Data'!$C:$C, U587, 'Raw Non-zero DMR Data'!V:V, V587)</f>
        <v>1.2396657738E-2</v>
      </c>
      <c r="U587" s="34" t="s">
        <v>1430</v>
      </c>
      <c r="V587" s="34" t="s">
        <v>1431</v>
      </c>
      <c r="W587" s="139">
        <v>40500012607</v>
      </c>
      <c r="X587" s="140" t="s">
        <v>1432</v>
      </c>
    </row>
    <row r="588" spans="1:24" x14ac:dyDescent="0.35">
      <c r="A588" s="34">
        <v>2020</v>
      </c>
      <c r="B588" s="34" t="s">
        <v>603</v>
      </c>
      <c r="C588" s="34" t="s">
        <v>1430</v>
      </c>
      <c r="D588" s="34" t="s">
        <v>604</v>
      </c>
      <c r="E588" s="34" t="s">
        <v>1401</v>
      </c>
      <c r="F588" s="34" t="s">
        <v>181</v>
      </c>
      <c r="G588" s="34"/>
      <c r="H588" s="34">
        <v>42.04945</v>
      </c>
      <c r="I588" s="34">
        <v>-86.511949999999999</v>
      </c>
      <c r="J588" s="34"/>
      <c r="K588" s="105">
        <v>110000409406</v>
      </c>
      <c r="L588" s="34">
        <v>3321</v>
      </c>
      <c r="M588" s="48" t="str">
        <f>VLOOKUP(L588, '2017 SIC to NAICS'!A:D, 2)</f>
        <v>Gray and Ductile Iron Foundries</v>
      </c>
      <c r="N588" s="34">
        <f>VLOOKUP(L588,'2017 SIC to NAICS'!A:D,3)</f>
        <v>331511</v>
      </c>
      <c r="O588" s="34" t="str">
        <f>VLOOKUP(L588,'2017 SIC to NAICS'!A:D,4)</f>
        <v>Iron Foundries</v>
      </c>
      <c r="P588" s="36" t="s">
        <v>785</v>
      </c>
      <c r="Q588" s="137" t="s">
        <v>786</v>
      </c>
      <c r="R588" s="45" t="s">
        <v>41</v>
      </c>
      <c r="S588" s="138">
        <f>COUNTIFS('Raw Non-zero DMR Data'!$A:$A, A588, 'Raw Non-zero DMR Data'!$C:$C, U588, 'Raw Non-zero DMR Data'!$V:$V, V588)</f>
        <v>1</v>
      </c>
      <c r="T588" s="34">
        <f>SUMIFS('Raw Non-zero DMR Data'!$X:$X, 'Raw Non-zero DMR Data'!$A:$A, A588, 'Raw Non-zero DMR Data'!$C:$C, U588, 'Raw Non-zero DMR Data'!V:V, V588)</f>
        <v>7.5538626524999999E-3</v>
      </c>
      <c r="U588" s="34" t="s">
        <v>1430</v>
      </c>
      <c r="V588" s="34" t="s">
        <v>1431</v>
      </c>
      <c r="W588" s="139">
        <v>40500012607</v>
      </c>
      <c r="X588" s="140" t="s">
        <v>1432</v>
      </c>
    </row>
    <row r="589" spans="1:24" x14ac:dyDescent="0.35">
      <c r="A589" s="34">
        <v>2021</v>
      </c>
      <c r="B589" s="34" t="s">
        <v>603</v>
      </c>
      <c r="C589" s="34" t="s">
        <v>1430</v>
      </c>
      <c r="D589" s="34" t="s">
        <v>604</v>
      </c>
      <c r="E589" s="34" t="s">
        <v>1401</v>
      </c>
      <c r="F589" s="34" t="s">
        <v>181</v>
      </c>
      <c r="G589" s="34"/>
      <c r="H589" s="34">
        <v>42.04945</v>
      </c>
      <c r="I589" s="34">
        <v>-86.511949999999999</v>
      </c>
      <c r="J589" s="34"/>
      <c r="K589" s="105">
        <v>110000409406</v>
      </c>
      <c r="L589" s="34">
        <v>3321</v>
      </c>
      <c r="M589" s="48" t="str">
        <f>VLOOKUP(L589, '2017 SIC to NAICS'!A:D, 2)</f>
        <v>Gray and Ductile Iron Foundries</v>
      </c>
      <c r="N589" s="34">
        <f>VLOOKUP(L589,'2017 SIC to NAICS'!A:D,3)</f>
        <v>331511</v>
      </c>
      <c r="O589" s="34" t="str">
        <f>VLOOKUP(L589,'2017 SIC to NAICS'!A:D,4)</f>
        <v>Iron Foundries</v>
      </c>
      <c r="P589" s="36" t="s">
        <v>785</v>
      </c>
      <c r="Q589" s="137" t="s">
        <v>786</v>
      </c>
      <c r="R589" s="45" t="s">
        <v>41</v>
      </c>
      <c r="S589" s="138">
        <f>COUNTIFS('Raw Non-zero DMR Data'!$A:$A, A589, 'Raw Non-zero DMR Data'!$C:$C, U589, 'Raw Non-zero DMR Data'!$V:$V, V589)</f>
        <v>1</v>
      </c>
      <c r="T589" s="34">
        <f>SUMIFS('Raw Non-zero DMR Data'!$X:$X, 'Raw Non-zero DMR Data'!$A:$A, A589, 'Raw Non-zero DMR Data'!$C:$C, U589, 'Raw Non-zero DMR Data'!V:V, V589)</f>
        <v>7.9770038887500005E-3</v>
      </c>
      <c r="U589" s="34" t="s">
        <v>1430</v>
      </c>
      <c r="V589" s="34" t="s">
        <v>1431</v>
      </c>
      <c r="W589" s="139">
        <v>40500012607</v>
      </c>
      <c r="X589" s="140" t="s">
        <v>1432</v>
      </c>
    </row>
    <row r="590" spans="1:24" x14ac:dyDescent="0.35">
      <c r="A590" s="34">
        <v>2022</v>
      </c>
      <c r="B590" s="34" t="s">
        <v>603</v>
      </c>
      <c r="C590" s="34" t="s">
        <v>1430</v>
      </c>
      <c r="D590" s="34" t="s">
        <v>604</v>
      </c>
      <c r="E590" s="34" t="s">
        <v>1401</v>
      </c>
      <c r="F590" s="34" t="s">
        <v>181</v>
      </c>
      <c r="G590" s="34"/>
      <c r="H590" s="34">
        <v>42.04945</v>
      </c>
      <c r="I590" s="34">
        <v>-86.511949999999999</v>
      </c>
      <c r="J590" s="34"/>
      <c r="K590" s="105">
        <v>110000409406</v>
      </c>
      <c r="L590" s="34">
        <v>3321</v>
      </c>
      <c r="M590" s="48" t="str">
        <f>VLOOKUP(L590, '2017 SIC to NAICS'!A:D, 2)</f>
        <v>Gray and Ductile Iron Foundries</v>
      </c>
      <c r="N590" s="34">
        <f>VLOOKUP(L590,'2017 SIC to NAICS'!A:D,3)</f>
        <v>331511</v>
      </c>
      <c r="O590" s="34" t="str">
        <f>VLOOKUP(L590,'2017 SIC to NAICS'!A:D,4)</f>
        <v>Iron Foundries</v>
      </c>
      <c r="P590" s="36" t="s">
        <v>785</v>
      </c>
      <c r="Q590" s="137" t="s">
        <v>786</v>
      </c>
      <c r="R590" s="45" t="s">
        <v>41</v>
      </c>
      <c r="S590" s="138">
        <f>COUNTIFS('Raw Non-zero DMR Data'!$A:$A, A590, 'Raw Non-zero DMR Data'!$C:$C, U590, 'Raw Non-zero DMR Data'!$V:$V, V590)</f>
        <v>1</v>
      </c>
      <c r="T590" s="34">
        <f>SUMIFS('Raw Non-zero DMR Data'!$X:$X, 'Raw Non-zero DMR Data'!$A:$A, A590, 'Raw Non-zero DMR Data'!$C:$C, U590, 'Raw Non-zero DMR Data'!V:V, V590)</f>
        <v>1.0509016542499999E-2</v>
      </c>
      <c r="U590" s="34" t="s">
        <v>1430</v>
      </c>
      <c r="V590" s="34" t="s">
        <v>1431</v>
      </c>
      <c r="W590" s="141" t="s">
        <v>1433</v>
      </c>
      <c r="X590" s="140" t="s">
        <v>1432</v>
      </c>
    </row>
    <row r="591" spans="1:24" x14ac:dyDescent="0.35">
      <c r="A591" s="34">
        <v>2023</v>
      </c>
      <c r="B591" s="34" t="s">
        <v>603</v>
      </c>
      <c r="C591" s="34" t="s">
        <v>1430</v>
      </c>
      <c r="D591" s="34" t="s">
        <v>604</v>
      </c>
      <c r="E591" s="34" t="s">
        <v>1401</v>
      </c>
      <c r="F591" s="34" t="s">
        <v>181</v>
      </c>
      <c r="G591" s="34"/>
      <c r="H591" s="34">
        <v>42.04945</v>
      </c>
      <c r="I591" s="34">
        <v>-86.511949999999999</v>
      </c>
      <c r="J591" s="34"/>
      <c r="K591" s="105">
        <v>110000409406</v>
      </c>
      <c r="L591" s="34">
        <v>3321</v>
      </c>
      <c r="M591" s="48" t="str">
        <f>VLOOKUP(L591, '2017 SIC to NAICS'!A:D, 2)</f>
        <v>Gray and Ductile Iron Foundries</v>
      </c>
      <c r="N591" s="34">
        <f>VLOOKUP(L591,'2017 SIC to NAICS'!A:D,3)</f>
        <v>331511</v>
      </c>
      <c r="O591" s="34" t="str">
        <f>VLOOKUP(L591,'2017 SIC to NAICS'!A:D,4)</f>
        <v>Iron Foundries</v>
      </c>
      <c r="P591" s="36" t="s">
        <v>785</v>
      </c>
      <c r="Q591" s="137" t="s">
        <v>786</v>
      </c>
      <c r="R591" s="45" t="s">
        <v>41</v>
      </c>
      <c r="S591" s="138">
        <f>COUNTIFS('Raw Non-zero DMR Data'!$A:$A, A591, 'Raw Non-zero DMR Data'!$C:$C, U591, 'Raw Non-zero DMR Data'!$V:$V, V591)</f>
        <v>1</v>
      </c>
      <c r="T591" s="34">
        <f>SUMIFS('Raw Non-zero DMR Data'!$X:$X, 'Raw Non-zero DMR Data'!$A:$A, A591, 'Raw Non-zero DMR Data'!$C:$C, U591, 'Raw Non-zero DMR Data'!V:V, V591)</f>
        <v>9.4573088725000004E-3</v>
      </c>
      <c r="U591" s="34" t="s">
        <v>1430</v>
      </c>
      <c r="V591" s="34" t="s">
        <v>1431</v>
      </c>
      <c r="W591" s="141" t="s">
        <v>1433</v>
      </c>
      <c r="X591" s="140" t="s">
        <v>1432</v>
      </c>
    </row>
    <row r="592" spans="1:24" x14ac:dyDescent="0.35">
      <c r="A592" s="34">
        <v>2019</v>
      </c>
      <c r="B592" s="34" t="s">
        <v>520</v>
      </c>
      <c r="C592" s="34" t="s">
        <v>1434</v>
      </c>
      <c r="D592" s="34" t="s">
        <v>521</v>
      </c>
      <c r="E592" s="34" t="s">
        <v>1310</v>
      </c>
      <c r="F592" s="34" t="s">
        <v>181</v>
      </c>
      <c r="G592" s="34"/>
      <c r="H592" s="34">
        <v>42.606527</v>
      </c>
      <c r="I592" s="34">
        <v>-83.921477999999993</v>
      </c>
      <c r="J592" s="34"/>
      <c r="K592" s="105">
        <v>110003614358</v>
      </c>
      <c r="L592" s="34">
        <v>4959</v>
      </c>
      <c r="M592" s="48" t="str">
        <f>VLOOKUP(L592, '2017 SIC to NAICS'!A:D, 2)</f>
        <v>Sanitary Services, Nec</v>
      </c>
      <c r="N592" s="34">
        <f>VLOOKUP(L592,'2017 SIC to NAICS'!A:D,3)</f>
        <v>562998</v>
      </c>
      <c r="O592" s="34" t="str">
        <f>VLOOKUP(L592,'2017 SIC to NAICS'!A:D,4)</f>
        <v>All Other Miscellaneous Waste
Management Services</v>
      </c>
      <c r="P592" s="36" t="s">
        <v>754</v>
      </c>
      <c r="Q592" s="137" t="s">
        <v>755</v>
      </c>
      <c r="R592" s="45" t="s">
        <v>41</v>
      </c>
      <c r="S592" s="138">
        <f>COUNTIFS('Raw Non-zero DMR Data'!$A:$A, A592, 'Raw Non-zero DMR Data'!$C:$C, U592, 'Raw Non-zero DMR Data'!$V:$V, V592)</f>
        <v>1</v>
      </c>
      <c r="T592" s="34">
        <f>SUMIFS('Raw Non-zero DMR Data'!$X:$X, 'Raw Non-zero DMR Data'!$A:$A, A592, 'Raw Non-zero DMR Data'!$C:$C, U592, 'Raw Non-zero DMR Data'!V:V, V592)</f>
        <v>4.1547945000000003E-2</v>
      </c>
      <c r="U592" s="34" t="s">
        <v>1434</v>
      </c>
      <c r="V592" s="34" t="s">
        <v>1435</v>
      </c>
      <c r="W592" s="139">
        <v>40802030104</v>
      </c>
      <c r="X592" s="140" t="s">
        <v>1436</v>
      </c>
    </row>
    <row r="593" spans="1:24" x14ac:dyDescent="0.35">
      <c r="A593" s="34">
        <v>2020</v>
      </c>
      <c r="B593" s="34" t="s">
        <v>520</v>
      </c>
      <c r="C593" s="34" t="s">
        <v>1434</v>
      </c>
      <c r="D593" s="34" t="s">
        <v>521</v>
      </c>
      <c r="E593" s="34" t="s">
        <v>1310</v>
      </c>
      <c r="F593" s="34" t="s">
        <v>181</v>
      </c>
      <c r="G593" s="34"/>
      <c r="H593" s="34">
        <v>42.606527</v>
      </c>
      <c r="I593" s="34">
        <v>-83.921477999999993</v>
      </c>
      <c r="J593" s="34"/>
      <c r="K593" s="105">
        <v>110003614358</v>
      </c>
      <c r="L593" s="34">
        <v>4959</v>
      </c>
      <c r="M593" s="48" t="str">
        <f>VLOOKUP(L593, '2017 SIC to NAICS'!A:D, 2)</f>
        <v>Sanitary Services, Nec</v>
      </c>
      <c r="N593" s="34">
        <f>VLOOKUP(L593,'2017 SIC to NAICS'!A:D,3)</f>
        <v>562998</v>
      </c>
      <c r="O593" s="34" t="str">
        <f>VLOOKUP(L593,'2017 SIC to NAICS'!A:D,4)</f>
        <v>All Other Miscellaneous Waste
Management Services</v>
      </c>
      <c r="P593" s="36" t="s">
        <v>754</v>
      </c>
      <c r="Q593" s="137" t="s">
        <v>755</v>
      </c>
      <c r="R593" s="45" t="s">
        <v>41</v>
      </c>
      <c r="S593" s="138">
        <f>COUNTIFS('Raw Non-zero DMR Data'!$A:$A, A593, 'Raw Non-zero DMR Data'!$C:$C, U593, 'Raw Non-zero DMR Data'!$V:$V, V593)</f>
        <v>1</v>
      </c>
      <c r="T593" s="34">
        <f>SUMIFS('Raw Non-zero DMR Data'!$X:$X, 'Raw Non-zero DMR Data'!$A:$A, A593, 'Raw Non-zero DMR Data'!$C:$C, U593, 'Raw Non-zero DMR Data'!V:V, V593)</f>
        <v>2.9413234999999999E-2</v>
      </c>
      <c r="U593" s="34" t="s">
        <v>1434</v>
      </c>
      <c r="V593" s="34" t="s">
        <v>1435</v>
      </c>
      <c r="W593" s="139">
        <v>40802030104</v>
      </c>
      <c r="X593" s="140" t="s">
        <v>1436</v>
      </c>
    </row>
    <row r="594" spans="1:24" x14ac:dyDescent="0.35">
      <c r="A594" s="34">
        <v>2021</v>
      </c>
      <c r="B594" s="34" t="s">
        <v>520</v>
      </c>
      <c r="C594" s="34" t="s">
        <v>1434</v>
      </c>
      <c r="D594" s="34" t="s">
        <v>521</v>
      </c>
      <c r="E594" s="34" t="s">
        <v>1310</v>
      </c>
      <c r="F594" s="34" t="s">
        <v>181</v>
      </c>
      <c r="G594" s="34"/>
      <c r="H594" s="34">
        <v>42.606527</v>
      </c>
      <c r="I594" s="34">
        <v>-83.921477999999993</v>
      </c>
      <c r="J594" s="34"/>
      <c r="K594" s="105">
        <v>110003614358</v>
      </c>
      <c r="L594" s="34">
        <v>4959</v>
      </c>
      <c r="M594" s="48" t="str">
        <f>VLOOKUP(L594, '2017 SIC to NAICS'!A:D, 2)</f>
        <v>Sanitary Services, Nec</v>
      </c>
      <c r="N594" s="34">
        <f>VLOOKUP(L594,'2017 SIC to NAICS'!A:D,3)</f>
        <v>562998</v>
      </c>
      <c r="O594" s="34" t="str">
        <f>VLOOKUP(L594,'2017 SIC to NAICS'!A:D,4)</f>
        <v>All Other Miscellaneous Waste
Management Services</v>
      </c>
      <c r="P594" s="36" t="s">
        <v>754</v>
      </c>
      <c r="Q594" s="137" t="s">
        <v>755</v>
      </c>
      <c r="R594" s="45" t="s">
        <v>41</v>
      </c>
      <c r="S594" s="138">
        <f>COUNTIFS('Raw Non-zero DMR Data'!$A:$A, A594, 'Raw Non-zero DMR Data'!$C:$C, U594, 'Raw Non-zero DMR Data'!$V:$V, V594)</f>
        <v>1</v>
      </c>
      <c r="T594" s="34">
        <f>SUMIFS('Raw Non-zero DMR Data'!$X:$X, 'Raw Non-zero DMR Data'!$A:$A, A594, 'Raw Non-zero DMR Data'!$C:$C, U594, 'Raw Non-zero DMR Data'!V:V, V594)</f>
        <v>3.5091079090909E-2</v>
      </c>
      <c r="U594" s="34" t="s">
        <v>1434</v>
      </c>
      <c r="V594" s="34" t="s">
        <v>1435</v>
      </c>
      <c r="W594" s="139">
        <v>40802030104</v>
      </c>
      <c r="X594" s="140" t="s">
        <v>1436</v>
      </c>
    </row>
    <row r="595" spans="1:24" x14ac:dyDescent="0.35">
      <c r="A595" s="34">
        <v>2022</v>
      </c>
      <c r="B595" s="34" t="s">
        <v>520</v>
      </c>
      <c r="C595" s="34" t="s">
        <v>1434</v>
      </c>
      <c r="D595" s="34" t="s">
        <v>521</v>
      </c>
      <c r="E595" s="34" t="s">
        <v>1310</v>
      </c>
      <c r="F595" s="34" t="s">
        <v>181</v>
      </c>
      <c r="G595" s="34"/>
      <c r="H595" s="34">
        <v>42.606527</v>
      </c>
      <c r="I595" s="34">
        <v>-83.921477999999993</v>
      </c>
      <c r="J595" s="34"/>
      <c r="K595" s="105">
        <v>110003614358</v>
      </c>
      <c r="L595" s="34">
        <v>4959</v>
      </c>
      <c r="M595" s="48" t="str">
        <f>VLOOKUP(L595, '2017 SIC to NAICS'!A:D, 2)</f>
        <v>Sanitary Services, Nec</v>
      </c>
      <c r="N595" s="34">
        <f>VLOOKUP(L595,'2017 SIC to NAICS'!A:D,3)</f>
        <v>562998</v>
      </c>
      <c r="O595" s="34" t="str">
        <f>VLOOKUP(L595,'2017 SIC to NAICS'!A:D,4)</f>
        <v>All Other Miscellaneous Waste
Management Services</v>
      </c>
      <c r="P595" s="36" t="s">
        <v>754</v>
      </c>
      <c r="Q595" s="137" t="s">
        <v>755</v>
      </c>
      <c r="R595" s="45" t="s">
        <v>41</v>
      </c>
      <c r="S595" s="138">
        <f>COUNTIFS('Raw Non-zero DMR Data'!$A:$A, A595, 'Raw Non-zero DMR Data'!$C:$C, U595, 'Raw Non-zero DMR Data'!$V:$V, V595)</f>
        <v>1</v>
      </c>
      <c r="T595" s="34">
        <f>SUMIFS('Raw Non-zero DMR Data'!$X:$X, 'Raw Non-zero DMR Data'!$A:$A, A595, 'Raw Non-zero DMR Data'!$C:$C, U595, 'Raw Non-zero DMR Data'!V:V, V595)</f>
        <v>1.6375802500000002E-2</v>
      </c>
      <c r="U595" s="34" t="s">
        <v>1434</v>
      </c>
      <c r="V595" s="34" t="s">
        <v>1435</v>
      </c>
      <c r="W595" s="141" t="s">
        <v>1437</v>
      </c>
      <c r="X595" s="140" t="s">
        <v>1436</v>
      </c>
    </row>
    <row r="596" spans="1:24" x14ac:dyDescent="0.35">
      <c r="A596" s="34">
        <v>2023</v>
      </c>
      <c r="B596" s="34" t="s">
        <v>520</v>
      </c>
      <c r="C596" s="34" t="s">
        <v>1434</v>
      </c>
      <c r="D596" s="34" t="s">
        <v>521</v>
      </c>
      <c r="E596" s="34" t="s">
        <v>1310</v>
      </c>
      <c r="F596" s="34" t="s">
        <v>181</v>
      </c>
      <c r="G596" s="34"/>
      <c r="H596" s="34">
        <v>42.606527</v>
      </c>
      <c r="I596" s="34">
        <v>-83.921477999999993</v>
      </c>
      <c r="J596" s="34"/>
      <c r="K596" s="105">
        <v>110003614358</v>
      </c>
      <c r="L596" s="34">
        <v>4959</v>
      </c>
      <c r="M596" s="48" t="str">
        <f>VLOOKUP(L596, '2017 SIC to NAICS'!A:D, 2)</f>
        <v>Sanitary Services, Nec</v>
      </c>
      <c r="N596" s="34">
        <f>VLOOKUP(L596,'2017 SIC to NAICS'!A:D,3)</f>
        <v>562998</v>
      </c>
      <c r="O596" s="34" t="str">
        <f>VLOOKUP(L596,'2017 SIC to NAICS'!A:D,4)</f>
        <v>All Other Miscellaneous Waste
Management Services</v>
      </c>
      <c r="P596" s="36" t="s">
        <v>754</v>
      </c>
      <c r="Q596" s="137" t="s">
        <v>755</v>
      </c>
      <c r="R596" s="45" t="s">
        <v>41</v>
      </c>
      <c r="S596" s="138">
        <f>COUNTIFS('Raw Non-zero DMR Data'!$A:$A, A596, 'Raw Non-zero DMR Data'!$C:$C, U596, 'Raw Non-zero DMR Data'!$V:$V, V596)</f>
        <v>1</v>
      </c>
      <c r="T596" s="34">
        <f>SUMIFS('Raw Non-zero DMR Data'!$X:$X, 'Raw Non-zero DMR Data'!$A:$A, A596, 'Raw Non-zero DMR Data'!$C:$C, U596, 'Raw Non-zero DMR Data'!V:V, V596)</f>
        <v>1.8011094545454499E-2</v>
      </c>
      <c r="U596" s="34" t="s">
        <v>1434</v>
      </c>
      <c r="V596" s="34" t="s">
        <v>1435</v>
      </c>
      <c r="W596" s="141" t="s">
        <v>1437</v>
      </c>
      <c r="X596" s="140" t="s">
        <v>1436</v>
      </c>
    </row>
    <row r="597" spans="1:24" x14ac:dyDescent="0.35">
      <c r="A597" s="34">
        <v>2019</v>
      </c>
      <c r="B597" s="34" t="s">
        <v>437</v>
      </c>
      <c r="C597" s="34" t="s">
        <v>1438</v>
      </c>
      <c r="D597" s="34" t="s">
        <v>438</v>
      </c>
      <c r="E597" s="34" t="s">
        <v>1439</v>
      </c>
      <c r="F597" s="34" t="s">
        <v>181</v>
      </c>
      <c r="G597" s="34"/>
      <c r="H597" s="34">
        <v>42.677610000000001</v>
      </c>
      <c r="I597" s="34">
        <v>-85.654120000000006</v>
      </c>
      <c r="J597" s="34"/>
      <c r="K597" s="105">
        <v>110070389730</v>
      </c>
      <c r="L597" s="34"/>
      <c r="M597" s="48" t="e">
        <f>VLOOKUP(L597, '2017 SIC to NAICS'!A:D, 2)</f>
        <v>#N/A</v>
      </c>
      <c r="N597" s="34" t="e">
        <f>VLOOKUP(L597,'2017 SIC to NAICS'!A:D,3)</f>
        <v>#N/A</v>
      </c>
      <c r="O597" s="34" t="e">
        <f>VLOOKUP(L597,'2017 SIC to NAICS'!A:D,4)</f>
        <v>#N/A</v>
      </c>
      <c r="P597" s="36" t="s">
        <v>737</v>
      </c>
      <c r="Q597" s="137" t="s">
        <v>737</v>
      </c>
      <c r="R597" s="45" t="s">
        <v>41</v>
      </c>
      <c r="S597" s="138">
        <f>COUNTIFS('Raw Non-zero DMR Data'!$A:$A, A597, 'Raw Non-zero DMR Data'!$C:$C, U597, 'Raw Non-zero DMR Data'!$V:$V, V597)</f>
        <v>1</v>
      </c>
      <c r="T597" s="34">
        <f>SUMIFS('Raw Non-zero DMR Data'!$X:$X, 'Raw Non-zero DMR Data'!$A:$A, A597, 'Raw Non-zero DMR Data'!$C:$C, U597, 'Raw Non-zero DMR Data'!V:V, V597)</f>
        <v>0.1371992856</v>
      </c>
      <c r="U597" s="34" t="s">
        <v>1438</v>
      </c>
      <c r="V597" s="34" t="s">
        <v>1440</v>
      </c>
      <c r="W597" s="139">
        <v>40500030805</v>
      </c>
      <c r="X597" s="140" t="s">
        <v>1441</v>
      </c>
    </row>
    <row r="598" spans="1:24" x14ac:dyDescent="0.35">
      <c r="A598" s="34">
        <v>2023</v>
      </c>
      <c r="B598" s="34" t="s">
        <v>506</v>
      </c>
      <c r="C598" s="34" t="s">
        <v>1442</v>
      </c>
      <c r="D598" s="34" t="s">
        <v>507</v>
      </c>
      <c r="E598" s="34" t="s">
        <v>1443</v>
      </c>
      <c r="F598" s="34" t="s">
        <v>181</v>
      </c>
      <c r="G598" s="34"/>
      <c r="H598" s="34">
        <v>43.953519999999997</v>
      </c>
      <c r="I598" s="34">
        <v>-86.451409999999996</v>
      </c>
      <c r="J598" s="34"/>
      <c r="K598" s="105">
        <v>110071223319</v>
      </c>
      <c r="L598" s="34">
        <v>3873</v>
      </c>
      <c r="M598" s="48" t="str">
        <f>VLOOKUP(L598, '2017 SIC to NAICS'!A:D, 2)</f>
        <v>Watches, Clocks, Watchcases, and Parts</v>
      </c>
      <c r="N598" s="34">
        <f>VLOOKUP(L598,'2017 SIC to NAICS'!A:D,3)</f>
        <v>334519</v>
      </c>
      <c r="O598" s="34" t="str">
        <f>VLOOKUP(L598,'2017 SIC to NAICS'!A:D,4)</f>
        <v>Other Measuring and Controlling Device
Manufacturing</v>
      </c>
      <c r="P598" s="36" t="s">
        <v>1045</v>
      </c>
      <c r="Q598" s="137" t="s">
        <v>1046</v>
      </c>
      <c r="R598" s="45" t="s">
        <v>41</v>
      </c>
      <c r="S598" s="138">
        <f>COUNTIFS('Raw Non-zero DMR Data'!$A:$A, A598, 'Raw Non-zero DMR Data'!$C:$C, U598, 'Raw Non-zero DMR Data'!$V:$V, V598)</f>
        <v>1</v>
      </c>
      <c r="T598" s="34">
        <f>SUMIFS('Raw Non-zero DMR Data'!$X:$X, 'Raw Non-zero DMR Data'!$A:$A, A598, 'Raw Non-zero DMR Data'!$C:$C, U598, 'Raw Non-zero DMR Data'!V:V, V598)</f>
        <v>5.1596814077375E-2</v>
      </c>
      <c r="U598" s="34" t="s">
        <v>1442</v>
      </c>
      <c r="V598" s="34" t="s">
        <v>1444</v>
      </c>
      <c r="W598" s="141" t="s">
        <v>1445</v>
      </c>
      <c r="X598" s="140" t="s">
        <v>1436</v>
      </c>
    </row>
    <row r="599" spans="1:24" x14ac:dyDescent="0.35">
      <c r="A599" s="34">
        <v>2021</v>
      </c>
      <c r="B599" s="34" t="s">
        <v>633</v>
      </c>
      <c r="C599" s="34" t="s">
        <v>1446</v>
      </c>
      <c r="D599" s="34" t="s">
        <v>634</v>
      </c>
      <c r="E599" s="34" t="s">
        <v>1447</v>
      </c>
      <c r="F599" s="34" t="s">
        <v>328</v>
      </c>
      <c r="G599" s="34"/>
      <c r="H599" s="34">
        <v>45.055509000000001</v>
      </c>
      <c r="I599" s="34">
        <v>-93.279771999999994</v>
      </c>
      <c r="J599" s="34"/>
      <c r="K599" s="105">
        <v>110035765794</v>
      </c>
      <c r="L599" s="34">
        <v>3489</v>
      </c>
      <c r="M599" s="48" t="str">
        <f>VLOOKUP(L599, '2017 SIC to NAICS'!A:D, 2)</f>
        <v>Ordnance and Accessories, Nec</v>
      </c>
      <c r="N599" s="34">
        <f>VLOOKUP(L599,'2017 SIC to NAICS'!A:D,3)</f>
        <v>332994</v>
      </c>
      <c r="O599" s="34" t="str">
        <f>VLOOKUP(L599,'2017 SIC to NAICS'!A:D,4)</f>
        <v>Small Arms, Ordnance, and Ordnance
Accessories Manufacturing</v>
      </c>
      <c r="P599" s="36" t="s">
        <v>809</v>
      </c>
      <c r="Q599" s="137" t="s">
        <v>810</v>
      </c>
      <c r="R599" s="45" t="s">
        <v>41</v>
      </c>
      <c r="S599" s="138">
        <f>COUNTIFS('Raw Non-zero DMR Data'!$A:$A, A599, 'Raw Non-zero DMR Data'!$C:$C, U599, 'Raw Non-zero DMR Data'!$V:$V, V599)</f>
        <v>1</v>
      </c>
      <c r="T599" s="34">
        <f>SUMIFS('Raw Non-zero DMR Data'!$X:$X, 'Raw Non-zero DMR Data'!$A:$A, A599, 'Raw Non-zero DMR Data'!$C:$C, U599, 'Raw Non-zero DMR Data'!V:V, V599)</f>
        <v>5.9161707450000002E-3</v>
      </c>
      <c r="U599" s="34" t="s">
        <v>1446</v>
      </c>
      <c r="V599" s="34" t="s">
        <v>1448</v>
      </c>
      <c r="W599" s="139">
        <v>70102060702</v>
      </c>
      <c r="X599" s="140" t="s">
        <v>821</v>
      </c>
    </row>
    <row r="600" spans="1:24" x14ac:dyDescent="0.35">
      <c r="A600" s="34">
        <v>2022</v>
      </c>
      <c r="B600" s="34" t="s">
        <v>326</v>
      </c>
      <c r="C600" s="34" t="s">
        <v>1449</v>
      </c>
      <c r="D600" s="34" t="s">
        <v>327</v>
      </c>
      <c r="E600" s="34" t="s">
        <v>1450</v>
      </c>
      <c r="F600" s="34" t="s">
        <v>328</v>
      </c>
      <c r="G600" s="34"/>
      <c r="H600" s="34">
        <v>44.980027999999997</v>
      </c>
      <c r="I600" s="34">
        <v>-93.264069000000006</v>
      </c>
      <c r="J600" s="34"/>
      <c r="K600" s="105">
        <v>110067874312</v>
      </c>
      <c r="L600" s="34">
        <v>1799</v>
      </c>
      <c r="M600" s="48" t="str">
        <f>VLOOKUP(L600, '2017 SIC to NAICS'!A:D, 2)</f>
        <v>Special Trade Contractors, Nec</v>
      </c>
      <c r="N600" s="34">
        <f>VLOOKUP(L600,'2017 SIC to NAICS'!A:D,3)</f>
        <v>562910</v>
      </c>
      <c r="O600" s="34" t="str">
        <f>VLOOKUP(L600,'2017 SIC to NAICS'!A:D,4)</f>
        <v>Remediation Services</v>
      </c>
      <c r="P600" s="36" t="s">
        <v>754</v>
      </c>
      <c r="Q600" s="137" t="s">
        <v>755</v>
      </c>
      <c r="R600" s="45" t="s">
        <v>41</v>
      </c>
      <c r="S600" s="138">
        <f>COUNTIFS('Raw Non-zero DMR Data'!$A:$A, A600, 'Raw Non-zero DMR Data'!$C:$C, U600, 'Raw Non-zero DMR Data'!$V:$V, V600)</f>
        <v>1</v>
      </c>
      <c r="T600" s="34">
        <f>SUMIFS('Raw Non-zero DMR Data'!$X:$X, 'Raw Non-zero DMR Data'!$A:$A, A600, 'Raw Non-zero DMR Data'!$C:$C, U600, 'Raw Non-zero DMR Data'!V:V, V600)</f>
        <v>0.77983187700000001</v>
      </c>
      <c r="U600" s="34" t="s">
        <v>1449</v>
      </c>
      <c r="V600" s="34" t="s">
        <v>1451</v>
      </c>
      <c r="W600" s="141" t="s">
        <v>1452</v>
      </c>
      <c r="X600" s="140" t="s">
        <v>739</v>
      </c>
    </row>
    <row r="601" spans="1:24" x14ac:dyDescent="0.35">
      <c r="A601" s="34">
        <v>2023</v>
      </c>
      <c r="B601" s="34" t="s">
        <v>326</v>
      </c>
      <c r="C601" s="34" t="s">
        <v>1449</v>
      </c>
      <c r="D601" s="34" t="s">
        <v>327</v>
      </c>
      <c r="E601" s="34" t="s">
        <v>1450</v>
      </c>
      <c r="F601" s="34" t="s">
        <v>328</v>
      </c>
      <c r="G601" s="34"/>
      <c r="H601" s="34">
        <v>44.980027999999997</v>
      </c>
      <c r="I601" s="34">
        <v>-93.264069000000006</v>
      </c>
      <c r="J601" s="34"/>
      <c r="K601" s="105">
        <v>110067874312</v>
      </c>
      <c r="L601" s="34">
        <v>1799</v>
      </c>
      <c r="M601" s="48" t="str">
        <f>VLOOKUP(L601, '2017 SIC to NAICS'!A:D, 2)</f>
        <v>Special Trade Contractors, Nec</v>
      </c>
      <c r="N601" s="34">
        <f>VLOOKUP(L601,'2017 SIC to NAICS'!A:D,3)</f>
        <v>562910</v>
      </c>
      <c r="O601" s="34" t="str">
        <f>VLOOKUP(L601,'2017 SIC to NAICS'!A:D,4)</f>
        <v>Remediation Services</v>
      </c>
      <c r="P601" s="36" t="s">
        <v>754</v>
      </c>
      <c r="Q601" s="137" t="s">
        <v>755</v>
      </c>
      <c r="R601" s="45" t="s">
        <v>41</v>
      </c>
      <c r="S601" s="138">
        <f>COUNTIFS('Raw Non-zero DMR Data'!$A:$A, A601, 'Raw Non-zero DMR Data'!$C:$C, U601, 'Raw Non-zero DMR Data'!$V:$V, V601)</f>
        <v>1</v>
      </c>
      <c r="T601" s="34">
        <f>SUMIFS('Raw Non-zero DMR Data'!$X:$X, 'Raw Non-zero DMR Data'!$A:$A, A601, 'Raw Non-zero DMR Data'!$C:$C, U601, 'Raw Non-zero DMR Data'!V:V, V601)</f>
        <v>0.22525341204999999</v>
      </c>
      <c r="U601" s="34" t="s">
        <v>1449</v>
      </c>
      <c r="V601" s="34" t="s">
        <v>1451</v>
      </c>
      <c r="W601" s="141" t="s">
        <v>1452</v>
      </c>
      <c r="X601" s="140" t="s">
        <v>739</v>
      </c>
    </row>
    <row r="602" spans="1:24" x14ac:dyDescent="0.35">
      <c r="A602" s="34">
        <v>2023</v>
      </c>
      <c r="B602" s="34" t="s">
        <v>198</v>
      </c>
      <c r="C602" s="34" t="s">
        <v>781</v>
      </c>
      <c r="D602" s="34" t="s">
        <v>199</v>
      </c>
      <c r="E602" s="34" t="s">
        <v>782</v>
      </c>
      <c r="F602" s="34" t="s">
        <v>129</v>
      </c>
      <c r="G602" s="34"/>
      <c r="H602" s="34">
        <v>38.209220000000002</v>
      </c>
      <c r="I602" s="34">
        <v>-90.476910000000004</v>
      </c>
      <c r="J602" s="34"/>
      <c r="K602" s="105">
        <v>110000440416</v>
      </c>
      <c r="L602" s="34">
        <v>1795</v>
      </c>
      <c r="M602" s="48" t="str">
        <f>VLOOKUP(L602, '2017 SIC to NAICS'!A:D, 2)</f>
        <v>Wrecking and Demolition Work</v>
      </c>
      <c r="N602" s="34">
        <f>VLOOKUP(L602,'2017 SIC to NAICS'!A:D,3)</f>
        <v>238910</v>
      </c>
      <c r="O602" s="34" t="str">
        <f>VLOOKUP(L602,'2017 SIC to NAICS'!A:D,4)</f>
        <v>Site Preparation Contractors</v>
      </c>
      <c r="P602" s="36" t="s">
        <v>731</v>
      </c>
      <c r="Q602" s="137" t="s">
        <v>732</v>
      </c>
      <c r="R602" s="45" t="s">
        <v>41</v>
      </c>
      <c r="S602" s="138">
        <f>COUNTIFS('Raw Non-zero DMR Data'!$A:$A, A602, 'Raw Non-zero DMR Data'!$C:$C, U602, 'Raw Non-zero DMR Data'!$V:$V, V602)</f>
        <v>1</v>
      </c>
      <c r="T602" s="34">
        <f>SUMIFS('Raw Non-zero DMR Data'!$X:$X, 'Raw Non-zero DMR Data'!$A:$A, A602, 'Raw Non-zero DMR Data'!$C:$C, U602, 'Raw Non-zero DMR Data'!V:V, V602)</f>
        <v>1.5904569999999999E-4</v>
      </c>
      <c r="U602" s="34" t="s">
        <v>781</v>
      </c>
      <c r="V602" s="34" t="s">
        <v>783</v>
      </c>
      <c r="W602" s="141" t="s">
        <v>1453</v>
      </c>
      <c r="X602" s="140" t="s">
        <v>734</v>
      </c>
    </row>
    <row r="603" spans="1:24" x14ac:dyDescent="0.35">
      <c r="A603" s="34">
        <v>2020</v>
      </c>
      <c r="B603" s="34" t="s">
        <v>157</v>
      </c>
      <c r="C603" s="34" t="s">
        <v>1454</v>
      </c>
      <c r="D603" s="34" t="s">
        <v>158</v>
      </c>
      <c r="E603" s="34" t="s">
        <v>434</v>
      </c>
      <c r="F603" s="34" t="s">
        <v>129</v>
      </c>
      <c r="G603" s="34"/>
      <c r="H603" s="34">
        <v>38.969749999999998</v>
      </c>
      <c r="I603" s="34">
        <v>-94.465860000000006</v>
      </c>
      <c r="J603" s="34"/>
      <c r="K603" s="105">
        <v>110000443226</v>
      </c>
      <c r="L603" s="34">
        <v>2879</v>
      </c>
      <c r="M603" s="48" t="str">
        <f>VLOOKUP(L603, '2017 SIC to NAICS'!A:D, 2)</f>
        <v>Agricultural Chemicals, Nec</v>
      </c>
      <c r="N603" s="34">
        <f>VLOOKUP(L603,'2017 SIC to NAICS'!A:D,3)</f>
        <v>325320</v>
      </c>
      <c r="O603" s="34" t="str">
        <f>VLOOKUP(L603,'2017 SIC to NAICS'!A:D,4)</f>
        <v>Pesticide and Other Agricultural Chemical
Manufacturing</v>
      </c>
      <c r="P603" s="36" t="s">
        <v>1455</v>
      </c>
      <c r="Q603" s="137" t="s">
        <v>1456</v>
      </c>
      <c r="R603" s="45" t="s">
        <v>41</v>
      </c>
      <c r="S603" s="138">
        <f>COUNTIFS('Raw Non-zero DMR Data'!$A:$A, A603, 'Raw Non-zero DMR Data'!$C:$C, U603, 'Raw Non-zero DMR Data'!$V:$V, V603)</f>
        <v>1</v>
      </c>
      <c r="T603" s="34">
        <f>SUMIFS('Raw Non-zero DMR Data'!$X:$X, 'Raw Non-zero DMR Data'!$A:$A, A603, 'Raw Non-zero DMR Data'!$C:$C, U603, 'Raw Non-zero DMR Data'!V:V, V603)</f>
        <v>3.3142</v>
      </c>
      <c r="U603" s="34" t="s">
        <v>1454</v>
      </c>
      <c r="V603" s="34" t="s">
        <v>1457</v>
      </c>
      <c r="W603" s="139">
        <v>103001010204</v>
      </c>
      <c r="X603" s="140" t="s">
        <v>1458</v>
      </c>
    </row>
    <row r="604" spans="1:24" x14ac:dyDescent="0.35">
      <c r="A604" s="34">
        <v>2021</v>
      </c>
      <c r="B604" s="34" t="s">
        <v>157</v>
      </c>
      <c r="C604" s="34" t="s">
        <v>1454</v>
      </c>
      <c r="D604" s="34" t="s">
        <v>158</v>
      </c>
      <c r="E604" s="34" t="s">
        <v>434</v>
      </c>
      <c r="F604" s="34" t="s">
        <v>129</v>
      </c>
      <c r="G604" s="34"/>
      <c r="H604" s="34">
        <v>38.969749999999998</v>
      </c>
      <c r="I604" s="34">
        <v>-94.465860000000006</v>
      </c>
      <c r="J604" s="34"/>
      <c r="K604" s="105">
        <v>110000443226</v>
      </c>
      <c r="L604" s="34">
        <v>2879</v>
      </c>
      <c r="M604" s="48" t="str">
        <f>VLOOKUP(L604, '2017 SIC to NAICS'!A:D, 2)</f>
        <v>Agricultural Chemicals, Nec</v>
      </c>
      <c r="N604" s="34">
        <f>VLOOKUP(L604,'2017 SIC to NAICS'!A:D,3)</f>
        <v>325320</v>
      </c>
      <c r="O604" s="34" t="str">
        <f>VLOOKUP(L604,'2017 SIC to NAICS'!A:D,4)</f>
        <v>Pesticide and Other Agricultural Chemical
Manufacturing</v>
      </c>
      <c r="P604" s="36" t="s">
        <v>1455</v>
      </c>
      <c r="Q604" s="137" t="s">
        <v>1456</v>
      </c>
      <c r="R604" s="45" t="s">
        <v>41</v>
      </c>
      <c r="S604" s="138">
        <f>COUNTIFS('Raw Non-zero DMR Data'!$A:$A, A604, 'Raw Non-zero DMR Data'!$C:$C, U604, 'Raw Non-zero DMR Data'!$V:$V, V604)</f>
        <v>1</v>
      </c>
      <c r="T604" s="34">
        <f>SUMIFS('Raw Non-zero DMR Data'!$X:$X, 'Raw Non-zero DMR Data'!$A:$A, A604, 'Raw Non-zero DMR Data'!$C:$C, U604, 'Raw Non-zero DMR Data'!V:V, V604)</f>
        <v>9.9426000000000005</v>
      </c>
      <c r="U604" s="34" t="s">
        <v>1454</v>
      </c>
      <c r="V604" s="34" t="s">
        <v>1457</v>
      </c>
      <c r="W604" s="139">
        <v>103001010204</v>
      </c>
      <c r="X604" s="140" t="s">
        <v>1458</v>
      </c>
    </row>
    <row r="605" spans="1:24" x14ac:dyDescent="0.35">
      <c r="A605" s="34">
        <v>2022</v>
      </c>
      <c r="B605" s="34" t="s">
        <v>157</v>
      </c>
      <c r="C605" s="34" t="s">
        <v>1454</v>
      </c>
      <c r="D605" s="34" t="s">
        <v>158</v>
      </c>
      <c r="E605" s="34" t="s">
        <v>434</v>
      </c>
      <c r="F605" s="34" t="s">
        <v>129</v>
      </c>
      <c r="G605" s="34"/>
      <c r="H605" s="34">
        <v>38.969749999999998</v>
      </c>
      <c r="I605" s="34">
        <v>-94.465860000000006</v>
      </c>
      <c r="J605" s="34"/>
      <c r="K605" s="105">
        <v>110000443226</v>
      </c>
      <c r="L605" s="34">
        <v>2879</v>
      </c>
      <c r="M605" s="48" t="str">
        <f>VLOOKUP(L605, '2017 SIC to NAICS'!A:D, 2)</f>
        <v>Agricultural Chemicals, Nec</v>
      </c>
      <c r="N605" s="34">
        <f>VLOOKUP(L605,'2017 SIC to NAICS'!A:D,3)</f>
        <v>325320</v>
      </c>
      <c r="O605" s="34" t="str">
        <f>VLOOKUP(L605,'2017 SIC to NAICS'!A:D,4)</f>
        <v>Pesticide and Other Agricultural Chemical
Manufacturing</v>
      </c>
      <c r="P605" s="36" t="s">
        <v>1455</v>
      </c>
      <c r="Q605" s="137" t="s">
        <v>1456</v>
      </c>
      <c r="R605" s="45" t="s">
        <v>41</v>
      </c>
      <c r="S605" s="138">
        <f>COUNTIFS('Raw Non-zero DMR Data'!$A:$A, A605, 'Raw Non-zero DMR Data'!$C:$C, U605, 'Raw Non-zero DMR Data'!$V:$V, V605)</f>
        <v>1</v>
      </c>
      <c r="T605" s="34">
        <f>SUMIFS('Raw Non-zero DMR Data'!$X:$X, 'Raw Non-zero DMR Data'!$A:$A, A605, 'Raw Non-zero DMR Data'!$C:$C, U605, 'Raw Non-zero DMR Data'!V:V, V605)</f>
        <v>1.6571</v>
      </c>
      <c r="U605" s="34" t="s">
        <v>1454</v>
      </c>
      <c r="V605" s="34" t="s">
        <v>1457</v>
      </c>
      <c r="W605" s="139">
        <v>103001010204</v>
      </c>
      <c r="X605" s="140" t="s">
        <v>1458</v>
      </c>
    </row>
    <row r="606" spans="1:24" x14ac:dyDescent="0.35">
      <c r="A606" s="34">
        <v>2023</v>
      </c>
      <c r="B606" s="34" t="s">
        <v>157</v>
      </c>
      <c r="C606" s="34" t="s">
        <v>1454</v>
      </c>
      <c r="D606" s="34" t="s">
        <v>158</v>
      </c>
      <c r="E606" s="34" t="s">
        <v>434</v>
      </c>
      <c r="F606" s="34" t="s">
        <v>129</v>
      </c>
      <c r="G606" s="34"/>
      <c r="H606" s="34">
        <v>38.969749999999998</v>
      </c>
      <c r="I606" s="34">
        <v>-94.465860000000006</v>
      </c>
      <c r="J606" s="34"/>
      <c r="K606" s="105">
        <v>110000443226</v>
      </c>
      <c r="L606" s="34">
        <v>2879</v>
      </c>
      <c r="M606" s="48" t="str">
        <f>VLOOKUP(L606, '2017 SIC to NAICS'!A:D, 2)</f>
        <v>Agricultural Chemicals, Nec</v>
      </c>
      <c r="N606" s="34">
        <f>VLOOKUP(L606,'2017 SIC to NAICS'!A:D,3)</f>
        <v>325320</v>
      </c>
      <c r="O606" s="34" t="str">
        <f>VLOOKUP(L606,'2017 SIC to NAICS'!A:D,4)</f>
        <v>Pesticide and Other Agricultural Chemical
Manufacturing</v>
      </c>
      <c r="P606" s="36" t="s">
        <v>1455</v>
      </c>
      <c r="Q606" s="137" t="s">
        <v>1456</v>
      </c>
      <c r="R606" s="45" t="s">
        <v>41</v>
      </c>
      <c r="S606" s="138">
        <f>COUNTIFS('Raw Non-zero DMR Data'!$A:$A, A606, 'Raw Non-zero DMR Data'!$C:$C, U606, 'Raw Non-zero DMR Data'!$V:$V, V606)</f>
        <v>1</v>
      </c>
      <c r="T606" s="34">
        <f>SUMIFS('Raw Non-zero DMR Data'!$X:$X, 'Raw Non-zero DMR Data'!$A:$A, A606, 'Raw Non-zero DMR Data'!$C:$C, U606, 'Raw Non-zero DMR Data'!V:V, V606)</f>
        <v>9.9426000000000005</v>
      </c>
      <c r="U606" s="34" t="s">
        <v>1454</v>
      </c>
      <c r="V606" s="34" t="s">
        <v>1457</v>
      </c>
      <c r="W606" s="139">
        <v>103001010204</v>
      </c>
      <c r="X606" s="140" t="s">
        <v>1458</v>
      </c>
    </row>
    <row r="607" spans="1:24" x14ac:dyDescent="0.35">
      <c r="A607" s="34">
        <v>2019</v>
      </c>
      <c r="B607" s="34" t="s">
        <v>127</v>
      </c>
      <c r="C607" s="34" t="s">
        <v>1459</v>
      </c>
      <c r="D607" s="34" t="s">
        <v>128</v>
      </c>
      <c r="E607" s="34" t="s">
        <v>1132</v>
      </c>
      <c r="F607" s="34" t="s">
        <v>129</v>
      </c>
      <c r="G607" s="34"/>
      <c r="H607" s="34">
        <v>38.544123999999996</v>
      </c>
      <c r="I607" s="34">
        <v>-90.962633999999994</v>
      </c>
      <c r="J607" s="34"/>
      <c r="K607" s="105">
        <v>110000737123</v>
      </c>
      <c r="L607" s="34">
        <v>4952</v>
      </c>
      <c r="M607" s="48" t="str">
        <f>VLOOKUP(L607, '2017 SIC to NAICS'!A:D, 2)</f>
        <v>Sewerage Systems</v>
      </c>
      <c r="N607" s="34">
        <f>VLOOKUP(L607,'2017 SIC to NAICS'!A:D,3)</f>
        <v>221320</v>
      </c>
      <c r="O607" s="34" t="str">
        <f>VLOOKUP(L607,'2017 SIC to NAICS'!A:D,4)</f>
        <v>Sewage Treatment Facilities</v>
      </c>
      <c r="P607" s="36" t="s">
        <v>742</v>
      </c>
      <c r="Q607" s="137" t="s">
        <v>743</v>
      </c>
      <c r="R607" s="45" t="s">
        <v>38</v>
      </c>
      <c r="S607" s="138">
        <f>COUNTIFS('Raw Non-zero DMR Data'!$A:$A, A607, 'Raw Non-zero DMR Data'!$C:$C, U607, 'Raw Non-zero DMR Data'!$V:$V, V607)</f>
        <v>1</v>
      </c>
      <c r="T607" s="34">
        <f>SUMIFS('Raw Non-zero DMR Data'!$X:$X, 'Raw Non-zero DMR Data'!$A:$A, A607, 'Raw Non-zero DMR Data'!$C:$C, U607, 'Raw Non-zero DMR Data'!V:V, V607)</f>
        <v>25.57316325</v>
      </c>
      <c r="U607" s="34" t="s">
        <v>1459</v>
      </c>
      <c r="V607" s="34" t="s">
        <v>1460</v>
      </c>
      <c r="W607" s="139">
        <v>103002000601</v>
      </c>
      <c r="X607" s="140" t="s">
        <v>745</v>
      </c>
    </row>
    <row r="608" spans="1:24" x14ac:dyDescent="0.35">
      <c r="A608" s="34">
        <v>2020</v>
      </c>
      <c r="B608" s="34" t="s">
        <v>127</v>
      </c>
      <c r="C608" s="34" t="s">
        <v>1459</v>
      </c>
      <c r="D608" s="34" t="s">
        <v>128</v>
      </c>
      <c r="E608" s="34" t="s">
        <v>1132</v>
      </c>
      <c r="F608" s="34" t="s">
        <v>129</v>
      </c>
      <c r="G608" s="34"/>
      <c r="H608" s="34">
        <v>38.544123999999996</v>
      </c>
      <c r="I608" s="34">
        <v>-90.962633999999994</v>
      </c>
      <c r="J608" s="34"/>
      <c r="K608" s="105">
        <v>110000737123</v>
      </c>
      <c r="L608" s="34">
        <v>4952</v>
      </c>
      <c r="M608" s="48" t="str">
        <f>VLOOKUP(L608, '2017 SIC to NAICS'!A:D, 2)</f>
        <v>Sewerage Systems</v>
      </c>
      <c r="N608" s="34">
        <f>VLOOKUP(L608,'2017 SIC to NAICS'!A:D,3)</f>
        <v>221320</v>
      </c>
      <c r="O608" s="34" t="str">
        <f>VLOOKUP(L608,'2017 SIC to NAICS'!A:D,4)</f>
        <v>Sewage Treatment Facilities</v>
      </c>
      <c r="P608" s="36" t="s">
        <v>742</v>
      </c>
      <c r="Q608" s="137" t="s">
        <v>743</v>
      </c>
      <c r="R608" s="45" t="s">
        <v>38</v>
      </c>
      <c r="S608" s="138">
        <f>COUNTIFS('Raw Non-zero DMR Data'!$A:$A, A608, 'Raw Non-zero DMR Data'!$C:$C, U608, 'Raw Non-zero DMR Data'!$V:$V, V608)</f>
        <v>1</v>
      </c>
      <c r="T608" s="34">
        <f>SUMIFS('Raw Non-zero DMR Data'!$X:$X, 'Raw Non-zero DMR Data'!$A:$A, A608, 'Raw Non-zero DMR Data'!$C:$C, U608, 'Raw Non-zero DMR Data'!V:V, V608)</f>
        <v>13.5287255</v>
      </c>
      <c r="U608" s="34" t="s">
        <v>1459</v>
      </c>
      <c r="V608" s="34" t="s">
        <v>1460</v>
      </c>
      <c r="W608" s="139">
        <v>103002000601</v>
      </c>
      <c r="X608" s="140" t="s">
        <v>745</v>
      </c>
    </row>
    <row r="609" spans="1:24" x14ac:dyDescent="0.35">
      <c r="A609" s="34">
        <v>2021</v>
      </c>
      <c r="B609" s="34" t="s">
        <v>127</v>
      </c>
      <c r="C609" s="34" t="s">
        <v>1459</v>
      </c>
      <c r="D609" s="34" t="s">
        <v>128</v>
      </c>
      <c r="E609" s="34" t="s">
        <v>1132</v>
      </c>
      <c r="F609" s="34" t="s">
        <v>129</v>
      </c>
      <c r="G609" s="34"/>
      <c r="H609" s="34">
        <v>38.544123999999996</v>
      </c>
      <c r="I609" s="34">
        <v>-90.962633999999994</v>
      </c>
      <c r="J609" s="34"/>
      <c r="K609" s="105">
        <v>110000737123</v>
      </c>
      <c r="L609" s="34">
        <v>4952</v>
      </c>
      <c r="M609" s="48" t="str">
        <f>VLOOKUP(L609, '2017 SIC to NAICS'!A:D, 2)</f>
        <v>Sewerage Systems</v>
      </c>
      <c r="N609" s="34">
        <f>VLOOKUP(L609,'2017 SIC to NAICS'!A:D,3)</f>
        <v>221320</v>
      </c>
      <c r="O609" s="34" t="str">
        <f>VLOOKUP(L609,'2017 SIC to NAICS'!A:D,4)</f>
        <v>Sewage Treatment Facilities</v>
      </c>
      <c r="P609" s="36" t="s">
        <v>742</v>
      </c>
      <c r="Q609" s="137" t="s">
        <v>743</v>
      </c>
      <c r="R609" s="45" t="s">
        <v>38</v>
      </c>
      <c r="S609" s="138">
        <f>COUNTIFS('Raw Non-zero DMR Data'!$A:$A, A609, 'Raw Non-zero DMR Data'!$C:$C, U609, 'Raw Non-zero DMR Data'!$V:$V, V609)</f>
        <v>1</v>
      </c>
      <c r="T609" s="34">
        <f>SUMIFS('Raw Non-zero DMR Data'!$X:$X, 'Raw Non-zero DMR Data'!$A:$A, A609, 'Raw Non-zero DMR Data'!$C:$C, U609, 'Raw Non-zero DMR Data'!V:V, V609)</f>
        <v>18.269438000000001</v>
      </c>
      <c r="U609" s="34" t="s">
        <v>1459</v>
      </c>
      <c r="V609" s="34" t="s">
        <v>1460</v>
      </c>
      <c r="W609" s="139">
        <v>103002000601</v>
      </c>
      <c r="X609" s="140" t="s">
        <v>745</v>
      </c>
    </row>
    <row r="610" spans="1:24" x14ac:dyDescent="0.35">
      <c r="A610" s="34">
        <v>2019</v>
      </c>
      <c r="B610" s="34" t="s">
        <v>508</v>
      </c>
      <c r="C610" s="34" t="s">
        <v>1461</v>
      </c>
      <c r="D610" s="34" t="s">
        <v>509</v>
      </c>
      <c r="E610" s="34" t="s">
        <v>1175</v>
      </c>
      <c r="F610" s="34" t="s">
        <v>129</v>
      </c>
      <c r="G610" s="34"/>
      <c r="H610" s="34">
        <v>39.248446999999999</v>
      </c>
      <c r="I610" s="34">
        <v>-94.293233000000001</v>
      </c>
      <c r="J610" s="34"/>
      <c r="K610" s="105">
        <v>110000614746</v>
      </c>
      <c r="L610" s="34">
        <v>4953</v>
      </c>
      <c r="M610" s="48" t="str">
        <f>VLOOKUP(L610, '2017 SIC to NAICS'!A:D, 2)</f>
        <v>Refuse Systems</v>
      </c>
      <c r="N610" s="34">
        <f>VLOOKUP(L610,'2017 SIC to NAICS'!A:D,3)</f>
        <v>562920</v>
      </c>
      <c r="O610" s="34" t="str">
        <f>VLOOKUP(L610,'2017 SIC to NAICS'!A:D,4)</f>
        <v>Materials Recovery Facilities</v>
      </c>
      <c r="P610" s="36" t="s">
        <v>754</v>
      </c>
      <c r="Q610" s="137" t="s">
        <v>755</v>
      </c>
      <c r="R610" s="45" t="s">
        <v>39</v>
      </c>
      <c r="S610" s="138">
        <f>COUNTIFS('Raw Non-zero DMR Data'!$A:$A, A610, 'Raw Non-zero DMR Data'!$C:$C, U610, 'Raw Non-zero DMR Data'!$V:$V, V610)</f>
        <v>1</v>
      </c>
      <c r="T610" s="34">
        <f>SUMIFS('Raw Non-zero DMR Data'!$X:$X, 'Raw Non-zero DMR Data'!$A:$A, A610, 'Raw Non-zero DMR Data'!$C:$C, U610, 'Raw Non-zero DMR Data'!V:V, V610)</f>
        <v>4.9800192631524999E-2</v>
      </c>
      <c r="U610" s="34" t="s">
        <v>1461</v>
      </c>
      <c r="V610" s="34" t="s">
        <v>1462</v>
      </c>
      <c r="W610" s="139">
        <v>103001010307</v>
      </c>
      <c r="X610" s="140" t="s">
        <v>745</v>
      </c>
    </row>
    <row r="611" spans="1:24" x14ac:dyDescent="0.35">
      <c r="A611" s="34">
        <v>2020</v>
      </c>
      <c r="B611" s="34" t="s">
        <v>508</v>
      </c>
      <c r="C611" s="34" t="s">
        <v>1461</v>
      </c>
      <c r="D611" s="34" t="s">
        <v>509</v>
      </c>
      <c r="E611" s="34" t="s">
        <v>1175</v>
      </c>
      <c r="F611" s="34" t="s">
        <v>129</v>
      </c>
      <c r="G611" s="34"/>
      <c r="H611" s="34">
        <v>39.248446999999999</v>
      </c>
      <c r="I611" s="34">
        <v>-94.293233000000001</v>
      </c>
      <c r="J611" s="34"/>
      <c r="K611" s="105">
        <v>110000614746</v>
      </c>
      <c r="L611" s="34">
        <v>4953</v>
      </c>
      <c r="M611" s="48" t="str">
        <f>VLOOKUP(L611, '2017 SIC to NAICS'!A:D, 2)</f>
        <v>Refuse Systems</v>
      </c>
      <c r="N611" s="34">
        <f>VLOOKUP(L611,'2017 SIC to NAICS'!A:D,3)</f>
        <v>562920</v>
      </c>
      <c r="O611" s="34" t="str">
        <f>VLOOKUP(L611,'2017 SIC to NAICS'!A:D,4)</f>
        <v>Materials Recovery Facilities</v>
      </c>
      <c r="P611" s="36" t="s">
        <v>754</v>
      </c>
      <c r="Q611" s="137" t="s">
        <v>755</v>
      </c>
      <c r="R611" s="45" t="s">
        <v>39</v>
      </c>
      <c r="S611" s="138">
        <f>COUNTIFS('Raw Non-zero DMR Data'!$A:$A, A611, 'Raw Non-zero DMR Data'!$C:$C, U611, 'Raw Non-zero DMR Data'!$V:$V, V611)</f>
        <v>1</v>
      </c>
      <c r="T611" s="34">
        <f>SUMIFS('Raw Non-zero DMR Data'!$X:$X, 'Raw Non-zero DMR Data'!$A:$A, A611, 'Raw Non-zero DMR Data'!$C:$C, U611, 'Raw Non-zero DMR Data'!V:V, V611)</f>
        <v>2.663415230775E-2</v>
      </c>
      <c r="U611" s="34" t="s">
        <v>1461</v>
      </c>
      <c r="V611" s="34" t="s">
        <v>1462</v>
      </c>
      <c r="W611" s="139">
        <v>103001010307</v>
      </c>
      <c r="X611" s="140" t="s">
        <v>745</v>
      </c>
    </row>
    <row r="612" spans="1:24" x14ac:dyDescent="0.35">
      <c r="A612" s="34">
        <v>2021</v>
      </c>
      <c r="B612" s="34" t="s">
        <v>508</v>
      </c>
      <c r="C612" s="34" t="s">
        <v>1461</v>
      </c>
      <c r="D612" s="34" t="s">
        <v>509</v>
      </c>
      <c r="E612" s="34" t="s">
        <v>1175</v>
      </c>
      <c r="F612" s="34" t="s">
        <v>129</v>
      </c>
      <c r="G612" s="34"/>
      <c r="H612" s="34">
        <v>39.248446999999999</v>
      </c>
      <c r="I612" s="34">
        <v>-94.293233000000001</v>
      </c>
      <c r="J612" s="34"/>
      <c r="K612" s="105">
        <v>110000614746</v>
      </c>
      <c r="L612" s="34">
        <v>4953</v>
      </c>
      <c r="M612" s="48" t="str">
        <f>VLOOKUP(L612, '2017 SIC to NAICS'!A:D, 2)</f>
        <v>Refuse Systems</v>
      </c>
      <c r="N612" s="34">
        <f>VLOOKUP(L612,'2017 SIC to NAICS'!A:D,3)</f>
        <v>562920</v>
      </c>
      <c r="O612" s="34" t="str">
        <f>VLOOKUP(L612,'2017 SIC to NAICS'!A:D,4)</f>
        <v>Materials Recovery Facilities</v>
      </c>
      <c r="P612" s="36" t="s">
        <v>754</v>
      </c>
      <c r="Q612" s="137" t="s">
        <v>755</v>
      </c>
      <c r="R612" s="45" t="s">
        <v>39</v>
      </c>
      <c r="S612" s="138">
        <f>COUNTIFS('Raw Non-zero DMR Data'!$A:$A, A612, 'Raw Non-zero DMR Data'!$C:$C, U612, 'Raw Non-zero DMR Data'!$V:$V, V612)</f>
        <v>1</v>
      </c>
      <c r="T612" s="34">
        <f>SUMIFS('Raw Non-zero DMR Data'!$X:$X, 'Raw Non-zero DMR Data'!$A:$A, A612, 'Raw Non-zero DMR Data'!$C:$C, U612, 'Raw Non-zero DMR Data'!V:V, V612)</f>
        <v>8.8882790882999999E-3</v>
      </c>
      <c r="U612" s="34" t="s">
        <v>1461</v>
      </c>
      <c r="V612" s="34" t="s">
        <v>1462</v>
      </c>
      <c r="W612" s="139">
        <v>103001010307</v>
      </c>
      <c r="X612" s="140" t="s">
        <v>745</v>
      </c>
    </row>
    <row r="613" spans="1:24" x14ac:dyDescent="0.35">
      <c r="A613" s="34">
        <v>2022</v>
      </c>
      <c r="B613" s="34" t="s">
        <v>508</v>
      </c>
      <c r="C613" s="34" t="s">
        <v>1461</v>
      </c>
      <c r="D613" s="34" t="s">
        <v>509</v>
      </c>
      <c r="E613" s="34" t="s">
        <v>1175</v>
      </c>
      <c r="F613" s="34" t="s">
        <v>129</v>
      </c>
      <c r="G613" s="34"/>
      <c r="H613" s="34">
        <v>39.248446999999999</v>
      </c>
      <c r="I613" s="34">
        <v>-94.293233000000001</v>
      </c>
      <c r="J613" s="34"/>
      <c r="K613" s="105">
        <v>110000614746</v>
      </c>
      <c r="L613" s="34">
        <v>4953</v>
      </c>
      <c r="M613" s="48" t="str">
        <f>VLOOKUP(L613, '2017 SIC to NAICS'!A:D, 2)</f>
        <v>Refuse Systems</v>
      </c>
      <c r="N613" s="34">
        <f>VLOOKUP(L613,'2017 SIC to NAICS'!A:D,3)</f>
        <v>562920</v>
      </c>
      <c r="O613" s="34" t="str">
        <f>VLOOKUP(L613,'2017 SIC to NAICS'!A:D,4)</f>
        <v>Materials Recovery Facilities</v>
      </c>
      <c r="P613" s="36" t="s">
        <v>754</v>
      </c>
      <c r="Q613" s="137" t="s">
        <v>755</v>
      </c>
      <c r="R613" s="45" t="s">
        <v>39</v>
      </c>
      <c r="S613" s="138">
        <f>COUNTIFS('Raw Non-zero DMR Data'!$A:$A, A613, 'Raw Non-zero DMR Data'!$C:$C, U613, 'Raw Non-zero DMR Data'!$V:$V, V613)</f>
        <v>1</v>
      </c>
      <c r="T613" s="34">
        <f>SUMIFS('Raw Non-zero DMR Data'!$X:$X, 'Raw Non-zero DMR Data'!$A:$A, A613, 'Raw Non-zero DMR Data'!$C:$C, U613, 'Raw Non-zero DMR Data'!V:V, V613)</f>
        <v>2.3034953869950001E-2</v>
      </c>
      <c r="U613" s="34" t="s">
        <v>1461</v>
      </c>
      <c r="V613" s="34" t="s">
        <v>1462</v>
      </c>
      <c r="W613" s="139">
        <v>103001010307</v>
      </c>
      <c r="X613" s="140" t="s">
        <v>745</v>
      </c>
    </row>
    <row r="614" spans="1:24" ht="43.5" x14ac:dyDescent="0.35">
      <c r="A614" s="34">
        <v>2019</v>
      </c>
      <c r="B614" s="34" t="s">
        <v>217</v>
      </c>
      <c r="C614" s="34" t="s">
        <v>1463</v>
      </c>
      <c r="D614" s="34" t="s">
        <v>218</v>
      </c>
      <c r="E614" s="34" t="s">
        <v>1464</v>
      </c>
      <c r="F614" s="34" t="s">
        <v>129</v>
      </c>
      <c r="G614" s="34"/>
      <c r="H614" s="34">
        <v>39.662540999999997</v>
      </c>
      <c r="I614" s="34">
        <v>-91.301670000000001</v>
      </c>
      <c r="J614" s="34"/>
      <c r="K614" s="105">
        <v>110000595981</v>
      </c>
      <c r="L614" s="34">
        <v>3241</v>
      </c>
      <c r="M614" s="48" t="str">
        <f>VLOOKUP(L614, '2017 SIC to NAICS'!A:D, 2)</f>
        <v>Cement, Hydraulic</v>
      </c>
      <c r="N614" s="34">
        <f>VLOOKUP(L614,'2017 SIC to NAICS'!A:D,3)</f>
        <v>327310</v>
      </c>
      <c r="O614" s="34" t="str">
        <f>VLOOKUP(L614,'2017 SIC to NAICS'!A:D,4)</f>
        <v>Cement Manufacturing</v>
      </c>
      <c r="P614" s="36" t="s">
        <v>904</v>
      </c>
      <c r="Q614" s="137" t="s">
        <v>905</v>
      </c>
      <c r="R614" s="45" t="s">
        <v>41</v>
      </c>
      <c r="S614" s="138">
        <f>COUNTIFS('Raw Non-zero DMR Data'!$A:$A, A614, 'Raw Non-zero DMR Data'!$C:$C, U614, 'Raw Non-zero DMR Data'!$V:$V, V614)</f>
        <v>1</v>
      </c>
      <c r="T614" s="34">
        <f>SUMIFS('Raw Non-zero DMR Data'!$X:$X, 'Raw Non-zero DMR Data'!$A:$A, A614, 'Raw Non-zero DMR Data'!$C:$C, U614, 'Raw Non-zero DMR Data'!V:V, V614)</f>
        <v>0.49734899999999999</v>
      </c>
      <c r="U614" s="34" t="s">
        <v>1463</v>
      </c>
      <c r="V614" s="34" t="s">
        <v>1465</v>
      </c>
      <c r="W614" s="139">
        <v>71100040504</v>
      </c>
      <c r="X614" s="140" t="s">
        <v>1466</v>
      </c>
    </row>
    <row r="615" spans="1:24" ht="43.5" x14ac:dyDescent="0.35">
      <c r="A615" s="34">
        <v>2020</v>
      </c>
      <c r="B615" s="34" t="s">
        <v>217</v>
      </c>
      <c r="C615" s="34" t="s">
        <v>1463</v>
      </c>
      <c r="D615" s="34" t="s">
        <v>218</v>
      </c>
      <c r="E615" s="34" t="s">
        <v>1464</v>
      </c>
      <c r="F615" s="34" t="s">
        <v>129</v>
      </c>
      <c r="G615" s="34"/>
      <c r="H615" s="34">
        <v>39.662540999999997</v>
      </c>
      <c r="I615" s="34">
        <v>-91.301670000000001</v>
      </c>
      <c r="J615" s="34"/>
      <c r="K615" s="105">
        <v>110000595981</v>
      </c>
      <c r="L615" s="34">
        <v>3241</v>
      </c>
      <c r="M615" s="48" t="str">
        <f>VLOOKUP(L615, '2017 SIC to NAICS'!A:D, 2)</f>
        <v>Cement, Hydraulic</v>
      </c>
      <c r="N615" s="34">
        <f>VLOOKUP(L615,'2017 SIC to NAICS'!A:D,3)</f>
        <v>327310</v>
      </c>
      <c r="O615" s="34" t="str">
        <f>VLOOKUP(L615,'2017 SIC to NAICS'!A:D,4)</f>
        <v>Cement Manufacturing</v>
      </c>
      <c r="P615" s="36" t="s">
        <v>904</v>
      </c>
      <c r="Q615" s="137" t="s">
        <v>905</v>
      </c>
      <c r="R615" s="45" t="s">
        <v>41</v>
      </c>
      <c r="S615" s="138">
        <f>COUNTIFS('Raw Non-zero DMR Data'!$A:$A, A615, 'Raw Non-zero DMR Data'!$C:$C, U615, 'Raw Non-zero DMR Data'!$V:$V, V615)</f>
        <v>1</v>
      </c>
      <c r="T615" s="34">
        <f>SUMIFS('Raw Non-zero DMR Data'!$X:$X, 'Raw Non-zero DMR Data'!$A:$A, A615, 'Raw Non-zero DMR Data'!$C:$C, U615, 'Raw Non-zero DMR Data'!V:V, V615)</f>
        <v>0.41445749999999998</v>
      </c>
      <c r="U615" s="34" t="s">
        <v>1463</v>
      </c>
      <c r="V615" s="34" t="s">
        <v>1465</v>
      </c>
      <c r="W615" s="139">
        <v>71100040504</v>
      </c>
      <c r="X615" s="140" t="s">
        <v>1466</v>
      </c>
    </row>
    <row r="616" spans="1:24" ht="43.5" x14ac:dyDescent="0.35">
      <c r="A616" s="34">
        <v>2021</v>
      </c>
      <c r="B616" s="34" t="s">
        <v>217</v>
      </c>
      <c r="C616" s="34" t="s">
        <v>1463</v>
      </c>
      <c r="D616" s="34" t="s">
        <v>218</v>
      </c>
      <c r="E616" s="34" t="s">
        <v>1464</v>
      </c>
      <c r="F616" s="34" t="s">
        <v>129</v>
      </c>
      <c r="G616" s="34"/>
      <c r="H616" s="34">
        <v>39.662540999999997</v>
      </c>
      <c r="I616" s="34">
        <v>-91.301670000000001</v>
      </c>
      <c r="J616" s="34"/>
      <c r="K616" s="105">
        <v>110000595981</v>
      </c>
      <c r="L616" s="34">
        <v>3241</v>
      </c>
      <c r="M616" s="48" t="str">
        <f>VLOOKUP(L616, '2017 SIC to NAICS'!A:D, 2)</f>
        <v>Cement, Hydraulic</v>
      </c>
      <c r="N616" s="34">
        <f>VLOOKUP(L616,'2017 SIC to NAICS'!A:D,3)</f>
        <v>327310</v>
      </c>
      <c r="O616" s="34" t="str">
        <f>VLOOKUP(L616,'2017 SIC to NAICS'!A:D,4)</f>
        <v>Cement Manufacturing</v>
      </c>
      <c r="P616" s="36" t="s">
        <v>904</v>
      </c>
      <c r="Q616" s="137" t="s">
        <v>905</v>
      </c>
      <c r="R616" s="45" t="s">
        <v>41</v>
      </c>
      <c r="S616" s="138">
        <f>COUNTIFS('Raw Non-zero DMR Data'!$A:$A, A616, 'Raw Non-zero DMR Data'!$C:$C, U616, 'Raw Non-zero DMR Data'!$V:$V, V616)</f>
        <v>1</v>
      </c>
      <c r="T616" s="34">
        <f>SUMIFS('Raw Non-zero DMR Data'!$X:$X, 'Raw Non-zero DMR Data'!$A:$A, A616, 'Raw Non-zero DMR Data'!$C:$C, U616, 'Raw Non-zero DMR Data'!V:V, V616)</f>
        <v>3.71630225</v>
      </c>
      <c r="U616" s="34" t="s">
        <v>1463</v>
      </c>
      <c r="V616" s="34" t="s">
        <v>1465</v>
      </c>
      <c r="W616" s="139">
        <v>71100040504</v>
      </c>
      <c r="X616" s="140" t="s">
        <v>1466</v>
      </c>
    </row>
    <row r="617" spans="1:24" ht="43.5" x14ac:dyDescent="0.35">
      <c r="A617" s="34">
        <v>2022</v>
      </c>
      <c r="B617" s="34" t="s">
        <v>217</v>
      </c>
      <c r="C617" s="34" t="s">
        <v>1463</v>
      </c>
      <c r="D617" s="34" t="s">
        <v>218</v>
      </c>
      <c r="E617" s="34" t="s">
        <v>1464</v>
      </c>
      <c r="F617" s="34" t="s">
        <v>129</v>
      </c>
      <c r="G617" s="34"/>
      <c r="H617" s="34">
        <v>39.662540999999997</v>
      </c>
      <c r="I617" s="34">
        <v>-91.301670000000001</v>
      </c>
      <c r="J617" s="34"/>
      <c r="K617" s="105">
        <v>110000595981</v>
      </c>
      <c r="L617" s="34">
        <v>3241</v>
      </c>
      <c r="M617" s="48" t="str">
        <f>VLOOKUP(L617, '2017 SIC to NAICS'!A:D, 2)</f>
        <v>Cement, Hydraulic</v>
      </c>
      <c r="N617" s="34">
        <f>VLOOKUP(L617,'2017 SIC to NAICS'!A:D,3)</f>
        <v>327310</v>
      </c>
      <c r="O617" s="34" t="str">
        <f>VLOOKUP(L617,'2017 SIC to NAICS'!A:D,4)</f>
        <v>Cement Manufacturing</v>
      </c>
      <c r="P617" s="36" t="s">
        <v>904</v>
      </c>
      <c r="Q617" s="137" t="s">
        <v>905</v>
      </c>
      <c r="R617" s="45" t="s">
        <v>41</v>
      </c>
      <c r="S617" s="138">
        <f>COUNTIFS('Raw Non-zero DMR Data'!$A:$A, A617, 'Raw Non-zero DMR Data'!$C:$C, U617, 'Raw Non-zero DMR Data'!$V:$V, V617)</f>
        <v>1</v>
      </c>
      <c r="T617" s="34">
        <f>SUMIFS('Raw Non-zero DMR Data'!$X:$X, 'Raw Non-zero DMR Data'!$A:$A, A617, 'Raw Non-zero DMR Data'!$C:$C, U617, 'Raw Non-zero DMR Data'!V:V, V617)</f>
        <v>2.2104400000000002</v>
      </c>
      <c r="U617" s="34" t="s">
        <v>1463</v>
      </c>
      <c r="V617" s="34" t="s">
        <v>1465</v>
      </c>
      <c r="W617" s="141" t="s">
        <v>1467</v>
      </c>
      <c r="X617" s="140" t="s">
        <v>1466</v>
      </c>
    </row>
    <row r="618" spans="1:24" ht="43.5" x14ac:dyDescent="0.35">
      <c r="A618" s="34">
        <v>2023</v>
      </c>
      <c r="B618" s="34" t="s">
        <v>217</v>
      </c>
      <c r="C618" s="34" t="s">
        <v>1463</v>
      </c>
      <c r="D618" s="34" t="s">
        <v>218</v>
      </c>
      <c r="E618" s="34" t="s">
        <v>1464</v>
      </c>
      <c r="F618" s="34" t="s">
        <v>129</v>
      </c>
      <c r="G618" s="34"/>
      <c r="H618" s="34">
        <v>39.662540999999997</v>
      </c>
      <c r="I618" s="34">
        <v>-91.301670000000001</v>
      </c>
      <c r="J618" s="34"/>
      <c r="K618" s="105">
        <v>110000595981</v>
      </c>
      <c r="L618" s="34">
        <v>3241</v>
      </c>
      <c r="M618" s="48" t="str">
        <f>VLOOKUP(L618, '2017 SIC to NAICS'!A:D, 2)</f>
        <v>Cement, Hydraulic</v>
      </c>
      <c r="N618" s="34">
        <f>VLOOKUP(L618,'2017 SIC to NAICS'!A:D,3)</f>
        <v>327310</v>
      </c>
      <c r="O618" s="34" t="str">
        <f>VLOOKUP(L618,'2017 SIC to NAICS'!A:D,4)</f>
        <v>Cement Manufacturing</v>
      </c>
      <c r="P618" s="36" t="s">
        <v>904</v>
      </c>
      <c r="Q618" s="137" t="s">
        <v>905</v>
      </c>
      <c r="R618" s="45" t="s">
        <v>41</v>
      </c>
      <c r="S618" s="138">
        <f>COUNTIFS('Raw Non-zero DMR Data'!$A:$A, A618, 'Raw Non-zero DMR Data'!$C:$C, U618, 'Raw Non-zero DMR Data'!$V:$V, V618)</f>
        <v>1</v>
      </c>
      <c r="T618" s="34">
        <f>SUMIFS('Raw Non-zero DMR Data'!$X:$X, 'Raw Non-zero DMR Data'!$A:$A, A618, 'Raw Non-zero DMR Data'!$C:$C, U618, 'Raw Non-zero DMR Data'!V:V, V618)</f>
        <v>0.44208799999999998</v>
      </c>
      <c r="U618" s="34" t="s">
        <v>1463</v>
      </c>
      <c r="V618" s="34" t="s">
        <v>1465</v>
      </c>
      <c r="W618" s="141" t="s">
        <v>1467</v>
      </c>
      <c r="X618" s="140" t="s">
        <v>1466</v>
      </c>
    </row>
    <row r="619" spans="1:24" x14ac:dyDescent="0.35">
      <c r="A619" s="34">
        <v>2021</v>
      </c>
      <c r="B619" s="34" t="s">
        <v>529</v>
      </c>
      <c r="C619" s="34" t="s">
        <v>1468</v>
      </c>
      <c r="D619" s="34" t="s">
        <v>128</v>
      </c>
      <c r="E619" s="34" t="s">
        <v>1132</v>
      </c>
      <c r="F619" s="34" t="s">
        <v>129</v>
      </c>
      <c r="G619" s="34"/>
      <c r="H619" s="34">
        <v>38.539057</v>
      </c>
      <c r="I619" s="34">
        <v>-90.971136000000001</v>
      </c>
      <c r="J619" s="34"/>
      <c r="K619" s="105">
        <v>110000595909</v>
      </c>
      <c r="L619" s="34">
        <v>3499</v>
      </c>
      <c r="M619" s="48" t="str">
        <f>VLOOKUP(L619, '2017 SIC to NAICS'!A:D, 2)</f>
        <v>Fabricated Metal Products, Nec</v>
      </c>
      <c r="N619" s="34">
        <f>VLOOKUP(L619,'2017 SIC to NAICS'!A:D,3)</f>
        <v>337215</v>
      </c>
      <c r="O619" s="34" t="str">
        <f>VLOOKUP(L619,'2017 SIC to NAICS'!A:D,4)</f>
        <v>Showcase, Partition, Shelving, and Locker
Manufacturing</v>
      </c>
      <c r="P619" s="36" t="s">
        <v>1469</v>
      </c>
      <c r="Q619" s="137" t="s">
        <v>1470</v>
      </c>
      <c r="R619" s="45" t="s">
        <v>41</v>
      </c>
      <c r="S619" s="138">
        <f>COUNTIFS('Raw Non-zero DMR Data'!$A:$A, A619, 'Raw Non-zero DMR Data'!$C:$C, U619, 'Raw Non-zero DMR Data'!$V:$V, V619)</f>
        <v>1</v>
      </c>
      <c r="T619" s="34">
        <f>SUMIFS('Raw Non-zero DMR Data'!$X:$X, 'Raw Non-zero DMR Data'!$A:$A, A619, 'Raw Non-zero DMR Data'!$C:$C, U619, 'Raw Non-zero DMR Data'!V:V, V619)</f>
        <v>1.7161644199999999E-2</v>
      </c>
      <c r="U619" s="34" t="s">
        <v>1468</v>
      </c>
      <c r="V619" s="34" t="s">
        <v>1460</v>
      </c>
      <c r="W619" s="139">
        <v>103002000601</v>
      </c>
      <c r="X619" s="140" t="s">
        <v>812</v>
      </c>
    </row>
    <row r="620" spans="1:24" x14ac:dyDescent="0.35">
      <c r="A620" s="34">
        <v>2022</v>
      </c>
      <c r="B620" s="34" t="s">
        <v>529</v>
      </c>
      <c r="C620" s="34" t="s">
        <v>1468</v>
      </c>
      <c r="D620" s="34" t="s">
        <v>128</v>
      </c>
      <c r="E620" s="34" t="s">
        <v>1132</v>
      </c>
      <c r="F620" s="34" t="s">
        <v>129</v>
      </c>
      <c r="G620" s="34"/>
      <c r="H620" s="34">
        <v>38.539057</v>
      </c>
      <c r="I620" s="34">
        <v>-90.971136000000001</v>
      </c>
      <c r="J620" s="34"/>
      <c r="K620" s="105">
        <v>110000595909</v>
      </c>
      <c r="L620" s="34">
        <v>3499</v>
      </c>
      <c r="M620" s="48" t="str">
        <f>VLOOKUP(L620, '2017 SIC to NAICS'!A:D, 2)</f>
        <v>Fabricated Metal Products, Nec</v>
      </c>
      <c r="N620" s="34">
        <f>VLOOKUP(L620,'2017 SIC to NAICS'!A:D,3)</f>
        <v>337215</v>
      </c>
      <c r="O620" s="34" t="str">
        <f>VLOOKUP(L620,'2017 SIC to NAICS'!A:D,4)</f>
        <v>Showcase, Partition, Shelving, and Locker
Manufacturing</v>
      </c>
      <c r="P620" s="36" t="s">
        <v>1469</v>
      </c>
      <c r="Q620" s="137" t="s">
        <v>1470</v>
      </c>
      <c r="R620" s="45" t="s">
        <v>41</v>
      </c>
      <c r="S620" s="138">
        <f>COUNTIFS('Raw Non-zero DMR Data'!$A:$A, A620, 'Raw Non-zero DMR Data'!$C:$C, U620, 'Raw Non-zero DMR Data'!$V:$V, V620)</f>
        <v>1</v>
      </c>
      <c r="T620" s="34">
        <f>SUMIFS('Raw Non-zero DMR Data'!$X:$X, 'Raw Non-zero DMR Data'!$A:$A, A620, 'Raw Non-zero DMR Data'!$C:$C, U620, 'Raw Non-zero DMR Data'!V:V, V620)</f>
        <v>3.4289577297499998E-2</v>
      </c>
      <c r="U620" s="34" t="s">
        <v>1468</v>
      </c>
      <c r="V620" s="34" t="s">
        <v>1460</v>
      </c>
      <c r="W620" s="139">
        <v>103002000601</v>
      </c>
      <c r="X620" s="140" t="s">
        <v>812</v>
      </c>
    </row>
    <row r="621" spans="1:24" x14ac:dyDescent="0.35">
      <c r="A621" s="34">
        <v>2023</v>
      </c>
      <c r="B621" s="34" t="s">
        <v>529</v>
      </c>
      <c r="C621" s="34" t="s">
        <v>1468</v>
      </c>
      <c r="D621" s="34" t="s">
        <v>128</v>
      </c>
      <c r="E621" s="34" t="s">
        <v>1132</v>
      </c>
      <c r="F621" s="34" t="s">
        <v>129</v>
      </c>
      <c r="G621" s="34"/>
      <c r="H621" s="34">
        <v>38.539057</v>
      </c>
      <c r="I621" s="34">
        <v>-90.971136000000001</v>
      </c>
      <c r="J621" s="34"/>
      <c r="K621" s="105">
        <v>110000595909</v>
      </c>
      <c r="L621" s="34">
        <v>3499</v>
      </c>
      <c r="M621" s="48" t="str">
        <f>VLOOKUP(L621, '2017 SIC to NAICS'!A:D, 2)</f>
        <v>Fabricated Metal Products, Nec</v>
      </c>
      <c r="N621" s="34">
        <f>VLOOKUP(L621,'2017 SIC to NAICS'!A:D,3)</f>
        <v>337215</v>
      </c>
      <c r="O621" s="34" t="str">
        <f>VLOOKUP(L621,'2017 SIC to NAICS'!A:D,4)</f>
        <v>Showcase, Partition, Shelving, and Locker
Manufacturing</v>
      </c>
      <c r="P621" s="36" t="s">
        <v>1469</v>
      </c>
      <c r="Q621" s="137" t="s">
        <v>1470</v>
      </c>
      <c r="R621" s="45" t="s">
        <v>41</v>
      </c>
      <c r="S621" s="138">
        <f>COUNTIFS('Raw Non-zero DMR Data'!$A:$A, A621, 'Raw Non-zero DMR Data'!$C:$C, U621, 'Raw Non-zero DMR Data'!$V:$V, V621)</f>
        <v>1</v>
      </c>
      <c r="T621" s="34">
        <f>SUMIFS('Raw Non-zero DMR Data'!$X:$X, 'Raw Non-zero DMR Data'!$A:$A, A621, 'Raw Non-zero DMR Data'!$C:$C, U621, 'Raw Non-zero DMR Data'!V:V, V621)</f>
        <v>3.2189895859999998E-2</v>
      </c>
      <c r="U621" s="34" t="s">
        <v>1468</v>
      </c>
      <c r="V621" s="34" t="s">
        <v>1460</v>
      </c>
      <c r="W621" s="139">
        <v>103002000601</v>
      </c>
      <c r="X621" s="140" t="s">
        <v>812</v>
      </c>
    </row>
    <row r="622" spans="1:24" x14ac:dyDescent="0.35">
      <c r="A622" s="34">
        <v>2019</v>
      </c>
      <c r="B622" s="34" t="s">
        <v>426</v>
      </c>
      <c r="C622" s="34" t="s">
        <v>1471</v>
      </c>
      <c r="D622" s="34" t="s">
        <v>427</v>
      </c>
      <c r="E622" s="34" t="s">
        <v>1144</v>
      </c>
      <c r="F622" s="34" t="s">
        <v>129</v>
      </c>
      <c r="G622" s="34"/>
      <c r="H622" s="34">
        <v>39.423425000000002</v>
      </c>
      <c r="I622" s="34">
        <v>-91.025666000000001</v>
      </c>
      <c r="J622" s="34"/>
      <c r="K622" s="105">
        <v>110054612558</v>
      </c>
      <c r="L622" s="34">
        <v>2869</v>
      </c>
      <c r="M622" s="48" t="str">
        <f>VLOOKUP(L622, '2017 SIC to NAICS'!A:D, 2)</f>
        <v>Industrial Organic Chemicals, Nec</v>
      </c>
      <c r="N622" s="34">
        <f>VLOOKUP(L622,'2017 SIC to NAICS'!A:D,3)</f>
        <v>325998</v>
      </c>
      <c r="O622" s="34" t="str">
        <f>VLOOKUP(L622,'2017 SIC to NAICS'!A:D,4)</f>
        <v>All Other Miscellaneous Chemical Product and Preparation Manufacturing</v>
      </c>
      <c r="P622" s="36" t="s">
        <v>748</v>
      </c>
      <c r="Q622" s="137" t="s">
        <v>749</v>
      </c>
      <c r="R622" s="45" t="s">
        <v>41</v>
      </c>
      <c r="S622" s="138">
        <f>COUNTIFS('Raw Non-zero DMR Data'!$A:$A, A622, 'Raw Non-zero DMR Data'!$C:$C, U622, 'Raw Non-zero DMR Data'!$V:$V, V622)</f>
        <v>1</v>
      </c>
      <c r="T622" s="34">
        <f>SUMIFS('Raw Non-zero DMR Data'!$X:$X, 'Raw Non-zero DMR Data'!$A:$A, A622, 'Raw Non-zero DMR Data'!$C:$C, U622, 'Raw Non-zero DMR Data'!V:V, V622)</f>
        <v>0.15127280000000001</v>
      </c>
      <c r="U622" s="34" t="s">
        <v>1471</v>
      </c>
      <c r="V622" s="34" t="s">
        <v>1472</v>
      </c>
      <c r="W622" s="139">
        <v>71100040702</v>
      </c>
      <c r="X622" s="140" t="s">
        <v>812</v>
      </c>
    </row>
    <row r="623" spans="1:24" x14ac:dyDescent="0.35">
      <c r="A623" s="34">
        <v>2020</v>
      </c>
      <c r="B623" s="34" t="s">
        <v>426</v>
      </c>
      <c r="C623" s="34" t="s">
        <v>1471</v>
      </c>
      <c r="D623" s="34" t="s">
        <v>427</v>
      </c>
      <c r="E623" s="34" t="s">
        <v>1144</v>
      </c>
      <c r="F623" s="34" t="s">
        <v>129</v>
      </c>
      <c r="G623" s="34"/>
      <c r="H623" s="34">
        <v>39.423425000000002</v>
      </c>
      <c r="I623" s="34">
        <v>-91.025666000000001</v>
      </c>
      <c r="J623" s="34"/>
      <c r="K623" s="105">
        <v>110054612558</v>
      </c>
      <c r="L623" s="34">
        <v>2869</v>
      </c>
      <c r="M623" s="48" t="str">
        <f>VLOOKUP(L623, '2017 SIC to NAICS'!A:D, 2)</f>
        <v>Industrial Organic Chemicals, Nec</v>
      </c>
      <c r="N623" s="34">
        <f>VLOOKUP(L623,'2017 SIC to NAICS'!A:D,3)</f>
        <v>325998</v>
      </c>
      <c r="O623" s="34" t="str">
        <f>VLOOKUP(L623,'2017 SIC to NAICS'!A:D,4)</f>
        <v>All Other Miscellaneous Chemical Product and Preparation Manufacturing</v>
      </c>
      <c r="P623" s="36" t="s">
        <v>748</v>
      </c>
      <c r="Q623" s="137" t="s">
        <v>749</v>
      </c>
      <c r="R623" s="45" t="s">
        <v>41</v>
      </c>
      <c r="S623" s="138">
        <f>COUNTIFS('Raw Non-zero DMR Data'!$A:$A, A623, 'Raw Non-zero DMR Data'!$C:$C, U623, 'Raw Non-zero DMR Data'!$V:$V, V623)</f>
        <v>1</v>
      </c>
      <c r="T623" s="34">
        <f>SUMIFS('Raw Non-zero DMR Data'!$X:$X, 'Raw Non-zero DMR Data'!$A:$A, A623, 'Raw Non-zero DMR Data'!$C:$C, U623, 'Raw Non-zero DMR Data'!V:V, V623)</f>
        <v>0.1031942</v>
      </c>
      <c r="U623" s="34" t="s">
        <v>1471</v>
      </c>
      <c r="V623" s="34" t="s">
        <v>1472</v>
      </c>
      <c r="W623" s="139">
        <v>71100040702</v>
      </c>
      <c r="X623" s="140" t="s">
        <v>812</v>
      </c>
    </row>
    <row r="624" spans="1:24" x14ac:dyDescent="0.35">
      <c r="A624" s="34">
        <v>2021</v>
      </c>
      <c r="B624" s="34" t="s">
        <v>426</v>
      </c>
      <c r="C624" s="34" t="s">
        <v>1471</v>
      </c>
      <c r="D624" s="34" t="s">
        <v>427</v>
      </c>
      <c r="E624" s="34" t="s">
        <v>1144</v>
      </c>
      <c r="F624" s="34" t="s">
        <v>129</v>
      </c>
      <c r="G624" s="34"/>
      <c r="H624" s="34">
        <v>39.423425000000002</v>
      </c>
      <c r="I624" s="34">
        <v>-91.025666000000001</v>
      </c>
      <c r="J624" s="34"/>
      <c r="K624" s="105">
        <v>110054612558</v>
      </c>
      <c r="L624" s="34">
        <v>2869</v>
      </c>
      <c r="M624" s="48" t="str">
        <f>VLOOKUP(L624, '2017 SIC to NAICS'!A:D, 2)</f>
        <v>Industrial Organic Chemicals, Nec</v>
      </c>
      <c r="N624" s="34">
        <f>VLOOKUP(L624,'2017 SIC to NAICS'!A:D,3)</f>
        <v>325998</v>
      </c>
      <c r="O624" s="34" t="str">
        <f>VLOOKUP(L624,'2017 SIC to NAICS'!A:D,4)</f>
        <v>All Other Miscellaneous Chemical Product and Preparation Manufacturing</v>
      </c>
      <c r="P624" s="36" t="s">
        <v>748</v>
      </c>
      <c r="Q624" s="137" t="s">
        <v>749</v>
      </c>
      <c r="R624" s="45" t="s">
        <v>41</v>
      </c>
      <c r="S624" s="138">
        <f>COUNTIFS('Raw Non-zero DMR Data'!$A:$A, A624, 'Raw Non-zero DMR Data'!$C:$C, U624, 'Raw Non-zero DMR Data'!$V:$V, V624)</f>
        <v>1</v>
      </c>
      <c r="T624" s="34">
        <f>SUMIFS('Raw Non-zero DMR Data'!$X:$X, 'Raw Non-zero DMR Data'!$A:$A, A624, 'Raw Non-zero DMR Data'!$C:$C, U624, 'Raw Non-zero DMR Data'!V:V, V624)</f>
        <v>1.843467E-2</v>
      </c>
      <c r="U624" s="34" t="s">
        <v>1471</v>
      </c>
      <c r="V624" s="34" t="s">
        <v>1472</v>
      </c>
      <c r="W624" s="139">
        <v>71100040702</v>
      </c>
      <c r="X624" s="140" t="s">
        <v>812</v>
      </c>
    </row>
    <row r="625" spans="1:24" x14ac:dyDescent="0.35">
      <c r="A625" s="34">
        <v>2022</v>
      </c>
      <c r="B625" s="34" t="s">
        <v>426</v>
      </c>
      <c r="C625" s="34" t="s">
        <v>1471</v>
      </c>
      <c r="D625" s="34" t="s">
        <v>427</v>
      </c>
      <c r="E625" s="34" t="s">
        <v>1144</v>
      </c>
      <c r="F625" s="34" t="s">
        <v>129</v>
      </c>
      <c r="G625" s="34"/>
      <c r="H625" s="34">
        <v>39.423425000000002</v>
      </c>
      <c r="I625" s="34">
        <v>-91.025666000000001</v>
      </c>
      <c r="J625" s="34"/>
      <c r="K625" s="105">
        <v>110054612558</v>
      </c>
      <c r="L625" s="34">
        <v>2869</v>
      </c>
      <c r="M625" s="48" t="str">
        <f>VLOOKUP(L625, '2017 SIC to NAICS'!A:D, 2)</f>
        <v>Industrial Organic Chemicals, Nec</v>
      </c>
      <c r="N625" s="34">
        <f>VLOOKUP(L625,'2017 SIC to NAICS'!A:D,3)</f>
        <v>325998</v>
      </c>
      <c r="O625" s="34" t="str">
        <f>VLOOKUP(L625,'2017 SIC to NAICS'!A:D,4)</f>
        <v>All Other Miscellaneous Chemical Product and Preparation Manufacturing</v>
      </c>
      <c r="P625" s="36" t="s">
        <v>748</v>
      </c>
      <c r="Q625" s="137" t="s">
        <v>749</v>
      </c>
      <c r="R625" s="45" t="s">
        <v>41</v>
      </c>
      <c r="S625" s="138">
        <f>COUNTIFS('Raw Non-zero DMR Data'!$A:$A, A625, 'Raw Non-zero DMR Data'!$C:$C, U625, 'Raw Non-zero DMR Data'!$V:$V, V625)</f>
        <v>1</v>
      </c>
      <c r="T625" s="34">
        <f>SUMIFS('Raw Non-zero DMR Data'!$X:$X, 'Raw Non-zero DMR Data'!$A:$A, A625, 'Raw Non-zero DMR Data'!$C:$C, U625, 'Raw Non-zero DMR Data'!V:V, V625)</f>
        <v>9.0629749999999995E-2</v>
      </c>
      <c r="U625" s="34" t="s">
        <v>1471</v>
      </c>
      <c r="V625" s="34" t="s">
        <v>1472</v>
      </c>
      <c r="W625" s="141" t="s">
        <v>1473</v>
      </c>
      <c r="X625" s="140" t="s">
        <v>812</v>
      </c>
    </row>
    <row r="626" spans="1:24" x14ac:dyDescent="0.35">
      <c r="A626" s="34">
        <v>2023</v>
      </c>
      <c r="B626" s="34" t="s">
        <v>426</v>
      </c>
      <c r="C626" s="34" t="s">
        <v>1471</v>
      </c>
      <c r="D626" s="34" t="s">
        <v>427</v>
      </c>
      <c r="E626" s="34" t="s">
        <v>1144</v>
      </c>
      <c r="F626" s="34" t="s">
        <v>129</v>
      </c>
      <c r="G626" s="34"/>
      <c r="H626" s="34">
        <v>39.423425000000002</v>
      </c>
      <c r="I626" s="34">
        <v>-91.025666000000001</v>
      </c>
      <c r="J626" s="34"/>
      <c r="K626" s="105">
        <v>110054612558</v>
      </c>
      <c r="L626" s="34">
        <v>2869</v>
      </c>
      <c r="M626" s="48" t="str">
        <f>VLOOKUP(L626, '2017 SIC to NAICS'!A:D, 2)</f>
        <v>Industrial Organic Chemicals, Nec</v>
      </c>
      <c r="N626" s="34">
        <f>VLOOKUP(L626,'2017 SIC to NAICS'!A:D,3)</f>
        <v>325998</v>
      </c>
      <c r="O626" s="34" t="str">
        <f>VLOOKUP(L626,'2017 SIC to NAICS'!A:D,4)</f>
        <v>All Other Miscellaneous Chemical Product and Preparation Manufacturing</v>
      </c>
      <c r="P626" s="36" t="s">
        <v>748</v>
      </c>
      <c r="Q626" s="137" t="s">
        <v>749</v>
      </c>
      <c r="R626" s="45" t="s">
        <v>41</v>
      </c>
      <c r="S626" s="138">
        <f>COUNTIFS('Raw Non-zero DMR Data'!$A:$A, A626, 'Raw Non-zero DMR Data'!$C:$C, U626, 'Raw Non-zero DMR Data'!$V:$V, V626)</f>
        <v>1</v>
      </c>
      <c r="T626" s="34">
        <f>SUMIFS('Raw Non-zero DMR Data'!$X:$X, 'Raw Non-zero DMR Data'!$A:$A, A626, 'Raw Non-zero DMR Data'!$C:$C, U626, 'Raw Non-zero DMR Data'!V:V, V626)</f>
        <v>0.1602393</v>
      </c>
      <c r="U626" s="34" t="s">
        <v>1471</v>
      </c>
      <c r="V626" s="34" t="s">
        <v>1472</v>
      </c>
      <c r="W626" s="141" t="s">
        <v>1473</v>
      </c>
      <c r="X626" s="140" t="s">
        <v>812</v>
      </c>
    </row>
    <row r="627" spans="1:24" x14ac:dyDescent="0.35">
      <c r="A627" s="34">
        <v>2019</v>
      </c>
      <c r="B627" s="34" t="s">
        <v>558</v>
      </c>
      <c r="C627" s="34" t="s">
        <v>1474</v>
      </c>
      <c r="D627" s="34" t="s">
        <v>559</v>
      </c>
      <c r="E627" s="34" t="s">
        <v>1475</v>
      </c>
      <c r="F627" s="34" t="s">
        <v>560</v>
      </c>
      <c r="G627" s="34"/>
      <c r="H627" s="34">
        <v>41.111856000000003</v>
      </c>
      <c r="I627" s="34">
        <v>-95.923699999999997</v>
      </c>
      <c r="J627" s="34"/>
      <c r="K627" s="105">
        <v>110001512603</v>
      </c>
      <c r="L627" s="34">
        <v>9711</v>
      </c>
      <c r="M627" s="48" t="str">
        <f>VLOOKUP(L627, '2017 SIC to NAICS'!A:D, 2)</f>
        <v>National Security</v>
      </c>
      <c r="N627" s="34">
        <f>VLOOKUP(L627,'2017 SIC to NAICS'!A:D,3)</f>
        <v>928110</v>
      </c>
      <c r="O627" s="34" t="str">
        <f>VLOOKUP(L627,'2017 SIC to NAICS'!A:D,4)</f>
        <v>National Security</v>
      </c>
      <c r="P627" s="36" t="s">
        <v>754</v>
      </c>
      <c r="Q627" s="137" t="s">
        <v>755</v>
      </c>
      <c r="R627" s="45" t="s">
        <v>38</v>
      </c>
      <c r="S627" s="138">
        <f>COUNTIFS('Raw Non-zero DMR Data'!$A:$A, A627, 'Raw Non-zero DMR Data'!$C:$C, U627, 'Raw Non-zero DMR Data'!$V:$V, V627)</f>
        <v>1</v>
      </c>
      <c r="T627" s="34">
        <f>SUMIFS('Raw Non-zero DMR Data'!$X:$X, 'Raw Non-zero DMR Data'!$A:$A, A627, 'Raw Non-zero DMR Data'!$C:$C, U627, 'Raw Non-zero DMR Data'!V:V, V627)</f>
        <v>2.2814844500000001E-2</v>
      </c>
      <c r="U627" s="34" t="s">
        <v>1474</v>
      </c>
      <c r="V627" s="34" t="s">
        <v>1476</v>
      </c>
      <c r="W627" s="139">
        <v>102300060206</v>
      </c>
      <c r="X627" s="140" t="s">
        <v>739</v>
      </c>
    </row>
    <row r="628" spans="1:24" x14ac:dyDescent="0.35">
      <c r="A628" s="34">
        <v>2020</v>
      </c>
      <c r="B628" s="34" t="s">
        <v>558</v>
      </c>
      <c r="C628" s="34" t="s">
        <v>1474</v>
      </c>
      <c r="D628" s="34" t="s">
        <v>559</v>
      </c>
      <c r="E628" s="34" t="s">
        <v>1475</v>
      </c>
      <c r="F628" s="34" t="s">
        <v>560</v>
      </c>
      <c r="G628" s="34"/>
      <c r="H628" s="34">
        <v>41.111856000000003</v>
      </c>
      <c r="I628" s="34">
        <v>-95.923699999999997</v>
      </c>
      <c r="J628" s="34"/>
      <c r="K628" s="105">
        <v>110001512603</v>
      </c>
      <c r="L628" s="34">
        <v>9711</v>
      </c>
      <c r="M628" s="48" t="str">
        <f>VLOOKUP(L628, '2017 SIC to NAICS'!A:D, 2)</f>
        <v>National Security</v>
      </c>
      <c r="N628" s="34">
        <f>VLOOKUP(L628,'2017 SIC to NAICS'!A:D,3)</f>
        <v>928110</v>
      </c>
      <c r="O628" s="34" t="str">
        <f>VLOOKUP(L628,'2017 SIC to NAICS'!A:D,4)</f>
        <v>National Security</v>
      </c>
      <c r="P628" s="36" t="s">
        <v>754</v>
      </c>
      <c r="Q628" s="137" t="s">
        <v>755</v>
      </c>
      <c r="R628" s="45" t="s">
        <v>38</v>
      </c>
      <c r="S628" s="138">
        <f>COUNTIFS('Raw Non-zero DMR Data'!$A:$A, A628, 'Raw Non-zero DMR Data'!$C:$C, U628, 'Raw Non-zero DMR Data'!$V:$V, V628)</f>
        <v>1</v>
      </c>
      <c r="T628" s="34">
        <f>SUMIFS('Raw Non-zero DMR Data'!$X:$X, 'Raw Non-zero DMR Data'!$A:$A, A628, 'Raw Non-zero DMR Data'!$C:$C, U628, 'Raw Non-zero DMR Data'!V:V, V628)</f>
        <v>1.0736152500000001E-3</v>
      </c>
      <c r="U628" s="34" t="s">
        <v>1474</v>
      </c>
      <c r="V628" s="34" t="s">
        <v>1476</v>
      </c>
      <c r="W628" s="139">
        <v>102300060206</v>
      </c>
      <c r="X628" s="140" t="s">
        <v>739</v>
      </c>
    </row>
    <row r="629" spans="1:24" x14ac:dyDescent="0.35">
      <c r="A629" s="34">
        <v>2021</v>
      </c>
      <c r="B629" s="34" t="s">
        <v>558</v>
      </c>
      <c r="C629" s="34" t="s">
        <v>1474</v>
      </c>
      <c r="D629" s="34" t="s">
        <v>559</v>
      </c>
      <c r="E629" s="34" t="s">
        <v>1475</v>
      </c>
      <c r="F629" s="34" t="s">
        <v>560</v>
      </c>
      <c r="G629" s="34"/>
      <c r="H629" s="34">
        <v>41.111856000000003</v>
      </c>
      <c r="I629" s="34">
        <v>-95.923699999999997</v>
      </c>
      <c r="J629" s="34"/>
      <c r="K629" s="105">
        <v>110001512603</v>
      </c>
      <c r="L629" s="34">
        <v>9711</v>
      </c>
      <c r="M629" s="48" t="str">
        <f>VLOOKUP(L629, '2017 SIC to NAICS'!A:D, 2)</f>
        <v>National Security</v>
      </c>
      <c r="N629" s="34">
        <f>VLOOKUP(L629,'2017 SIC to NAICS'!A:D,3)</f>
        <v>928110</v>
      </c>
      <c r="O629" s="34" t="str">
        <f>VLOOKUP(L629,'2017 SIC to NAICS'!A:D,4)</f>
        <v>National Security</v>
      </c>
      <c r="P629" s="36" t="s">
        <v>754</v>
      </c>
      <c r="Q629" s="137" t="s">
        <v>755</v>
      </c>
      <c r="R629" s="45" t="s">
        <v>38</v>
      </c>
      <c r="S629" s="138">
        <f>COUNTIFS('Raw Non-zero DMR Data'!$A:$A, A629, 'Raw Non-zero DMR Data'!$C:$C, U629, 'Raw Non-zero DMR Data'!$V:$V, V629)</f>
        <v>1</v>
      </c>
      <c r="T629" s="34">
        <f>SUMIFS('Raw Non-zero DMR Data'!$X:$X, 'Raw Non-zero DMR Data'!$A:$A, A629, 'Raw Non-zero DMR Data'!$C:$C, U629, 'Raw Non-zero DMR Data'!V:V, V629)</f>
        <v>1.1936376E-2</v>
      </c>
      <c r="U629" s="34" t="s">
        <v>1474</v>
      </c>
      <c r="V629" s="34" t="s">
        <v>1476</v>
      </c>
      <c r="W629" s="139">
        <v>102300060206</v>
      </c>
      <c r="X629" s="140" t="s">
        <v>739</v>
      </c>
    </row>
    <row r="630" spans="1:24" x14ac:dyDescent="0.35">
      <c r="A630" s="34">
        <v>2022</v>
      </c>
      <c r="B630" s="34" t="s">
        <v>558</v>
      </c>
      <c r="C630" s="34" t="s">
        <v>1474</v>
      </c>
      <c r="D630" s="34" t="s">
        <v>559</v>
      </c>
      <c r="E630" s="34" t="s">
        <v>1475</v>
      </c>
      <c r="F630" s="34" t="s">
        <v>560</v>
      </c>
      <c r="G630" s="34"/>
      <c r="H630" s="34">
        <v>41.111856000000003</v>
      </c>
      <c r="I630" s="34">
        <v>-95.923699999999997</v>
      </c>
      <c r="J630" s="34"/>
      <c r="K630" s="105">
        <v>110001512603</v>
      </c>
      <c r="L630" s="34">
        <v>9711</v>
      </c>
      <c r="M630" s="48" t="str">
        <f>VLOOKUP(L630, '2017 SIC to NAICS'!A:D, 2)</f>
        <v>National Security</v>
      </c>
      <c r="N630" s="34">
        <f>VLOOKUP(L630,'2017 SIC to NAICS'!A:D,3)</f>
        <v>928110</v>
      </c>
      <c r="O630" s="34" t="str">
        <f>VLOOKUP(L630,'2017 SIC to NAICS'!A:D,4)</f>
        <v>National Security</v>
      </c>
      <c r="P630" s="36" t="s">
        <v>754</v>
      </c>
      <c r="Q630" s="137" t="s">
        <v>755</v>
      </c>
      <c r="R630" s="45" t="s">
        <v>38</v>
      </c>
      <c r="S630" s="138">
        <f>COUNTIFS('Raw Non-zero DMR Data'!$A:$A, A630, 'Raw Non-zero DMR Data'!$C:$C, U630, 'Raw Non-zero DMR Data'!$V:$V, V630)</f>
        <v>1</v>
      </c>
      <c r="T630" s="34">
        <f>SUMIFS('Raw Non-zero DMR Data'!$X:$X, 'Raw Non-zero DMR Data'!$A:$A, A630, 'Raw Non-zero DMR Data'!$C:$C, U630, 'Raw Non-zero DMR Data'!V:V, V630)</f>
        <v>2.9405665000000001E-3</v>
      </c>
      <c r="U630" s="34" t="s">
        <v>1474</v>
      </c>
      <c r="V630" s="34" t="s">
        <v>1476</v>
      </c>
      <c r="W630" s="139">
        <v>102300060206</v>
      </c>
      <c r="X630" s="140" t="s">
        <v>739</v>
      </c>
    </row>
    <row r="631" spans="1:24" x14ac:dyDescent="0.35">
      <c r="A631" s="34">
        <v>2023</v>
      </c>
      <c r="B631" s="34" t="s">
        <v>558</v>
      </c>
      <c r="C631" s="34" t="s">
        <v>1474</v>
      </c>
      <c r="D631" s="34" t="s">
        <v>559</v>
      </c>
      <c r="E631" s="34" t="s">
        <v>1475</v>
      </c>
      <c r="F631" s="34" t="s">
        <v>560</v>
      </c>
      <c r="G631" s="34"/>
      <c r="H631" s="34">
        <v>41.111856000000003</v>
      </c>
      <c r="I631" s="34">
        <v>-95.923699999999997</v>
      </c>
      <c r="J631" s="34"/>
      <c r="K631" s="105">
        <v>110001512603</v>
      </c>
      <c r="L631" s="34">
        <v>9711</v>
      </c>
      <c r="M631" s="48" t="str">
        <f>VLOOKUP(L631, '2017 SIC to NAICS'!A:D, 2)</f>
        <v>National Security</v>
      </c>
      <c r="N631" s="34">
        <f>VLOOKUP(L631,'2017 SIC to NAICS'!A:D,3)</f>
        <v>928110</v>
      </c>
      <c r="O631" s="34" t="str">
        <f>VLOOKUP(L631,'2017 SIC to NAICS'!A:D,4)</f>
        <v>National Security</v>
      </c>
      <c r="P631" s="36" t="s">
        <v>754</v>
      </c>
      <c r="Q631" s="137" t="s">
        <v>755</v>
      </c>
      <c r="R631" s="45" t="s">
        <v>38</v>
      </c>
      <c r="S631" s="138">
        <f>COUNTIFS('Raw Non-zero DMR Data'!$A:$A, A631, 'Raw Non-zero DMR Data'!$C:$C, U631, 'Raw Non-zero DMR Data'!$V:$V, V631)</f>
        <v>1</v>
      </c>
      <c r="T631" s="34">
        <f>SUMIFS('Raw Non-zero DMR Data'!$X:$X, 'Raw Non-zero DMR Data'!$A:$A, A631, 'Raw Non-zero DMR Data'!$C:$C, U631, 'Raw Non-zero DMR Data'!V:V, V631)</f>
        <v>5.0842012499999999E-3</v>
      </c>
      <c r="U631" s="34" t="s">
        <v>1474</v>
      </c>
      <c r="V631" s="34" t="s">
        <v>1476</v>
      </c>
      <c r="W631" s="139">
        <v>102300060206</v>
      </c>
      <c r="X631" s="140" t="s">
        <v>739</v>
      </c>
    </row>
    <row r="632" spans="1:24" x14ac:dyDescent="0.35">
      <c r="A632" s="34">
        <v>2019</v>
      </c>
      <c r="B632" s="34" t="s">
        <v>252</v>
      </c>
      <c r="C632" s="34" t="s">
        <v>1477</v>
      </c>
      <c r="D632" s="34" t="s">
        <v>253</v>
      </c>
      <c r="E632" s="34" t="s">
        <v>1113</v>
      </c>
      <c r="F632" s="34" t="s">
        <v>254</v>
      </c>
      <c r="G632" s="34"/>
      <c r="H632" s="34">
        <v>40.640135000000001</v>
      </c>
      <c r="I632" s="34">
        <v>-74.218879999999999</v>
      </c>
      <c r="J632" s="34"/>
      <c r="K632" s="105">
        <v>110041133163</v>
      </c>
      <c r="L632" s="34">
        <v>2911</v>
      </c>
      <c r="M632" s="48" t="str">
        <f>VLOOKUP(L632, '2017 SIC to NAICS'!A:D, 2)</f>
        <v>Petroleum Refining</v>
      </c>
      <c r="N632" s="34">
        <f>VLOOKUP(L632,'2017 SIC to NAICS'!A:D,3)</f>
        <v>324110</v>
      </c>
      <c r="O632" s="34" t="str">
        <f>VLOOKUP(L632,'2017 SIC to NAICS'!A:D,4)</f>
        <v>Petroleum Refineries</v>
      </c>
      <c r="P632" s="36" t="s">
        <v>760</v>
      </c>
      <c r="Q632" s="137" t="s">
        <v>761</v>
      </c>
      <c r="R632" s="45" t="s">
        <v>41</v>
      </c>
      <c r="S632" s="138">
        <f>COUNTIFS('Raw Non-zero DMR Data'!$A:$A, A632, 'Raw Non-zero DMR Data'!$C:$C, U632, 'Raw Non-zero DMR Data'!$V:$V, V632)</f>
        <v>1</v>
      </c>
      <c r="T632" s="34">
        <f>SUMIFS('Raw Non-zero DMR Data'!$X:$X, 'Raw Non-zero DMR Data'!$A:$A, A632, 'Raw Non-zero DMR Data'!$C:$C, U632, 'Raw Non-zero DMR Data'!V:V, V632)</f>
        <v>2</v>
      </c>
      <c r="U632" s="34" t="s">
        <v>1477</v>
      </c>
      <c r="V632" s="34" t="s">
        <v>1478</v>
      </c>
      <c r="W632" s="139">
        <v>20301040204</v>
      </c>
      <c r="X632" s="140" t="s">
        <v>1479</v>
      </c>
    </row>
    <row r="633" spans="1:24" x14ac:dyDescent="0.35">
      <c r="A633" s="34">
        <v>2020</v>
      </c>
      <c r="B633" s="34" t="s">
        <v>252</v>
      </c>
      <c r="C633" s="34" t="s">
        <v>1477</v>
      </c>
      <c r="D633" s="34" t="s">
        <v>253</v>
      </c>
      <c r="E633" s="34" t="s">
        <v>1113</v>
      </c>
      <c r="F633" s="34" t="s">
        <v>254</v>
      </c>
      <c r="G633" s="34"/>
      <c r="H633" s="34">
        <v>40.640135000000001</v>
      </c>
      <c r="I633" s="34">
        <v>-74.218879999999999</v>
      </c>
      <c r="J633" s="34"/>
      <c r="K633" s="105">
        <v>110041133163</v>
      </c>
      <c r="L633" s="34">
        <v>2911</v>
      </c>
      <c r="M633" s="48" t="str">
        <f>VLOOKUP(L633, '2017 SIC to NAICS'!A:D, 2)</f>
        <v>Petroleum Refining</v>
      </c>
      <c r="N633" s="34">
        <f>VLOOKUP(L633,'2017 SIC to NAICS'!A:D,3)</f>
        <v>324110</v>
      </c>
      <c r="O633" s="34" t="str">
        <f>VLOOKUP(L633,'2017 SIC to NAICS'!A:D,4)</f>
        <v>Petroleum Refineries</v>
      </c>
      <c r="P633" s="36" t="s">
        <v>760</v>
      </c>
      <c r="Q633" s="137" t="s">
        <v>761</v>
      </c>
      <c r="R633" s="45" t="s">
        <v>41</v>
      </c>
      <c r="S633" s="138">
        <f>COUNTIFS('Raw Non-zero DMR Data'!$A:$A, A633, 'Raw Non-zero DMR Data'!$C:$C, U633, 'Raw Non-zero DMR Data'!$V:$V, V633)</f>
        <v>1</v>
      </c>
      <c r="T633" s="34">
        <f>SUMIFS('Raw Non-zero DMR Data'!$X:$X, 'Raw Non-zero DMR Data'!$A:$A, A633, 'Raw Non-zero DMR Data'!$C:$C, U633, 'Raw Non-zero DMR Data'!V:V, V633)</f>
        <v>2.3050000000000002</v>
      </c>
      <c r="U633" s="34" t="s">
        <v>1477</v>
      </c>
      <c r="V633" s="34" t="s">
        <v>1478</v>
      </c>
      <c r="W633" s="139">
        <v>20301040204</v>
      </c>
      <c r="X633" s="140" t="s">
        <v>1479</v>
      </c>
    </row>
    <row r="634" spans="1:24" x14ac:dyDescent="0.35">
      <c r="A634" s="34">
        <v>2021</v>
      </c>
      <c r="B634" s="34" t="s">
        <v>252</v>
      </c>
      <c r="C634" s="34" t="s">
        <v>1477</v>
      </c>
      <c r="D634" s="34" t="s">
        <v>253</v>
      </c>
      <c r="E634" s="34" t="s">
        <v>1113</v>
      </c>
      <c r="F634" s="34" t="s">
        <v>254</v>
      </c>
      <c r="G634" s="34"/>
      <c r="H634" s="34">
        <v>40.640135000000001</v>
      </c>
      <c r="I634" s="34">
        <v>-74.218879999999999</v>
      </c>
      <c r="J634" s="34"/>
      <c r="K634" s="105">
        <v>110041133163</v>
      </c>
      <c r="L634" s="34">
        <v>2911</v>
      </c>
      <c r="M634" s="48" t="str">
        <f>VLOOKUP(L634, '2017 SIC to NAICS'!A:D, 2)</f>
        <v>Petroleum Refining</v>
      </c>
      <c r="N634" s="34">
        <f>VLOOKUP(L634,'2017 SIC to NAICS'!A:D,3)</f>
        <v>324110</v>
      </c>
      <c r="O634" s="34" t="str">
        <f>VLOOKUP(L634,'2017 SIC to NAICS'!A:D,4)</f>
        <v>Petroleum Refineries</v>
      </c>
      <c r="P634" s="36" t="s">
        <v>760</v>
      </c>
      <c r="Q634" s="137" t="s">
        <v>761</v>
      </c>
      <c r="R634" s="45" t="s">
        <v>41</v>
      </c>
      <c r="S634" s="138">
        <f>COUNTIFS('Raw Non-zero DMR Data'!$A:$A, A634, 'Raw Non-zero DMR Data'!$C:$C, U634, 'Raw Non-zero DMR Data'!$V:$V, V634)</f>
        <v>1</v>
      </c>
      <c r="T634" s="34">
        <f>SUMIFS('Raw Non-zero DMR Data'!$X:$X, 'Raw Non-zero DMR Data'!$A:$A, A634, 'Raw Non-zero DMR Data'!$C:$C, U634, 'Raw Non-zero DMR Data'!V:V, V634)</f>
        <v>1.845</v>
      </c>
      <c r="U634" s="34" t="s">
        <v>1477</v>
      </c>
      <c r="V634" s="34" t="s">
        <v>1478</v>
      </c>
      <c r="W634" s="139">
        <v>20301040204</v>
      </c>
      <c r="X634" s="140" t="s">
        <v>1479</v>
      </c>
    </row>
    <row r="635" spans="1:24" x14ac:dyDescent="0.35">
      <c r="A635" s="34">
        <v>2022</v>
      </c>
      <c r="B635" s="34" t="s">
        <v>252</v>
      </c>
      <c r="C635" s="34" t="s">
        <v>1477</v>
      </c>
      <c r="D635" s="34" t="s">
        <v>253</v>
      </c>
      <c r="E635" s="34" t="s">
        <v>1113</v>
      </c>
      <c r="F635" s="34" t="s">
        <v>254</v>
      </c>
      <c r="G635" s="34"/>
      <c r="H635" s="34">
        <v>40.640135000000001</v>
      </c>
      <c r="I635" s="34">
        <v>-74.218879999999999</v>
      </c>
      <c r="J635" s="34"/>
      <c r="K635" s="105">
        <v>110041133163</v>
      </c>
      <c r="L635" s="34">
        <v>2911</v>
      </c>
      <c r="M635" s="48" t="str">
        <f>VLOOKUP(L635, '2017 SIC to NAICS'!A:D, 2)</f>
        <v>Petroleum Refining</v>
      </c>
      <c r="N635" s="34">
        <f>VLOOKUP(L635,'2017 SIC to NAICS'!A:D,3)</f>
        <v>324110</v>
      </c>
      <c r="O635" s="34" t="str">
        <f>VLOOKUP(L635,'2017 SIC to NAICS'!A:D,4)</f>
        <v>Petroleum Refineries</v>
      </c>
      <c r="P635" s="36" t="s">
        <v>760</v>
      </c>
      <c r="Q635" s="137" t="s">
        <v>761</v>
      </c>
      <c r="R635" s="45" t="s">
        <v>41</v>
      </c>
      <c r="S635" s="138">
        <f>COUNTIFS('Raw Non-zero DMR Data'!$A:$A, A635, 'Raw Non-zero DMR Data'!$C:$C, U635, 'Raw Non-zero DMR Data'!$V:$V, V635)</f>
        <v>1</v>
      </c>
      <c r="T635" s="34">
        <f>SUMIFS('Raw Non-zero DMR Data'!$X:$X, 'Raw Non-zero DMR Data'!$A:$A, A635, 'Raw Non-zero DMR Data'!$C:$C, U635, 'Raw Non-zero DMR Data'!V:V, V635)</f>
        <v>1.9950000000000001</v>
      </c>
      <c r="U635" s="34" t="s">
        <v>1477</v>
      </c>
      <c r="V635" s="34" t="s">
        <v>1478</v>
      </c>
      <c r="W635" s="141" t="s">
        <v>1480</v>
      </c>
      <c r="X635" s="140" t="s">
        <v>1479</v>
      </c>
    </row>
    <row r="636" spans="1:24" x14ac:dyDescent="0.35">
      <c r="A636" s="34">
        <v>2023</v>
      </c>
      <c r="B636" s="34" t="s">
        <v>252</v>
      </c>
      <c r="C636" s="34" t="s">
        <v>1477</v>
      </c>
      <c r="D636" s="34" t="s">
        <v>253</v>
      </c>
      <c r="E636" s="34" t="s">
        <v>1113</v>
      </c>
      <c r="F636" s="34" t="s">
        <v>254</v>
      </c>
      <c r="G636" s="34"/>
      <c r="H636" s="34">
        <v>40.640135000000001</v>
      </c>
      <c r="I636" s="34">
        <v>-74.218879999999999</v>
      </c>
      <c r="J636" s="34"/>
      <c r="K636" s="105">
        <v>110041133163</v>
      </c>
      <c r="L636" s="34">
        <v>2911</v>
      </c>
      <c r="M636" s="48" t="str">
        <f>VLOOKUP(L636, '2017 SIC to NAICS'!A:D, 2)</f>
        <v>Petroleum Refining</v>
      </c>
      <c r="N636" s="34">
        <f>VLOOKUP(L636,'2017 SIC to NAICS'!A:D,3)</f>
        <v>324110</v>
      </c>
      <c r="O636" s="34" t="str">
        <f>VLOOKUP(L636,'2017 SIC to NAICS'!A:D,4)</f>
        <v>Petroleum Refineries</v>
      </c>
      <c r="P636" s="36" t="s">
        <v>760</v>
      </c>
      <c r="Q636" s="137" t="s">
        <v>761</v>
      </c>
      <c r="R636" s="45" t="s">
        <v>41</v>
      </c>
      <c r="S636" s="138">
        <f>COUNTIFS('Raw Non-zero DMR Data'!$A:$A, A636, 'Raw Non-zero DMR Data'!$C:$C, U636, 'Raw Non-zero DMR Data'!$V:$V, V636)</f>
        <v>1</v>
      </c>
      <c r="T636" s="34">
        <f>SUMIFS('Raw Non-zero DMR Data'!$X:$X, 'Raw Non-zero DMR Data'!$A:$A, A636, 'Raw Non-zero DMR Data'!$C:$C, U636, 'Raw Non-zero DMR Data'!V:V, V636)</f>
        <v>2.3050000000000002</v>
      </c>
      <c r="U636" s="34" t="s">
        <v>1477</v>
      </c>
      <c r="V636" s="34" t="s">
        <v>1478</v>
      </c>
      <c r="W636" s="141" t="s">
        <v>1480</v>
      </c>
      <c r="X636" s="140" t="s">
        <v>1479</v>
      </c>
    </row>
    <row r="637" spans="1:24" x14ac:dyDescent="0.35">
      <c r="A637" s="34">
        <v>2023</v>
      </c>
      <c r="B637" s="34" t="s">
        <v>431</v>
      </c>
      <c r="C637" s="34" t="s">
        <v>1481</v>
      </c>
      <c r="D637" s="34" t="s">
        <v>432</v>
      </c>
      <c r="E637" s="34" t="s">
        <v>1482</v>
      </c>
      <c r="F637" s="34" t="s">
        <v>254</v>
      </c>
      <c r="G637" s="34"/>
      <c r="H637" s="34">
        <v>40.703099000000002</v>
      </c>
      <c r="I637" s="34">
        <v>-75.197676000000001</v>
      </c>
      <c r="J637" s="34"/>
      <c r="K637" s="105">
        <v>110000322311</v>
      </c>
      <c r="L637" s="34">
        <v>2819</v>
      </c>
      <c r="M637" s="48" t="str">
        <f>VLOOKUP(L637, '2017 SIC to NAICS'!A:D, 2)</f>
        <v>Industrial Inorganic Chemicals, Nec</v>
      </c>
      <c r="N637" s="34">
        <f>VLOOKUP(L637,'2017 SIC to NAICS'!A:D,3)</f>
        <v>331313</v>
      </c>
      <c r="O637" s="34" t="str">
        <f>VLOOKUP(L637,'2017 SIC to NAICS'!A:D,4)</f>
        <v>Alumina Refining and Primary Aluminum
Production</v>
      </c>
      <c r="P637" s="36" t="s">
        <v>785</v>
      </c>
      <c r="Q637" s="137" t="s">
        <v>786</v>
      </c>
      <c r="R637" s="45" t="s">
        <v>41</v>
      </c>
      <c r="S637" s="138">
        <f>COUNTIFS('Raw Non-zero DMR Data'!$A:$A, A637, 'Raw Non-zero DMR Data'!$C:$C, U637, 'Raw Non-zero DMR Data'!$V:$V, V637)</f>
        <v>1</v>
      </c>
      <c r="T637" s="34">
        <f>SUMIFS('Raw Non-zero DMR Data'!$X:$X, 'Raw Non-zero DMR Data'!$A:$A, A637, 'Raw Non-zero DMR Data'!$C:$C, U637, 'Raw Non-zero DMR Data'!V:V, V637)</f>
        <v>0.15440000000000001</v>
      </c>
      <c r="U637" s="34" t="s">
        <v>1481</v>
      </c>
      <c r="V637" s="34" t="s">
        <v>1483</v>
      </c>
      <c r="W637" s="141" t="s">
        <v>1484</v>
      </c>
      <c r="X637" s="140" t="s">
        <v>1485</v>
      </c>
    </row>
    <row r="638" spans="1:24" x14ac:dyDescent="0.35">
      <c r="A638" s="34">
        <v>2019</v>
      </c>
      <c r="B638" s="34" t="s">
        <v>699</v>
      </c>
      <c r="C638" s="34" t="s">
        <v>1486</v>
      </c>
      <c r="D638" s="34" t="s">
        <v>700</v>
      </c>
      <c r="E638" s="34" t="s">
        <v>1487</v>
      </c>
      <c r="F638" s="34" t="s">
        <v>254</v>
      </c>
      <c r="G638" s="34"/>
      <c r="H638" s="34">
        <v>39.766944000000002</v>
      </c>
      <c r="I638" s="34">
        <v>-75.421361000000005</v>
      </c>
      <c r="J638" s="34"/>
      <c r="K638" s="105">
        <v>110041022274</v>
      </c>
      <c r="L638" s="34">
        <v>2821</v>
      </c>
      <c r="M638" s="48" t="str">
        <f>VLOOKUP(L638, '2017 SIC to NAICS'!A:D, 2)</f>
        <v>Plastics Materials and Resins</v>
      </c>
      <c r="N638" s="34">
        <f>VLOOKUP(L638,'2017 SIC to NAICS'!A:D,3)</f>
        <v>325211</v>
      </c>
      <c r="O638" s="34" t="str">
        <f>VLOOKUP(L638,'2017 SIC to NAICS'!A:D,4)</f>
        <v>Plastics Material and Resin Manufacturing</v>
      </c>
      <c r="P638" s="36" t="s">
        <v>796</v>
      </c>
      <c r="Q638" s="137" t="s">
        <v>797</v>
      </c>
      <c r="R638" s="45" t="s">
        <v>41</v>
      </c>
      <c r="S638" s="138">
        <f>COUNTIFS('Raw Non-zero DMR Data'!$A:$A, A638, 'Raw Non-zero DMR Data'!$C:$C, U638, 'Raw Non-zero DMR Data'!$V:$V, V638)</f>
        <v>1</v>
      </c>
      <c r="T638" s="34">
        <f>SUMIFS('Raw Non-zero DMR Data'!$X:$X, 'Raw Non-zero DMR Data'!$A:$A, A638, 'Raw Non-zero DMR Data'!$C:$C, U638, 'Raw Non-zero DMR Data'!V:V, V638)</f>
        <v>2.0149999999999999E-5</v>
      </c>
      <c r="U638" s="34" t="s">
        <v>1486</v>
      </c>
      <c r="V638" s="34" t="s">
        <v>1488</v>
      </c>
      <c r="W638" s="139">
        <v>20402060103</v>
      </c>
      <c r="X638" s="140" t="s">
        <v>1489</v>
      </c>
    </row>
    <row r="639" spans="1:24" x14ac:dyDescent="0.35">
      <c r="A639" s="34">
        <v>2020</v>
      </c>
      <c r="B639" s="34" t="s">
        <v>699</v>
      </c>
      <c r="C639" s="34" t="s">
        <v>1486</v>
      </c>
      <c r="D639" s="34" t="s">
        <v>700</v>
      </c>
      <c r="E639" s="34" t="s">
        <v>1487</v>
      </c>
      <c r="F639" s="34" t="s">
        <v>254</v>
      </c>
      <c r="G639" s="34"/>
      <c r="H639" s="34">
        <v>39.766944000000002</v>
      </c>
      <c r="I639" s="34">
        <v>-75.421361000000005</v>
      </c>
      <c r="J639" s="34"/>
      <c r="K639" s="105">
        <v>110041022274</v>
      </c>
      <c r="L639" s="34">
        <v>2821</v>
      </c>
      <c r="M639" s="48" t="str">
        <f>VLOOKUP(L639, '2017 SIC to NAICS'!A:D, 2)</f>
        <v>Plastics Materials and Resins</v>
      </c>
      <c r="N639" s="34">
        <f>VLOOKUP(L639,'2017 SIC to NAICS'!A:D,3)</f>
        <v>325211</v>
      </c>
      <c r="O639" s="34" t="str">
        <f>VLOOKUP(L639,'2017 SIC to NAICS'!A:D,4)</f>
        <v>Plastics Material and Resin Manufacturing</v>
      </c>
      <c r="P639" s="36" t="s">
        <v>796</v>
      </c>
      <c r="Q639" s="137" t="s">
        <v>797</v>
      </c>
      <c r="R639" s="45" t="s">
        <v>41</v>
      </c>
      <c r="S639" s="138">
        <f>COUNTIFS('Raw Non-zero DMR Data'!$A:$A, A639, 'Raw Non-zero DMR Data'!$C:$C, U639, 'Raw Non-zero DMR Data'!$V:$V, V639)</f>
        <v>1</v>
      </c>
      <c r="T639" s="34">
        <f>SUMIFS('Raw Non-zero DMR Data'!$X:$X, 'Raw Non-zero DMR Data'!$A:$A, A639, 'Raw Non-zero DMR Data'!$C:$C, U639, 'Raw Non-zero DMR Data'!V:V, V639)</f>
        <v>1.0499999999999999E-5</v>
      </c>
      <c r="U639" s="34" t="s">
        <v>1486</v>
      </c>
      <c r="V639" s="34" t="s">
        <v>1488</v>
      </c>
      <c r="W639" s="139">
        <v>20402060103</v>
      </c>
      <c r="X639" s="140" t="s">
        <v>1489</v>
      </c>
    </row>
    <row r="640" spans="1:24" x14ac:dyDescent="0.35">
      <c r="A640" s="34">
        <v>2021</v>
      </c>
      <c r="B640" s="34" t="s">
        <v>699</v>
      </c>
      <c r="C640" s="34" t="s">
        <v>1486</v>
      </c>
      <c r="D640" s="34" t="s">
        <v>700</v>
      </c>
      <c r="E640" s="34" t="s">
        <v>1487</v>
      </c>
      <c r="F640" s="34" t="s">
        <v>254</v>
      </c>
      <c r="G640" s="34"/>
      <c r="H640" s="34">
        <v>39.766944000000002</v>
      </c>
      <c r="I640" s="34">
        <v>-75.421361000000005</v>
      </c>
      <c r="J640" s="34"/>
      <c r="K640" s="105">
        <v>110041022274</v>
      </c>
      <c r="L640" s="34">
        <v>2821</v>
      </c>
      <c r="M640" s="48" t="str">
        <f>VLOOKUP(L640, '2017 SIC to NAICS'!A:D, 2)</f>
        <v>Plastics Materials and Resins</v>
      </c>
      <c r="N640" s="34">
        <f>VLOOKUP(L640,'2017 SIC to NAICS'!A:D,3)</f>
        <v>325211</v>
      </c>
      <c r="O640" s="34" t="str">
        <f>VLOOKUP(L640,'2017 SIC to NAICS'!A:D,4)</f>
        <v>Plastics Material and Resin Manufacturing</v>
      </c>
      <c r="P640" s="36" t="s">
        <v>796</v>
      </c>
      <c r="Q640" s="137" t="s">
        <v>797</v>
      </c>
      <c r="R640" s="45" t="s">
        <v>41</v>
      </c>
      <c r="S640" s="138">
        <f>COUNTIFS('Raw Non-zero DMR Data'!$A:$A, A640, 'Raw Non-zero DMR Data'!$C:$C, U640, 'Raw Non-zero DMR Data'!$V:$V, V640)</f>
        <v>1</v>
      </c>
      <c r="T640" s="34">
        <f>SUMIFS('Raw Non-zero DMR Data'!$X:$X, 'Raw Non-zero DMR Data'!$A:$A, A640, 'Raw Non-zero DMR Data'!$C:$C, U640, 'Raw Non-zero DMR Data'!V:V, V640)</f>
        <v>1.3499999999999999E-5</v>
      </c>
      <c r="U640" s="34" t="s">
        <v>1486</v>
      </c>
      <c r="V640" s="34" t="s">
        <v>1488</v>
      </c>
      <c r="W640" s="139">
        <v>20402060103</v>
      </c>
      <c r="X640" s="140" t="s">
        <v>1489</v>
      </c>
    </row>
    <row r="641" spans="1:24" x14ac:dyDescent="0.35">
      <c r="A641" s="34">
        <v>2022</v>
      </c>
      <c r="B641" s="34" t="s">
        <v>699</v>
      </c>
      <c r="C641" s="34" t="s">
        <v>1486</v>
      </c>
      <c r="D641" s="34" t="s">
        <v>700</v>
      </c>
      <c r="E641" s="34" t="s">
        <v>1487</v>
      </c>
      <c r="F641" s="34" t="s">
        <v>254</v>
      </c>
      <c r="G641" s="34"/>
      <c r="H641" s="34">
        <v>39.766944000000002</v>
      </c>
      <c r="I641" s="34">
        <v>-75.421361000000005</v>
      </c>
      <c r="J641" s="34"/>
      <c r="K641" s="105">
        <v>110041022274</v>
      </c>
      <c r="L641" s="34">
        <v>2821</v>
      </c>
      <c r="M641" s="48" t="str">
        <f>VLOOKUP(L641, '2017 SIC to NAICS'!A:D, 2)</f>
        <v>Plastics Materials and Resins</v>
      </c>
      <c r="N641" s="34">
        <f>VLOOKUP(L641,'2017 SIC to NAICS'!A:D,3)</f>
        <v>325211</v>
      </c>
      <c r="O641" s="34" t="str">
        <f>VLOOKUP(L641,'2017 SIC to NAICS'!A:D,4)</f>
        <v>Plastics Material and Resin Manufacturing</v>
      </c>
      <c r="P641" s="36" t="s">
        <v>796</v>
      </c>
      <c r="Q641" s="137" t="s">
        <v>797</v>
      </c>
      <c r="R641" s="45" t="s">
        <v>41</v>
      </c>
      <c r="S641" s="138">
        <f>COUNTIFS('Raw Non-zero DMR Data'!$A:$A, A641, 'Raw Non-zero DMR Data'!$C:$C, U641, 'Raw Non-zero DMR Data'!$V:$V, V641)</f>
        <v>1</v>
      </c>
      <c r="T641" s="34">
        <f>SUMIFS('Raw Non-zero DMR Data'!$X:$X, 'Raw Non-zero DMR Data'!$A:$A, A641, 'Raw Non-zero DMR Data'!$C:$C, U641, 'Raw Non-zero DMR Data'!V:V, V641)</f>
        <v>3.3200000000000001E-5</v>
      </c>
      <c r="U641" s="34" t="s">
        <v>1486</v>
      </c>
      <c r="V641" s="34" t="s">
        <v>1488</v>
      </c>
      <c r="W641" s="141" t="s">
        <v>1490</v>
      </c>
      <c r="X641" s="140" t="s">
        <v>1489</v>
      </c>
    </row>
    <row r="642" spans="1:24" x14ac:dyDescent="0.35">
      <c r="A642" s="34">
        <v>2023</v>
      </c>
      <c r="B642" s="34" t="s">
        <v>699</v>
      </c>
      <c r="C642" s="34" t="s">
        <v>1486</v>
      </c>
      <c r="D642" s="34" t="s">
        <v>700</v>
      </c>
      <c r="E642" s="34" t="s">
        <v>1487</v>
      </c>
      <c r="F642" s="34" t="s">
        <v>254</v>
      </c>
      <c r="G642" s="34"/>
      <c r="H642" s="34">
        <v>39.766944000000002</v>
      </c>
      <c r="I642" s="34">
        <v>-75.421361000000005</v>
      </c>
      <c r="J642" s="34"/>
      <c r="K642" s="105">
        <v>110041022274</v>
      </c>
      <c r="L642" s="34">
        <v>2821</v>
      </c>
      <c r="M642" s="48" t="str">
        <f>VLOOKUP(L642, '2017 SIC to NAICS'!A:D, 2)</f>
        <v>Plastics Materials and Resins</v>
      </c>
      <c r="N642" s="34">
        <f>VLOOKUP(L642,'2017 SIC to NAICS'!A:D,3)</f>
        <v>325211</v>
      </c>
      <c r="O642" s="34" t="str">
        <f>VLOOKUP(L642,'2017 SIC to NAICS'!A:D,4)</f>
        <v>Plastics Material and Resin Manufacturing</v>
      </c>
      <c r="P642" s="36" t="s">
        <v>796</v>
      </c>
      <c r="Q642" s="137" t="s">
        <v>797</v>
      </c>
      <c r="R642" s="45" t="s">
        <v>41</v>
      </c>
      <c r="S642" s="138">
        <f>COUNTIFS('Raw Non-zero DMR Data'!$A:$A, A642, 'Raw Non-zero DMR Data'!$C:$C, U642, 'Raw Non-zero DMR Data'!$V:$V, V642)</f>
        <v>1</v>
      </c>
      <c r="T642" s="34">
        <f>SUMIFS('Raw Non-zero DMR Data'!$X:$X, 'Raw Non-zero DMR Data'!$A:$A, A642, 'Raw Non-zero DMR Data'!$C:$C, U642, 'Raw Non-zero DMR Data'!V:V, V642)</f>
        <v>2.8900000000000001E-5</v>
      </c>
      <c r="U642" s="34" t="s">
        <v>1486</v>
      </c>
      <c r="V642" s="34" t="s">
        <v>1488</v>
      </c>
      <c r="W642" s="141" t="s">
        <v>1490</v>
      </c>
      <c r="X642" s="140" t="s">
        <v>1489</v>
      </c>
    </row>
    <row r="643" spans="1:24" x14ac:dyDescent="0.35">
      <c r="A643" s="34">
        <v>2019</v>
      </c>
      <c r="B643" s="34" t="s">
        <v>299</v>
      </c>
      <c r="C643" s="34" t="s">
        <v>1491</v>
      </c>
      <c r="D643" s="34" t="s">
        <v>300</v>
      </c>
      <c r="E643" s="34" t="s">
        <v>1492</v>
      </c>
      <c r="F643" s="34" t="s">
        <v>254</v>
      </c>
      <c r="G643" s="34"/>
      <c r="H643" s="34">
        <v>39.80142</v>
      </c>
      <c r="I643" s="34">
        <v>-75.354990000000001</v>
      </c>
      <c r="J643" s="34"/>
      <c r="K643" s="105">
        <v>110000582003</v>
      </c>
      <c r="L643" s="34">
        <v>2869</v>
      </c>
      <c r="M643" s="48" t="str">
        <f>VLOOKUP(L643, '2017 SIC to NAICS'!A:D, 2)</f>
        <v>Industrial Organic Chemicals, Nec</v>
      </c>
      <c r="N643" s="34">
        <f>VLOOKUP(L643,'2017 SIC to NAICS'!A:D,3)</f>
        <v>325998</v>
      </c>
      <c r="O643" s="34" t="str">
        <f>VLOOKUP(L643,'2017 SIC to NAICS'!A:D,4)</f>
        <v>All Other Miscellaneous Chemical Product and Preparation Manufacturing</v>
      </c>
      <c r="P643" s="36" t="s">
        <v>748</v>
      </c>
      <c r="Q643" s="137" t="s">
        <v>749</v>
      </c>
      <c r="R643" s="45" t="s">
        <v>41</v>
      </c>
      <c r="S643" s="138">
        <f>COUNTIFS('Raw Non-zero DMR Data'!$A:$A, A643, 'Raw Non-zero DMR Data'!$C:$C, U643, 'Raw Non-zero DMR Data'!$V:$V, V643)</f>
        <v>1</v>
      </c>
      <c r="T643" s="34">
        <f>SUMIFS('Raw Non-zero DMR Data'!$X:$X, 'Raw Non-zero DMR Data'!$A:$A, A643, 'Raw Non-zero DMR Data'!$C:$C, U643, 'Raw Non-zero DMR Data'!V:V, V643)</f>
        <v>0.2135</v>
      </c>
      <c r="U643" s="34" t="s">
        <v>1491</v>
      </c>
      <c r="V643" s="34" t="s">
        <v>1493</v>
      </c>
      <c r="W643" s="139">
        <v>20402020606</v>
      </c>
      <c r="X643" s="140" t="s">
        <v>1494</v>
      </c>
    </row>
    <row r="644" spans="1:24" x14ac:dyDescent="0.35">
      <c r="A644" s="34">
        <v>2020</v>
      </c>
      <c r="B644" s="34" t="s">
        <v>299</v>
      </c>
      <c r="C644" s="34" t="s">
        <v>1491</v>
      </c>
      <c r="D644" s="34" t="s">
        <v>300</v>
      </c>
      <c r="E644" s="34" t="s">
        <v>1492</v>
      </c>
      <c r="F644" s="34" t="s">
        <v>254</v>
      </c>
      <c r="G644" s="34"/>
      <c r="H644" s="34">
        <v>39.80142</v>
      </c>
      <c r="I644" s="34">
        <v>-75.354990000000001</v>
      </c>
      <c r="J644" s="34"/>
      <c r="K644" s="105">
        <v>110000582003</v>
      </c>
      <c r="L644" s="34">
        <v>2869</v>
      </c>
      <c r="M644" s="48" t="str">
        <f>VLOOKUP(L644, '2017 SIC to NAICS'!A:D, 2)</f>
        <v>Industrial Organic Chemicals, Nec</v>
      </c>
      <c r="N644" s="34">
        <f>VLOOKUP(L644,'2017 SIC to NAICS'!A:D,3)</f>
        <v>325998</v>
      </c>
      <c r="O644" s="34" t="str">
        <f>VLOOKUP(L644,'2017 SIC to NAICS'!A:D,4)</f>
        <v>All Other Miscellaneous Chemical Product and Preparation Manufacturing</v>
      </c>
      <c r="P644" s="36" t="s">
        <v>748</v>
      </c>
      <c r="Q644" s="137" t="s">
        <v>749</v>
      </c>
      <c r="R644" s="45" t="s">
        <v>41</v>
      </c>
      <c r="S644" s="138">
        <f>COUNTIFS('Raw Non-zero DMR Data'!$A:$A, A644, 'Raw Non-zero DMR Data'!$C:$C, U644, 'Raw Non-zero DMR Data'!$V:$V, V644)</f>
        <v>1</v>
      </c>
      <c r="T644" s="34">
        <f>SUMIFS('Raw Non-zero DMR Data'!$X:$X, 'Raw Non-zero DMR Data'!$A:$A, A644, 'Raw Non-zero DMR Data'!$C:$C, U644, 'Raw Non-zero DMR Data'!V:V, V644)</f>
        <v>0.22059999999999999</v>
      </c>
      <c r="U644" s="34" t="s">
        <v>1491</v>
      </c>
      <c r="V644" s="34" t="s">
        <v>1493</v>
      </c>
      <c r="W644" s="139">
        <v>20402020606</v>
      </c>
      <c r="X644" s="140" t="s">
        <v>1494</v>
      </c>
    </row>
    <row r="645" spans="1:24" x14ac:dyDescent="0.35">
      <c r="A645" s="34">
        <v>2021</v>
      </c>
      <c r="B645" s="34" t="s">
        <v>299</v>
      </c>
      <c r="C645" s="34" t="s">
        <v>1491</v>
      </c>
      <c r="D645" s="34" t="s">
        <v>300</v>
      </c>
      <c r="E645" s="34" t="s">
        <v>1492</v>
      </c>
      <c r="F645" s="34" t="s">
        <v>254</v>
      </c>
      <c r="G645" s="34"/>
      <c r="H645" s="34">
        <v>39.80142</v>
      </c>
      <c r="I645" s="34">
        <v>-75.354990000000001</v>
      </c>
      <c r="J645" s="34"/>
      <c r="K645" s="105">
        <v>110000582003</v>
      </c>
      <c r="L645" s="34">
        <v>2869</v>
      </c>
      <c r="M645" s="48" t="str">
        <f>VLOOKUP(L645, '2017 SIC to NAICS'!A:D, 2)</f>
        <v>Industrial Organic Chemicals, Nec</v>
      </c>
      <c r="N645" s="34">
        <f>VLOOKUP(L645,'2017 SIC to NAICS'!A:D,3)</f>
        <v>325998</v>
      </c>
      <c r="O645" s="34" t="str">
        <f>VLOOKUP(L645,'2017 SIC to NAICS'!A:D,4)</f>
        <v>All Other Miscellaneous Chemical Product and Preparation Manufacturing</v>
      </c>
      <c r="P645" s="36" t="s">
        <v>748</v>
      </c>
      <c r="Q645" s="137" t="s">
        <v>749</v>
      </c>
      <c r="R645" s="45" t="s">
        <v>41</v>
      </c>
      <c r="S645" s="138">
        <f>COUNTIFS('Raw Non-zero DMR Data'!$A:$A, A645, 'Raw Non-zero DMR Data'!$C:$C, U645, 'Raw Non-zero DMR Data'!$V:$V, V645)</f>
        <v>1</v>
      </c>
      <c r="T645" s="34">
        <f>SUMIFS('Raw Non-zero DMR Data'!$X:$X, 'Raw Non-zero DMR Data'!$A:$A, A645, 'Raw Non-zero DMR Data'!$C:$C, U645, 'Raw Non-zero DMR Data'!V:V, V645)</f>
        <v>1.0329999999999999</v>
      </c>
      <c r="U645" s="34" t="s">
        <v>1491</v>
      </c>
      <c r="V645" s="34" t="s">
        <v>1493</v>
      </c>
      <c r="W645" s="139">
        <v>20402020606</v>
      </c>
      <c r="X645" s="140" t="s">
        <v>1494</v>
      </c>
    </row>
    <row r="646" spans="1:24" x14ac:dyDescent="0.35">
      <c r="A646" s="34">
        <v>2022</v>
      </c>
      <c r="B646" s="34" t="s">
        <v>299</v>
      </c>
      <c r="C646" s="34" t="s">
        <v>1491</v>
      </c>
      <c r="D646" s="34" t="s">
        <v>300</v>
      </c>
      <c r="E646" s="34" t="s">
        <v>1492</v>
      </c>
      <c r="F646" s="34" t="s">
        <v>254</v>
      </c>
      <c r="G646" s="34"/>
      <c r="H646" s="34">
        <v>39.80142</v>
      </c>
      <c r="I646" s="34">
        <v>-75.354990000000001</v>
      </c>
      <c r="J646" s="34"/>
      <c r="K646" s="105">
        <v>110000582003</v>
      </c>
      <c r="L646" s="34">
        <v>2869</v>
      </c>
      <c r="M646" s="48" t="str">
        <f>VLOOKUP(L646, '2017 SIC to NAICS'!A:D, 2)</f>
        <v>Industrial Organic Chemicals, Nec</v>
      </c>
      <c r="N646" s="34">
        <f>VLOOKUP(L646,'2017 SIC to NAICS'!A:D,3)</f>
        <v>325998</v>
      </c>
      <c r="O646" s="34" t="str">
        <f>VLOOKUP(L646,'2017 SIC to NAICS'!A:D,4)</f>
        <v>All Other Miscellaneous Chemical Product and Preparation Manufacturing</v>
      </c>
      <c r="P646" s="36" t="s">
        <v>748</v>
      </c>
      <c r="Q646" s="137" t="s">
        <v>749</v>
      </c>
      <c r="R646" s="45" t="s">
        <v>41</v>
      </c>
      <c r="S646" s="138">
        <f>COUNTIFS('Raw Non-zero DMR Data'!$A:$A, A646, 'Raw Non-zero DMR Data'!$C:$C, U646, 'Raw Non-zero DMR Data'!$V:$V, V646)</f>
        <v>1</v>
      </c>
      <c r="T646" s="34">
        <f>SUMIFS('Raw Non-zero DMR Data'!$X:$X, 'Raw Non-zero DMR Data'!$A:$A, A646, 'Raw Non-zero DMR Data'!$C:$C, U646, 'Raw Non-zero DMR Data'!V:V, V646)</f>
        <v>0.90149999999999997</v>
      </c>
      <c r="U646" s="34" t="s">
        <v>1491</v>
      </c>
      <c r="V646" s="34" t="s">
        <v>1493</v>
      </c>
      <c r="W646" s="141" t="s">
        <v>1495</v>
      </c>
      <c r="X646" s="140" t="s">
        <v>1494</v>
      </c>
    </row>
    <row r="647" spans="1:24" x14ac:dyDescent="0.35">
      <c r="A647" s="34">
        <v>2023</v>
      </c>
      <c r="B647" s="34" t="s">
        <v>299</v>
      </c>
      <c r="C647" s="34" t="s">
        <v>1491</v>
      </c>
      <c r="D647" s="34" t="s">
        <v>300</v>
      </c>
      <c r="E647" s="34" t="s">
        <v>1492</v>
      </c>
      <c r="F647" s="34" t="s">
        <v>254</v>
      </c>
      <c r="G647" s="34"/>
      <c r="H647" s="34">
        <v>39.80142</v>
      </c>
      <c r="I647" s="34">
        <v>-75.354990000000001</v>
      </c>
      <c r="J647" s="34"/>
      <c r="K647" s="105">
        <v>110000582003</v>
      </c>
      <c r="L647" s="34">
        <v>2869</v>
      </c>
      <c r="M647" s="48" t="str">
        <f>VLOOKUP(L647, '2017 SIC to NAICS'!A:D, 2)</f>
        <v>Industrial Organic Chemicals, Nec</v>
      </c>
      <c r="N647" s="34">
        <f>VLOOKUP(L647,'2017 SIC to NAICS'!A:D,3)</f>
        <v>325998</v>
      </c>
      <c r="O647" s="34" t="str">
        <f>VLOOKUP(L647,'2017 SIC to NAICS'!A:D,4)</f>
        <v>All Other Miscellaneous Chemical Product and Preparation Manufacturing</v>
      </c>
      <c r="P647" s="36" t="s">
        <v>748</v>
      </c>
      <c r="Q647" s="137" t="s">
        <v>749</v>
      </c>
      <c r="R647" s="45" t="s">
        <v>41</v>
      </c>
      <c r="S647" s="138">
        <f>COUNTIFS('Raw Non-zero DMR Data'!$A:$A, A647, 'Raw Non-zero DMR Data'!$C:$C, U647, 'Raw Non-zero DMR Data'!$V:$V, V647)</f>
        <v>1</v>
      </c>
      <c r="T647" s="34">
        <f>SUMIFS('Raw Non-zero DMR Data'!$X:$X, 'Raw Non-zero DMR Data'!$A:$A, A647, 'Raw Non-zero DMR Data'!$C:$C, U647, 'Raw Non-zero DMR Data'!V:V, V647)</f>
        <v>0.21490000000000001</v>
      </c>
      <c r="U647" s="34" t="s">
        <v>1491</v>
      </c>
      <c r="V647" s="34" t="s">
        <v>1493</v>
      </c>
      <c r="W647" s="141" t="s">
        <v>1495</v>
      </c>
      <c r="X647" s="140" t="s">
        <v>1494</v>
      </c>
    </row>
    <row r="648" spans="1:24" x14ac:dyDescent="0.35">
      <c r="A648" s="34">
        <v>2019</v>
      </c>
      <c r="B648" s="34" t="s">
        <v>293</v>
      </c>
      <c r="C648" s="34" t="s">
        <v>1496</v>
      </c>
      <c r="D648" s="34" t="s">
        <v>294</v>
      </c>
      <c r="E648" s="34" t="s">
        <v>1487</v>
      </c>
      <c r="F648" s="34" t="s">
        <v>254</v>
      </c>
      <c r="G648" s="34"/>
      <c r="H648" s="34">
        <v>39.698279999999997</v>
      </c>
      <c r="I648" s="34">
        <v>-75.503974999999997</v>
      </c>
      <c r="J648" s="34"/>
      <c r="K648" s="105">
        <v>110007970142</v>
      </c>
      <c r="L648" s="34">
        <v>2869</v>
      </c>
      <c r="M648" s="48" t="str">
        <f>VLOOKUP(L648, '2017 SIC to NAICS'!A:D, 2)</f>
        <v>Industrial Organic Chemicals, Nec</v>
      </c>
      <c r="N648" s="34">
        <f>VLOOKUP(L648,'2017 SIC to NAICS'!A:D,3)</f>
        <v>325998</v>
      </c>
      <c r="O648" s="34" t="str">
        <f>VLOOKUP(L648,'2017 SIC to NAICS'!A:D,4)</f>
        <v>All Other Miscellaneous Chemical Product and Preparation Manufacturing</v>
      </c>
      <c r="P648" s="36" t="s">
        <v>748</v>
      </c>
      <c r="Q648" s="137" t="s">
        <v>749</v>
      </c>
      <c r="R648" s="45" t="s">
        <v>41</v>
      </c>
      <c r="S648" s="138">
        <f>COUNTIFS('Raw Non-zero DMR Data'!$A:$A, A648, 'Raw Non-zero DMR Data'!$C:$C, U648, 'Raw Non-zero DMR Data'!$V:$V, V648)</f>
        <v>1</v>
      </c>
      <c r="T648" s="34">
        <f>SUMIFS('Raw Non-zero DMR Data'!$X:$X, 'Raw Non-zero DMR Data'!$A:$A, A648, 'Raw Non-zero DMR Data'!$C:$C, U648, 'Raw Non-zero DMR Data'!V:V, V648)</f>
        <v>0.41249999999999998</v>
      </c>
      <c r="U648" s="34" t="s">
        <v>1496</v>
      </c>
      <c r="V648" s="34" t="s">
        <v>1488</v>
      </c>
      <c r="W648" s="139">
        <v>20402060103</v>
      </c>
      <c r="X648" s="140" t="s">
        <v>751</v>
      </c>
    </row>
    <row r="649" spans="1:24" x14ac:dyDescent="0.35">
      <c r="A649" s="34">
        <v>2020</v>
      </c>
      <c r="B649" s="34" t="s">
        <v>293</v>
      </c>
      <c r="C649" s="34" t="s">
        <v>1496</v>
      </c>
      <c r="D649" s="34" t="s">
        <v>294</v>
      </c>
      <c r="E649" s="34" t="s">
        <v>1487</v>
      </c>
      <c r="F649" s="34" t="s">
        <v>254</v>
      </c>
      <c r="G649" s="34"/>
      <c r="H649" s="34">
        <v>39.698279999999997</v>
      </c>
      <c r="I649" s="34">
        <v>-75.503974999999997</v>
      </c>
      <c r="J649" s="34"/>
      <c r="K649" s="105">
        <v>110007970142</v>
      </c>
      <c r="L649" s="34">
        <v>2869</v>
      </c>
      <c r="M649" s="48" t="str">
        <f>VLOOKUP(L649, '2017 SIC to NAICS'!A:D, 2)</f>
        <v>Industrial Organic Chemicals, Nec</v>
      </c>
      <c r="N649" s="34">
        <f>VLOOKUP(L649,'2017 SIC to NAICS'!A:D,3)</f>
        <v>325998</v>
      </c>
      <c r="O649" s="34" t="str">
        <f>VLOOKUP(L649,'2017 SIC to NAICS'!A:D,4)</f>
        <v>All Other Miscellaneous Chemical Product and Preparation Manufacturing</v>
      </c>
      <c r="P649" s="36" t="s">
        <v>748</v>
      </c>
      <c r="Q649" s="137" t="s">
        <v>749</v>
      </c>
      <c r="R649" s="45" t="s">
        <v>41</v>
      </c>
      <c r="S649" s="138">
        <f>COUNTIFS('Raw Non-zero DMR Data'!$A:$A, A649, 'Raw Non-zero DMR Data'!$C:$C, U649, 'Raw Non-zero DMR Data'!$V:$V, V649)</f>
        <v>1</v>
      </c>
      <c r="T649" s="34">
        <f>SUMIFS('Raw Non-zero DMR Data'!$X:$X, 'Raw Non-zero DMR Data'!$A:$A, A649, 'Raw Non-zero DMR Data'!$C:$C, U649, 'Raw Non-zero DMR Data'!V:V, V649)</f>
        <v>0.36499999999999999</v>
      </c>
      <c r="U649" s="34" t="s">
        <v>1496</v>
      </c>
      <c r="V649" s="34" t="s">
        <v>1488</v>
      </c>
      <c r="W649" s="139">
        <v>20402060103</v>
      </c>
      <c r="X649" s="140" t="s">
        <v>751</v>
      </c>
    </row>
    <row r="650" spans="1:24" x14ac:dyDescent="0.35">
      <c r="A650" s="34">
        <v>2021</v>
      </c>
      <c r="B650" s="34" t="s">
        <v>293</v>
      </c>
      <c r="C650" s="34" t="s">
        <v>1496</v>
      </c>
      <c r="D650" s="34" t="s">
        <v>294</v>
      </c>
      <c r="E650" s="34" t="s">
        <v>1487</v>
      </c>
      <c r="F650" s="34" t="s">
        <v>254</v>
      </c>
      <c r="G650" s="34"/>
      <c r="H650" s="34">
        <v>39.698279999999997</v>
      </c>
      <c r="I650" s="34">
        <v>-75.503974999999997</v>
      </c>
      <c r="J650" s="34"/>
      <c r="K650" s="105">
        <v>110007970142</v>
      </c>
      <c r="L650" s="34">
        <v>2869</v>
      </c>
      <c r="M650" s="48" t="str">
        <f>VLOOKUP(L650, '2017 SIC to NAICS'!A:D, 2)</f>
        <v>Industrial Organic Chemicals, Nec</v>
      </c>
      <c r="N650" s="34">
        <f>VLOOKUP(L650,'2017 SIC to NAICS'!A:D,3)</f>
        <v>325998</v>
      </c>
      <c r="O650" s="34" t="str">
        <f>VLOOKUP(L650,'2017 SIC to NAICS'!A:D,4)</f>
        <v>All Other Miscellaneous Chemical Product and Preparation Manufacturing</v>
      </c>
      <c r="P650" s="36" t="s">
        <v>748</v>
      </c>
      <c r="Q650" s="137" t="s">
        <v>749</v>
      </c>
      <c r="R650" s="45" t="s">
        <v>41</v>
      </c>
      <c r="S650" s="138">
        <f>COUNTIFS('Raw Non-zero DMR Data'!$A:$A, A650, 'Raw Non-zero DMR Data'!$C:$C, U650, 'Raw Non-zero DMR Data'!$V:$V, V650)</f>
        <v>1</v>
      </c>
      <c r="T650" s="34">
        <f>SUMIFS('Raw Non-zero DMR Data'!$X:$X, 'Raw Non-zero DMR Data'!$A:$A, A650, 'Raw Non-zero DMR Data'!$C:$C, U650, 'Raw Non-zero DMR Data'!V:V, V650)</f>
        <v>1.1679999999999999</v>
      </c>
      <c r="U650" s="34" t="s">
        <v>1496</v>
      </c>
      <c r="V650" s="34" t="s">
        <v>1488</v>
      </c>
      <c r="W650" s="139">
        <v>20402060103</v>
      </c>
      <c r="X650" s="140" t="s">
        <v>751</v>
      </c>
    </row>
    <row r="651" spans="1:24" x14ac:dyDescent="0.35">
      <c r="A651" s="34">
        <v>2022</v>
      </c>
      <c r="B651" s="34" t="s">
        <v>293</v>
      </c>
      <c r="C651" s="34" t="s">
        <v>1496</v>
      </c>
      <c r="D651" s="34" t="s">
        <v>294</v>
      </c>
      <c r="E651" s="34" t="s">
        <v>1487</v>
      </c>
      <c r="F651" s="34" t="s">
        <v>254</v>
      </c>
      <c r="G651" s="34"/>
      <c r="H651" s="34">
        <v>39.698279999999997</v>
      </c>
      <c r="I651" s="34">
        <v>-75.503974999999997</v>
      </c>
      <c r="J651" s="34"/>
      <c r="K651" s="105">
        <v>110007970142</v>
      </c>
      <c r="L651" s="34">
        <v>2869</v>
      </c>
      <c r="M651" s="48" t="str">
        <f>VLOOKUP(L651, '2017 SIC to NAICS'!A:D, 2)</f>
        <v>Industrial Organic Chemicals, Nec</v>
      </c>
      <c r="N651" s="34">
        <f>VLOOKUP(L651,'2017 SIC to NAICS'!A:D,3)</f>
        <v>325998</v>
      </c>
      <c r="O651" s="34" t="str">
        <f>VLOOKUP(L651,'2017 SIC to NAICS'!A:D,4)</f>
        <v>All Other Miscellaneous Chemical Product and Preparation Manufacturing</v>
      </c>
      <c r="P651" s="36" t="s">
        <v>748</v>
      </c>
      <c r="Q651" s="137" t="s">
        <v>749</v>
      </c>
      <c r="R651" s="45" t="s">
        <v>41</v>
      </c>
      <c r="S651" s="138">
        <f>COUNTIFS('Raw Non-zero DMR Data'!$A:$A, A651, 'Raw Non-zero DMR Data'!$C:$C, U651, 'Raw Non-zero DMR Data'!$V:$V, V651)</f>
        <v>1</v>
      </c>
      <c r="T651" s="34">
        <f>SUMIFS('Raw Non-zero DMR Data'!$X:$X, 'Raw Non-zero DMR Data'!$A:$A, A651, 'Raw Non-zero DMR Data'!$C:$C, U651, 'Raw Non-zero DMR Data'!V:V, V651)</f>
        <v>0.97099999999999997</v>
      </c>
      <c r="U651" s="34" t="s">
        <v>1496</v>
      </c>
      <c r="V651" s="34" t="s">
        <v>1488</v>
      </c>
      <c r="W651" s="141" t="s">
        <v>1490</v>
      </c>
      <c r="X651" s="140" t="s">
        <v>751</v>
      </c>
    </row>
    <row r="652" spans="1:24" x14ac:dyDescent="0.35">
      <c r="A652" s="34">
        <v>2023</v>
      </c>
      <c r="B652" s="34" t="s">
        <v>293</v>
      </c>
      <c r="C652" s="34" t="s">
        <v>1496</v>
      </c>
      <c r="D652" s="34" t="s">
        <v>294</v>
      </c>
      <c r="E652" s="34" t="s">
        <v>1487</v>
      </c>
      <c r="F652" s="34" t="s">
        <v>254</v>
      </c>
      <c r="G652" s="34"/>
      <c r="H652" s="34">
        <v>39.698279999999997</v>
      </c>
      <c r="I652" s="34">
        <v>-75.503974999999997</v>
      </c>
      <c r="J652" s="34"/>
      <c r="K652" s="105">
        <v>110007970142</v>
      </c>
      <c r="L652" s="34">
        <v>2869</v>
      </c>
      <c r="M652" s="48" t="str">
        <f>VLOOKUP(L652, '2017 SIC to NAICS'!A:D, 2)</f>
        <v>Industrial Organic Chemicals, Nec</v>
      </c>
      <c r="N652" s="34">
        <f>VLOOKUP(L652,'2017 SIC to NAICS'!A:D,3)</f>
        <v>325998</v>
      </c>
      <c r="O652" s="34" t="str">
        <f>VLOOKUP(L652,'2017 SIC to NAICS'!A:D,4)</f>
        <v>All Other Miscellaneous Chemical Product and Preparation Manufacturing</v>
      </c>
      <c r="P652" s="36" t="s">
        <v>748</v>
      </c>
      <c r="Q652" s="137" t="s">
        <v>749</v>
      </c>
      <c r="R652" s="45" t="s">
        <v>41</v>
      </c>
      <c r="S652" s="138">
        <f>COUNTIFS('Raw Non-zero DMR Data'!$A:$A, A652, 'Raw Non-zero DMR Data'!$C:$C, U652, 'Raw Non-zero DMR Data'!$V:$V, V652)</f>
        <v>1</v>
      </c>
      <c r="T652" s="34">
        <f>SUMIFS('Raw Non-zero DMR Data'!$X:$X, 'Raw Non-zero DMR Data'!$A:$A, A652, 'Raw Non-zero DMR Data'!$C:$C, U652, 'Raw Non-zero DMR Data'!V:V, V652)</f>
        <v>0.80800000000000005</v>
      </c>
      <c r="U652" s="34" t="s">
        <v>1496</v>
      </c>
      <c r="V652" s="34" t="s">
        <v>1488</v>
      </c>
      <c r="W652" s="141" t="s">
        <v>1490</v>
      </c>
      <c r="X652" s="140" t="s">
        <v>751</v>
      </c>
    </row>
    <row r="653" spans="1:24" x14ac:dyDescent="0.35">
      <c r="A653" s="34">
        <v>2019</v>
      </c>
      <c r="B653" s="34" t="s">
        <v>561</v>
      </c>
      <c r="C653" s="34" t="s">
        <v>1497</v>
      </c>
      <c r="D653" s="34" t="s">
        <v>562</v>
      </c>
      <c r="E653" s="34" t="s">
        <v>1492</v>
      </c>
      <c r="F653" s="34" t="s">
        <v>254</v>
      </c>
      <c r="G653" s="34"/>
      <c r="H653" s="34">
        <v>39.845474000000003</v>
      </c>
      <c r="I653" s="34">
        <v>-75.209485999999998</v>
      </c>
      <c r="J653" s="34"/>
      <c r="K653" s="105">
        <v>110013317614</v>
      </c>
      <c r="L653" s="34">
        <v>2821</v>
      </c>
      <c r="M653" s="48" t="str">
        <f>VLOOKUP(L653, '2017 SIC to NAICS'!A:D, 2)</f>
        <v>Plastics Materials and Resins</v>
      </c>
      <c r="N653" s="34">
        <f>VLOOKUP(L653,'2017 SIC to NAICS'!A:D,3)</f>
        <v>325211</v>
      </c>
      <c r="O653" s="34" t="str">
        <f>VLOOKUP(L653,'2017 SIC to NAICS'!A:D,4)</f>
        <v>Plastics Material and Resin Manufacturing</v>
      </c>
      <c r="P653" s="36" t="s">
        <v>796</v>
      </c>
      <c r="Q653" s="137" t="s">
        <v>797</v>
      </c>
      <c r="R653" s="45" t="s">
        <v>41</v>
      </c>
      <c r="S653" s="138">
        <f>COUNTIFS('Raw Non-zero DMR Data'!$A:$A, A653, 'Raw Non-zero DMR Data'!$C:$C, U653, 'Raw Non-zero DMR Data'!$V:$V, V653)</f>
        <v>1</v>
      </c>
      <c r="T653" s="34">
        <f>SUMIFS('Raw Non-zero DMR Data'!$X:$X, 'Raw Non-zero DMR Data'!$A:$A, A653, 'Raw Non-zero DMR Data'!$C:$C, U653, 'Raw Non-zero DMR Data'!V:V, V653)</f>
        <v>4.5000000000000003E-5</v>
      </c>
      <c r="U653" s="34" t="s">
        <v>1497</v>
      </c>
      <c r="V653" s="34" t="s">
        <v>1498</v>
      </c>
      <c r="W653" s="139">
        <v>20402020507</v>
      </c>
      <c r="X653" s="140" t="s">
        <v>1499</v>
      </c>
    </row>
    <row r="654" spans="1:24" x14ac:dyDescent="0.35">
      <c r="A654" s="34">
        <v>2020</v>
      </c>
      <c r="B654" s="34" t="s">
        <v>561</v>
      </c>
      <c r="C654" s="34" t="s">
        <v>1497</v>
      </c>
      <c r="D654" s="34" t="s">
        <v>562</v>
      </c>
      <c r="E654" s="34" t="s">
        <v>1492</v>
      </c>
      <c r="F654" s="34" t="s">
        <v>254</v>
      </c>
      <c r="G654" s="34"/>
      <c r="H654" s="34">
        <v>39.845474000000003</v>
      </c>
      <c r="I654" s="34">
        <v>-75.209485999999998</v>
      </c>
      <c r="J654" s="34"/>
      <c r="K654" s="105">
        <v>110013317614</v>
      </c>
      <c r="L654" s="34">
        <v>2821</v>
      </c>
      <c r="M654" s="48" t="str">
        <f>VLOOKUP(L654, '2017 SIC to NAICS'!A:D, 2)</f>
        <v>Plastics Materials and Resins</v>
      </c>
      <c r="N654" s="34">
        <f>VLOOKUP(L654,'2017 SIC to NAICS'!A:D,3)</f>
        <v>325211</v>
      </c>
      <c r="O654" s="34" t="str">
        <f>VLOOKUP(L654,'2017 SIC to NAICS'!A:D,4)</f>
        <v>Plastics Material and Resin Manufacturing</v>
      </c>
      <c r="P654" s="36" t="s">
        <v>796</v>
      </c>
      <c r="Q654" s="137" t="s">
        <v>797</v>
      </c>
      <c r="R654" s="45" t="s">
        <v>41</v>
      </c>
      <c r="S654" s="138">
        <f>COUNTIFS('Raw Non-zero DMR Data'!$A:$A, A654, 'Raw Non-zero DMR Data'!$C:$C, U654, 'Raw Non-zero DMR Data'!$V:$V, V654)</f>
        <v>1</v>
      </c>
      <c r="T654" s="34">
        <f>SUMIFS('Raw Non-zero DMR Data'!$X:$X, 'Raw Non-zero DMR Data'!$A:$A, A654, 'Raw Non-zero DMR Data'!$C:$C, U654, 'Raw Non-zero DMR Data'!V:V, V654)</f>
        <v>9.6100000000000005E-3</v>
      </c>
      <c r="U654" s="34" t="s">
        <v>1497</v>
      </c>
      <c r="V654" s="34" t="s">
        <v>1498</v>
      </c>
      <c r="W654" s="139">
        <v>20402020507</v>
      </c>
      <c r="X654" s="140" t="s">
        <v>1499</v>
      </c>
    </row>
    <row r="655" spans="1:24" x14ac:dyDescent="0.35">
      <c r="A655" s="34">
        <v>2021</v>
      </c>
      <c r="B655" s="34" t="s">
        <v>561</v>
      </c>
      <c r="C655" s="34" t="s">
        <v>1497</v>
      </c>
      <c r="D655" s="34" t="s">
        <v>562</v>
      </c>
      <c r="E655" s="34" t="s">
        <v>1492</v>
      </c>
      <c r="F655" s="34" t="s">
        <v>254</v>
      </c>
      <c r="G655" s="34"/>
      <c r="H655" s="34">
        <v>39.845474000000003</v>
      </c>
      <c r="I655" s="34">
        <v>-75.209485999999998</v>
      </c>
      <c r="J655" s="34"/>
      <c r="K655" s="105">
        <v>110013317614</v>
      </c>
      <c r="L655" s="34">
        <v>2821</v>
      </c>
      <c r="M655" s="48" t="str">
        <f>VLOOKUP(L655, '2017 SIC to NAICS'!A:D, 2)</f>
        <v>Plastics Materials and Resins</v>
      </c>
      <c r="N655" s="34">
        <f>VLOOKUP(L655,'2017 SIC to NAICS'!A:D,3)</f>
        <v>325211</v>
      </c>
      <c r="O655" s="34" t="str">
        <f>VLOOKUP(L655,'2017 SIC to NAICS'!A:D,4)</f>
        <v>Plastics Material and Resin Manufacturing</v>
      </c>
      <c r="P655" s="36" t="s">
        <v>796</v>
      </c>
      <c r="Q655" s="137" t="s">
        <v>797</v>
      </c>
      <c r="R655" s="45" t="s">
        <v>41</v>
      </c>
      <c r="S655" s="138">
        <f>COUNTIFS('Raw Non-zero DMR Data'!$A:$A, A655, 'Raw Non-zero DMR Data'!$C:$C, U655, 'Raw Non-zero DMR Data'!$V:$V, V655)</f>
        <v>1</v>
      </c>
      <c r="T655" s="34">
        <f>SUMIFS('Raw Non-zero DMR Data'!$X:$X, 'Raw Non-zero DMR Data'!$A:$A, A655, 'Raw Non-zero DMR Data'!$C:$C, U655, 'Raw Non-zero DMR Data'!V:V, V655)</f>
        <v>1.8136550000000001E-2</v>
      </c>
      <c r="U655" s="34" t="s">
        <v>1497</v>
      </c>
      <c r="V655" s="34" t="s">
        <v>1498</v>
      </c>
      <c r="W655" s="139">
        <v>20402020507</v>
      </c>
      <c r="X655" s="140" t="s">
        <v>1499</v>
      </c>
    </row>
    <row r="656" spans="1:24" x14ac:dyDescent="0.35">
      <c r="A656" s="34">
        <v>2023</v>
      </c>
      <c r="B656" s="34" t="s">
        <v>561</v>
      </c>
      <c r="C656" s="34" t="s">
        <v>1497</v>
      </c>
      <c r="D656" s="34" t="s">
        <v>562</v>
      </c>
      <c r="E656" s="34" t="s">
        <v>1492</v>
      </c>
      <c r="F656" s="34" t="s">
        <v>254</v>
      </c>
      <c r="G656" s="34"/>
      <c r="H656" s="34">
        <v>39.845474000000003</v>
      </c>
      <c r="I656" s="34">
        <v>-75.209485999999998</v>
      </c>
      <c r="J656" s="34"/>
      <c r="K656" s="105">
        <v>110013317614</v>
      </c>
      <c r="L656" s="34">
        <v>2821</v>
      </c>
      <c r="M656" s="48" t="str">
        <f>VLOOKUP(L656, '2017 SIC to NAICS'!A:D, 2)</f>
        <v>Plastics Materials and Resins</v>
      </c>
      <c r="N656" s="34">
        <f>VLOOKUP(L656,'2017 SIC to NAICS'!A:D,3)</f>
        <v>325211</v>
      </c>
      <c r="O656" s="34" t="str">
        <f>VLOOKUP(L656,'2017 SIC to NAICS'!A:D,4)</f>
        <v>Plastics Material and Resin Manufacturing</v>
      </c>
      <c r="P656" s="36" t="s">
        <v>796</v>
      </c>
      <c r="Q656" s="137" t="s">
        <v>797</v>
      </c>
      <c r="R656" s="45" t="s">
        <v>41</v>
      </c>
      <c r="S656" s="138">
        <f>COUNTIFS('Raw Non-zero DMR Data'!$A:$A, A656, 'Raw Non-zero DMR Data'!$C:$C, U656, 'Raw Non-zero DMR Data'!$V:$V, V656)</f>
        <v>1</v>
      </c>
      <c r="T656" s="34">
        <f>SUMIFS('Raw Non-zero DMR Data'!$X:$X, 'Raw Non-zero DMR Data'!$A:$A, A656, 'Raw Non-zero DMR Data'!$C:$C, U656, 'Raw Non-zero DMR Data'!V:V, V656)</f>
        <v>2.2561850000000001E-2</v>
      </c>
      <c r="U656" s="34" t="s">
        <v>1497</v>
      </c>
      <c r="V656" s="34" t="s">
        <v>1498</v>
      </c>
      <c r="W656" s="141" t="s">
        <v>1500</v>
      </c>
      <c r="X656" s="140" t="s">
        <v>1499</v>
      </c>
    </row>
    <row r="657" spans="1:24" x14ac:dyDescent="0.35">
      <c r="A657" s="34">
        <v>2019</v>
      </c>
      <c r="B657" s="34" t="s">
        <v>541</v>
      </c>
      <c r="C657" s="34" t="s">
        <v>1501</v>
      </c>
      <c r="D657" s="34" t="s">
        <v>542</v>
      </c>
      <c r="E657" s="34" t="s">
        <v>818</v>
      </c>
      <c r="F657" s="34" t="s">
        <v>254</v>
      </c>
      <c r="G657" s="34"/>
      <c r="H657" s="34">
        <v>40.331944</v>
      </c>
      <c r="I657" s="34">
        <v>-74.619721999999996</v>
      </c>
      <c r="J657" s="34"/>
      <c r="K657" s="105">
        <v>110000321651</v>
      </c>
      <c r="L657" s="34">
        <v>2869</v>
      </c>
      <c r="M657" s="48" t="str">
        <f>VLOOKUP(L657, '2017 SIC to NAICS'!A:D, 2)</f>
        <v>Industrial Organic Chemicals, Nec</v>
      </c>
      <c r="N657" s="34">
        <f>VLOOKUP(L657,'2017 SIC to NAICS'!A:D,3)</f>
        <v>325998</v>
      </c>
      <c r="O657" s="34" t="str">
        <f>VLOOKUP(L657,'2017 SIC to NAICS'!A:D,4)</f>
        <v>All Other Miscellaneous Chemical Product and Preparation Manufacturing</v>
      </c>
      <c r="P657" s="36" t="s">
        <v>748</v>
      </c>
      <c r="Q657" s="137" t="s">
        <v>749</v>
      </c>
      <c r="R657" s="45" t="s">
        <v>41</v>
      </c>
      <c r="S657" s="138">
        <f>COUNTIFS('Raw Non-zero DMR Data'!$A:$A, A657, 'Raw Non-zero DMR Data'!$C:$C, U657, 'Raw Non-zero DMR Data'!$V:$V, V657)</f>
        <v>1</v>
      </c>
      <c r="T657" s="34">
        <f>SUMIFS('Raw Non-zero DMR Data'!$X:$X, 'Raw Non-zero DMR Data'!$A:$A, A657, 'Raw Non-zero DMR Data'!$C:$C, U657, 'Raw Non-zero DMR Data'!V:V, V657)</f>
        <v>8.4749999999999999E-3</v>
      </c>
      <c r="U657" s="34" t="s">
        <v>1501</v>
      </c>
      <c r="V657" s="34" t="s">
        <v>1502</v>
      </c>
      <c r="W657" s="139">
        <v>20301050306</v>
      </c>
      <c r="X657" s="140" t="s">
        <v>812</v>
      </c>
    </row>
    <row r="658" spans="1:24" x14ac:dyDescent="0.35">
      <c r="A658" s="34">
        <v>2020</v>
      </c>
      <c r="B658" s="34" t="s">
        <v>541</v>
      </c>
      <c r="C658" s="34" t="s">
        <v>1501</v>
      </c>
      <c r="D658" s="34" t="s">
        <v>542</v>
      </c>
      <c r="E658" s="34" t="s">
        <v>818</v>
      </c>
      <c r="F658" s="34" t="s">
        <v>254</v>
      </c>
      <c r="G658" s="34"/>
      <c r="H658" s="34">
        <v>40.331944</v>
      </c>
      <c r="I658" s="34">
        <v>-74.619721999999996</v>
      </c>
      <c r="J658" s="34"/>
      <c r="K658" s="105">
        <v>110000321651</v>
      </c>
      <c r="L658" s="34">
        <v>2869</v>
      </c>
      <c r="M658" s="48" t="str">
        <f>VLOOKUP(L658, '2017 SIC to NAICS'!A:D, 2)</f>
        <v>Industrial Organic Chemicals, Nec</v>
      </c>
      <c r="N658" s="34">
        <f>VLOOKUP(L658,'2017 SIC to NAICS'!A:D,3)</f>
        <v>325998</v>
      </c>
      <c r="O658" s="34" t="str">
        <f>VLOOKUP(L658,'2017 SIC to NAICS'!A:D,4)</f>
        <v>All Other Miscellaneous Chemical Product and Preparation Manufacturing</v>
      </c>
      <c r="P658" s="36" t="s">
        <v>748</v>
      </c>
      <c r="Q658" s="137" t="s">
        <v>749</v>
      </c>
      <c r="R658" s="45" t="s">
        <v>41</v>
      </c>
      <c r="S658" s="138">
        <f>COUNTIFS('Raw Non-zero DMR Data'!$A:$A, A658, 'Raw Non-zero DMR Data'!$C:$C, U658, 'Raw Non-zero DMR Data'!$V:$V, V658)</f>
        <v>1</v>
      </c>
      <c r="T658" s="34">
        <f>SUMIFS('Raw Non-zero DMR Data'!$X:$X, 'Raw Non-zero DMR Data'!$A:$A, A658, 'Raw Non-zero DMR Data'!$C:$C, U658, 'Raw Non-zero DMR Data'!V:V, V658)</f>
        <v>8.6149999999999994E-3</v>
      </c>
      <c r="U658" s="34" t="s">
        <v>1501</v>
      </c>
      <c r="V658" s="34" t="s">
        <v>1502</v>
      </c>
      <c r="W658" s="139">
        <v>20301050306</v>
      </c>
      <c r="X658" s="140" t="s">
        <v>812</v>
      </c>
    </row>
    <row r="659" spans="1:24" x14ac:dyDescent="0.35">
      <c r="A659" s="34">
        <v>2021</v>
      </c>
      <c r="B659" s="34" t="s">
        <v>541</v>
      </c>
      <c r="C659" s="34" t="s">
        <v>1501</v>
      </c>
      <c r="D659" s="34" t="s">
        <v>542</v>
      </c>
      <c r="E659" s="34" t="s">
        <v>818</v>
      </c>
      <c r="F659" s="34" t="s">
        <v>254</v>
      </c>
      <c r="G659" s="34"/>
      <c r="H659" s="34">
        <v>40.331944</v>
      </c>
      <c r="I659" s="34">
        <v>-74.619721999999996</v>
      </c>
      <c r="J659" s="34"/>
      <c r="K659" s="105">
        <v>110000321651</v>
      </c>
      <c r="L659" s="34">
        <v>2869</v>
      </c>
      <c r="M659" s="48" t="str">
        <f>VLOOKUP(L659, '2017 SIC to NAICS'!A:D, 2)</f>
        <v>Industrial Organic Chemicals, Nec</v>
      </c>
      <c r="N659" s="34">
        <f>VLOOKUP(L659,'2017 SIC to NAICS'!A:D,3)</f>
        <v>325998</v>
      </c>
      <c r="O659" s="34" t="str">
        <f>VLOOKUP(L659,'2017 SIC to NAICS'!A:D,4)</f>
        <v>All Other Miscellaneous Chemical Product and Preparation Manufacturing</v>
      </c>
      <c r="P659" s="36" t="s">
        <v>748</v>
      </c>
      <c r="Q659" s="137" t="s">
        <v>749</v>
      </c>
      <c r="R659" s="45" t="s">
        <v>41</v>
      </c>
      <c r="S659" s="138">
        <f>COUNTIFS('Raw Non-zero DMR Data'!$A:$A, A659, 'Raw Non-zero DMR Data'!$C:$C, U659, 'Raw Non-zero DMR Data'!$V:$V, V659)</f>
        <v>1</v>
      </c>
      <c r="T659" s="34">
        <f>SUMIFS('Raw Non-zero DMR Data'!$X:$X, 'Raw Non-zero DMR Data'!$A:$A, A659, 'Raw Non-zero DMR Data'!$C:$C, U659, 'Raw Non-zero DMR Data'!V:V, V659)</f>
        <v>2.1576000000000001E-2</v>
      </c>
      <c r="U659" s="34" t="s">
        <v>1501</v>
      </c>
      <c r="V659" s="34" t="s">
        <v>1502</v>
      </c>
      <c r="W659" s="139">
        <v>20301050306</v>
      </c>
      <c r="X659" s="140" t="s">
        <v>812</v>
      </c>
    </row>
    <row r="660" spans="1:24" x14ac:dyDescent="0.35">
      <c r="A660" s="34">
        <v>2022</v>
      </c>
      <c r="B660" s="34" t="s">
        <v>541</v>
      </c>
      <c r="C660" s="34" t="s">
        <v>1501</v>
      </c>
      <c r="D660" s="34" t="s">
        <v>542</v>
      </c>
      <c r="E660" s="34" t="s">
        <v>818</v>
      </c>
      <c r="F660" s="34" t="s">
        <v>254</v>
      </c>
      <c r="G660" s="34"/>
      <c r="H660" s="34">
        <v>40.331944</v>
      </c>
      <c r="I660" s="34">
        <v>-74.619721999999996</v>
      </c>
      <c r="J660" s="34"/>
      <c r="K660" s="105">
        <v>110000321651</v>
      </c>
      <c r="L660" s="34">
        <v>2869</v>
      </c>
      <c r="M660" s="48" t="str">
        <f>VLOOKUP(L660, '2017 SIC to NAICS'!A:D, 2)</f>
        <v>Industrial Organic Chemicals, Nec</v>
      </c>
      <c r="N660" s="34">
        <f>VLOOKUP(L660,'2017 SIC to NAICS'!A:D,3)</f>
        <v>325998</v>
      </c>
      <c r="O660" s="34" t="str">
        <f>VLOOKUP(L660,'2017 SIC to NAICS'!A:D,4)</f>
        <v>All Other Miscellaneous Chemical Product and Preparation Manufacturing</v>
      </c>
      <c r="P660" s="36" t="s">
        <v>748</v>
      </c>
      <c r="Q660" s="137" t="s">
        <v>749</v>
      </c>
      <c r="R660" s="45" t="s">
        <v>41</v>
      </c>
      <c r="S660" s="138">
        <f>COUNTIFS('Raw Non-zero DMR Data'!$A:$A, A660, 'Raw Non-zero DMR Data'!$C:$C, U660, 'Raw Non-zero DMR Data'!$V:$V, V660)</f>
        <v>1</v>
      </c>
      <c r="T660" s="34">
        <f>SUMIFS('Raw Non-zero DMR Data'!$X:$X, 'Raw Non-zero DMR Data'!$A:$A, A660, 'Raw Non-zero DMR Data'!$C:$C, U660, 'Raw Non-zero DMR Data'!V:V, V660)</f>
        <v>3.0695E-2</v>
      </c>
      <c r="U660" s="34" t="s">
        <v>1501</v>
      </c>
      <c r="V660" s="34" t="s">
        <v>1502</v>
      </c>
      <c r="W660" s="141" t="s">
        <v>1503</v>
      </c>
      <c r="X660" s="140" t="s">
        <v>812</v>
      </c>
    </row>
    <row r="661" spans="1:24" x14ac:dyDescent="0.35">
      <c r="A661" s="34">
        <v>2023</v>
      </c>
      <c r="B661" s="34" t="s">
        <v>541</v>
      </c>
      <c r="C661" s="34" t="s">
        <v>1501</v>
      </c>
      <c r="D661" s="34" t="s">
        <v>542</v>
      </c>
      <c r="E661" s="34" t="s">
        <v>818</v>
      </c>
      <c r="F661" s="34" t="s">
        <v>254</v>
      </c>
      <c r="G661" s="34"/>
      <c r="H661" s="34">
        <v>40.331944</v>
      </c>
      <c r="I661" s="34">
        <v>-74.619721999999996</v>
      </c>
      <c r="J661" s="34"/>
      <c r="K661" s="105">
        <v>110000321651</v>
      </c>
      <c r="L661" s="34">
        <v>2869</v>
      </c>
      <c r="M661" s="48" t="str">
        <f>VLOOKUP(L661, '2017 SIC to NAICS'!A:D, 2)</f>
        <v>Industrial Organic Chemicals, Nec</v>
      </c>
      <c r="N661" s="34">
        <f>VLOOKUP(L661,'2017 SIC to NAICS'!A:D,3)</f>
        <v>325998</v>
      </c>
      <c r="O661" s="34" t="str">
        <f>VLOOKUP(L661,'2017 SIC to NAICS'!A:D,4)</f>
        <v>All Other Miscellaneous Chemical Product and Preparation Manufacturing</v>
      </c>
      <c r="P661" s="36" t="s">
        <v>748</v>
      </c>
      <c r="Q661" s="137" t="s">
        <v>749</v>
      </c>
      <c r="R661" s="45" t="s">
        <v>41</v>
      </c>
      <c r="S661" s="138">
        <f>COUNTIFS('Raw Non-zero DMR Data'!$A:$A, A661, 'Raw Non-zero DMR Data'!$C:$C, U661, 'Raw Non-zero DMR Data'!$V:$V, V661)</f>
        <v>1</v>
      </c>
      <c r="T661" s="34">
        <f>SUMIFS('Raw Non-zero DMR Data'!$X:$X, 'Raw Non-zero DMR Data'!$A:$A, A661, 'Raw Non-zero DMR Data'!$C:$C, U661, 'Raw Non-zero DMR Data'!V:V, V661)</f>
        <v>3.0999999999999999E-3</v>
      </c>
      <c r="U661" s="34" t="s">
        <v>1501</v>
      </c>
      <c r="V661" s="34" t="s">
        <v>1502</v>
      </c>
      <c r="W661" s="141" t="s">
        <v>1503</v>
      </c>
      <c r="X661" s="140" t="s">
        <v>812</v>
      </c>
    </row>
    <row r="662" spans="1:24" x14ac:dyDescent="0.35">
      <c r="A662" s="34">
        <v>2019</v>
      </c>
      <c r="B662" s="34" t="s">
        <v>650</v>
      </c>
      <c r="C662" s="34" t="s">
        <v>1504</v>
      </c>
      <c r="D662" s="34" t="s">
        <v>651</v>
      </c>
      <c r="E662" s="34" t="s">
        <v>1492</v>
      </c>
      <c r="F662" s="34" t="s">
        <v>254</v>
      </c>
      <c r="G662" s="34"/>
      <c r="H662" s="34">
        <v>39.827696000000003</v>
      </c>
      <c r="I662" s="34">
        <v>-75.277782000000002</v>
      </c>
      <c r="J662" s="34"/>
      <c r="K662" s="105">
        <v>110070210457</v>
      </c>
      <c r="L662" s="34">
        <v>2869</v>
      </c>
      <c r="M662" s="48" t="str">
        <f>VLOOKUP(L662, '2017 SIC to NAICS'!A:D, 2)</f>
        <v>Industrial Organic Chemicals, Nec</v>
      </c>
      <c r="N662" s="34">
        <f>VLOOKUP(L662,'2017 SIC to NAICS'!A:D,3)</f>
        <v>325998</v>
      </c>
      <c r="O662" s="34" t="str">
        <f>VLOOKUP(L662,'2017 SIC to NAICS'!A:D,4)</f>
        <v>All Other Miscellaneous Chemical Product and Preparation Manufacturing</v>
      </c>
      <c r="P662" s="36" t="s">
        <v>748</v>
      </c>
      <c r="Q662" s="137" t="s">
        <v>749</v>
      </c>
      <c r="R662" s="45" t="s">
        <v>41</v>
      </c>
      <c r="S662" s="138">
        <f>COUNTIFS('Raw Non-zero DMR Data'!$A:$A, A662, 'Raw Non-zero DMR Data'!$C:$C, U662, 'Raw Non-zero DMR Data'!$V:$V, V662)</f>
        <v>1</v>
      </c>
      <c r="T662" s="34">
        <f>SUMIFS('Raw Non-zero DMR Data'!$X:$X, 'Raw Non-zero DMR Data'!$A:$A, A662, 'Raw Non-zero DMR Data'!$C:$C, U662, 'Raw Non-zero DMR Data'!V:V, V662)</f>
        <v>3.6858443550000001E-3</v>
      </c>
      <c r="U662" s="34" t="s">
        <v>1504</v>
      </c>
      <c r="V662" s="34" t="s">
        <v>1498</v>
      </c>
      <c r="W662" s="139">
        <v>20402020507</v>
      </c>
      <c r="X662" s="140" t="s">
        <v>1505</v>
      </c>
    </row>
    <row r="663" spans="1:24" x14ac:dyDescent="0.35">
      <c r="A663" s="34">
        <v>2020</v>
      </c>
      <c r="B663" s="34" t="s">
        <v>650</v>
      </c>
      <c r="C663" s="34" t="s">
        <v>1504</v>
      </c>
      <c r="D663" s="34" t="s">
        <v>651</v>
      </c>
      <c r="E663" s="34" t="s">
        <v>1492</v>
      </c>
      <c r="F663" s="34" t="s">
        <v>254</v>
      </c>
      <c r="G663" s="34"/>
      <c r="H663" s="34">
        <v>39.827696000000003</v>
      </c>
      <c r="I663" s="34">
        <v>-75.277782000000002</v>
      </c>
      <c r="J663" s="34"/>
      <c r="K663" s="105">
        <v>110070210457</v>
      </c>
      <c r="L663" s="34">
        <v>2869</v>
      </c>
      <c r="M663" s="48" t="str">
        <f>VLOOKUP(L663, '2017 SIC to NAICS'!A:D, 2)</f>
        <v>Industrial Organic Chemicals, Nec</v>
      </c>
      <c r="N663" s="34">
        <f>VLOOKUP(L663,'2017 SIC to NAICS'!A:D,3)</f>
        <v>325998</v>
      </c>
      <c r="O663" s="34" t="str">
        <f>VLOOKUP(L663,'2017 SIC to NAICS'!A:D,4)</f>
        <v>All Other Miscellaneous Chemical Product and Preparation Manufacturing</v>
      </c>
      <c r="P663" s="36" t="s">
        <v>748</v>
      </c>
      <c r="Q663" s="137" t="s">
        <v>749</v>
      </c>
      <c r="R663" s="45" t="s">
        <v>41</v>
      </c>
      <c r="S663" s="138">
        <f>COUNTIFS('Raw Non-zero DMR Data'!$A:$A, A663, 'Raw Non-zero DMR Data'!$C:$C, U663, 'Raw Non-zero DMR Data'!$V:$V, V663)</f>
        <v>1</v>
      </c>
      <c r="T663" s="34">
        <f>SUMIFS('Raw Non-zero DMR Data'!$X:$X, 'Raw Non-zero DMR Data'!$A:$A, A663, 'Raw Non-zero DMR Data'!$C:$C, U663, 'Raw Non-zero DMR Data'!V:V, V663)</f>
        <v>3.4535797225E-3</v>
      </c>
      <c r="U663" s="34" t="s">
        <v>1504</v>
      </c>
      <c r="V663" s="34" t="s">
        <v>1498</v>
      </c>
      <c r="W663" s="139">
        <v>20402020507</v>
      </c>
      <c r="X663" s="140" t="s">
        <v>1505</v>
      </c>
    </row>
    <row r="664" spans="1:24" x14ac:dyDescent="0.35">
      <c r="A664" s="34">
        <v>2021</v>
      </c>
      <c r="B664" s="34" t="s">
        <v>650</v>
      </c>
      <c r="C664" s="34" t="s">
        <v>1504</v>
      </c>
      <c r="D664" s="34" t="s">
        <v>651</v>
      </c>
      <c r="E664" s="34" t="s">
        <v>1492</v>
      </c>
      <c r="F664" s="34" t="s">
        <v>254</v>
      </c>
      <c r="G664" s="34"/>
      <c r="H664" s="34">
        <v>39.827696000000003</v>
      </c>
      <c r="I664" s="34">
        <v>-75.277782000000002</v>
      </c>
      <c r="J664" s="34"/>
      <c r="K664" s="105">
        <v>110070210457</v>
      </c>
      <c r="L664" s="34">
        <v>2869</v>
      </c>
      <c r="M664" s="48" t="str">
        <f>VLOOKUP(L664, '2017 SIC to NAICS'!A:D, 2)</f>
        <v>Industrial Organic Chemicals, Nec</v>
      </c>
      <c r="N664" s="34">
        <f>VLOOKUP(L664,'2017 SIC to NAICS'!A:D,3)</f>
        <v>325998</v>
      </c>
      <c r="O664" s="34" t="str">
        <f>VLOOKUP(L664,'2017 SIC to NAICS'!A:D,4)</f>
        <v>All Other Miscellaneous Chemical Product and Preparation Manufacturing</v>
      </c>
      <c r="P664" s="36" t="s">
        <v>748</v>
      </c>
      <c r="Q664" s="137" t="s">
        <v>749</v>
      </c>
      <c r="R664" s="45" t="s">
        <v>41</v>
      </c>
      <c r="S664" s="138">
        <f>COUNTIFS('Raw Non-zero DMR Data'!$A:$A, A664, 'Raw Non-zero DMR Data'!$C:$C, U664, 'Raw Non-zero DMR Data'!$V:$V, V664)</f>
        <v>1</v>
      </c>
      <c r="T664" s="34">
        <f>SUMIFS('Raw Non-zero DMR Data'!$X:$X, 'Raw Non-zero DMR Data'!$A:$A, A664, 'Raw Non-zero DMR Data'!$C:$C, U664, 'Raw Non-zero DMR Data'!V:V, V664)</f>
        <v>3.1019267275E-3</v>
      </c>
      <c r="U664" s="34" t="s">
        <v>1504</v>
      </c>
      <c r="V664" s="34" t="s">
        <v>1498</v>
      </c>
      <c r="W664" s="139">
        <v>20402020507</v>
      </c>
      <c r="X664" s="140" t="s">
        <v>1505</v>
      </c>
    </row>
    <row r="665" spans="1:24" x14ac:dyDescent="0.35">
      <c r="A665" s="34">
        <v>2022</v>
      </c>
      <c r="B665" s="34" t="s">
        <v>650</v>
      </c>
      <c r="C665" s="34" t="s">
        <v>1504</v>
      </c>
      <c r="D665" s="34" t="s">
        <v>651</v>
      </c>
      <c r="E665" s="34" t="s">
        <v>1492</v>
      </c>
      <c r="F665" s="34" t="s">
        <v>254</v>
      </c>
      <c r="G665" s="34"/>
      <c r="H665" s="34">
        <v>39.827696000000003</v>
      </c>
      <c r="I665" s="34">
        <v>-75.277782000000002</v>
      </c>
      <c r="J665" s="34"/>
      <c r="K665" s="105">
        <v>110070210457</v>
      </c>
      <c r="L665" s="34">
        <v>2869</v>
      </c>
      <c r="M665" s="48" t="str">
        <f>VLOOKUP(L665, '2017 SIC to NAICS'!A:D, 2)</f>
        <v>Industrial Organic Chemicals, Nec</v>
      </c>
      <c r="N665" s="34">
        <f>VLOOKUP(L665,'2017 SIC to NAICS'!A:D,3)</f>
        <v>325998</v>
      </c>
      <c r="O665" s="34" t="str">
        <f>VLOOKUP(L665,'2017 SIC to NAICS'!A:D,4)</f>
        <v>All Other Miscellaneous Chemical Product and Preparation Manufacturing</v>
      </c>
      <c r="P665" s="36" t="s">
        <v>748</v>
      </c>
      <c r="Q665" s="137" t="s">
        <v>749</v>
      </c>
      <c r="R665" s="45" t="s">
        <v>41</v>
      </c>
      <c r="S665" s="138">
        <f>COUNTIFS('Raw Non-zero DMR Data'!$A:$A, A665, 'Raw Non-zero DMR Data'!$C:$C, U665, 'Raw Non-zero DMR Data'!$V:$V, V665)</f>
        <v>1</v>
      </c>
      <c r="T665" s="34">
        <f>SUMIFS('Raw Non-zero DMR Data'!$X:$X, 'Raw Non-zero DMR Data'!$A:$A, A665, 'Raw Non-zero DMR Data'!$C:$C, U665, 'Raw Non-zero DMR Data'!V:V, V665)</f>
        <v>3.3072043099999998E-3</v>
      </c>
      <c r="U665" s="34" t="s">
        <v>1504</v>
      </c>
      <c r="V665" s="34" t="s">
        <v>1498</v>
      </c>
      <c r="W665" s="141" t="s">
        <v>1500</v>
      </c>
      <c r="X665" s="140" t="s">
        <v>1505</v>
      </c>
    </row>
    <row r="666" spans="1:24" x14ac:dyDescent="0.35">
      <c r="A666" s="34">
        <v>2023</v>
      </c>
      <c r="B666" s="34" t="s">
        <v>650</v>
      </c>
      <c r="C666" s="34" t="s">
        <v>1504</v>
      </c>
      <c r="D666" s="34" t="s">
        <v>651</v>
      </c>
      <c r="E666" s="34" t="s">
        <v>1492</v>
      </c>
      <c r="F666" s="34" t="s">
        <v>254</v>
      </c>
      <c r="G666" s="34"/>
      <c r="H666" s="34">
        <v>39.827696000000003</v>
      </c>
      <c r="I666" s="34">
        <v>-75.277782000000002</v>
      </c>
      <c r="J666" s="34"/>
      <c r="K666" s="105">
        <v>110070210457</v>
      </c>
      <c r="L666" s="34">
        <v>2869</v>
      </c>
      <c r="M666" s="48" t="str">
        <f>VLOOKUP(L666, '2017 SIC to NAICS'!A:D, 2)</f>
        <v>Industrial Organic Chemicals, Nec</v>
      </c>
      <c r="N666" s="34">
        <f>VLOOKUP(L666,'2017 SIC to NAICS'!A:D,3)</f>
        <v>325998</v>
      </c>
      <c r="O666" s="34" t="str">
        <f>VLOOKUP(L666,'2017 SIC to NAICS'!A:D,4)</f>
        <v>All Other Miscellaneous Chemical Product and Preparation Manufacturing</v>
      </c>
      <c r="P666" s="36" t="s">
        <v>748</v>
      </c>
      <c r="Q666" s="137" t="s">
        <v>749</v>
      </c>
      <c r="R666" s="45" t="s">
        <v>41</v>
      </c>
      <c r="S666" s="138">
        <f>COUNTIFS('Raw Non-zero DMR Data'!$A:$A, A666, 'Raw Non-zero DMR Data'!$C:$C, U666, 'Raw Non-zero DMR Data'!$V:$V, V666)</f>
        <v>1</v>
      </c>
      <c r="T666" s="34">
        <f>SUMIFS('Raw Non-zero DMR Data'!$X:$X, 'Raw Non-zero DMR Data'!$A:$A, A666, 'Raw Non-zero DMR Data'!$C:$C, U666, 'Raw Non-zero DMR Data'!V:V, V666)</f>
        <v>2.2850802000000002E-3</v>
      </c>
      <c r="U666" s="34" t="s">
        <v>1504</v>
      </c>
      <c r="V666" s="34" t="s">
        <v>1498</v>
      </c>
      <c r="W666" s="141" t="s">
        <v>1500</v>
      </c>
      <c r="X666" s="140" t="s">
        <v>1505</v>
      </c>
    </row>
    <row r="667" spans="1:24" x14ac:dyDescent="0.35">
      <c r="A667" s="34">
        <v>2019</v>
      </c>
      <c r="B667" s="34" t="s">
        <v>568</v>
      </c>
      <c r="C667" s="34" t="s">
        <v>1506</v>
      </c>
      <c r="D667" s="34" t="s">
        <v>300</v>
      </c>
      <c r="E667" s="34" t="s">
        <v>1492</v>
      </c>
      <c r="F667" s="34" t="s">
        <v>254</v>
      </c>
      <c r="G667" s="34"/>
      <c r="H667" s="34">
        <v>39.799250000000001</v>
      </c>
      <c r="I667" s="34">
        <v>-75.33296</v>
      </c>
      <c r="J667" s="34"/>
      <c r="K667" s="105">
        <v>110009721836</v>
      </c>
      <c r="L667" s="34">
        <v>4213</v>
      </c>
      <c r="M667" s="48" t="str">
        <f>VLOOKUP(L667, '2017 SIC to NAICS'!A:D, 2)</f>
        <v>Trucking, Except Local</v>
      </c>
      <c r="N667" s="34">
        <f>VLOOKUP(L667,'2017 SIC to NAICS'!A:D,3)</f>
        <v>484230</v>
      </c>
      <c r="O667" s="34" t="str">
        <f>VLOOKUP(L667,'2017 SIC to NAICS'!A:D,4)</f>
        <v>Specialized Freight (except Used Goods)
Trucking, Long-Distance</v>
      </c>
      <c r="P667" s="36" t="s">
        <v>737</v>
      </c>
      <c r="Q667" s="137" t="s">
        <v>737</v>
      </c>
      <c r="R667" s="45" t="s">
        <v>41</v>
      </c>
      <c r="S667" s="138">
        <f>COUNTIFS('Raw Non-zero DMR Data'!$A:$A, A667, 'Raw Non-zero DMR Data'!$C:$C, U667, 'Raw Non-zero DMR Data'!$V:$V, V667)</f>
        <v>1</v>
      </c>
      <c r="T667" s="34">
        <f>SUMIFS('Raw Non-zero DMR Data'!$X:$X, 'Raw Non-zero DMR Data'!$A:$A, A667, 'Raw Non-zero DMR Data'!$C:$C, U667, 'Raw Non-zero DMR Data'!V:V, V667)</f>
        <v>2.0696048263675E-2</v>
      </c>
      <c r="U667" s="34" t="s">
        <v>1506</v>
      </c>
      <c r="V667" s="34" t="s">
        <v>1507</v>
      </c>
      <c r="W667" s="139">
        <v>20402020607</v>
      </c>
      <c r="X667" s="140" t="s">
        <v>739</v>
      </c>
    </row>
    <row r="668" spans="1:24" x14ac:dyDescent="0.35">
      <c r="A668" s="34">
        <v>2020</v>
      </c>
      <c r="B668" s="34" t="s">
        <v>568</v>
      </c>
      <c r="C668" s="34" t="s">
        <v>1506</v>
      </c>
      <c r="D668" s="34" t="s">
        <v>300</v>
      </c>
      <c r="E668" s="34" t="s">
        <v>1492</v>
      </c>
      <c r="F668" s="34" t="s">
        <v>254</v>
      </c>
      <c r="G668" s="34"/>
      <c r="H668" s="34">
        <v>39.799250000000001</v>
      </c>
      <c r="I668" s="34">
        <v>-75.33296</v>
      </c>
      <c r="J668" s="34"/>
      <c r="K668" s="105">
        <v>110009721836</v>
      </c>
      <c r="L668" s="34">
        <v>4213</v>
      </c>
      <c r="M668" s="48" t="str">
        <f>VLOOKUP(L668, '2017 SIC to NAICS'!A:D, 2)</f>
        <v>Trucking, Except Local</v>
      </c>
      <c r="N668" s="34">
        <f>VLOOKUP(L668,'2017 SIC to NAICS'!A:D,3)</f>
        <v>484230</v>
      </c>
      <c r="O668" s="34" t="str">
        <f>VLOOKUP(L668,'2017 SIC to NAICS'!A:D,4)</f>
        <v>Specialized Freight (except Used Goods)
Trucking, Long-Distance</v>
      </c>
      <c r="P668" s="36" t="s">
        <v>737</v>
      </c>
      <c r="Q668" s="137" t="s">
        <v>737</v>
      </c>
      <c r="R668" s="45" t="s">
        <v>41</v>
      </c>
      <c r="S668" s="138">
        <f>COUNTIFS('Raw Non-zero DMR Data'!$A:$A, A668, 'Raw Non-zero DMR Data'!$C:$C, U668, 'Raw Non-zero DMR Data'!$V:$V, V668)</f>
        <v>1</v>
      </c>
      <c r="T668" s="34">
        <f>SUMIFS('Raw Non-zero DMR Data'!$X:$X, 'Raw Non-zero DMR Data'!$A:$A, A668, 'Raw Non-zero DMR Data'!$C:$C, U668, 'Raw Non-zero DMR Data'!V:V, V668)</f>
        <v>1.3676456320999999E-2</v>
      </c>
      <c r="U668" s="34" t="s">
        <v>1506</v>
      </c>
      <c r="V668" s="34" t="s">
        <v>1507</v>
      </c>
      <c r="W668" s="139">
        <v>20402020607</v>
      </c>
      <c r="X668" s="140" t="s">
        <v>739</v>
      </c>
    </row>
    <row r="669" spans="1:24" x14ac:dyDescent="0.35">
      <c r="A669" s="34">
        <v>2021</v>
      </c>
      <c r="B669" s="34" t="s">
        <v>568</v>
      </c>
      <c r="C669" s="34" t="s">
        <v>1506</v>
      </c>
      <c r="D669" s="34" t="s">
        <v>300</v>
      </c>
      <c r="E669" s="34" t="s">
        <v>1492</v>
      </c>
      <c r="F669" s="34" t="s">
        <v>254</v>
      </c>
      <c r="G669" s="34"/>
      <c r="H669" s="34">
        <v>39.799250000000001</v>
      </c>
      <c r="I669" s="34">
        <v>-75.33296</v>
      </c>
      <c r="J669" s="34"/>
      <c r="K669" s="105">
        <v>110009721836</v>
      </c>
      <c r="L669" s="34">
        <v>4213</v>
      </c>
      <c r="M669" s="48" t="str">
        <f>VLOOKUP(L669, '2017 SIC to NAICS'!A:D, 2)</f>
        <v>Trucking, Except Local</v>
      </c>
      <c r="N669" s="34">
        <f>VLOOKUP(L669,'2017 SIC to NAICS'!A:D,3)</f>
        <v>484230</v>
      </c>
      <c r="O669" s="34" t="str">
        <f>VLOOKUP(L669,'2017 SIC to NAICS'!A:D,4)</f>
        <v>Specialized Freight (except Used Goods)
Trucking, Long-Distance</v>
      </c>
      <c r="P669" s="36" t="s">
        <v>737</v>
      </c>
      <c r="Q669" s="137" t="s">
        <v>737</v>
      </c>
      <c r="R669" s="45" t="s">
        <v>41</v>
      </c>
      <c r="S669" s="138">
        <f>COUNTIFS('Raw Non-zero DMR Data'!$A:$A, A669, 'Raw Non-zero DMR Data'!$C:$C, U669, 'Raw Non-zero DMR Data'!$V:$V, V669)</f>
        <v>1</v>
      </c>
      <c r="T669" s="34">
        <f>SUMIFS('Raw Non-zero DMR Data'!$X:$X, 'Raw Non-zero DMR Data'!$A:$A, A669, 'Raw Non-zero DMR Data'!$C:$C, U669, 'Raw Non-zero DMR Data'!V:V, V669)</f>
        <v>1.5735604269199999E-2</v>
      </c>
      <c r="U669" s="34" t="s">
        <v>1506</v>
      </c>
      <c r="V669" s="34" t="s">
        <v>1507</v>
      </c>
      <c r="W669" s="139">
        <v>20402020607</v>
      </c>
      <c r="X669" s="140" t="s">
        <v>739</v>
      </c>
    </row>
    <row r="670" spans="1:24" x14ac:dyDescent="0.35">
      <c r="A670" s="34">
        <v>2022</v>
      </c>
      <c r="B670" s="34" t="s">
        <v>568</v>
      </c>
      <c r="C670" s="34" t="s">
        <v>1506</v>
      </c>
      <c r="D670" s="34" t="s">
        <v>300</v>
      </c>
      <c r="E670" s="34" t="s">
        <v>1492</v>
      </c>
      <c r="F670" s="34" t="s">
        <v>254</v>
      </c>
      <c r="G670" s="34"/>
      <c r="H670" s="34">
        <v>39.799250000000001</v>
      </c>
      <c r="I670" s="34">
        <v>-75.33296</v>
      </c>
      <c r="J670" s="34"/>
      <c r="K670" s="105">
        <v>110009721836</v>
      </c>
      <c r="L670" s="34">
        <v>4213</v>
      </c>
      <c r="M670" s="48" t="str">
        <f>VLOOKUP(L670, '2017 SIC to NAICS'!A:D, 2)</f>
        <v>Trucking, Except Local</v>
      </c>
      <c r="N670" s="34">
        <f>VLOOKUP(L670,'2017 SIC to NAICS'!A:D,3)</f>
        <v>484230</v>
      </c>
      <c r="O670" s="34" t="str">
        <f>VLOOKUP(L670,'2017 SIC to NAICS'!A:D,4)</f>
        <v>Specialized Freight (except Used Goods)
Trucking, Long-Distance</v>
      </c>
      <c r="P670" s="36" t="s">
        <v>737</v>
      </c>
      <c r="Q670" s="137" t="s">
        <v>737</v>
      </c>
      <c r="R670" s="45" t="s">
        <v>41</v>
      </c>
      <c r="S670" s="138">
        <f>COUNTIFS('Raw Non-zero DMR Data'!$A:$A, A670, 'Raw Non-zero DMR Data'!$C:$C, U670, 'Raw Non-zero DMR Data'!$V:$V, V670)</f>
        <v>1</v>
      </c>
      <c r="T670" s="34">
        <f>SUMIFS('Raw Non-zero DMR Data'!$X:$X, 'Raw Non-zero DMR Data'!$A:$A, A670, 'Raw Non-zero DMR Data'!$C:$C, U670, 'Raw Non-zero DMR Data'!V:V, V670)</f>
        <v>1.47777715636E-2</v>
      </c>
      <c r="U670" s="34" t="s">
        <v>1506</v>
      </c>
      <c r="V670" s="34" t="s">
        <v>1507</v>
      </c>
      <c r="W670" s="141" t="s">
        <v>1508</v>
      </c>
      <c r="X670" s="140" t="s">
        <v>739</v>
      </c>
    </row>
    <row r="671" spans="1:24" x14ac:dyDescent="0.35">
      <c r="A671" s="34">
        <v>2023</v>
      </c>
      <c r="B671" s="34" t="s">
        <v>568</v>
      </c>
      <c r="C671" s="34" t="s">
        <v>1506</v>
      </c>
      <c r="D671" s="34" t="s">
        <v>300</v>
      </c>
      <c r="E671" s="34" t="s">
        <v>1492</v>
      </c>
      <c r="F671" s="34" t="s">
        <v>254</v>
      </c>
      <c r="G671" s="34"/>
      <c r="H671" s="34">
        <v>39.799250000000001</v>
      </c>
      <c r="I671" s="34">
        <v>-75.33296</v>
      </c>
      <c r="J671" s="34"/>
      <c r="K671" s="105">
        <v>110009721836</v>
      </c>
      <c r="L671" s="34">
        <v>4213</v>
      </c>
      <c r="M671" s="48" t="str">
        <f>VLOOKUP(L671, '2017 SIC to NAICS'!A:D, 2)</f>
        <v>Trucking, Except Local</v>
      </c>
      <c r="N671" s="34">
        <f>VLOOKUP(L671,'2017 SIC to NAICS'!A:D,3)</f>
        <v>484230</v>
      </c>
      <c r="O671" s="34" t="str">
        <f>VLOOKUP(L671,'2017 SIC to NAICS'!A:D,4)</f>
        <v>Specialized Freight (except Used Goods)
Trucking, Long-Distance</v>
      </c>
      <c r="P671" s="36" t="s">
        <v>737</v>
      </c>
      <c r="Q671" s="137" t="s">
        <v>737</v>
      </c>
      <c r="R671" s="45" t="s">
        <v>41</v>
      </c>
      <c r="S671" s="138">
        <f>COUNTIFS('Raw Non-zero DMR Data'!$A:$A, A671, 'Raw Non-zero DMR Data'!$C:$C, U671, 'Raw Non-zero DMR Data'!$V:$V, V671)</f>
        <v>1</v>
      </c>
      <c r="T671" s="34">
        <f>SUMIFS('Raw Non-zero DMR Data'!$X:$X, 'Raw Non-zero DMR Data'!$A:$A, A671, 'Raw Non-zero DMR Data'!$C:$C, U671, 'Raw Non-zero DMR Data'!V:V, V671)</f>
        <v>1.15182685488E-2</v>
      </c>
      <c r="U671" s="34" t="s">
        <v>1506</v>
      </c>
      <c r="V671" s="34" t="s">
        <v>1507</v>
      </c>
      <c r="W671" s="141" t="s">
        <v>1508</v>
      </c>
      <c r="X671" s="140" t="s">
        <v>739</v>
      </c>
    </row>
    <row r="672" spans="1:24" x14ac:dyDescent="0.35">
      <c r="A672" s="34">
        <v>2019</v>
      </c>
      <c r="B672" s="34" t="s">
        <v>659</v>
      </c>
      <c r="C672" s="34" t="s">
        <v>1509</v>
      </c>
      <c r="D672" s="34" t="s">
        <v>660</v>
      </c>
      <c r="E672" s="34" t="s">
        <v>818</v>
      </c>
      <c r="F672" s="34" t="s">
        <v>254</v>
      </c>
      <c r="G672" s="34"/>
      <c r="H672" s="34">
        <v>40.471558999999999</v>
      </c>
      <c r="I672" s="34">
        <v>-74.446973</v>
      </c>
      <c r="J672" s="34"/>
      <c r="K672" s="105">
        <v>110070220269</v>
      </c>
      <c r="L672" s="34">
        <v>3053</v>
      </c>
      <c r="M672" s="48" t="str">
        <f>VLOOKUP(L672, '2017 SIC to NAICS'!A:D, 2)</f>
        <v>Gaskets; Packing and Sealing Devices</v>
      </c>
      <c r="N672" s="34">
        <f>VLOOKUP(L672,'2017 SIC to NAICS'!A:D,3)</f>
        <v>339991</v>
      </c>
      <c r="O672" s="34" t="str">
        <f>VLOOKUP(L672,'2017 SIC to NAICS'!A:D,4)</f>
        <v>Gasket, Packing, and Sealing Device
Manufacturing</v>
      </c>
      <c r="P672" s="36" t="s">
        <v>1228</v>
      </c>
      <c r="Q672" s="137" t="s">
        <v>1229</v>
      </c>
      <c r="R672" s="45" t="s">
        <v>41</v>
      </c>
      <c r="S672" s="138">
        <f>COUNTIFS('Raw Non-zero DMR Data'!$A:$A, A672, 'Raw Non-zero DMR Data'!$C:$C, U672, 'Raw Non-zero DMR Data'!$V:$V, V672)</f>
        <v>1</v>
      </c>
      <c r="T672" s="34">
        <f>SUMIFS('Raw Non-zero DMR Data'!$X:$X, 'Raw Non-zero DMR Data'!$A:$A, A672, 'Raw Non-zero DMR Data'!$C:$C, U672, 'Raw Non-zero DMR Data'!V:V, V672)</f>
        <v>2.15688225E-3</v>
      </c>
      <c r="U672" s="34" t="s">
        <v>1509</v>
      </c>
      <c r="V672" s="34" t="s">
        <v>1510</v>
      </c>
      <c r="W672" s="139">
        <v>20301050505</v>
      </c>
      <c r="X672" s="140" t="s">
        <v>1511</v>
      </c>
    </row>
    <row r="673" spans="1:24" x14ac:dyDescent="0.35">
      <c r="A673" s="34">
        <v>2020</v>
      </c>
      <c r="B673" s="34" t="s">
        <v>659</v>
      </c>
      <c r="C673" s="34" t="s">
        <v>1509</v>
      </c>
      <c r="D673" s="34" t="s">
        <v>660</v>
      </c>
      <c r="E673" s="34" t="s">
        <v>818</v>
      </c>
      <c r="F673" s="34" t="s">
        <v>254</v>
      </c>
      <c r="G673" s="34"/>
      <c r="H673" s="34">
        <v>40.471558999999999</v>
      </c>
      <c r="I673" s="34">
        <v>-74.446973</v>
      </c>
      <c r="J673" s="34"/>
      <c r="K673" s="105">
        <v>110070220269</v>
      </c>
      <c r="L673" s="34">
        <v>3053</v>
      </c>
      <c r="M673" s="48" t="str">
        <f>VLOOKUP(L673, '2017 SIC to NAICS'!A:D, 2)</f>
        <v>Gaskets; Packing and Sealing Devices</v>
      </c>
      <c r="N673" s="34">
        <f>VLOOKUP(L673,'2017 SIC to NAICS'!A:D,3)</f>
        <v>339991</v>
      </c>
      <c r="O673" s="34" t="str">
        <f>VLOOKUP(L673,'2017 SIC to NAICS'!A:D,4)</f>
        <v>Gasket, Packing, and Sealing Device
Manufacturing</v>
      </c>
      <c r="P673" s="36" t="s">
        <v>1228</v>
      </c>
      <c r="Q673" s="137" t="s">
        <v>1229</v>
      </c>
      <c r="R673" s="45" t="s">
        <v>41</v>
      </c>
      <c r="S673" s="138">
        <f>COUNTIFS('Raw Non-zero DMR Data'!$A:$A, A673, 'Raw Non-zero DMR Data'!$C:$C, U673, 'Raw Non-zero DMR Data'!$V:$V, V673)</f>
        <v>1</v>
      </c>
      <c r="T673" s="34">
        <f>SUMIFS('Raw Non-zero DMR Data'!$X:$X, 'Raw Non-zero DMR Data'!$A:$A, A673, 'Raw Non-zero DMR Data'!$C:$C, U673, 'Raw Non-zero DMR Data'!V:V, V673)</f>
        <v>1.3327583029999999E-3</v>
      </c>
      <c r="U673" s="34" t="s">
        <v>1509</v>
      </c>
      <c r="V673" s="34" t="s">
        <v>1510</v>
      </c>
      <c r="W673" s="139">
        <v>20301050505</v>
      </c>
      <c r="X673" s="140" t="s">
        <v>1511</v>
      </c>
    </row>
    <row r="674" spans="1:24" x14ac:dyDescent="0.35">
      <c r="A674" s="34">
        <v>2021</v>
      </c>
      <c r="B674" s="34" t="s">
        <v>659</v>
      </c>
      <c r="C674" s="34" t="s">
        <v>1509</v>
      </c>
      <c r="D674" s="34" t="s">
        <v>660</v>
      </c>
      <c r="E674" s="34" t="s">
        <v>818</v>
      </c>
      <c r="F674" s="34" t="s">
        <v>254</v>
      </c>
      <c r="G674" s="34"/>
      <c r="H674" s="34">
        <v>40.471558999999999</v>
      </c>
      <c r="I674" s="34">
        <v>-74.446973</v>
      </c>
      <c r="J674" s="34"/>
      <c r="K674" s="105">
        <v>110070220269</v>
      </c>
      <c r="L674" s="34">
        <v>3053</v>
      </c>
      <c r="M674" s="48" t="str">
        <f>VLOOKUP(L674, '2017 SIC to NAICS'!A:D, 2)</f>
        <v>Gaskets; Packing and Sealing Devices</v>
      </c>
      <c r="N674" s="34">
        <f>VLOOKUP(L674,'2017 SIC to NAICS'!A:D,3)</f>
        <v>339991</v>
      </c>
      <c r="O674" s="34" t="str">
        <f>VLOOKUP(L674,'2017 SIC to NAICS'!A:D,4)</f>
        <v>Gasket, Packing, and Sealing Device
Manufacturing</v>
      </c>
      <c r="P674" s="36" t="s">
        <v>1228</v>
      </c>
      <c r="Q674" s="137" t="s">
        <v>1229</v>
      </c>
      <c r="R674" s="45" t="s">
        <v>41</v>
      </c>
      <c r="S674" s="138">
        <f>COUNTIFS('Raw Non-zero DMR Data'!$A:$A, A674, 'Raw Non-zero DMR Data'!$C:$C, U674, 'Raw Non-zero DMR Data'!$V:$V, V674)</f>
        <v>1</v>
      </c>
      <c r="T674" s="34">
        <f>SUMIFS('Raw Non-zero DMR Data'!$X:$X, 'Raw Non-zero DMR Data'!$A:$A, A674, 'Raw Non-zero DMR Data'!$C:$C, U674, 'Raw Non-zero DMR Data'!V:V, V674)</f>
        <v>1.9154791135000001E-3</v>
      </c>
      <c r="U674" s="34" t="s">
        <v>1509</v>
      </c>
      <c r="V674" s="34" t="s">
        <v>1510</v>
      </c>
      <c r="W674" s="139">
        <v>20301050505</v>
      </c>
      <c r="X674" s="140" t="s">
        <v>1511</v>
      </c>
    </row>
    <row r="675" spans="1:24" x14ac:dyDescent="0.35">
      <c r="A675" s="34">
        <v>2022</v>
      </c>
      <c r="B675" s="34" t="s">
        <v>659</v>
      </c>
      <c r="C675" s="34" t="s">
        <v>1509</v>
      </c>
      <c r="D675" s="34" t="s">
        <v>660</v>
      </c>
      <c r="E675" s="34" t="s">
        <v>818</v>
      </c>
      <c r="F675" s="34" t="s">
        <v>254</v>
      </c>
      <c r="G675" s="34"/>
      <c r="H675" s="34">
        <v>40.471558999999999</v>
      </c>
      <c r="I675" s="34">
        <v>-74.446973</v>
      </c>
      <c r="J675" s="34"/>
      <c r="K675" s="105">
        <v>110070220269</v>
      </c>
      <c r="L675" s="34">
        <v>3053</v>
      </c>
      <c r="M675" s="48" t="str">
        <f>VLOOKUP(L675, '2017 SIC to NAICS'!A:D, 2)</f>
        <v>Gaskets; Packing and Sealing Devices</v>
      </c>
      <c r="N675" s="34">
        <f>VLOOKUP(L675,'2017 SIC to NAICS'!A:D,3)</f>
        <v>339991</v>
      </c>
      <c r="O675" s="34" t="str">
        <f>VLOOKUP(L675,'2017 SIC to NAICS'!A:D,4)</f>
        <v>Gasket, Packing, and Sealing Device
Manufacturing</v>
      </c>
      <c r="P675" s="36" t="s">
        <v>1228</v>
      </c>
      <c r="Q675" s="137" t="s">
        <v>1229</v>
      </c>
      <c r="R675" s="45" t="s">
        <v>41</v>
      </c>
      <c r="S675" s="138">
        <f>COUNTIFS('Raw Non-zero DMR Data'!$A:$A, A675, 'Raw Non-zero DMR Data'!$C:$C, U675, 'Raw Non-zero DMR Data'!$V:$V, V675)</f>
        <v>1</v>
      </c>
      <c r="T675" s="34">
        <f>SUMIFS('Raw Non-zero DMR Data'!$X:$X, 'Raw Non-zero DMR Data'!$A:$A, A675, 'Raw Non-zero DMR Data'!$C:$C, U675, 'Raw Non-zero DMR Data'!V:V, V675)</f>
        <v>1.0124084616300001E-3</v>
      </c>
      <c r="U675" s="34" t="s">
        <v>1509</v>
      </c>
      <c r="V675" s="34" t="s">
        <v>1510</v>
      </c>
      <c r="W675" s="141" t="s">
        <v>1512</v>
      </c>
      <c r="X675" s="140" t="s">
        <v>1511</v>
      </c>
    </row>
    <row r="676" spans="1:24" x14ac:dyDescent="0.35">
      <c r="A676" s="34">
        <v>2023</v>
      </c>
      <c r="B676" s="34" t="s">
        <v>659</v>
      </c>
      <c r="C676" s="34" t="s">
        <v>1509</v>
      </c>
      <c r="D676" s="34" t="s">
        <v>660</v>
      </c>
      <c r="E676" s="34" t="s">
        <v>818</v>
      </c>
      <c r="F676" s="34" t="s">
        <v>254</v>
      </c>
      <c r="G676" s="34"/>
      <c r="H676" s="34">
        <v>40.471558999999999</v>
      </c>
      <c r="I676" s="34">
        <v>-74.446973</v>
      </c>
      <c r="J676" s="34"/>
      <c r="K676" s="105">
        <v>110070220269</v>
      </c>
      <c r="L676" s="34">
        <v>3053</v>
      </c>
      <c r="M676" s="48" t="str">
        <f>VLOOKUP(L676, '2017 SIC to NAICS'!A:D, 2)</f>
        <v>Gaskets; Packing and Sealing Devices</v>
      </c>
      <c r="N676" s="34">
        <f>VLOOKUP(L676,'2017 SIC to NAICS'!A:D,3)</f>
        <v>339991</v>
      </c>
      <c r="O676" s="34" t="str">
        <f>VLOOKUP(L676,'2017 SIC to NAICS'!A:D,4)</f>
        <v>Gasket, Packing, and Sealing Device
Manufacturing</v>
      </c>
      <c r="P676" s="36" t="s">
        <v>1228</v>
      </c>
      <c r="Q676" s="137" t="s">
        <v>1229</v>
      </c>
      <c r="R676" s="45" t="s">
        <v>41</v>
      </c>
      <c r="S676" s="138">
        <f>COUNTIFS('Raw Non-zero DMR Data'!$A:$A, A676, 'Raw Non-zero DMR Data'!$C:$C, U676, 'Raw Non-zero DMR Data'!$V:$V, V676)</f>
        <v>1</v>
      </c>
      <c r="T676" s="34">
        <f>SUMIFS('Raw Non-zero DMR Data'!$X:$X, 'Raw Non-zero DMR Data'!$A:$A, A676, 'Raw Non-zero DMR Data'!$C:$C, U676, 'Raw Non-zero DMR Data'!V:V, V676)</f>
        <v>1.1696047424999999E-3</v>
      </c>
      <c r="U676" s="34" t="s">
        <v>1509</v>
      </c>
      <c r="V676" s="34" t="s">
        <v>1510</v>
      </c>
      <c r="W676" s="141" t="s">
        <v>1512</v>
      </c>
      <c r="X676" s="140" t="s">
        <v>1511</v>
      </c>
    </row>
    <row r="677" spans="1:24" x14ac:dyDescent="0.35">
      <c r="A677" s="34">
        <v>2019</v>
      </c>
      <c r="B677" s="34" t="s">
        <v>556</v>
      </c>
      <c r="C677" s="34" t="s">
        <v>1513</v>
      </c>
      <c r="D677" s="34" t="s">
        <v>557</v>
      </c>
      <c r="E677" s="34" t="s">
        <v>818</v>
      </c>
      <c r="F677" s="34" t="s">
        <v>254</v>
      </c>
      <c r="G677" s="34"/>
      <c r="H677" s="34">
        <v>40.382820000000002</v>
      </c>
      <c r="I677" s="34">
        <v>-74.501608000000004</v>
      </c>
      <c r="J677" s="34"/>
      <c r="K677" s="105">
        <v>110070220772</v>
      </c>
      <c r="L677" s="34">
        <v>3492</v>
      </c>
      <c r="M677" s="48" t="str">
        <f>VLOOKUP(L677, '2017 SIC to NAICS'!A:D, 2)</f>
        <v>Fluid Power Valves and Hose Fittings</v>
      </c>
      <c r="N677" s="34">
        <f>VLOOKUP(L677,'2017 SIC to NAICS'!A:D,3)</f>
        <v>332912</v>
      </c>
      <c r="O677" s="34" t="str">
        <f>VLOOKUP(L677,'2017 SIC to NAICS'!A:D,4)</f>
        <v>Fluid Power Valve and Hose Fitting
Manufacturing</v>
      </c>
      <c r="P677" s="36" t="s">
        <v>809</v>
      </c>
      <c r="Q677" s="137" t="s">
        <v>810</v>
      </c>
      <c r="R677" s="45" t="s">
        <v>41</v>
      </c>
      <c r="S677" s="138">
        <f>COUNTIFS('Raw Non-zero DMR Data'!$A:$A, A677, 'Raw Non-zero DMR Data'!$C:$C, U677, 'Raw Non-zero DMR Data'!$V:$V, V677)</f>
        <v>1</v>
      </c>
      <c r="T677" s="34">
        <f>SUMIFS('Raw Non-zero DMR Data'!$X:$X, 'Raw Non-zero DMR Data'!$A:$A, A677, 'Raw Non-zero DMR Data'!$C:$C, U677, 'Raw Non-zero DMR Data'!V:V, V677)</f>
        <v>7.3251737852000004E-3</v>
      </c>
      <c r="U677" s="34" t="s">
        <v>1513</v>
      </c>
      <c r="V677" s="34" t="s">
        <v>1510</v>
      </c>
      <c r="W677" s="139">
        <v>20301050505</v>
      </c>
      <c r="X677" s="140" t="s">
        <v>1514</v>
      </c>
    </row>
    <row r="678" spans="1:24" x14ac:dyDescent="0.35">
      <c r="A678" s="34">
        <v>2020</v>
      </c>
      <c r="B678" s="34" t="s">
        <v>556</v>
      </c>
      <c r="C678" s="34" t="s">
        <v>1513</v>
      </c>
      <c r="D678" s="34" t="s">
        <v>557</v>
      </c>
      <c r="E678" s="34" t="s">
        <v>818</v>
      </c>
      <c r="F678" s="34" t="s">
        <v>254</v>
      </c>
      <c r="G678" s="34"/>
      <c r="H678" s="34">
        <v>40.382820000000002</v>
      </c>
      <c r="I678" s="34">
        <v>-74.501608000000004</v>
      </c>
      <c r="J678" s="34"/>
      <c r="K678" s="105">
        <v>110070220772</v>
      </c>
      <c r="L678" s="34">
        <v>3492</v>
      </c>
      <c r="M678" s="48" t="str">
        <f>VLOOKUP(L678, '2017 SIC to NAICS'!A:D, 2)</f>
        <v>Fluid Power Valves and Hose Fittings</v>
      </c>
      <c r="N678" s="34">
        <f>VLOOKUP(L678,'2017 SIC to NAICS'!A:D,3)</f>
        <v>332912</v>
      </c>
      <c r="O678" s="34" t="str">
        <f>VLOOKUP(L678,'2017 SIC to NAICS'!A:D,4)</f>
        <v>Fluid Power Valve and Hose Fitting
Manufacturing</v>
      </c>
      <c r="P678" s="36" t="s">
        <v>809</v>
      </c>
      <c r="Q678" s="137" t="s">
        <v>810</v>
      </c>
      <c r="R678" s="45" t="s">
        <v>41</v>
      </c>
      <c r="S678" s="138">
        <f>COUNTIFS('Raw Non-zero DMR Data'!$A:$A, A678, 'Raw Non-zero DMR Data'!$C:$C, U678, 'Raw Non-zero DMR Data'!$V:$V, V678)</f>
        <v>1</v>
      </c>
      <c r="T678" s="34">
        <f>SUMIFS('Raw Non-zero DMR Data'!$X:$X, 'Raw Non-zero DMR Data'!$A:$A, A678, 'Raw Non-zero DMR Data'!$C:$C, U678, 'Raw Non-zero DMR Data'!V:V, V678)</f>
        <v>2.1941722592500001E-2</v>
      </c>
      <c r="U678" s="34" t="s">
        <v>1513</v>
      </c>
      <c r="V678" s="34" t="s">
        <v>1510</v>
      </c>
      <c r="W678" s="139">
        <v>20301050505</v>
      </c>
      <c r="X678" s="140" t="s">
        <v>1514</v>
      </c>
    </row>
    <row r="679" spans="1:24" x14ac:dyDescent="0.35">
      <c r="A679" s="34">
        <v>2021</v>
      </c>
      <c r="B679" s="34" t="s">
        <v>556</v>
      </c>
      <c r="C679" s="34" t="s">
        <v>1513</v>
      </c>
      <c r="D679" s="34" t="s">
        <v>557</v>
      </c>
      <c r="E679" s="34" t="s">
        <v>818</v>
      </c>
      <c r="F679" s="34" t="s">
        <v>254</v>
      </c>
      <c r="G679" s="34"/>
      <c r="H679" s="34">
        <v>40.382820000000002</v>
      </c>
      <c r="I679" s="34">
        <v>-74.501608000000004</v>
      </c>
      <c r="J679" s="34"/>
      <c r="K679" s="105">
        <v>110070220772</v>
      </c>
      <c r="L679" s="34">
        <v>3492</v>
      </c>
      <c r="M679" s="48" t="str">
        <f>VLOOKUP(L679, '2017 SIC to NAICS'!A:D, 2)</f>
        <v>Fluid Power Valves and Hose Fittings</v>
      </c>
      <c r="N679" s="34">
        <f>VLOOKUP(L679,'2017 SIC to NAICS'!A:D,3)</f>
        <v>332912</v>
      </c>
      <c r="O679" s="34" t="str">
        <f>VLOOKUP(L679,'2017 SIC to NAICS'!A:D,4)</f>
        <v>Fluid Power Valve and Hose Fitting
Manufacturing</v>
      </c>
      <c r="P679" s="36" t="s">
        <v>809</v>
      </c>
      <c r="Q679" s="137" t="s">
        <v>810</v>
      </c>
      <c r="R679" s="45" t="s">
        <v>41</v>
      </c>
      <c r="S679" s="138">
        <f>COUNTIFS('Raw Non-zero DMR Data'!$A:$A, A679, 'Raw Non-zero DMR Data'!$C:$C, U679, 'Raw Non-zero DMR Data'!$V:$V, V679)</f>
        <v>1</v>
      </c>
      <c r="T679" s="34">
        <f>SUMIFS('Raw Non-zero DMR Data'!$X:$X, 'Raw Non-zero DMR Data'!$A:$A, A679, 'Raw Non-zero DMR Data'!$C:$C, U679, 'Raw Non-zero DMR Data'!V:V, V679)</f>
        <v>2.42508224025E-2</v>
      </c>
      <c r="U679" s="34" t="s">
        <v>1513</v>
      </c>
      <c r="V679" s="34" t="s">
        <v>1510</v>
      </c>
      <c r="W679" s="139">
        <v>20301050505</v>
      </c>
      <c r="X679" s="140" t="s">
        <v>1514</v>
      </c>
    </row>
    <row r="680" spans="1:24" x14ac:dyDescent="0.35">
      <c r="A680" s="34">
        <v>2022</v>
      </c>
      <c r="B680" s="34" t="s">
        <v>556</v>
      </c>
      <c r="C680" s="34" t="s">
        <v>1513</v>
      </c>
      <c r="D680" s="34" t="s">
        <v>557</v>
      </c>
      <c r="E680" s="34" t="s">
        <v>818</v>
      </c>
      <c r="F680" s="34" t="s">
        <v>254</v>
      </c>
      <c r="G680" s="34"/>
      <c r="H680" s="34">
        <v>40.382820000000002</v>
      </c>
      <c r="I680" s="34">
        <v>-74.501608000000004</v>
      </c>
      <c r="J680" s="34"/>
      <c r="K680" s="105">
        <v>110070220772</v>
      </c>
      <c r="L680" s="34">
        <v>3492</v>
      </c>
      <c r="M680" s="48" t="str">
        <f>VLOOKUP(L680, '2017 SIC to NAICS'!A:D, 2)</f>
        <v>Fluid Power Valves and Hose Fittings</v>
      </c>
      <c r="N680" s="34">
        <f>VLOOKUP(L680,'2017 SIC to NAICS'!A:D,3)</f>
        <v>332912</v>
      </c>
      <c r="O680" s="34" t="str">
        <f>VLOOKUP(L680,'2017 SIC to NAICS'!A:D,4)</f>
        <v>Fluid Power Valve and Hose Fitting
Manufacturing</v>
      </c>
      <c r="P680" s="36" t="s">
        <v>809</v>
      </c>
      <c r="Q680" s="137" t="s">
        <v>810</v>
      </c>
      <c r="R680" s="45" t="s">
        <v>41</v>
      </c>
      <c r="S680" s="138">
        <f>COUNTIFS('Raw Non-zero DMR Data'!$A:$A, A680, 'Raw Non-zero DMR Data'!$C:$C, U680, 'Raw Non-zero DMR Data'!$V:$V, V680)</f>
        <v>1</v>
      </c>
      <c r="T680" s="34">
        <f>SUMIFS('Raw Non-zero DMR Data'!$X:$X, 'Raw Non-zero DMR Data'!$A:$A, A680, 'Raw Non-zero DMR Data'!$C:$C, U680, 'Raw Non-zero DMR Data'!V:V, V680)</f>
        <v>2.2105717180000001E-2</v>
      </c>
      <c r="U680" s="34" t="s">
        <v>1513</v>
      </c>
      <c r="V680" s="34" t="s">
        <v>1510</v>
      </c>
      <c r="W680" s="141" t="s">
        <v>1512</v>
      </c>
      <c r="X680" s="140" t="s">
        <v>1514</v>
      </c>
    </row>
    <row r="681" spans="1:24" x14ac:dyDescent="0.35">
      <c r="A681" s="34">
        <v>2023</v>
      </c>
      <c r="B681" s="34" t="s">
        <v>556</v>
      </c>
      <c r="C681" s="34" t="s">
        <v>1513</v>
      </c>
      <c r="D681" s="34" t="s">
        <v>557</v>
      </c>
      <c r="E681" s="34" t="s">
        <v>818</v>
      </c>
      <c r="F681" s="34" t="s">
        <v>254</v>
      </c>
      <c r="G681" s="34"/>
      <c r="H681" s="34">
        <v>40.382820000000002</v>
      </c>
      <c r="I681" s="34">
        <v>-74.501608000000004</v>
      </c>
      <c r="J681" s="34"/>
      <c r="K681" s="105">
        <v>110070220772</v>
      </c>
      <c r="L681" s="34">
        <v>3492</v>
      </c>
      <c r="M681" s="48" t="str">
        <f>VLOOKUP(L681, '2017 SIC to NAICS'!A:D, 2)</f>
        <v>Fluid Power Valves and Hose Fittings</v>
      </c>
      <c r="N681" s="34">
        <f>VLOOKUP(L681,'2017 SIC to NAICS'!A:D,3)</f>
        <v>332912</v>
      </c>
      <c r="O681" s="34" t="str">
        <f>VLOOKUP(L681,'2017 SIC to NAICS'!A:D,4)</f>
        <v>Fluid Power Valve and Hose Fitting
Manufacturing</v>
      </c>
      <c r="P681" s="36" t="s">
        <v>809</v>
      </c>
      <c r="Q681" s="137" t="s">
        <v>810</v>
      </c>
      <c r="R681" s="45" t="s">
        <v>41</v>
      </c>
      <c r="S681" s="138">
        <f>COUNTIFS('Raw Non-zero DMR Data'!$A:$A, A681, 'Raw Non-zero DMR Data'!$C:$C, U681, 'Raw Non-zero DMR Data'!$V:$V, V681)</f>
        <v>1</v>
      </c>
      <c r="T681" s="34">
        <f>SUMIFS('Raw Non-zero DMR Data'!$X:$X, 'Raw Non-zero DMR Data'!$A:$A, A681, 'Raw Non-zero DMR Data'!$C:$C, U681, 'Raw Non-zero DMR Data'!V:V, V681)</f>
        <v>1.865648453E-2</v>
      </c>
      <c r="U681" s="34" t="s">
        <v>1513</v>
      </c>
      <c r="V681" s="34" t="s">
        <v>1510</v>
      </c>
      <c r="W681" s="141" t="s">
        <v>1512</v>
      </c>
      <c r="X681" s="140" t="s">
        <v>1514</v>
      </c>
    </row>
    <row r="682" spans="1:24" x14ac:dyDescent="0.35">
      <c r="A682" s="34">
        <v>2019</v>
      </c>
      <c r="B682" s="34" t="s">
        <v>662</v>
      </c>
      <c r="C682" s="34" t="s">
        <v>1515</v>
      </c>
      <c r="D682" s="34" t="s">
        <v>557</v>
      </c>
      <c r="E682" s="34" t="s">
        <v>818</v>
      </c>
      <c r="F682" s="34" t="s">
        <v>254</v>
      </c>
      <c r="G682" s="34"/>
      <c r="H682" s="34">
        <v>40.428542</v>
      </c>
      <c r="I682" s="34">
        <v>-74.518662000000006</v>
      </c>
      <c r="J682" s="34"/>
      <c r="K682" s="105">
        <v>110070212323</v>
      </c>
      <c r="L682" s="34"/>
      <c r="M682" s="48" t="e">
        <f>VLOOKUP(L682, '2017 SIC to NAICS'!A:D, 2)</f>
        <v>#N/A</v>
      </c>
      <c r="N682" s="34" t="e">
        <f>VLOOKUP(L682,'2017 SIC to NAICS'!A:D,3)</f>
        <v>#N/A</v>
      </c>
      <c r="O682" s="34" t="e">
        <f>VLOOKUP(L682,'2017 SIC to NAICS'!A:D,4)</f>
        <v>#N/A</v>
      </c>
      <c r="P682" s="36" t="s">
        <v>737</v>
      </c>
      <c r="Q682" s="137" t="s">
        <v>737</v>
      </c>
      <c r="R682" s="45" t="s">
        <v>41</v>
      </c>
      <c r="S682" s="138">
        <f>COUNTIFS('Raw Non-zero DMR Data'!$A:$A, A682, 'Raw Non-zero DMR Data'!$C:$C, U682, 'Raw Non-zero DMR Data'!$V:$V, V682)</f>
        <v>1</v>
      </c>
      <c r="T682" s="34">
        <f>SUMIFS('Raw Non-zero DMR Data'!$X:$X, 'Raw Non-zero DMR Data'!$A:$A, A682, 'Raw Non-zero DMR Data'!$C:$C, U682, 'Raw Non-zero DMR Data'!V:V, V682)</f>
        <v>1.8990217064E-3</v>
      </c>
      <c r="U682" s="34" t="s">
        <v>1515</v>
      </c>
      <c r="V682" s="34" t="s">
        <v>1510</v>
      </c>
      <c r="W682" s="139">
        <v>20301050505</v>
      </c>
      <c r="X682" s="140" t="s">
        <v>739</v>
      </c>
    </row>
    <row r="683" spans="1:24" x14ac:dyDescent="0.35">
      <c r="A683" s="34">
        <v>2020</v>
      </c>
      <c r="B683" s="34" t="s">
        <v>662</v>
      </c>
      <c r="C683" s="34" t="s">
        <v>1515</v>
      </c>
      <c r="D683" s="34" t="s">
        <v>557</v>
      </c>
      <c r="E683" s="34" t="s">
        <v>818</v>
      </c>
      <c r="F683" s="34" t="s">
        <v>254</v>
      </c>
      <c r="G683" s="34"/>
      <c r="H683" s="34">
        <v>40.428542</v>
      </c>
      <c r="I683" s="34">
        <v>-74.518662000000006</v>
      </c>
      <c r="J683" s="34"/>
      <c r="K683" s="105">
        <v>110070212323</v>
      </c>
      <c r="L683" s="34"/>
      <c r="M683" s="48" t="e">
        <f>VLOOKUP(L683, '2017 SIC to NAICS'!A:D, 2)</f>
        <v>#N/A</v>
      </c>
      <c r="N683" s="34" t="e">
        <f>VLOOKUP(L683,'2017 SIC to NAICS'!A:D,3)</f>
        <v>#N/A</v>
      </c>
      <c r="O683" s="34" t="e">
        <f>VLOOKUP(L683,'2017 SIC to NAICS'!A:D,4)</f>
        <v>#N/A</v>
      </c>
      <c r="P683" s="36" t="s">
        <v>737</v>
      </c>
      <c r="Q683" s="137" t="s">
        <v>737</v>
      </c>
      <c r="R683" s="45" t="s">
        <v>41</v>
      </c>
      <c r="S683" s="138">
        <f>COUNTIFS('Raw Non-zero DMR Data'!$A:$A, A683, 'Raw Non-zero DMR Data'!$C:$C, U683, 'Raw Non-zero DMR Data'!$V:$V, V683)</f>
        <v>1</v>
      </c>
      <c r="T683" s="34">
        <f>SUMIFS('Raw Non-zero DMR Data'!$X:$X, 'Raw Non-zero DMR Data'!$A:$A, A683, 'Raw Non-zero DMR Data'!$C:$C, U683, 'Raw Non-zero DMR Data'!V:V, V683)</f>
        <v>8.8891709099999999E-4</v>
      </c>
      <c r="U683" s="34" t="s">
        <v>1515</v>
      </c>
      <c r="V683" s="34" t="s">
        <v>1510</v>
      </c>
      <c r="W683" s="139">
        <v>20301050505</v>
      </c>
      <c r="X683" s="140" t="s">
        <v>739</v>
      </c>
    </row>
    <row r="684" spans="1:24" x14ac:dyDescent="0.35">
      <c r="A684" s="34">
        <v>2021</v>
      </c>
      <c r="B684" s="34" t="s">
        <v>662</v>
      </c>
      <c r="C684" s="34" t="s">
        <v>1515</v>
      </c>
      <c r="D684" s="34" t="s">
        <v>557</v>
      </c>
      <c r="E684" s="34" t="s">
        <v>818</v>
      </c>
      <c r="F684" s="34" t="s">
        <v>254</v>
      </c>
      <c r="G684" s="34"/>
      <c r="H684" s="34">
        <v>40.428542</v>
      </c>
      <c r="I684" s="34">
        <v>-74.518662000000006</v>
      </c>
      <c r="J684" s="34"/>
      <c r="K684" s="105">
        <v>110070212323</v>
      </c>
      <c r="L684" s="34"/>
      <c r="M684" s="48" t="e">
        <f>VLOOKUP(L684, '2017 SIC to NAICS'!A:D, 2)</f>
        <v>#N/A</v>
      </c>
      <c r="N684" s="34" t="e">
        <f>VLOOKUP(L684,'2017 SIC to NAICS'!A:D,3)</f>
        <v>#N/A</v>
      </c>
      <c r="O684" s="34" t="e">
        <f>VLOOKUP(L684,'2017 SIC to NAICS'!A:D,4)</f>
        <v>#N/A</v>
      </c>
      <c r="P684" s="36" t="s">
        <v>737</v>
      </c>
      <c r="Q684" s="137" t="s">
        <v>737</v>
      </c>
      <c r="R684" s="45" t="s">
        <v>41</v>
      </c>
      <c r="S684" s="138">
        <f>COUNTIFS('Raw Non-zero DMR Data'!$A:$A, A684, 'Raw Non-zero DMR Data'!$C:$C, U684, 'Raw Non-zero DMR Data'!$V:$V, V684)</f>
        <v>1</v>
      </c>
      <c r="T684" s="34">
        <f>SUMIFS('Raw Non-zero DMR Data'!$X:$X, 'Raw Non-zero DMR Data'!$A:$A, A684, 'Raw Non-zero DMR Data'!$C:$C, U684, 'Raw Non-zero DMR Data'!V:V, V684)</f>
        <v>1.7742859715999999E-3</v>
      </c>
      <c r="U684" s="34" t="s">
        <v>1515</v>
      </c>
      <c r="V684" s="34" t="s">
        <v>1510</v>
      </c>
      <c r="W684" s="139">
        <v>20301050505</v>
      </c>
      <c r="X684" s="140" t="s">
        <v>739</v>
      </c>
    </row>
    <row r="685" spans="1:24" x14ac:dyDescent="0.35">
      <c r="A685" s="34">
        <v>2022</v>
      </c>
      <c r="B685" s="34" t="s">
        <v>662</v>
      </c>
      <c r="C685" s="34" t="s">
        <v>1515</v>
      </c>
      <c r="D685" s="34" t="s">
        <v>557</v>
      </c>
      <c r="E685" s="34" t="s">
        <v>818</v>
      </c>
      <c r="F685" s="34" t="s">
        <v>254</v>
      </c>
      <c r="G685" s="34"/>
      <c r="H685" s="34">
        <v>40.428542</v>
      </c>
      <c r="I685" s="34">
        <v>-74.518662000000006</v>
      </c>
      <c r="J685" s="34"/>
      <c r="K685" s="105">
        <v>110070212323</v>
      </c>
      <c r="L685" s="34"/>
      <c r="M685" s="48" t="e">
        <f>VLOOKUP(L685, '2017 SIC to NAICS'!A:D, 2)</f>
        <v>#N/A</v>
      </c>
      <c r="N685" s="34" t="e">
        <f>VLOOKUP(L685,'2017 SIC to NAICS'!A:D,3)</f>
        <v>#N/A</v>
      </c>
      <c r="O685" s="34" t="e">
        <f>VLOOKUP(L685,'2017 SIC to NAICS'!A:D,4)</f>
        <v>#N/A</v>
      </c>
      <c r="P685" s="36" t="s">
        <v>737</v>
      </c>
      <c r="Q685" s="137" t="s">
        <v>737</v>
      </c>
      <c r="R685" s="45" t="s">
        <v>41</v>
      </c>
      <c r="S685" s="138">
        <f>COUNTIFS('Raw Non-zero DMR Data'!$A:$A, A685, 'Raw Non-zero DMR Data'!$C:$C, U685, 'Raw Non-zero DMR Data'!$V:$V, V685)</f>
        <v>1</v>
      </c>
      <c r="T685" s="34">
        <f>SUMIFS('Raw Non-zero DMR Data'!$X:$X, 'Raw Non-zero DMR Data'!$A:$A, A685, 'Raw Non-zero DMR Data'!$C:$C, U685, 'Raw Non-zero DMR Data'!V:V, V685)</f>
        <v>1.3020369719999999E-3</v>
      </c>
      <c r="U685" s="34" t="s">
        <v>1515</v>
      </c>
      <c r="V685" s="34" t="s">
        <v>1510</v>
      </c>
      <c r="W685" s="141" t="s">
        <v>1512</v>
      </c>
      <c r="X685" s="140" t="s">
        <v>739</v>
      </c>
    </row>
    <row r="686" spans="1:24" x14ac:dyDescent="0.35">
      <c r="A686" s="34">
        <v>2023</v>
      </c>
      <c r="B686" s="34" t="s">
        <v>662</v>
      </c>
      <c r="C686" s="34" t="s">
        <v>1515</v>
      </c>
      <c r="D686" s="34" t="s">
        <v>557</v>
      </c>
      <c r="E686" s="34" t="s">
        <v>818</v>
      </c>
      <c r="F686" s="34" t="s">
        <v>254</v>
      </c>
      <c r="G686" s="34"/>
      <c r="H686" s="34">
        <v>40.428542</v>
      </c>
      <c r="I686" s="34">
        <v>-74.518662000000006</v>
      </c>
      <c r="J686" s="34"/>
      <c r="K686" s="105">
        <v>110070212323</v>
      </c>
      <c r="L686" s="34"/>
      <c r="M686" s="48" t="e">
        <f>VLOOKUP(L686, '2017 SIC to NAICS'!A:D, 2)</f>
        <v>#N/A</v>
      </c>
      <c r="N686" s="34" t="e">
        <f>VLOOKUP(L686,'2017 SIC to NAICS'!A:D,3)</f>
        <v>#N/A</v>
      </c>
      <c r="O686" s="34" t="e">
        <f>VLOOKUP(L686,'2017 SIC to NAICS'!A:D,4)</f>
        <v>#N/A</v>
      </c>
      <c r="P686" s="36" t="s">
        <v>737</v>
      </c>
      <c r="Q686" s="137" t="s">
        <v>737</v>
      </c>
      <c r="R686" s="45" t="s">
        <v>41</v>
      </c>
      <c r="S686" s="138">
        <f>COUNTIFS('Raw Non-zero DMR Data'!$A:$A, A686, 'Raw Non-zero DMR Data'!$C:$C, U686, 'Raw Non-zero DMR Data'!$V:$V, V686)</f>
        <v>1</v>
      </c>
      <c r="T686" s="34">
        <f>SUMIFS('Raw Non-zero DMR Data'!$X:$X, 'Raw Non-zero DMR Data'!$A:$A, A686, 'Raw Non-zero DMR Data'!$C:$C, U686, 'Raw Non-zero DMR Data'!V:V, V686)</f>
        <v>1.7107079639999999E-3</v>
      </c>
      <c r="U686" s="34" t="s">
        <v>1515</v>
      </c>
      <c r="V686" s="34" t="s">
        <v>1510</v>
      </c>
      <c r="W686" s="141" t="s">
        <v>1512</v>
      </c>
      <c r="X686" s="140" t="s">
        <v>739</v>
      </c>
    </row>
    <row r="687" spans="1:24" x14ac:dyDescent="0.35">
      <c r="A687" s="34">
        <v>2019</v>
      </c>
      <c r="B687" s="34" t="s">
        <v>684</v>
      </c>
      <c r="C687" s="34" t="s">
        <v>1516</v>
      </c>
      <c r="D687" s="34" t="s">
        <v>685</v>
      </c>
      <c r="E687" s="34" t="s">
        <v>1517</v>
      </c>
      <c r="F687" s="34" t="s">
        <v>254</v>
      </c>
      <c r="G687" s="34"/>
      <c r="H687" s="34">
        <v>40.52516</v>
      </c>
      <c r="I687" s="34">
        <v>-74.601039999999998</v>
      </c>
      <c r="J687" s="34"/>
      <c r="K687" s="105">
        <v>110070217974</v>
      </c>
      <c r="L687" s="34">
        <v>2851</v>
      </c>
      <c r="M687" s="48" t="str">
        <f>VLOOKUP(L687, '2017 SIC to NAICS'!A:D, 2)</f>
        <v>Paints and Allied Products</v>
      </c>
      <c r="N687" s="34">
        <f>VLOOKUP(L687,'2017 SIC to NAICS'!A:D,3)</f>
        <v>325510</v>
      </c>
      <c r="O687" s="34" t="str">
        <f>VLOOKUP(L687,'2017 SIC to NAICS'!A:D,4)</f>
        <v>Paint and Coating Manufacturing</v>
      </c>
      <c r="P687" s="36" t="s">
        <v>1518</v>
      </c>
      <c r="Q687" s="137" t="s">
        <v>1519</v>
      </c>
      <c r="R687" s="45" t="s">
        <v>41</v>
      </c>
      <c r="S687" s="138">
        <f>COUNTIFS('Raw Non-zero DMR Data'!$A:$A, A687, 'Raw Non-zero DMR Data'!$C:$C, U687, 'Raw Non-zero DMR Data'!$V:$V, V687)</f>
        <v>1</v>
      </c>
      <c r="T687" s="34">
        <f>SUMIFS('Raw Non-zero DMR Data'!$X:$X, 'Raw Non-zero DMR Data'!$A:$A, A687, 'Raw Non-zero DMR Data'!$C:$C, U687, 'Raw Non-zero DMR Data'!V:V, V687)</f>
        <v>2.8224260520000002E-4</v>
      </c>
      <c r="U687" s="34" t="s">
        <v>1516</v>
      </c>
      <c r="V687" s="34" t="s">
        <v>1520</v>
      </c>
      <c r="W687" s="139">
        <v>20301050311</v>
      </c>
      <c r="X687" s="140" t="s">
        <v>812</v>
      </c>
    </row>
    <row r="688" spans="1:24" x14ac:dyDescent="0.35">
      <c r="A688" s="34">
        <v>2020</v>
      </c>
      <c r="B688" s="34" t="s">
        <v>684</v>
      </c>
      <c r="C688" s="34" t="s">
        <v>1516</v>
      </c>
      <c r="D688" s="34" t="s">
        <v>685</v>
      </c>
      <c r="E688" s="34" t="s">
        <v>1517</v>
      </c>
      <c r="F688" s="34" t="s">
        <v>254</v>
      </c>
      <c r="G688" s="34"/>
      <c r="H688" s="34">
        <v>40.52516</v>
      </c>
      <c r="I688" s="34">
        <v>-74.601039999999998</v>
      </c>
      <c r="J688" s="34"/>
      <c r="K688" s="105">
        <v>110070217974</v>
      </c>
      <c r="L688" s="34">
        <v>2851</v>
      </c>
      <c r="M688" s="48" t="str">
        <f>VLOOKUP(L688, '2017 SIC to NAICS'!A:D, 2)</f>
        <v>Paints and Allied Products</v>
      </c>
      <c r="N688" s="34">
        <f>VLOOKUP(L688,'2017 SIC to NAICS'!A:D,3)</f>
        <v>325510</v>
      </c>
      <c r="O688" s="34" t="str">
        <f>VLOOKUP(L688,'2017 SIC to NAICS'!A:D,4)</f>
        <v>Paint and Coating Manufacturing</v>
      </c>
      <c r="P688" s="36" t="s">
        <v>1518</v>
      </c>
      <c r="Q688" s="137" t="s">
        <v>1519</v>
      </c>
      <c r="R688" s="45" t="s">
        <v>41</v>
      </c>
      <c r="S688" s="138">
        <f>COUNTIFS('Raw Non-zero DMR Data'!$A:$A, A688, 'Raw Non-zero DMR Data'!$C:$C, U688, 'Raw Non-zero DMR Data'!$V:$V, V688)</f>
        <v>1</v>
      </c>
      <c r="T688" s="34">
        <f>SUMIFS('Raw Non-zero DMR Data'!$X:$X, 'Raw Non-zero DMR Data'!$A:$A, A688, 'Raw Non-zero DMR Data'!$C:$C, U688, 'Raw Non-zero DMR Data'!V:V, V688)</f>
        <v>3.3339097560000001E-4</v>
      </c>
      <c r="U688" s="34" t="s">
        <v>1516</v>
      </c>
      <c r="V688" s="34" t="s">
        <v>1520</v>
      </c>
      <c r="W688" s="139">
        <v>20301050311</v>
      </c>
      <c r="X688" s="140" t="s">
        <v>812</v>
      </c>
    </row>
    <row r="689" spans="1:24" x14ac:dyDescent="0.35">
      <c r="A689" s="34">
        <v>2021</v>
      </c>
      <c r="B689" s="34" t="s">
        <v>684</v>
      </c>
      <c r="C689" s="34" t="s">
        <v>1516</v>
      </c>
      <c r="D689" s="34" t="s">
        <v>685</v>
      </c>
      <c r="E689" s="34" t="s">
        <v>1517</v>
      </c>
      <c r="F689" s="34" t="s">
        <v>254</v>
      </c>
      <c r="G689" s="34"/>
      <c r="H689" s="34">
        <v>40.52516</v>
      </c>
      <c r="I689" s="34">
        <v>-74.601039999999998</v>
      </c>
      <c r="J689" s="34"/>
      <c r="K689" s="105">
        <v>110070217974</v>
      </c>
      <c r="L689" s="34">
        <v>2851</v>
      </c>
      <c r="M689" s="48" t="str">
        <f>VLOOKUP(L689, '2017 SIC to NAICS'!A:D, 2)</f>
        <v>Paints and Allied Products</v>
      </c>
      <c r="N689" s="34">
        <f>VLOOKUP(L689,'2017 SIC to NAICS'!A:D,3)</f>
        <v>325510</v>
      </c>
      <c r="O689" s="34" t="str">
        <f>VLOOKUP(L689,'2017 SIC to NAICS'!A:D,4)</f>
        <v>Paint and Coating Manufacturing</v>
      </c>
      <c r="P689" s="36" t="s">
        <v>1518</v>
      </c>
      <c r="Q689" s="137" t="s">
        <v>1519</v>
      </c>
      <c r="R689" s="45" t="s">
        <v>41</v>
      </c>
      <c r="S689" s="138">
        <f>COUNTIFS('Raw Non-zero DMR Data'!$A:$A, A689, 'Raw Non-zero DMR Data'!$C:$C, U689, 'Raw Non-zero DMR Data'!$V:$V, V689)</f>
        <v>1</v>
      </c>
      <c r="T689" s="34">
        <f>SUMIFS('Raw Non-zero DMR Data'!$X:$X, 'Raw Non-zero DMR Data'!$A:$A, A689, 'Raw Non-zero DMR Data'!$C:$C, U689, 'Raw Non-zero DMR Data'!V:V, V689)</f>
        <v>1.8753418379999998E-5</v>
      </c>
      <c r="U689" s="34" t="s">
        <v>1516</v>
      </c>
      <c r="V689" s="34" t="s">
        <v>1520</v>
      </c>
      <c r="W689" s="139">
        <v>20301050311</v>
      </c>
      <c r="X689" s="140" t="s">
        <v>812</v>
      </c>
    </row>
    <row r="690" spans="1:24" x14ac:dyDescent="0.35">
      <c r="A690" s="34">
        <v>2022</v>
      </c>
      <c r="B690" s="34" t="s">
        <v>684</v>
      </c>
      <c r="C690" s="34" t="s">
        <v>1516</v>
      </c>
      <c r="D690" s="34" t="s">
        <v>685</v>
      </c>
      <c r="E690" s="34" t="s">
        <v>1517</v>
      </c>
      <c r="F690" s="34" t="s">
        <v>254</v>
      </c>
      <c r="G690" s="34"/>
      <c r="H690" s="34">
        <v>40.52516</v>
      </c>
      <c r="I690" s="34">
        <v>-74.601039999999998</v>
      </c>
      <c r="J690" s="34"/>
      <c r="K690" s="105">
        <v>110070217974</v>
      </c>
      <c r="L690" s="34">
        <v>2851</v>
      </c>
      <c r="M690" s="48" t="str">
        <f>VLOOKUP(L690, '2017 SIC to NAICS'!A:D, 2)</f>
        <v>Paints and Allied Products</v>
      </c>
      <c r="N690" s="34">
        <f>VLOOKUP(L690,'2017 SIC to NAICS'!A:D,3)</f>
        <v>325510</v>
      </c>
      <c r="O690" s="34" t="str">
        <f>VLOOKUP(L690,'2017 SIC to NAICS'!A:D,4)</f>
        <v>Paint and Coating Manufacturing</v>
      </c>
      <c r="P690" s="36" t="s">
        <v>1518</v>
      </c>
      <c r="Q690" s="137" t="s">
        <v>1519</v>
      </c>
      <c r="R690" s="45" t="s">
        <v>41</v>
      </c>
      <c r="S690" s="138">
        <f>COUNTIFS('Raw Non-zero DMR Data'!$A:$A, A690, 'Raw Non-zero DMR Data'!$C:$C, U690, 'Raw Non-zero DMR Data'!$V:$V, V690)</f>
        <v>1</v>
      </c>
      <c r="T690" s="34">
        <f>SUMIFS('Raw Non-zero DMR Data'!$X:$X, 'Raw Non-zero DMR Data'!$A:$A, A690, 'Raw Non-zero DMR Data'!$C:$C, U690, 'Raw Non-zero DMR Data'!V:V, V690)</f>
        <v>3.7953574253999999E-4</v>
      </c>
      <c r="U690" s="34" t="s">
        <v>1516</v>
      </c>
      <c r="V690" s="34" t="s">
        <v>1520</v>
      </c>
      <c r="W690" s="141" t="s">
        <v>1521</v>
      </c>
      <c r="X690" s="140" t="s">
        <v>812</v>
      </c>
    </row>
    <row r="691" spans="1:24" x14ac:dyDescent="0.35">
      <c r="A691" s="34">
        <v>2023</v>
      </c>
      <c r="B691" s="34" t="s">
        <v>684</v>
      </c>
      <c r="C691" s="34" t="s">
        <v>1516</v>
      </c>
      <c r="D691" s="34" t="s">
        <v>685</v>
      </c>
      <c r="E691" s="34" t="s">
        <v>1517</v>
      </c>
      <c r="F691" s="34" t="s">
        <v>254</v>
      </c>
      <c r="G691" s="34"/>
      <c r="H691" s="34">
        <v>40.52516</v>
      </c>
      <c r="I691" s="34">
        <v>-74.601039999999998</v>
      </c>
      <c r="J691" s="34"/>
      <c r="K691" s="105">
        <v>110070217974</v>
      </c>
      <c r="L691" s="34">
        <v>2851</v>
      </c>
      <c r="M691" s="48" t="str">
        <f>VLOOKUP(L691, '2017 SIC to NAICS'!A:D, 2)</f>
        <v>Paints and Allied Products</v>
      </c>
      <c r="N691" s="34">
        <f>VLOOKUP(L691,'2017 SIC to NAICS'!A:D,3)</f>
        <v>325510</v>
      </c>
      <c r="O691" s="34" t="str">
        <f>VLOOKUP(L691,'2017 SIC to NAICS'!A:D,4)</f>
        <v>Paint and Coating Manufacturing</v>
      </c>
      <c r="P691" s="36" t="s">
        <v>1518</v>
      </c>
      <c r="Q691" s="137" t="s">
        <v>1519</v>
      </c>
      <c r="R691" s="45" t="s">
        <v>41</v>
      </c>
      <c r="S691" s="138">
        <f>COUNTIFS('Raw Non-zero DMR Data'!$A:$A, A691, 'Raw Non-zero DMR Data'!$C:$C, U691, 'Raw Non-zero DMR Data'!$V:$V, V691)</f>
        <v>1</v>
      </c>
      <c r="T691" s="34">
        <f>SUMIFS('Raw Non-zero DMR Data'!$X:$X, 'Raw Non-zero DMR Data'!$A:$A, A691, 'Raw Non-zero DMR Data'!$C:$C, U691, 'Raw Non-zero DMR Data'!V:V, V691)</f>
        <v>4.4448093755999999E-4</v>
      </c>
      <c r="U691" s="34" t="s">
        <v>1516</v>
      </c>
      <c r="V691" s="34" t="s">
        <v>1520</v>
      </c>
      <c r="W691" s="141" t="s">
        <v>1521</v>
      </c>
      <c r="X691" s="140" t="s">
        <v>812</v>
      </c>
    </row>
    <row r="692" spans="1:24" x14ac:dyDescent="0.35">
      <c r="A692" s="34">
        <v>2019</v>
      </c>
      <c r="B692" s="34" t="s">
        <v>471</v>
      </c>
      <c r="C692" s="34" t="s">
        <v>1522</v>
      </c>
      <c r="D692" s="34" t="s">
        <v>472</v>
      </c>
      <c r="E692" s="34" t="s">
        <v>1163</v>
      </c>
      <c r="F692" s="34" t="s">
        <v>254</v>
      </c>
      <c r="G692" s="34"/>
      <c r="H692" s="34">
        <v>40.393389999999997</v>
      </c>
      <c r="I692" s="34">
        <v>-74.758080000000007</v>
      </c>
      <c r="J692" s="34"/>
      <c r="K692" s="105">
        <v>110070219521</v>
      </c>
      <c r="L692" s="34"/>
      <c r="M692" s="48" t="e">
        <f>VLOOKUP(L692, '2017 SIC to NAICS'!A:D, 2)</f>
        <v>#N/A</v>
      </c>
      <c r="N692" s="34" t="e">
        <f>VLOOKUP(L692,'2017 SIC to NAICS'!A:D,3)</f>
        <v>#N/A</v>
      </c>
      <c r="O692" s="34" t="e">
        <f>VLOOKUP(L692,'2017 SIC to NAICS'!A:D,4)</f>
        <v>#N/A</v>
      </c>
      <c r="P692" s="36" t="s">
        <v>737</v>
      </c>
      <c r="Q692" s="137" t="s">
        <v>737</v>
      </c>
      <c r="R692" s="45" t="s">
        <v>41</v>
      </c>
      <c r="S692" s="138">
        <f>COUNTIFS('Raw Non-zero DMR Data'!$A:$A, A692, 'Raw Non-zero DMR Data'!$C:$C, U692, 'Raw Non-zero DMR Data'!$V:$V, V692)</f>
        <v>1</v>
      </c>
      <c r="T692" s="34">
        <f>SUMIFS('Raw Non-zero DMR Data'!$X:$X, 'Raw Non-zero DMR Data'!$A:$A, A692, 'Raw Non-zero DMR Data'!$C:$C, U692, 'Raw Non-zero DMR Data'!V:V, V692)</f>
        <v>6.0172605249999997E-2</v>
      </c>
      <c r="U692" s="34" t="s">
        <v>1522</v>
      </c>
      <c r="V692" s="34" t="s">
        <v>1523</v>
      </c>
      <c r="W692" s="139">
        <v>20301050309</v>
      </c>
      <c r="X692" s="140" t="s">
        <v>739</v>
      </c>
    </row>
    <row r="693" spans="1:24" x14ac:dyDescent="0.35">
      <c r="A693" s="34">
        <v>2020</v>
      </c>
      <c r="B693" s="34" t="s">
        <v>471</v>
      </c>
      <c r="C693" s="34" t="s">
        <v>1522</v>
      </c>
      <c r="D693" s="34" t="s">
        <v>472</v>
      </c>
      <c r="E693" s="34" t="s">
        <v>1163</v>
      </c>
      <c r="F693" s="34" t="s">
        <v>254</v>
      </c>
      <c r="G693" s="34"/>
      <c r="H693" s="34">
        <v>40.393389999999997</v>
      </c>
      <c r="I693" s="34">
        <v>-74.758080000000007</v>
      </c>
      <c r="J693" s="34"/>
      <c r="K693" s="105">
        <v>110070219521</v>
      </c>
      <c r="L693" s="34"/>
      <c r="M693" s="48" t="e">
        <f>VLOOKUP(L693, '2017 SIC to NAICS'!A:D, 2)</f>
        <v>#N/A</v>
      </c>
      <c r="N693" s="34" t="e">
        <f>VLOOKUP(L693,'2017 SIC to NAICS'!A:D,3)</f>
        <v>#N/A</v>
      </c>
      <c r="O693" s="34" t="e">
        <f>VLOOKUP(L693,'2017 SIC to NAICS'!A:D,4)</f>
        <v>#N/A</v>
      </c>
      <c r="P693" s="36" t="s">
        <v>737</v>
      </c>
      <c r="Q693" s="137" t="s">
        <v>737</v>
      </c>
      <c r="R693" s="45" t="s">
        <v>41</v>
      </c>
      <c r="S693" s="138">
        <f>COUNTIFS('Raw Non-zero DMR Data'!$A:$A, A693, 'Raw Non-zero DMR Data'!$C:$C, U693, 'Raw Non-zero DMR Data'!$V:$V, V693)</f>
        <v>1</v>
      </c>
      <c r="T693" s="34">
        <f>SUMIFS('Raw Non-zero DMR Data'!$X:$X, 'Raw Non-zero DMR Data'!$A:$A, A693, 'Raw Non-zero DMR Data'!$C:$C, U693, 'Raw Non-zero DMR Data'!V:V, V693)</f>
        <v>9.6145983325000003E-2</v>
      </c>
      <c r="U693" s="34" t="s">
        <v>1522</v>
      </c>
      <c r="V693" s="34" t="s">
        <v>1523</v>
      </c>
      <c r="W693" s="139">
        <v>20301050309</v>
      </c>
      <c r="X693" s="140" t="s">
        <v>739</v>
      </c>
    </row>
    <row r="694" spans="1:24" x14ac:dyDescent="0.35">
      <c r="A694" s="34">
        <v>2021</v>
      </c>
      <c r="B694" s="34" t="s">
        <v>471</v>
      </c>
      <c r="C694" s="34" t="s">
        <v>1522</v>
      </c>
      <c r="D694" s="34" t="s">
        <v>472</v>
      </c>
      <c r="E694" s="34" t="s">
        <v>1163</v>
      </c>
      <c r="F694" s="34" t="s">
        <v>254</v>
      </c>
      <c r="G694" s="34"/>
      <c r="H694" s="34">
        <v>40.393389999999997</v>
      </c>
      <c r="I694" s="34">
        <v>-74.758080000000007</v>
      </c>
      <c r="J694" s="34"/>
      <c r="K694" s="105">
        <v>110070219521</v>
      </c>
      <c r="L694" s="34"/>
      <c r="M694" s="48" t="e">
        <f>VLOOKUP(L694, '2017 SIC to NAICS'!A:D, 2)</f>
        <v>#N/A</v>
      </c>
      <c r="N694" s="34" t="e">
        <f>VLOOKUP(L694,'2017 SIC to NAICS'!A:D,3)</f>
        <v>#N/A</v>
      </c>
      <c r="O694" s="34" t="e">
        <f>VLOOKUP(L694,'2017 SIC to NAICS'!A:D,4)</f>
        <v>#N/A</v>
      </c>
      <c r="P694" s="36" t="s">
        <v>737</v>
      </c>
      <c r="Q694" s="137" t="s">
        <v>737</v>
      </c>
      <c r="R694" s="45" t="s">
        <v>41</v>
      </c>
      <c r="S694" s="138">
        <f>COUNTIFS('Raw Non-zero DMR Data'!$A:$A, A694, 'Raw Non-zero DMR Data'!$C:$C, U694, 'Raw Non-zero DMR Data'!$V:$V, V694)</f>
        <v>1</v>
      </c>
      <c r="T694" s="34">
        <f>SUMIFS('Raw Non-zero DMR Data'!$X:$X, 'Raw Non-zero DMR Data'!$A:$A, A694, 'Raw Non-zero DMR Data'!$C:$C, U694, 'Raw Non-zero DMR Data'!V:V, V694)</f>
        <v>1.8891654149999999E-2</v>
      </c>
      <c r="U694" s="34" t="s">
        <v>1522</v>
      </c>
      <c r="V694" s="34" t="s">
        <v>1523</v>
      </c>
      <c r="W694" s="139">
        <v>20301050309</v>
      </c>
      <c r="X694" s="140" t="s">
        <v>739</v>
      </c>
    </row>
    <row r="695" spans="1:24" x14ac:dyDescent="0.35">
      <c r="A695" s="34">
        <v>2022</v>
      </c>
      <c r="B695" s="34" t="s">
        <v>471</v>
      </c>
      <c r="C695" s="34" t="s">
        <v>1522</v>
      </c>
      <c r="D695" s="34" t="s">
        <v>472</v>
      </c>
      <c r="E695" s="34" t="s">
        <v>1163</v>
      </c>
      <c r="F695" s="34" t="s">
        <v>254</v>
      </c>
      <c r="G695" s="34"/>
      <c r="H695" s="34">
        <v>40.393389999999997</v>
      </c>
      <c r="I695" s="34">
        <v>-74.758080000000007</v>
      </c>
      <c r="J695" s="34"/>
      <c r="K695" s="105">
        <v>110070219521</v>
      </c>
      <c r="L695" s="34"/>
      <c r="M695" s="48" t="e">
        <f>VLOOKUP(L695, '2017 SIC to NAICS'!A:D, 2)</f>
        <v>#N/A</v>
      </c>
      <c r="N695" s="34" t="e">
        <f>VLOOKUP(L695,'2017 SIC to NAICS'!A:D,3)</f>
        <v>#N/A</v>
      </c>
      <c r="O695" s="34" t="e">
        <f>VLOOKUP(L695,'2017 SIC to NAICS'!A:D,4)</f>
        <v>#N/A</v>
      </c>
      <c r="P695" s="36" t="s">
        <v>737</v>
      </c>
      <c r="Q695" s="137" t="s">
        <v>737</v>
      </c>
      <c r="R695" s="45" t="s">
        <v>41</v>
      </c>
      <c r="S695" s="138">
        <f>COUNTIFS('Raw Non-zero DMR Data'!$A:$A, A695, 'Raw Non-zero DMR Data'!$C:$C, U695, 'Raw Non-zero DMR Data'!$V:$V, V695)</f>
        <v>1</v>
      </c>
      <c r="T695" s="34">
        <f>SUMIFS('Raw Non-zero DMR Data'!$X:$X, 'Raw Non-zero DMR Data'!$A:$A, A695, 'Raw Non-zero DMR Data'!$C:$C, U695, 'Raw Non-zero DMR Data'!V:V, V695)</f>
        <v>4.0966275662500003E-2</v>
      </c>
      <c r="U695" s="34" t="s">
        <v>1522</v>
      </c>
      <c r="V695" s="34" t="s">
        <v>1523</v>
      </c>
      <c r="W695" s="141" t="s">
        <v>1524</v>
      </c>
      <c r="X695" s="140" t="s">
        <v>739</v>
      </c>
    </row>
    <row r="696" spans="1:24" x14ac:dyDescent="0.35">
      <c r="A696" s="34">
        <v>2023</v>
      </c>
      <c r="B696" s="34" t="s">
        <v>471</v>
      </c>
      <c r="C696" s="34" t="s">
        <v>1522</v>
      </c>
      <c r="D696" s="34" t="s">
        <v>472</v>
      </c>
      <c r="E696" s="34" t="s">
        <v>1163</v>
      </c>
      <c r="F696" s="34" t="s">
        <v>254</v>
      </c>
      <c r="G696" s="34"/>
      <c r="H696" s="34">
        <v>40.393389999999997</v>
      </c>
      <c r="I696" s="34">
        <v>-74.758080000000007</v>
      </c>
      <c r="J696" s="34"/>
      <c r="K696" s="105">
        <v>110070219521</v>
      </c>
      <c r="L696" s="34"/>
      <c r="M696" s="48" t="e">
        <f>VLOOKUP(L696, '2017 SIC to NAICS'!A:D, 2)</f>
        <v>#N/A</v>
      </c>
      <c r="N696" s="34" t="e">
        <f>VLOOKUP(L696,'2017 SIC to NAICS'!A:D,3)</f>
        <v>#N/A</v>
      </c>
      <c r="O696" s="34" t="e">
        <f>VLOOKUP(L696,'2017 SIC to NAICS'!A:D,4)</f>
        <v>#N/A</v>
      </c>
      <c r="P696" s="36" t="s">
        <v>737</v>
      </c>
      <c r="Q696" s="137" t="s">
        <v>737</v>
      </c>
      <c r="R696" s="45" t="s">
        <v>41</v>
      </c>
      <c r="S696" s="138">
        <f>COUNTIFS('Raw Non-zero DMR Data'!$A:$A, A696, 'Raw Non-zero DMR Data'!$C:$C, U696, 'Raw Non-zero DMR Data'!$V:$V, V696)</f>
        <v>1</v>
      </c>
      <c r="T696" s="34">
        <f>SUMIFS('Raw Non-zero DMR Data'!$X:$X, 'Raw Non-zero DMR Data'!$A:$A, A696, 'Raw Non-zero DMR Data'!$C:$C, U696, 'Raw Non-zero DMR Data'!V:V, V696)</f>
        <v>4.6839289837499999E-2</v>
      </c>
      <c r="U696" s="34" t="s">
        <v>1522</v>
      </c>
      <c r="V696" s="34" t="s">
        <v>1523</v>
      </c>
      <c r="W696" s="141" t="s">
        <v>1524</v>
      </c>
      <c r="X696" s="140" t="s">
        <v>739</v>
      </c>
    </row>
    <row r="697" spans="1:24" x14ac:dyDescent="0.35">
      <c r="A697" s="34">
        <v>2019</v>
      </c>
      <c r="B697" s="34" t="s">
        <v>627</v>
      </c>
      <c r="C697" s="34" t="s">
        <v>817</v>
      </c>
      <c r="D697" s="34" t="s">
        <v>628</v>
      </c>
      <c r="E697" s="34" t="s">
        <v>818</v>
      </c>
      <c r="F697" s="34" t="s">
        <v>254</v>
      </c>
      <c r="G697" s="34"/>
      <c r="H697" s="34">
        <v>40.515906999999999</v>
      </c>
      <c r="I697" s="34">
        <v>-74.325175999999999</v>
      </c>
      <c r="J697" s="34"/>
      <c r="K697" s="105">
        <v>110070215141</v>
      </c>
      <c r="L697" s="34"/>
      <c r="M697" s="48" t="e">
        <f>VLOOKUP(L697, '2017 SIC to NAICS'!A:D, 2)</f>
        <v>#N/A</v>
      </c>
      <c r="N697" s="34" t="e">
        <f>VLOOKUP(L697,'2017 SIC to NAICS'!A:D,3)</f>
        <v>#N/A</v>
      </c>
      <c r="O697" s="34" t="e">
        <f>VLOOKUP(L697,'2017 SIC to NAICS'!A:D,4)</f>
        <v>#N/A</v>
      </c>
      <c r="P697" s="36" t="s">
        <v>737</v>
      </c>
      <c r="Q697" s="137" t="s">
        <v>737</v>
      </c>
      <c r="R697" s="45" t="s">
        <v>41</v>
      </c>
      <c r="S697" s="138">
        <f>COUNTIFS('Raw Non-zero DMR Data'!$A:$A, A697, 'Raw Non-zero DMR Data'!$C:$C, U697, 'Raw Non-zero DMR Data'!$V:$V, V697)</f>
        <v>1</v>
      </c>
      <c r="T697" s="34">
        <f>SUMIFS('Raw Non-zero DMR Data'!$X:$X, 'Raw Non-zero DMR Data'!$A:$A, A697, 'Raw Non-zero DMR Data'!$C:$C, U697, 'Raw Non-zero DMR Data'!V:V, V697)</f>
        <v>3.4725104E-3</v>
      </c>
      <c r="U697" s="34" t="s">
        <v>817</v>
      </c>
      <c r="V697" s="34" t="s">
        <v>819</v>
      </c>
      <c r="W697" s="139">
        <v>20301050507</v>
      </c>
      <c r="X697" s="140" t="s">
        <v>821</v>
      </c>
    </row>
    <row r="698" spans="1:24" x14ac:dyDescent="0.35">
      <c r="A698" s="34">
        <v>2020</v>
      </c>
      <c r="B698" s="34" t="s">
        <v>627</v>
      </c>
      <c r="C698" s="34" t="s">
        <v>817</v>
      </c>
      <c r="D698" s="34" t="s">
        <v>628</v>
      </c>
      <c r="E698" s="34" t="s">
        <v>818</v>
      </c>
      <c r="F698" s="34" t="s">
        <v>254</v>
      </c>
      <c r="G698" s="34"/>
      <c r="H698" s="34">
        <v>40.515906999999999</v>
      </c>
      <c r="I698" s="34">
        <v>-74.325175999999999</v>
      </c>
      <c r="J698" s="34"/>
      <c r="K698" s="105">
        <v>110070215141</v>
      </c>
      <c r="L698" s="34"/>
      <c r="M698" s="48" t="e">
        <f>VLOOKUP(L698, '2017 SIC to NAICS'!A:D, 2)</f>
        <v>#N/A</v>
      </c>
      <c r="N698" s="34" t="e">
        <f>VLOOKUP(L698,'2017 SIC to NAICS'!A:D,3)</f>
        <v>#N/A</v>
      </c>
      <c r="O698" s="34" t="e">
        <f>VLOOKUP(L698,'2017 SIC to NAICS'!A:D,4)</f>
        <v>#N/A</v>
      </c>
      <c r="P698" s="36" t="s">
        <v>737</v>
      </c>
      <c r="Q698" s="137" t="s">
        <v>737</v>
      </c>
      <c r="R698" s="45" t="s">
        <v>41</v>
      </c>
      <c r="S698" s="138">
        <f>COUNTIFS('Raw Non-zero DMR Data'!$A:$A, A698, 'Raw Non-zero DMR Data'!$C:$C, U698, 'Raw Non-zero DMR Data'!$V:$V, V698)</f>
        <v>1</v>
      </c>
      <c r="T698" s="34">
        <f>SUMIFS('Raw Non-zero DMR Data'!$X:$X, 'Raw Non-zero DMR Data'!$A:$A, A698, 'Raw Non-zero DMR Data'!$C:$C, U698, 'Raw Non-zero DMR Data'!V:V, V698)</f>
        <v>3.27622787E-3</v>
      </c>
      <c r="U698" s="34" t="s">
        <v>817</v>
      </c>
      <c r="V698" s="34" t="s">
        <v>819</v>
      </c>
      <c r="W698" s="139">
        <v>20301050507</v>
      </c>
      <c r="X698" s="140" t="s">
        <v>821</v>
      </c>
    </row>
    <row r="699" spans="1:24" x14ac:dyDescent="0.35">
      <c r="A699" s="34">
        <v>2021</v>
      </c>
      <c r="B699" s="34" t="s">
        <v>627</v>
      </c>
      <c r="C699" s="34" t="s">
        <v>817</v>
      </c>
      <c r="D699" s="34" t="s">
        <v>628</v>
      </c>
      <c r="E699" s="34" t="s">
        <v>818</v>
      </c>
      <c r="F699" s="34" t="s">
        <v>254</v>
      </c>
      <c r="G699" s="34"/>
      <c r="H699" s="34">
        <v>40.515906999999999</v>
      </c>
      <c r="I699" s="34">
        <v>-74.325175999999999</v>
      </c>
      <c r="J699" s="34"/>
      <c r="K699" s="105">
        <v>110070215141</v>
      </c>
      <c r="L699" s="34"/>
      <c r="M699" s="48" t="e">
        <f>VLOOKUP(L699, '2017 SIC to NAICS'!A:D, 2)</f>
        <v>#N/A</v>
      </c>
      <c r="N699" s="34" t="e">
        <f>VLOOKUP(L699,'2017 SIC to NAICS'!A:D,3)</f>
        <v>#N/A</v>
      </c>
      <c r="O699" s="34" t="e">
        <f>VLOOKUP(L699,'2017 SIC to NAICS'!A:D,4)</f>
        <v>#N/A</v>
      </c>
      <c r="P699" s="36" t="s">
        <v>737</v>
      </c>
      <c r="Q699" s="137" t="s">
        <v>737</v>
      </c>
      <c r="R699" s="45" t="s">
        <v>41</v>
      </c>
      <c r="S699" s="138">
        <f>COUNTIFS('Raw Non-zero DMR Data'!$A:$A, A699, 'Raw Non-zero DMR Data'!$C:$C, U699, 'Raw Non-zero DMR Data'!$V:$V, V699)</f>
        <v>1</v>
      </c>
      <c r="T699" s="34">
        <f>SUMIFS('Raw Non-zero DMR Data'!$X:$X, 'Raw Non-zero DMR Data'!$A:$A, A699, 'Raw Non-zero DMR Data'!$C:$C, U699, 'Raw Non-zero DMR Data'!V:V, V699)</f>
        <v>7.2203965825000001E-3</v>
      </c>
      <c r="U699" s="34" t="s">
        <v>817</v>
      </c>
      <c r="V699" s="34" t="s">
        <v>819</v>
      </c>
      <c r="W699" s="139">
        <v>20301050507</v>
      </c>
      <c r="X699" s="140" t="s">
        <v>821</v>
      </c>
    </row>
    <row r="700" spans="1:24" x14ac:dyDescent="0.35">
      <c r="A700" s="34">
        <v>2019</v>
      </c>
      <c r="B700" s="34" t="s">
        <v>687</v>
      </c>
      <c r="C700" s="34" t="s">
        <v>1525</v>
      </c>
      <c r="D700" s="34" t="s">
        <v>688</v>
      </c>
      <c r="E700" s="34" t="s">
        <v>1526</v>
      </c>
      <c r="F700" s="34" t="s">
        <v>254</v>
      </c>
      <c r="G700" s="34"/>
      <c r="H700" s="34">
        <v>40.891950000000001</v>
      </c>
      <c r="I700" s="34">
        <v>-74.249369999999999</v>
      </c>
      <c r="J700" s="34"/>
      <c r="K700" s="105">
        <v>110070213656</v>
      </c>
      <c r="L700" s="34">
        <v>9999</v>
      </c>
      <c r="M700" s="48" t="str">
        <f>VLOOKUP(L700, '2017 SIC to NAICS'!A:D, 2)</f>
        <v>Nonclassifiable Establishments</v>
      </c>
      <c r="N700" s="34">
        <f>VLOOKUP(L700,'2017 SIC to NAICS'!A:D,3)</f>
        <v>0</v>
      </c>
      <c r="O700" s="34">
        <f>VLOOKUP(L700,'2017 SIC to NAICS'!A:D,4)</f>
        <v>0</v>
      </c>
      <c r="P700" s="36" t="s">
        <v>737</v>
      </c>
      <c r="Q700" s="137" t="s">
        <v>737</v>
      </c>
      <c r="R700" s="45" t="s">
        <v>41</v>
      </c>
      <c r="S700" s="138">
        <f>COUNTIFS('Raw Non-zero DMR Data'!$A:$A, A700, 'Raw Non-zero DMR Data'!$C:$C, U700, 'Raw Non-zero DMR Data'!$V:$V, V700)</f>
        <v>1</v>
      </c>
      <c r="T700" s="34">
        <f>SUMIFS('Raw Non-zero DMR Data'!$X:$X, 'Raw Non-zero DMR Data'!$A:$A, A700, 'Raw Non-zero DMR Data'!$C:$C, U700, 'Raw Non-zero DMR Data'!V:V, V700)</f>
        <v>4.2768062459999997E-4</v>
      </c>
      <c r="U700" s="34" t="s">
        <v>1525</v>
      </c>
      <c r="V700" s="34" t="s">
        <v>1527</v>
      </c>
      <c r="W700" s="139">
        <v>20301030801</v>
      </c>
      <c r="X700" s="140" t="s">
        <v>739</v>
      </c>
    </row>
    <row r="701" spans="1:24" x14ac:dyDescent="0.35">
      <c r="A701" s="34">
        <v>2020</v>
      </c>
      <c r="B701" s="34" t="s">
        <v>687</v>
      </c>
      <c r="C701" s="34" t="s">
        <v>1525</v>
      </c>
      <c r="D701" s="34" t="s">
        <v>688</v>
      </c>
      <c r="E701" s="34" t="s">
        <v>1526</v>
      </c>
      <c r="F701" s="34" t="s">
        <v>254</v>
      </c>
      <c r="G701" s="34"/>
      <c r="H701" s="34">
        <v>40.891950000000001</v>
      </c>
      <c r="I701" s="34">
        <v>-74.249369999999999</v>
      </c>
      <c r="J701" s="34"/>
      <c r="K701" s="105">
        <v>110070213656</v>
      </c>
      <c r="L701" s="34">
        <v>9999</v>
      </c>
      <c r="M701" s="48" t="str">
        <f>VLOOKUP(L701, '2017 SIC to NAICS'!A:D, 2)</f>
        <v>Nonclassifiable Establishments</v>
      </c>
      <c r="N701" s="34">
        <f>VLOOKUP(L701,'2017 SIC to NAICS'!A:D,3)</f>
        <v>0</v>
      </c>
      <c r="O701" s="34">
        <f>VLOOKUP(L701,'2017 SIC to NAICS'!A:D,4)</f>
        <v>0</v>
      </c>
      <c r="P701" s="36" t="s">
        <v>737</v>
      </c>
      <c r="Q701" s="137" t="s">
        <v>737</v>
      </c>
      <c r="R701" s="45" t="s">
        <v>41</v>
      </c>
      <c r="S701" s="138">
        <f>COUNTIFS('Raw Non-zero DMR Data'!$A:$A, A701, 'Raw Non-zero DMR Data'!$C:$C, U701, 'Raw Non-zero DMR Data'!$V:$V, V701)</f>
        <v>1</v>
      </c>
      <c r="T701" s="34">
        <f>SUMIFS('Raw Non-zero DMR Data'!$X:$X, 'Raw Non-zero DMR Data'!$A:$A, A701, 'Raw Non-zero DMR Data'!$C:$C, U701, 'Raw Non-zero DMR Data'!V:V, V701)</f>
        <v>3.4819017419999998E-4</v>
      </c>
      <c r="U701" s="34" t="s">
        <v>1525</v>
      </c>
      <c r="V701" s="34" t="s">
        <v>1527</v>
      </c>
      <c r="W701" s="139">
        <v>20301030801</v>
      </c>
      <c r="X701" s="140" t="s">
        <v>739</v>
      </c>
    </row>
    <row r="702" spans="1:24" x14ac:dyDescent="0.35">
      <c r="A702" s="34">
        <v>2021</v>
      </c>
      <c r="B702" s="34" t="s">
        <v>687</v>
      </c>
      <c r="C702" s="34" t="s">
        <v>1525</v>
      </c>
      <c r="D702" s="34" t="s">
        <v>688</v>
      </c>
      <c r="E702" s="34" t="s">
        <v>1526</v>
      </c>
      <c r="F702" s="34" t="s">
        <v>254</v>
      </c>
      <c r="G702" s="34"/>
      <c r="H702" s="34">
        <v>40.891950000000001</v>
      </c>
      <c r="I702" s="34">
        <v>-74.249369999999999</v>
      </c>
      <c r="J702" s="34"/>
      <c r="K702" s="105">
        <v>110070213656</v>
      </c>
      <c r="L702" s="34">
        <v>9999</v>
      </c>
      <c r="M702" s="48" t="str">
        <f>VLOOKUP(L702, '2017 SIC to NAICS'!A:D, 2)</f>
        <v>Nonclassifiable Establishments</v>
      </c>
      <c r="N702" s="34">
        <f>VLOOKUP(L702,'2017 SIC to NAICS'!A:D,3)</f>
        <v>0</v>
      </c>
      <c r="O702" s="34">
        <f>VLOOKUP(L702,'2017 SIC to NAICS'!A:D,4)</f>
        <v>0</v>
      </c>
      <c r="P702" s="36" t="s">
        <v>737</v>
      </c>
      <c r="Q702" s="137" t="s">
        <v>737</v>
      </c>
      <c r="R702" s="45" t="s">
        <v>41</v>
      </c>
      <c r="S702" s="138">
        <f>COUNTIFS('Raw Non-zero DMR Data'!$A:$A, A702, 'Raw Non-zero DMR Data'!$C:$C, U702, 'Raw Non-zero DMR Data'!$V:$V, V702)</f>
        <v>1</v>
      </c>
      <c r="T702" s="34">
        <f>SUMIFS('Raw Non-zero DMR Data'!$X:$X, 'Raw Non-zero DMR Data'!$A:$A, A702, 'Raw Non-zero DMR Data'!$C:$C, U702, 'Raw Non-zero DMR Data'!V:V, V702)</f>
        <v>1.7693088480000001E-4</v>
      </c>
      <c r="U702" s="34" t="s">
        <v>1525</v>
      </c>
      <c r="V702" s="34" t="s">
        <v>1527</v>
      </c>
      <c r="W702" s="139">
        <v>20301030801</v>
      </c>
      <c r="X702" s="140" t="s">
        <v>739</v>
      </c>
    </row>
    <row r="703" spans="1:24" x14ac:dyDescent="0.35">
      <c r="A703" s="34">
        <v>2022</v>
      </c>
      <c r="B703" s="34" t="s">
        <v>687</v>
      </c>
      <c r="C703" s="34" t="s">
        <v>1525</v>
      </c>
      <c r="D703" s="34" t="s">
        <v>688</v>
      </c>
      <c r="E703" s="34" t="s">
        <v>1526</v>
      </c>
      <c r="F703" s="34" t="s">
        <v>254</v>
      </c>
      <c r="G703" s="34"/>
      <c r="H703" s="34">
        <v>40.891950000000001</v>
      </c>
      <c r="I703" s="34">
        <v>-74.249369999999999</v>
      </c>
      <c r="J703" s="34"/>
      <c r="K703" s="105">
        <v>110070213656</v>
      </c>
      <c r="L703" s="34">
        <v>9999</v>
      </c>
      <c r="M703" s="48" t="str">
        <f>VLOOKUP(L703, '2017 SIC to NAICS'!A:D, 2)</f>
        <v>Nonclassifiable Establishments</v>
      </c>
      <c r="N703" s="34">
        <f>VLOOKUP(L703,'2017 SIC to NAICS'!A:D,3)</f>
        <v>0</v>
      </c>
      <c r="O703" s="34">
        <f>VLOOKUP(L703,'2017 SIC to NAICS'!A:D,4)</f>
        <v>0</v>
      </c>
      <c r="P703" s="36" t="s">
        <v>737</v>
      </c>
      <c r="Q703" s="137" t="s">
        <v>737</v>
      </c>
      <c r="R703" s="45" t="s">
        <v>41</v>
      </c>
      <c r="S703" s="138">
        <f>COUNTIFS('Raw Non-zero DMR Data'!$A:$A, A703, 'Raw Non-zero DMR Data'!$C:$C, U703, 'Raw Non-zero DMR Data'!$V:$V, V703)</f>
        <v>1</v>
      </c>
      <c r="T703" s="34">
        <f>SUMIFS('Raw Non-zero DMR Data'!$X:$X, 'Raw Non-zero DMR Data'!$A:$A, A703, 'Raw Non-zero DMR Data'!$C:$C, U703, 'Raw Non-zero DMR Data'!V:V, V703)</f>
        <v>8.7960371999999996E-6</v>
      </c>
      <c r="U703" s="34" t="s">
        <v>1525</v>
      </c>
      <c r="V703" s="34" t="s">
        <v>1527</v>
      </c>
      <c r="W703" s="141" t="s">
        <v>1528</v>
      </c>
      <c r="X703" s="140" t="s">
        <v>739</v>
      </c>
    </row>
    <row r="704" spans="1:24" x14ac:dyDescent="0.35">
      <c r="A704" s="34">
        <v>2021</v>
      </c>
      <c r="B704" s="34" t="s">
        <v>689</v>
      </c>
      <c r="C704" s="34" t="s">
        <v>1529</v>
      </c>
      <c r="D704" s="34" t="s">
        <v>690</v>
      </c>
      <c r="E704" s="34" t="s">
        <v>1530</v>
      </c>
      <c r="F704" s="34" t="s">
        <v>254</v>
      </c>
      <c r="G704" s="34"/>
      <c r="H704" s="34">
        <v>40.856884000000001</v>
      </c>
      <c r="I704" s="34">
        <v>-74.067938999999996</v>
      </c>
      <c r="J704" s="34"/>
      <c r="K704" s="105">
        <v>110070940491</v>
      </c>
      <c r="L704" s="34">
        <v>4959</v>
      </c>
      <c r="M704" s="48" t="str">
        <f>VLOOKUP(L704, '2017 SIC to NAICS'!A:D, 2)</f>
        <v>Sanitary Services, Nec</v>
      </c>
      <c r="N704" s="34">
        <f>VLOOKUP(L704,'2017 SIC to NAICS'!A:D,3)</f>
        <v>562998</v>
      </c>
      <c r="O704" s="34" t="str">
        <f>VLOOKUP(L704,'2017 SIC to NAICS'!A:D,4)</f>
        <v>All Other Miscellaneous Waste
Management Services</v>
      </c>
      <c r="P704" s="36" t="s">
        <v>754</v>
      </c>
      <c r="Q704" s="137" t="s">
        <v>755</v>
      </c>
      <c r="R704" s="45" t="s">
        <v>41</v>
      </c>
      <c r="S704" s="138">
        <f>COUNTIFS('Raw Non-zero DMR Data'!$A:$A, A704, 'Raw Non-zero DMR Data'!$C:$C, U704, 'Raw Non-zero DMR Data'!$V:$V, V704)</f>
        <v>1</v>
      </c>
      <c r="T704" s="34">
        <f>SUMIFS('Raw Non-zero DMR Data'!$X:$X, 'Raw Non-zero DMR Data'!$A:$A, A704, 'Raw Non-zero DMR Data'!$C:$C, U704, 'Raw Non-zero DMR Data'!V:V, V704)</f>
        <v>4.0270564274999998E-4</v>
      </c>
      <c r="U704" s="34" t="s">
        <v>1529</v>
      </c>
      <c r="V704" s="34" t="s">
        <v>1531</v>
      </c>
      <c r="W704" s="139">
        <v>20301030906</v>
      </c>
      <c r="X704" s="140" t="s">
        <v>821</v>
      </c>
    </row>
    <row r="705" spans="1:24" x14ac:dyDescent="0.35">
      <c r="A705" s="34">
        <v>2022</v>
      </c>
      <c r="B705" s="34" t="s">
        <v>689</v>
      </c>
      <c r="C705" s="34" t="s">
        <v>1529</v>
      </c>
      <c r="D705" s="34" t="s">
        <v>690</v>
      </c>
      <c r="E705" s="34" t="s">
        <v>1530</v>
      </c>
      <c r="F705" s="34" t="s">
        <v>254</v>
      </c>
      <c r="G705" s="34"/>
      <c r="H705" s="34">
        <v>40.856884000000001</v>
      </c>
      <c r="I705" s="34">
        <v>-74.067938999999996</v>
      </c>
      <c r="J705" s="34"/>
      <c r="K705" s="105">
        <v>110070940491</v>
      </c>
      <c r="L705" s="34">
        <v>4959</v>
      </c>
      <c r="M705" s="48" t="str">
        <f>VLOOKUP(L705, '2017 SIC to NAICS'!A:D, 2)</f>
        <v>Sanitary Services, Nec</v>
      </c>
      <c r="N705" s="34">
        <f>VLOOKUP(L705,'2017 SIC to NAICS'!A:D,3)</f>
        <v>562998</v>
      </c>
      <c r="O705" s="34" t="str">
        <f>VLOOKUP(L705,'2017 SIC to NAICS'!A:D,4)</f>
        <v>All Other Miscellaneous Waste
Management Services</v>
      </c>
      <c r="P705" s="36" t="s">
        <v>754</v>
      </c>
      <c r="Q705" s="137" t="s">
        <v>755</v>
      </c>
      <c r="R705" s="45" t="s">
        <v>41</v>
      </c>
      <c r="S705" s="138">
        <f>COUNTIFS('Raw Non-zero DMR Data'!$A:$A, A705, 'Raw Non-zero DMR Data'!$C:$C, U705, 'Raw Non-zero DMR Data'!$V:$V, V705)</f>
        <v>1</v>
      </c>
      <c r="T705" s="34">
        <f>SUMIFS('Raw Non-zero DMR Data'!$X:$X, 'Raw Non-zero DMR Data'!$A:$A, A705, 'Raw Non-zero DMR Data'!$C:$C, U705, 'Raw Non-zero DMR Data'!V:V, V705)</f>
        <v>1.4771889825000001E-4</v>
      </c>
      <c r="U705" s="34" t="s">
        <v>1529</v>
      </c>
      <c r="V705" s="34" t="s">
        <v>1531</v>
      </c>
      <c r="W705" s="141" t="s">
        <v>1532</v>
      </c>
      <c r="X705" s="140" t="s">
        <v>821</v>
      </c>
    </row>
    <row r="706" spans="1:24" x14ac:dyDescent="0.35">
      <c r="A706" s="34">
        <v>2021</v>
      </c>
      <c r="B706" s="34" t="s">
        <v>271</v>
      </c>
      <c r="C706" s="34" t="s">
        <v>1533</v>
      </c>
      <c r="D706" s="34" t="s">
        <v>272</v>
      </c>
      <c r="E706" s="34" t="s">
        <v>1534</v>
      </c>
      <c r="F706" s="34" t="s">
        <v>273</v>
      </c>
      <c r="G706" s="34"/>
      <c r="H706" s="34">
        <v>36.688809999999997</v>
      </c>
      <c r="I706" s="34">
        <v>-108.48036</v>
      </c>
      <c r="J706" s="34"/>
      <c r="K706" s="105">
        <v>110042068473</v>
      </c>
      <c r="L706" s="34">
        <v>4911</v>
      </c>
      <c r="M706" s="48" t="str">
        <f>VLOOKUP(L706, '2017 SIC to NAICS'!A:D, 2)</f>
        <v>Electric Services</v>
      </c>
      <c r="N706" s="34">
        <f>VLOOKUP(L706,'2017 SIC to NAICS'!A:D,3)</f>
        <v>221122</v>
      </c>
      <c r="O706" s="34" t="str">
        <f>VLOOKUP(L706,'2017 SIC to NAICS'!A:D,4)</f>
        <v>Electric Power Distribution</v>
      </c>
      <c r="P706" s="36" t="s">
        <v>742</v>
      </c>
      <c r="Q706" s="137" t="s">
        <v>743</v>
      </c>
      <c r="R706" s="45" t="s">
        <v>41</v>
      </c>
      <c r="S706" s="138">
        <f>COUNTIFS('Raw Non-zero DMR Data'!$A:$A, A706, 'Raw Non-zero DMR Data'!$C:$C, U706, 'Raw Non-zero DMR Data'!$V:$V, V706)</f>
        <v>1</v>
      </c>
      <c r="T706" s="34">
        <f>SUMIFS('Raw Non-zero DMR Data'!$X:$X, 'Raw Non-zero DMR Data'!$A:$A, A706, 'Raw Non-zero DMR Data'!$C:$C, U706, 'Raw Non-zero DMR Data'!V:V, V706)</f>
        <v>1.6192230000000001</v>
      </c>
      <c r="U706" s="34" t="s">
        <v>1533</v>
      </c>
      <c r="V706" s="34" t="s">
        <v>1535</v>
      </c>
      <c r="W706" s="139">
        <v>140801062008</v>
      </c>
      <c r="X706" s="140" t="s">
        <v>745</v>
      </c>
    </row>
    <row r="707" spans="1:24" x14ac:dyDescent="0.35">
      <c r="A707" s="34">
        <v>2023</v>
      </c>
      <c r="B707" s="34" t="s">
        <v>668</v>
      </c>
      <c r="C707" s="34" t="s">
        <v>1536</v>
      </c>
      <c r="D707" s="34" t="s">
        <v>669</v>
      </c>
      <c r="E707" s="34" t="s">
        <v>1534</v>
      </c>
      <c r="F707" s="34" t="s">
        <v>670</v>
      </c>
      <c r="G707" s="34"/>
      <c r="H707" s="34">
        <v>37.041677</v>
      </c>
      <c r="I707" s="34">
        <v>-109.500685</v>
      </c>
      <c r="J707" s="34"/>
      <c r="K707" s="105">
        <v>110010134185</v>
      </c>
      <c r="L707" s="34">
        <v>1311</v>
      </c>
      <c r="M707" s="48" t="str">
        <f>VLOOKUP(L707, '2017 SIC to NAICS'!A:D, 2)</f>
        <v>Crude Petroleum and Natural Gas</v>
      </c>
      <c r="N707" s="34">
        <f>VLOOKUP(L707,'2017 SIC to NAICS'!A:D,3)</f>
        <v>211120</v>
      </c>
      <c r="O707" s="34" t="str">
        <f>VLOOKUP(L707,'2017 SIC to NAICS'!A:D,4)</f>
        <v>Crude Petroleum Extraction</v>
      </c>
      <c r="P707" s="36" t="s">
        <v>1537</v>
      </c>
      <c r="Q707" s="137" t="s">
        <v>1538</v>
      </c>
      <c r="R707" s="45" t="s">
        <v>41</v>
      </c>
      <c r="S707" s="138">
        <f>COUNTIFS('Raw Non-zero DMR Data'!$A:$A, A707, 'Raw Non-zero DMR Data'!$C:$C, U707, 'Raw Non-zero DMR Data'!$V:$V, V707)</f>
        <v>1</v>
      </c>
      <c r="T707" s="34">
        <f>SUMIFS('Raw Non-zero DMR Data'!$X:$X, 'Raw Non-zero DMR Data'!$A:$A, A707, 'Raw Non-zero DMR Data'!$C:$C, U707, 'Raw Non-zero DMR Data'!V:V, V707)</f>
        <v>1.124145E-3</v>
      </c>
      <c r="U707" s="34" t="s">
        <v>1536</v>
      </c>
      <c r="V707" s="34" t="s">
        <v>1539</v>
      </c>
      <c r="W707" s="139">
        <v>140802010602</v>
      </c>
      <c r="X707" s="140" t="s">
        <v>739</v>
      </c>
    </row>
    <row r="708" spans="1:24" x14ac:dyDescent="0.35">
      <c r="A708" s="34">
        <v>2020</v>
      </c>
      <c r="B708" s="34" t="s">
        <v>286</v>
      </c>
      <c r="C708" s="34" t="s">
        <v>1540</v>
      </c>
      <c r="D708" s="34" t="s">
        <v>287</v>
      </c>
      <c r="E708" s="34" t="s">
        <v>1541</v>
      </c>
      <c r="F708" s="34" t="s">
        <v>288</v>
      </c>
      <c r="G708" s="34"/>
      <c r="H708" s="34">
        <v>36.091380999999998</v>
      </c>
      <c r="I708" s="34">
        <v>-111.289585</v>
      </c>
      <c r="J708" s="34"/>
      <c r="K708" s="105">
        <v>110024409344</v>
      </c>
      <c r="L708" s="34">
        <v>4952</v>
      </c>
      <c r="M708" s="48" t="str">
        <f>VLOOKUP(L708, '2017 SIC to NAICS'!A:D, 2)</f>
        <v>Sewerage Systems</v>
      </c>
      <c r="N708" s="34">
        <f>VLOOKUP(L708,'2017 SIC to NAICS'!A:D,3)</f>
        <v>221320</v>
      </c>
      <c r="O708" s="34" t="str">
        <f>VLOOKUP(L708,'2017 SIC to NAICS'!A:D,4)</f>
        <v>Sewage Treatment Facilities</v>
      </c>
      <c r="P708" s="36" t="s">
        <v>742</v>
      </c>
      <c r="Q708" s="137" t="s">
        <v>743</v>
      </c>
      <c r="R708" s="45" t="s">
        <v>38</v>
      </c>
      <c r="S708" s="138">
        <f>COUNTIFS('Raw Non-zero DMR Data'!$A:$A, A708, 'Raw Non-zero DMR Data'!$C:$C, U708, 'Raw Non-zero DMR Data'!$V:$V, V708)</f>
        <v>1</v>
      </c>
      <c r="T708" s="34">
        <f>SUMIFS('Raw Non-zero DMR Data'!$X:$X, 'Raw Non-zero DMR Data'!$A:$A, A708, 'Raw Non-zero DMR Data'!$C:$C, U708, 'Raw Non-zero DMR Data'!V:V, V708)</f>
        <v>0.75772671999999996</v>
      </c>
      <c r="U708" s="34" t="s">
        <v>1540</v>
      </c>
      <c r="V708" s="34" t="s">
        <v>1542</v>
      </c>
      <c r="W708" s="139">
        <v>150200181004</v>
      </c>
      <c r="X708" s="140" t="s">
        <v>745</v>
      </c>
    </row>
    <row r="709" spans="1:24" x14ac:dyDescent="0.35">
      <c r="A709" s="34">
        <v>2022</v>
      </c>
      <c r="B709" s="34" t="s">
        <v>286</v>
      </c>
      <c r="C709" s="34" t="s">
        <v>1540</v>
      </c>
      <c r="D709" s="34" t="s">
        <v>287</v>
      </c>
      <c r="E709" s="34" t="s">
        <v>1541</v>
      </c>
      <c r="F709" s="34" t="s">
        <v>288</v>
      </c>
      <c r="G709" s="34"/>
      <c r="H709" s="34">
        <v>36.091380999999998</v>
      </c>
      <c r="I709" s="34">
        <v>-111.289585</v>
      </c>
      <c r="J709" s="34"/>
      <c r="K709" s="105">
        <v>110024409344</v>
      </c>
      <c r="L709" s="34">
        <v>4952</v>
      </c>
      <c r="M709" s="48" t="str">
        <f>VLOOKUP(L709, '2017 SIC to NAICS'!A:D, 2)</f>
        <v>Sewerage Systems</v>
      </c>
      <c r="N709" s="34">
        <f>VLOOKUP(L709,'2017 SIC to NAICS'!A:D,3)</f>
        <v>221320</v>
      </c>
      <c r="O709" s="34" t="str">
        <f>VLOOKUP(L709,'2017 SIC to NAICS'!A:D,4)</f>
        <v>Sewage Treatment Facilities</v>
      </c>
      <c r="P709" s="36" t="s">
        <v>742</v>
      </c>
      <c r="Q709" s="137" t="s">
        <v>743</v>
      </c>
      <c r="R709" s="45" t="s">
        <v>38</v>
      </c>
      <c r="S709" s="138">
        <f>COUNTIFS('Raw Non-zero DMR Data'!$A:$A, A709, 'Raw Non-zero DMR Data'!$C:$C, U709, 'Raw Non-zero DMR Data'!$V:$V, V709)</f>
        <v>1</v>
      </c>
      <c r="T709" s="34">
        <f>SUMIFS('Raw Non-zero DMR Data'!$X:$X, 'Raw Non-zero DMR Data'!$A:$A, A709, 'Raw Non-zero DMR Data'!$C:$C, U709, 'Raw Non-zero DMR Data'!V:V, V709)</f>
        <v>0.99173056000000004</v>
      </c>
      <c r="U709" s="34" t="s">
        <v>1540</v>
      </c>
      <c r="V709" s="34" t="s">
        <v>1542</v>
      </c>
      <c r="W709" s="139">
        <v>150200181004</v>
      </c>
      <c r="X709" s="140" t="s">
        <v>745</v>
      </c>
    </row>
    <row r="710" spans="1:24" x14ac:dyDescent="0.35">
      <c r="A710" s="34">
        <v>2023</v>
      </c>
      <c r="B710" s="34" t="s">
        <v>286</v>
      </c>
      <c r="C710" s="34" t="s">
        <v>1540</v>
      </c>
      <c r="D710" s="34" t="s">
        <v>287</v>
      </c>
      <c r="E710" s="34" t="s">
        <v>1541</v>
      </c>
      <c r="F710" s="34" t="s">
        <v>288</v>
      </c>
      <c r="G710" s="34"/>
      <c r="H710" s="34">
        <v>36.091380999999998</v>
      </c>
      <c r="I710" s="34">
        <v>-111.289585</v>
      </c>
      <c r="J710" s="34"/>
      <c r="K710" s="105">
        <v>110024409344</v>
      </c>
      <c r="L710" s="34">
        <v>4952</v>
      </c>
      <c r="M710" s="48" t="str">
        <f>VLOOKUP(L710, '2017 SIC to NAICS'!A:D, 2)</f>
        <v>Sewerage Systems</v>
      </c>
      <c r="N710" s="34">
        <f>VLOOKUP(L710,'2017 SIC to NAICS'!A:D,3)</f>
        <v>221320</v>
      </c>
      <c r="O710" s="34" t="str">
        <f>VLOOKUP(L710,'2017 SIC to NAICS'!A:D,4)</f>
        <v>Sewage Treatment Facilities</v>
      </c>
      <c r="P710" s="36" t="s">
        <v>742</v>
      </c>
      <c r="Q710" s="137" t="s">
        <v>743</v>
      </c>
      <c r="R710" s="45" t="s">
        <v>38</v>
      </c>
      <c r="S710" s="138">
        <f>COUNTIFS('Raw Non-zero DMR Data'!$A:$A, A710, 'Raw Non-zero DMR Data'!$C:$C, U710, 'Raw Non-zero DMR Data'!$V:$V, V710)</f>
        <v>1</v>
      </c>
      <c r="T710" s="34">
        <f>SUMIFS('Raw Non-zero DMR Data'!$X:$X, 'Raw Non-zero DMR Data'!$A:$A, A710, 'Raw Non-zero DMR Data'!$C:$C, U710, 'Raw Non-zero DMR Data'!V:V, V710)</f>
        <v>1.2317904</v>
      </c>
      <c r="U710" s="34" t="s">
        <v>1540</v>
      </c>
      <c r="V710" s="34" t="s">
        <v>1542</v>
      </c>
      <c r="W710" s="139">
        <v>150200181004</v>
      </c>
      <c r="X710" s="140" t="s">
        <v>745</v>
      </c>
    </row>
    <row r="711" spans="1:24" x14ac:dyDescent="0.35">
      <c r="A711" s="34">
        <v>2023</v>
      </c>
      <c r="B711" s="34" t="s">
        <v>322</v>
      </c>
      <c r="C711" s="34" t="s">
        <v>1543</v>
      </c>
      <c r="D711" s="34" t="s">
        <v>323</v>
      </c>
      <c r="E711" s="34" t="s">
        <v>1534</v>
      </c>
      <c r="F711" s="34" t="s">
        <v>273</v>
      </c>
      <c r="G711" s="34"/>
      <c r="H711" s="34">
        <v>36.786963999999998</v>
      </c>
      <c r="I711" s="34">
        <v>-108.711493</v>
      </c>
      <c r="J711" s="34"/>
      <c r="K711" s="105">
        <v>110024409362</v>
      </c>
      <c r="L711" s="34">
        <v>4952</v>
      </c>
      <c r="M711" s="48" t="str">
        <f>VLOOKUP(L711, '2017 SIC to NAICS'!A:D, 2)</f>
        <v>Sewerage Systems</v>
      </c>
      <c r="N711" s="34">
        <f>VLOOKUP(L711,'2017 SIC to NAICS'!A:D,3)</f>
        <v>221320</v>
      </c>
      <c r="O711" s="34" t="str">
        <f>VLOOKUP(L711,'2017 SIC to NAICS'!A:D,4)</f>
        <v>Sewage Treatment Facilities</v>
      </c>
      <c r="P711" s="36" t="s">
        <v>742</v>
      </c>
      <c r="Q711" s="137" t="s">
        <v>743</v>
      </c>
      <c r="R711" s="45" t="s">
        <v>38</v>
      </c>
      <c r="S711" s="138">
        <f>COUNTIFS('Raw Non-zero DMR Data'!$A:$A, A711, 'Raw Non-zero DMR Data'!$C:$C, U711, 'Raw Non-zero DMR Data'!$V:$V, V711)</f>
        <v>1</v>
      </c>
      <c r="T711" s="34">
        <f>SUMIFS('Raw Non-zero DMR Data'!$X:$X, 'Raw Non-zero DMR Data'!$A:$A, A711, 'Raw Non-zero DMR Data'!$C:$C, U711, 'Raw Non-zero DMR Data'!V:V, V711)</f>
        <v>0.80347979999999997</v>
      </c>
      <c r="U711" s="34" t="s">
        <v>1543</v>
      </c>
      <c r="V711" s="34" t="s">
        <v>1544</v>
      </c>
      <c r="W711" s="139">
        <v>140801050704</v>
      </c>
      <c r="X711" s="140" t="s">
        <v>745</v>
      </c>
    </row>
    <row r="712" spans="1:24" x14ac:dyDescent="0.35">
      <c r="A712" s="34">
        <v>2020</v>
      </c>
      <c r="B712" s="34" t="s">
        <v>295</v>
      </c>
      <c r="C712" s="34" t="s">
        <v>1545</v>
      </c>
      <c r="D712" s="34" t="s">
        <v>296</v>
      </c>
      <c r="E712" s="34" t="s">
        <v>1546</v>
      </c>
      <c r="F712" s="34" t="s">
        <v>288</v>
      </c>
      <c r="G712" s="34"/>
      <c r="H712" s="34">
        <v>35.639485000000001</v>
      </c>
      <c r="I712" s="34">
        <v>-109.080939</v>
      </c>
      <c r="J712" s="34"/>
      <c r="K712" s="105">
        <v>110024409433</v>
      </c>
      <c r="L712" s="34">
        <v>4952</v>
      </c>
      <c r="M712" s="48" t="str">
        <f>VLOOKUP(L712, '2017 SIC to NAICS'!A:D, 2)</f>
        <v>Sewerage Systems</v>
      </c>
      <c r="N712" s="34">
        <f>VLOOKUP(L712,'2017 SIC to NAICS'!A:D,3)</f>
        <v>221320</v>
      </c>
      <c r="O712" s="34" t="str">
        <f>VLOOKUP(L712,'2017 SIC to NAICS'!A:D,4)</f>
        <v>Sewage Treatment Facilities</v>
      </c>
      <c r="P712" s="36" t="s">
        <v>742</v>
      </c>
      <c r="Q712" s="137" t="s">
        <v>743</v>
      </c>
      <c r="R712" s="45" t="s">
        <v>38</v>
      </c>
      <c r="S712" s="138">
        <f>COUNTIFS('Raw Non-zero DMR Data'!$A:$A, A712, 'Raw Non-zero DMR Data'!$C:$C, U712, 'Raw Non-zero DMR Data'!$V:$V, V712)</f>
        <v>1</v>
      </c>
      <c r="T712" s="34">
        <f>SUMIFS('Raw Non-zero DMR Data'!$X:$X, 'Raw Non-zero DMR Data'!$A:$A, A712, 'Raw Non-zero DMR Data'!$C:$C, U712, 'Raw Non-zero DMR Data'!V:V, V712)</f>
        <v>0.899316</v>
      </c>
      <c r="U712" s="34" t="s">
        <v>1545</v>
      </c>
      <c r="V712" s="34" t="s">
        <v>1547</v>
      </c>
      <c r="W712" s="139">
        <v>150200060604</v>
      </c>
      <c r="X712" s="140" t="s">
        <v>745</v>
      </c>
    </row>
    <row r="713" spans="1:24" x14ac:dyDescent="0.35">
      <c r="A713" s="34">
        <v>2022</v>
      </c>
      <c r="B713" s="34" t="s">
        <v>295</v>
      </c>
      <c r="C713" s="34" t="s">
        <v>1545</v>
      </c>
      <c r="D713" s="34" t="s">
        <v>296</v>
      </c>
      <c r="E713" s="34" t="s">
        <v>1546</v>
      </c>
      <c r="F713" s="34" t="s">
        <v>288</v>
      </c>
      <c r="G713" s="34"/>
      <c r="H713" s="34">
        <v>35.639485000000001</v>
      </c>
      <c r="I713" s="34">
        <v>-109.080939</v>
      </c>
      <c r="J713" s="34"/>
      <c r="K713" s="105">
        <v>110024409433</v>
      </c>
      <c r="L713" s="34">
        <v>4952</v>
      </c>
      <c r="M713" s="48" t="str">
        <f>VLOOKUP(L713, '2017 SIC to NAICS'!A:D, 2)</f>
        <v>Sewerage Systems</v>
      </c>
      <c r="N713" s="34">
        <f>VLOOKUP(L713,'2017 SIC to NAICS'!A:D,3)</f>
        <v>221320</v>
      </c>
      <c r="O713" s="34" t="str">
        <f>VLOOKUP(L713,'2017 SIC to NAICS'!A:D,4)</f>
        <v>Sewage Treatment Facilities</v>
      </c>
      <c r="P713" s="36" t="s">
        <v>742</v>
      </c>
      <c r="Q713" s="137" t="s">
        <v>743</v>
      </c>
      <c r="R713" s="45" t="s">
        <v>38</v>
      </c>
      <c r="S713" s="138">
        <f>COUNTIFS('Raw Non-zero DMR Data'!$A:$A, A713, 'Raw Non-zero DMR Data'!$C:$C, U713, 'Raw Non-zero DMR Data'!$V:$V, V713)</f>
        <v>1</v>
      </c>
      <c r="T713" s="34">
        <f>SUMIFS('Raw Non-zero DMR Data'!$X:$X, 'Raw Non-zero DMR Data'!$A:$A, A713, 'Raw Non-zero DMR Data'!$C:$C, U713, 'Raw Non-zero DMR Data'!V:V, V713)</f>
        <v>1.1604810000000001</v>
      </c>
      <c r="U713" s="34" t="s">
        <v>1545</v>
      </c>
      <c r="V713" s="34" t="s">
        <v>1547</v>
      </c>
      <c r="W713" s="139">
        <v>150200060604</v>
      </c>
      <c r="X713" s="140" t="s">
        <v>745</v>
      </c>
    </row>
    <row r="714" spans="1:24" x14ac:dyDescent="0.35">
      <c r="A714" s="34">
        <v>2023</v>
      </c>
      <c r="B714" s="34" t="s">
        <v>295</v>
      </c>
      <c r="C714" s="34" t="s">
        <v>1545</v>
      </c>
      <c r="D714" s="34" t="s">
        <v>296</v>
      </c>
      <c r="E714" s="34" t="s">
        <v>1546</v>
      </c>
      <c r="F714" s="34" t="s">
        <v>288</v>
      </c>
      <c r="G714" s="34"/>
      <c r="H714" s="34">
        <v>35.639485000000001</v>
      </c>
      <c r="I714" s="34">
        <v>-109.080939</v>
      </c>
      <c r="J714" s="34"/>
      <c r="K714" s="105">
        <v>110024409433</v>
      </c>
      <c r="L714" s="34">
        <v>4952</v>
      </c>
      <c r="M714" s="48" t="str">
        <f>VLOOKUP(L714, '2017 SIC to NAICS'!A:D, 2)</f>
        <v>Sewerage Systems</v>
      </c>
      <c r="N714" s="34">
        <f>VLOOKUP(L714,'2017 SIC to NAICS'!A:D,3)</f>
        <v>221320</v>
      </c>
      <c r="O714" s="34" t="str">
        <f>VLOOKUP(L714,'2017 SIC to NAICS'!A:D,4)</f>
        <v>Sewage Treatment Facilities</v>
      </c>
      <c r="P714" s="36" t="s">
        <v>742</v>
      </c>
      <c r="Q714" s="137" t="s">
        <v>743</v>
      </c>
      <c r="R714" s="45" t="s">
        <v>38</v>
      </c>
      <c r="S714" s="138">
        <f>COUNTIFS('Raw Non-zero DMR Data'!$A:$A, A714, 'Raw Non-zero DMR Data'!$C:$C, U714, 'Raw Non-zero DMR Data'!$V:$V, V714)</f>
        <v>1</v>
      </c>
      <c r="T714" s="34">
        <f>SUMIFS('Raw Non-zero DMR Data'!$X:$X, 'Raw Non-zero DMR Data'!$A:$A, A714, 'Raw Non-zero DMR Data'!$C:$C, U714, 'Raw Non-zero DMR Data'!V:V, V714)</f>
        <v>0.45590324999999998</v>
      </c>
      <c r="U714" s="34" t="s">
        <v>1545</v>
      </c>
      <c r="V714" s="34" t="s">
        <v>1547</v>
      </c>
      <c r="W714" s="139">
        <v>150200060604</v>
      </c>
      <c r="X714" s="140" t="s">
        <v>745</v>
      </c>
    </row>
    <row r="715" spans="1:24" x14ac:dyDescent="0.35">
      <c r="A715" s="34">
        <v>2021</v>
      </c>
      <c r="B715" s="34" t="s">
        <v>452</v>
      </c>
      <c r="C715" s="34" t="s">
        <v>1548</v>
      </c>
      <c r="D715" s="34" t="s">
        <v>272</v>
      </c>
      <c r="E715" s="34" t="s">
        <v>1534</v>
      </c>
      <c r="F715" s="34" t="s">
        <v>273</v>
      </c>
      <c r="G715" s="34"/>
      <c r="H715" s="34">
        <v>36.716268999999997</v>
      </c>
      <c r="I715" s="34">
        <v>-108.255737</v>
      </c>
      <c r="J715" s="34"/>
      <c r="K715" s="105">
        <v>110064631457</v>
      </c>
      <c r="L715" s="34">
        <v>4952</v>
      </c>
      <c r="M715" s="48" t="str">
        <f>VLOOKUP(L715, '2017 SIC to NAICS'!A:D, 2)</f>
        <v>Sewerage Systems</v>
      </c>
      <c r="N715" s="34">
        <f>VLOOKUP(L715,'2017 SIC to NAICS'!A:D,3)</f>
        <v>221320</v>
      </c>
      <c r="O715" s="34" t="str">
        <f>VLOOKUP(L715,'2017 SIC to NAICS'!A:D,4)</f>
        <v>Sewage Treatment Facilities</v>
      </c>
      <c r="P715" s="36" t="s">
        <v>742</v>
      </c>
      <c r="Q715" s="137" t="s">
        <v>743</v>
      </c>
      <c r="R715" s="45" t="s">
        <v>38</v>
      </c>
      <c r="S715" s="138">
        <f>COUNTIFS('Raw Non-zero DMR Data'!$A:$A, A715, 'Raw Non-zero DMR Data'!$C:$C, U715, 'Raw Non-zero DMR Data'!$V:$V, V715)</f>
        <v>1</v>
      </c>
      <c r="T715" s="34">
        <f>SUMIFS('Raw Non-zero DMR Data'!$X:$X, 'Raw Non-zero DMR Data'!$A:$A, A715, 'Raw Non-zero DMR Data'!$C:$C, U715, 'Raw Non-zero DMR Data'!V:V, V715)</f>
        <v>0.1114304</v>
      </c>
      <c r="U715" s="34" t="s">
        <v>1548</v>
      </c>
      <c r="V715" s="34" t="s">
        <v>1549</v>
      </c>
      <c r="W715" s="139">
        <v>140801050505</v>
      </c>
      <c r="X715" s="140" t="s">
        <v>745</v>
      </c>
    </row>
    <row r="716" spans="1:24" x14ac:dyDescent="0.35">
      <c r="A716" s="34">
        <v>2021</v>
      </c>
      <c r="B716" s="34" t="s">
        <v>219</v>
      </c>
      <c r="C716" s="34" t="s">
        <v>1550</v>
      </c>
      <c r="D716" s="34" t="s">
        <v>220</v>
      </c>
      <c r="E716" s="34" t="s">
        <v>1551</v>
      </c>
      <c r="F716" s="34" t="s">
        <v>221</v>
      </c>
      <c r="G716" s="34"/>
      <c r="H716" s="34">
        <v>39.463894000000003</v>
      </c>
      <c r="I716" s="34">
        <v>-118.75532800000001</v>
      </c>
      <c r="J716" s="34"/>
      <c r="K716" s="105">
        <v>110000734616</v>
      </c>
      <c r="L716" s="34">
        <v>4952</v>
      </c>
      <c r="M716" s="48" t="str">
        <f>VLOOKUP(L716, '2017 SIC to NAICS'!A:D, 2)</f>
        <v>Sewerage Systems</v>
      </c>
      <c r="N716" s="34">
        <f>VLOOKUP(L716,'2017 SIC to NAICS'!A:D,3)</f>
        <v>221320</v>
      </c>
      <c r="O716" s="34" t="str">
        <f>VLOOKUP(L716,'2017 SIC to NAICS'!A:D,4)</f>
        <v>Sewage Treatment Facilities</v>
      </c>
      <c r="P716" s="36" t="s">
        <v>742</v>
      </c>
      <c r="Q716" s="137" t="s">
        <v>743</v>
      </c>
      <c r="R716" s="45" t="s">
        <v>38</v>
      </c>
      <c r="S716" s="138">
        <f>COUNTIFS('Raw Non-zero DMR Data'!$A:$A, A716, 'Raw Non-zero DMR Data'!$C:$C, U716, 'Raw Non-zero DMR Data'!$V:$V, V716)</f>
        <v>1</v>
      </c>
      <c r="T716" s="34">
        <f>SUMIFS('Raw Non-zero DMR Data'!$X:$X, 'Raw Non-zero DMR Data'!$A:$A, A716, 'Raw Non-zero DMR Data'!$C:$C, U716, 'Raw Non-zero DMR Data'!V:V, V716)</f>
        <v>3.5919650000000001</v>
      </c>
      <c r="U716" s="34" t="s">
        <v>1550</v>
      </c>
      <c r="V716" s="34" t="s">
        <v>1552</v>
      </c>
      <c r="W716" s="139">
        <v>160502030306</v>
      </c>
      <c r="X716" s="140" t="s">
        <v>745</v>
      </c>
    </row>
    <row r="717" spans="1:24" x14ac:dyDescent="0.35">
      <c r="A717" s="34">
        <v>2023</v>
      </c>
      <c r="B717" s="34" t="s">
        <v>658</v>
      </c>
      <c r="C717" s="34" t="s">
        <v>1553</v>
      </c>
      <c r="D717" s="34" t="s">
        <v>337</v>
      </c>
      <c r="E717" s="34" t="s">
        <v>823</v>
      </c>
      <c r="F717" s="34" t="s">
        <v>221</v>
      </c>
      <c r="G717" s="34"/>
      <c r="H717" s="34">
        <v>36.170819999999999</v>
      </c>
      <c r="I717" s="34">
        <v>-115.14431</v>
      </c>
      <c r="J717" s="34"/>
      <c r="K717" s="105">
        <v>110004300596</v>
      </c>
      <c r="L717" s="34">
        <v>7011</v>
      </c>
      <c r="M717" s="48" t="str">
        <f>VLOOKUP(L717, '2017 SIC to NAICS'!A:D, 2)</f>
        <v>Hotels and Motels</v>
      </c>
      <c r="N717" s="34">
        <f>VLOOKUP(L717,'2017 SIC to NAICS'!A:D,3)</f>
        <v>721199</v>
      </c>
      <c r="O717" s="34" t="str">
        <f>VLOOKUP(L717,'2017 SIC to NAICS'!A:D,4)</f>
        <v>All Other Traveler Accommodation</v>
      </c>
      <c r="P717" s="36" t="s">
        <v>737</v>
      </c>
      <c r="Q717" s="137" t="s">
        <v>737</v>
      </c>
      <c r="R717" s="45" t="s">
        <v>41</v>
      </c>
      <c r="S717" s="138">
        <f>COUNTIFS('Raw Non-zero DMR Data'!$A:$A, A717, 'Raw Non-zero DMR Data'!$C:$C, U717, 'Raw Non-zero DMR Data'!$V:$V, V717)</f>
        <v>1</v>
      </c>
      <c r="T717" s="34">
        <f>SUMIFS('Raw Non-zero DMR Data'!$X:$X, 'Raw Non-zero DMR Data'!$A:$A, A717, 'Raw Non-zero DMR Data'!$C:$C, U717, 'Raw Non-zero DMR Data'!V:V, V717)</f>
        <v>2.2898776875000001E-3</v>
      </c>
      <c r="U717" s="34" t="s">
        <v>1553</v>
      </c>
      <c r="V717" s="34" t="s">
        <v>738</v>
      </c>
      <c r="W717" s="139">
        <v>150100150604</v>
      </c>
      <c r="X717" s="140" t="s">
        <v>739</v>
      </c>
    </row>
    <row r="718" spans="1:24" x14ac:dyDescent="0.35">
      <c r="A718" s="34">
        <v>2019</v>
      </c>
      <c r="B718" s="34" t="s">
        <v>394</v>
      </c>
      <c r="C718" s="34" t="s">
        <v>1554</v>
      </c>
      <c r="D718" s="34" t="s">
        <v>337</v>
      </c>
      <c r="E718" s="34" t="s">
        <v>736</v>
      </c>
      <c r="F718" s="34" t="s">
        <v>221</v>
      </c>
      <c r="G718" s="34"/>
      <c r="H718" s="34">
        <v>36.176639999999999</v>
      </c>
      <c r="I718" s="34">
        <v>-115.12891999999999</v>
      </c>
      <c r="J718" s="34"/>
      <c r="K718" s="105">
        <v>110008995490</v>
      </c>
      <c r="L718" s="34">
        <v>6513</v>
      </c>
      <c r="M718" s="48" t="str">
        <f>VLOOKUP(L718, '2017 SIC to NAICS'!A:D, 2)</f>
        <v>Apartment Building Operators</v>
      </c>
      <c r="N718" s="34">
        <f>VLOOKUP(L718,'2017 SIC to NAICS'!A:D,3)</f>
        <v>531110</v>
      </c>
      <c r="O718" s="34" t="str">
        <f>VLOOKUP(L718,'2017 SIC to NAICS'!A:D,4)</f>
        <v>Lessors of Residential Buildings and
Dwellings</v>
      </c>
      <c r="P718" s="36" t="s">
        <v>754</v>
      </c>
      <c r="Q718" s="137" t="s">
        <v>755</v>
      </c>
      <c r="R718" s="45" t="s">
        <v>41</v>
      </c>
      <c r="S718" s="138">
        <f>COUNTIFS('Raw Non-zero DMR Data'!$A:$A, A718, 'Raw Non-zero DMR Data'!$C:$C, U718, 'Raw Non-zero DMR Data'!$V:$V, V718)</f>
        <v>1</v>
      </c>
      <c r="T718" s="34">
        <f>SUMIFS('Raw Non-zero DMR Data'!$X:$X, 'Raw Non-zero DMR Data'!$A:$A, A718, 'Raw Non-zero DMR Data'!$C:$C, U718, 'Raw Non-zero DMR Data'!V:V, V718)</f>
        <v>5.9291599187500002E-2</v>
      </c>
      <c r="U718" s="34" t="s">
        <v>1554</v>
      </c>
      <c r="V718" s="34" t="s">
        <v>738</v>
      </c>
      <c r="W718" s="139">
        <v>150100150604</v>
      </c>
      <c r="X718" s="140" t="s">
        <v>739</v>
      </c>
    </row>
    <row r="719" spans="1:24" x14ac:dyDescent="0.35">
      <c r="A719" s="34">
        <v>2021</v>
      </c>
      <c r="B719" s="34" t="s">
        <v>394</v>
      </c>
      <c r="C719" s="34" t="s">
        <v>1554</v>
      </c>
      <c r="D719" s="34" t="s">
        <v>337</v>
      </c>
      <c r="E719" s="34" t="s">
        <v>736</v>
      </c>
      <c r="F719" s="34" t="s">
        <v>221</v>
      </c>
      <c r="G719" s="34"/>
      <c r="H719" s="34">
        <v>36.176639999999999</v>
      </c>
      <c r="I719" s="34">
        <v>-115.12891999999999</v>
      </c>
      <c r="J719" s="34"/>
      <c r="K719" s="105">
        <v>110008995490</v>
      </c>
      <c r="L719" s="34">
        <v>6513</v>
      </c>
      <c r="M719" s="48" t="str">
        <f>VLOOKUP(L719, '2017 SIC to NAICS'!A:D, 2)</f>
        <v>Apartment Building Operators</v>
      </c>
      <c r="N719" s="34">
        <f>VLOOKUP(L719,'2017 SIC to NAICS'!A:D,3)</f>
        <v>531110</v>
      </c>
      <c r="O719" s="34" t="str">
        <f>VLOOKUP(L719,'2017 SIC to NAICS'!A:D,4)</f>
        <v>Lessors of Residential Buildings and
Dwellings</v>
      </c>
      <c r="P719" s="36" t="s">
        <v>754</v>
      </c>
      <c r="Q719" s="137" t="s">
        <v>755</v>
      </c>
      <c r="R719" s="45" t="s">
        <v>41</v>
      </c>
      <c r="S719" s="138">
        <f>COUNTIFS('Raw Non-zero DMR Data'!$A:$A, A719, 'Raw Non-zero DMR Data'!$C:$C, U719, 'Raw Non-zero DMR Data'!$V:$V, V719)</f>
        <v>1</v>
      </c>
      <c r="T719" s="34">
        <f>SUMIFS('Raw Non-zero DMR Data'!$X:$X, 'Raw Non-zero DMR Data'!$A:$A, A719, 'Raw Non-zero DMR Data'!$C:$C, U719, 'Raw Non-zero DMR Data'!V:V, V719)</f>
        <v>5.8714812500000003E-3</v>
      </c>
      <c r="U719" s="34" t="s">
        <v>1554</v>
      </c>
      <c r="V719" s="34" t="s">
        <v>738</v>
      </c>
      <c r="W719" s="139">
        <v>150100150604</v>
      </c>
      <c r="X719" s="140" t="s">
        <v>739</v>
      </c>
    </row>
    <row r="720" spans="1:24" x14ac:dyDescent="0.35">
      <c r="A720" s="34">
        <v>2022</v>
      </c>
      <c r="B720" s="34" t="s">
        <v>394</v>
      </c>
      <c r="C720" s="34" t="s">
        <v>1554</v>
      </c>
      <c r="D720" s="34" t="s">
        <v>337</v>
      </c>
      <c r="E720" s="34" t="s">
        <v>736</v>
      </c>
      <c r="F720" s="34" t="s">
        <v>221</v>
      </c>
      <c r="G720" s="34"/>
      <c r="H720" s="34">
        <v>36.176639999999999</v>
      </c>
      <c r="I720" s="34">
        <v>-115.12891999999999</v>
      </c>
      <c r="J720" s="34"/>
      <c r="K720" s="105">
        <v>110008995490</v>
      </c>
      <c r="L720" s="34">
        <v>6513</v>
      </c>
      <c r="M720" s="48" t="str">
        <f>VLOOKUP(L720, '2017 SIC to NAICS'!A:D, 2)</f>
        <v>Apartment Building Operators</v>
      </c>
      <c r="N720" s="34">
        <f>VLOOKUP(L720,'2017 SIC to NAICS'!A:D,3)</f>
        <v>531110</v>
      </c>
      <c r="O720" s="34" t="str">
        <f>VLOOKUP(L720,'2017 SIC to NAICS'!A:D,4)</f>
        <v>Lessors of Residential Buildings and
Dwellings</v>
      </c>
      <c r="P720" s="36" t="s">
        <v>754</v>
      </c>
      <c r="Q720" s="137" t="s">
        <v>755</v>
      </c>
      <c r="R720" s="45" t="s">
        <v>41</v>
      </c>
      <c r="S720" s="138">
        <f>COUNTIFS('Raw Non-zero DMR Data'!$A:$A, A720, 'Raw Non-zero DMR Data'!$C:$C, U720, 'Raw Non-zero DMR Data'!$V:$V, V720)</f>
        <v>1</v>
      </c>
      <c r="T720" s="34">
        <f>SUMIFS('Raw Non-zero DMR Data'!$X:$X, 'Raw Non-zero DMR Data'!$A:$A, A720, 'Raw Non-zero DMR Data'!$C:$C, U720, 'Raw Non-zero DMR Data'!V:V, V720)</f>
        <v>1.5196775E-3</v>
      </c>
      <c r="U720" s="34" t="s">
        <v>1554</v>
      </c>
      <c r="V720" s="34" t="s">
        <v>738</v>
      </c>
      <c r="W720" s="139">
        <v>150100150604</v>
      </c>
      <c r="X720" s="140" t="s">
        <v>739</v>
      </c>
    </row>
    <row r="721" spans="1:24" x14ac:dyDescent="0.35">
      <c r="A721" s="34">
        <v>2023</v>
      </c>
      <c r="B721" s="34" t="s">
        <v>394</v>
      </c>
      <c r="C721" s="34" t="s">
        <v>1554</v>
      </c>
      <c r="D721" s="34" t="s">
        <v>337</v>
      </c>
      <c r="E721" s="34" t="s">
        <v>736</v>
      </c>
      <c r="F721" s="34" t="s">
        <v>221</v>
      </c>
      <c r="G721" s="34"/>
      <c r="H721" s="34">
        <v>36.176639999999999</v>
      </c>
      <c r="I721" s="34">
        <v>-115.12891999999999</v>
      </c>
      <c r="J721" s="34"/>
      <c r="K721" s="105">
        <v>110008995490</v>
      </c>
      <c r="L721" s="34">
        <v>6513</v>
      </c>
      <c r="M721" s="48" t="str">
        <f>VLOOKUP(L721, '2017 SIC to NAICS'!A:D, 2)</f>
        <v>Apartment Building Operators</v>
      </c>
      <c r="N721" s="34">
        <f>VLOOKUP(L721,'2017 SIC to NAICS'!A:D,3)</f>
        <v>531110</v>
      </c>
      <c r="O721" s="34" t="str">
        <f>VLOOKUP(L721,'2017 SIC to NAICS'!A:D,4)</f>
        <v>Lessors of Residential Buildings and
Dwellings</v>
      </c>
      <c r="P721" s="36" t="s">
        <v>754</v>
      </c>
      <c r="Q721" s="137" t="s">
        <v>755</v>
      </c>
      <c r="R721" s="45" t="s">
        <v>41</v>
      </c>
      <c r="S721" s="138">
        <f>COUNTIFS('Raw Non-zero DMR Data'!$A:$A, A721, 'Raw Non-zero DMR Data'!$C:$C, U721, 'Raw Non-zero DMR Data'!$V:$V, V721)</f>
        <v>1</v>
      </c>
      <c r="T721" s="34">
        <f>SUMIFS('Raw Non-zero DMR Data'!$X:$X, 'Raw Non-zero DMR Data'!$A:$A, A721, 'Raw Non-zero DMR Data'!$C:$C, U721, 'Raw Non-zero DMR Data'!V:V, V721)</f>
        <v>0.25150662624999998</v>
      </c>
      <c r="U721" s="34" t="s">
        <v>1554</v>
      </c>
      <c r="V721" s="34" t="s">
        <v>738</v>
      </c>
      <c r="W721" s="139">
        <v>150100150604</v>
      </c>
      <c r="X721" s="140" t="s">
        <v>739</v>
      </c>
    </row>
    <row r="722" spans="1:24" x14ac:dyDescent="0.35">
      <c r="A722" s="34">
        <v>2019</v>
      </c>
      <c r="B722" s="34" t="s">
        <v>346</v>
      </c>
      <c r="C722" s="34" t="s">
        <v>1555</v>
      </c>
      <c r="D722" s="34" t="s">
        <v>347</v>
      </c>
      <c r="E722" s="34" t="s">
        <v>823</v>
      </c>
      <c r="F722" s="34" t="s">
        <v>221</v>
      </c>
      <c r="G722" s="34"/>
      <c r="H722" s="34">
        <v>36.035440000000001</v>
      </c>
      <c r="I722" s="34">
        <v>-114.99994</v>
      </c>
      <c r="J722" s="34"/>
      <c r="K722" s="105">
        <v>110043808467</v>
      </c>
      <c r="L722" s="34">
        <v>1799</v>
      </c>
      <c r="M722" s="48" t="str">
        <f>VLOOKUP(L722, '2017 SIC to NAICS'!A:D, 2)</f>
        <v>Special Trade Contractors, Nec</v>
      </c>
      <c r="N722" s="34">
        <f>VLOOKUP(L722,'2017 SIC to NAICS'!A:D,3)</f>
        <v>562910</v>
      </c>
      <c r="O722" s="34" t="str">
        <f>VLOOKUP(L722,'2017 SIC to NAICS'!A:D,4)</f>
        <v>Remediation Services</v>
      </c>
      <c r="P722" s="36" t="s">
        <v>754</v>
      </c>
      <c r="Q722" s="137" t="s">
        <v>755</v>
      </c>
      <c r="R722" s="45" t="s">
        <v>41</v>
      </c>
      <c r="S722" s="138">
        <f>COUNTIFS('Raw Non-zero DMR Data'!$A:$A, A722, 'Raw Non-zero DMR Data'!$C:$C, U722, 'Raw Non-zero DMR Data'!$V:$V, V722)</f>
        <v>1</v>
      </c>
      <c r="T722" s="34">
        <f>SUMIFS('Raw Non-zero DMR Data'!$X:$X, 'Raw Non-zero DMR Data'!$A:$A, A722, 'Raw Non-zero DMR Data'!$C:$C, U722, 'Raw Non-zero DMR Data'!V:V, V722)</f>
        <v>0.29663518124999999</v>
      </c>
      <c r="U722" s="34" t="s">
        <v>1555</v>
      </c>
      <c r="V722" s="34" t="s">
        <v>1556</v>
      </c>
      <c r="W722" s="139">
        <v>150100150708</v>
      </c>
      <c r="X722" s="140" t="s">
        <v>739</v>
      </c>
    </row>
    <row r="723" spans="1:24" x14ac:dyDescent="0.35">
      <c r="A723" s="34">
        <v>2020</v>
      </c>
      <c r="B723" s="34" t="s">
        <v>346</v>
      </c>
      <c r="C723" s="34" t="s">
        <v>1555</v>
      </c>
      <c r="D723" s="34" t="s">
        <v>347</v>
      </c>
      <c r="E723" s="34" t="s">
        <v>823</v>
      </c>
      <c r="F723" s="34" t="s">
        <v>221</v>
      </c>
      <c r="G723" s="34"/>
      <c r="H723" s="34">
        <v>36.035440000000001</v>
      </c>
      <c r="I723" s="34">
        <v>-114.99994</v>
      </c>
      <c r="J723" s="34"/>
      <c r="K723" s="105">
        <v>110043808467</v>
      </c>
      <c r="L723" s="34">
        <v>1799</v>
      </c>
      <c r="M723" s="48" t="str">
        <f>VLOOKUP(L723, '2017 SIC to NAICS'!A:D, 2)</f>
        <v>Special Trade Contractors, Nec</v>
      </c>
      <c r="N723" s="34">
        <f>VLOOKUP(L723,'2017 SIC to NAICS'!A:D,3)</f>
        <v>562910</v>
      </c>
      <c r="O723" s="34" t="str">
        <f>VLOOKUP(L723,'2017 SIC to NAICS'!A:D,4)</f>
        <v>Remediation Services</v>
      </c>
      <c r="P723" s="36" t="s">
        <v>754</v>
      </c>
      <c r="Q723" s="137" t="s">
        <v>755</v>
      </c>
      <c r="R723" s="45" t="s">
        <v>41</v>
      </c>
      <c r="S723" s="138">
        <f>COUNTIFS('Raw Non-zero DMR Data'!$A:$A, A723, 'Raw Non-zero DMR Data'!$C:$C, U723, 'Raw Non-zero DMR Data'!$V:$V, V723)</f>
        <v>1</v>
      </c>
      <c r="T723" s="34">
        <f>SUMIFS('Raw Non-zero DMR Data'!$X:$X, 'Raw Non-zero DMR Data'!$A:$A, A723, 'Raw Non-zero DMR Data'!$C:$C, U723, 'Raw Non-zero DMR Data'!V:V, V723)</f>
        <v>0.34280347574999998</v>
      </c>
      <c r="U723" s="34" t="s">
        <v>1555</v>
      </c>
      <c r="V723" s="34" t="s">
        <v>1556</v>
      </c>
      <c r="W723" s="139">
        <v>150100150708</v>
      </c>
      <c r="X723" s="140" t="s">
        <v>739</v>
      </c>
    </row>
    <row r="724" spans="1:24" x14ac:dyDescent="0.35">
      <c r="A724" s="34">
        <v>2021</v>
      </c>
      <c r="B724" s="34" t="s">
        <v>346</v>
      </c>
      <c r="C724" s="34" t="s">
        <v>1555</v>
      </c>
      <c r="D724" s="34" t="s">
        <v>347</v>
      </c>
      <c r="E724" s="34" t="s">
        <v>823</v>
      </c>
      <c r="F724" s="34" t="s">
        <v>221</v>
      </c>
      <c r="G724" s="34"/>
      <c r="H724" s="34">
        <v>36.035440000000001</v>
      </c>
      <c r="I724" s="34">
        <v>-114.99994</v>
      </c>
      <c r="J724" s="34"/>
      <c r="K724" s="105">
        <v>110043808467</v>
      </c>
      <c r="L724" s="34">
        <v>1799</v>
      </c>
      <c r="M724" s="48" t="str">
        <f>VLOOKUP(L724, '2017 SIC to NAICS'!A:D, 2)</f>
        <v>Special Trade Contractors, Nec</v>
      </c>
      <c r="N724" s="34">
        <f>VLOOKUP(L724,'2017 SIC to NAICS'!A:D,3)</f>
        <v>562910</v>
      </c>
      <c r="O724" s="34" t="str">
        <f>VLOOKUP(L724,'2017 SIC to NAICS'!A:D,4)</f>
        <v>Remediation Services</v>
      </c>
      <c r="P724" s="36" t="s">
        <v>754</v>
      </c>
      <c r="Q724" s="137" t="s">
        <v>755</v>
      </c>
      <c r="R724" s="45" t="s">
        <v>41</v>
      </c>
      <c r="S724" s="138">
        <f>COUNTIFS('Raw Non-zero DMR Data'!$A:$A, A724, 'Raw Non-zero DMR Data'!$C:$C, U724, 'Raw Non-zero DMR Data'!$V:$V, V724)</f>
        <v>1</v>
      </c>
      <c r="T724" s="34">
        <f>SUMIFS('Raw Non-zero DMR Data'!$X:$X, 'Raw Non-zero DMR Data'!$A:$A, A724, 'Raw Non-zero DMR Data'!$C:$C, U724, 'Raw Non-zero DMR Data'!V:V, V724)</f>
        <v>0.62498222800000003</v>
      </c>
      <c r="U724" s="34" t="s">
        <v>1555</v>
      </c>
      <c r="V724" s="34" t="s">
        <v>1556</v>
      </c>
      <c r="W724" s="139">
        <v>150100150708</v>
      </c>
      <c r="X724" s="140" t="s">
        <v>739</v>
      </c>
    </row>
    <row r="725" spans="1:24" x14ac:dyDescent="0.35">
      <c r="A725" s="34">
        <v>2022</v>
      </c>
      <c r="B725" s="34" t="s">
        <v>346</v>
      </c>
      <c r="C725" s="34" t="s">
        <v>1555</v>
      </c>
      <c r="D725" s="34" t="s">
        <v>347</v>
      </c>
      <c r="E725" s="34" t="s">
        <v>823</v>
      </c>
      <c r="F725" s="34" t="s">
        <v>221</v>
      </c>
      <c r="G725" s="34"/>
      <c r="H725" s="34">
        <v>36.035440000000001</v>
      </c>
      <c r="I725" s="34">
        <v>-114.99994</v>
      </c>
      <c r="J725" s="34"/>
      <c r="K725" s="105">
        <v>110043808467</v>
      </c>
      <c r="L725" s="34">
        <v>1799</v>
      </c>
      <c r="M725" s="48" t="str">
        <f>VLOOKUP(L725, '2017 SIC to NAICS'!A:D, 2)</f>
        <v>Special Trade Contractors, Nec</v>
      </c>
      <c r="N725" s="34">
        <f>VLOOKUP(L725,'2017 SIC to NAICS'!A:D,3)</f>
        <v>562910</v>
      </c>
      <c r="O725" s="34" t="str">
        <f>VLOOKUP(L725,'2017 SIC to NAICS'!A:D,4)</f>
        <v>Remediation Services</v>
      </c>
      <c r="P725" s="36" t="s">
        <v>754</v>
      </c>
      <c r="Q725" s="137" t="s">
        <v>755</v>
      </c>
      <c r="R725" s="45" t="s">
        <v>41</v>
      </c>
      <c r="S725" s="138">
        <f>COUNTIFS('Raw Non-zero DMR Data'!$A:$A, A725, 'Raw Non-zero DMR Data'!$C:$C, U725, 'Raw Non-zero DMR Data'!$V:$V, V725)</f>
        <v>1</v>
      </c>
      <c r="T725" s="34">
        <f>SUMIFS('Raw Non-zero DMR Data'!$X:$X, 'Raw Non-zero DMR Data'!$A:$A, A725, 'Raw Non-zero DMR Data'!$C:$C, U725, 'Raw Non-zero DMR Data'!V:V, V725)</f>
        <v>0.58161294100000005</v>
      </c>
      <c r="U725" s="34" t="s">
        <v>1555</v>
      </c>
      <c r="V725" s="34" t="s">
        <v>1556</v>
      </c>
      <c r="W725" s="139">
        <v>150100150708</v>
      </c>
      <c r="X725" s="140" t="s">
        <v>739</v>
      </c>
    </row>
    <row r="726" spans="1:24" x14ac:dyDescent="0.35">
      <c r="A726" s="34">
        <v>2023</v>
      </c>
      <c r="B726" s="34" t="s">
        <v>346</v>
      </c>
      <c r="C726" s="34" t="s">
        <v>1555</v>
      </c>
      <c r="D726" s="34" t="s">
        <v>347</v>
      </c>
      <c r="E726" s="34" t="s">
        <v>823</v>
      </c>
      <c r="F726" s="34" t="s">
        <v>221</v>
      </c>
      <c r="G726" s="34"/>
      <c r="H726" s="34">
        <v>36.035440000000001</v>
      </c>
      <c r="I726" s="34">
        <v>-114.99994</v>
      </c>
      <c r="J726" s="34"/>
      <c r="K726" s="105">
        <v>110043808467</v>
      </c>
      <c r="L726" s="34">
        <v>1799</v>
      </c>
      <c r="M726" s="48" t="str">
        <f>VLOOKUP(L726, '2017 SIC to NAICS'!A:D, 2)</f>
        <v>Special Trade Contractors, Nec</v>
      </c>
      <c r="N726" s="34">
        <f>VLOOKUP(L726,'2017 SIC to NAICS'!A:D,3)</f>
        <v>562910</v>
      </c>
      <c r="O726" s="34" t="str">
        <f>VLOOKUP(L726,'2017 SIC to NAICS'!A:D,4)</f>
        <v>Remediation Services</v>
      </c>
      <c r="P726" s="36" t="s">
        <v>754</v>
      </c>
      <c r="Q726" s="137" t="s">
        <v>755</v>
      </c>
      <c r="R726" s="45" t="s">
        <v>41</v>
      </c>
      <c r="S726" s="138">
        <f>COUNTIFS('Raw Non-zero DMR Data'!$A:$A, A726, 'Raw Non-zero DMR Data'!$C:$C, U726, 'Raw Non-zero DMR Data'!$V:$V, V726)</f>
        <v>1</v>
      </c>
      <c r="T726" s="34">
        <f>SUMIFS('Raw Non-zero DMR Data'!$X:$X, 'Raw Non-zero DMR Data'!$A:$A, A726, 'Raw Non-zero DMR Data'!$C:$C, U726, 'Raw Non-zero DMR Data'!V:V, V726)</f>
        <v>0.59190662699999996</v>
      </c>
      <c r="U726" s="34" t="s">
        <v>1555</v>
      </c>
      <c r="V726" s="34" t="s">
        <v>1556</v>
      </c>
      <c r="W726" s="139">
        <v>150100150708</v>
      </c>
      <c r="X726" s="140" t="s">
        <v>739</v>
      </c>
    </row>
    <row r="727" spans="1:24" x14ac:dyDescent="0.35">
      <c r="A727" s="34">
        <v>2019</v>
      </c>
      <c r="B727" s="34" t="s">
        <v>654</v>
      </c>
      <c r="C727" s="34" t="s">
        <v>1557</v>
      </c>
      <c r="D727" s="34" t="s">
        <v>337</v>
      </c>
      <c r="E727" s="34" t="s">
        <v>823</v>
      </c>
      <c r="F727" s="34" t="s">
        <v>221</v>
      </c>
      <c r="G727" s="34"/>
      <c r="H727" s="34">
        <v>36.137529999999998</v>
      </c>
      <c r="I727" s="34">
        <v>-115.15479000000001</v>
      </c>
      <c r="J727" s="34"/>
      <c r="K727" s="105">
        <v>110020039402</v>
      </c>
      <c r="L727" s="34">
        <v>7011</v>
      </c>
      <c r="M727" s="48" t="str">
        <f>VLOOKUP(L727, '2017 SIC to NAICS'!A:D, 2)</f>
        <v>Hotels and Motels</v>
      </c>
      <c r="N727" s="34">
        <f>VLOOKUP(L727,'2017 SIC to NAICS'!A:D,3)</f>
        <v>721199</v>
      </c>
      <c r="O727" s="34" t="str">
        <f>VLOOKUP(L727,'2017 SIC to NAICS'!A:D,4)</f>
        <v>All Other Traveler Accommodation</v>
      </c>
      <c r="P727" s="36" t="s">
        <v>737</v>
      </c>
      <c r="Q727" s="137" t="s">
        <v>737</v>
      </c>
      <c r="R727" s="45" t="s">
        <v>41</v>
      </c>
      <c r="S727" s="138">
        <f>COUNTIFS('Raw Non-zero DMR Data'!$A:$A, A727, 'Raw Non-zero DMR Data'!$C:$C, U727, 'Raw Non-zero DMR Data'!$V:$V, V727)</f>
        <v>1</v>
      </c>
      <c r="T727" s="34">
        <f>SUMIFS('Raw Non-zero DMR Data'!$X:$X, 'Raw Non-zero DMR Data'!$A:$A, A727, 'Raw Non-zero DMR Data'!$C:$C, U727, 'Raw Non-zero DMR Data'!V:V, V727)</f>
        <v>1.8135196666666601E-8</v>
      </c>
      <c r="U727" s="34" t="s">
        <v>1557</v>
      </c>
      <c r="V727" s="34" t="s">
        <v>738</v>
      </c>
      <c r="W727" s="139">
        <v>150100150604</v>
      </c>
      <c r="X727" s="140" t="s">
        <v>739</v>
      </c>
    </row>
    <row r="728" spans="1:24" x14ac:dyDescent="0.35">
      <c r="A728" s="34">
        <v>2020</v>
      </c>
      <c r="B728" s="34" t="s">
        <v>654</v>
      </c>
      <c r="C728" s="34" t="s">
        <v>1557</v>
      </c>
      <c r="D728" s="34" t="s">
        <v>337</v>
      </c>
      <c r="E728" s="34" t="s">
        <v>823</v>
      </c>
      <c r="F728" s="34" t="s">
        <v>221</v>
      </c>
      <c r="G728" s="34"/>
      <c r="H728" s="34">
        <v>36.137529999999998</v>
      </c>
      <c r="I728" s="34">
        <v>-115.15479000000001</v>
      </c>
      <c r="J728" s="34"/>
      <c r="K728" s="105">
        <v>110020039402</v>
      </c>
      <c r="L728" s="34">
        <v>7011</v>
      </c>
      <c r="M728" s="48" t="str">
        <f>VLOOKUP(L728, '2017 SIC to NAICS'!A:D, 2)</f>
        <v>Hotels and Motels</v>
      </c>
      <c r="N728" s="34">
        <f>VLOOKUP(L728,'2017 SIC to NAICS'!A:D,3)</f>
        <v>721199</v>
      </c>
      <c r="O728" s="34" t="str">
        <f>VLOOKUP(L728,'2017 SIC to NAICS'!A:D,4)</f>
        <v>All Other Traveler Accommodation</v>
      </c>
      <c r="P728" s="36" t="s">
        <v>737</v>
      </c>
      <c r="Q728" s="137" t="s">
        <v>737</v>
      </c>
      <c r="R728" s="45" t="s">
        <v>41</v>
      </c>
      <c r="S728" s="138">
        <f>COUNTIFS('Raw Non-zero DMR Data'!$A:$A, A728, 'Raw Non-zero DMR Data'!$C:$C, U728, 'Raw Non-zero DMR Data'!$V:$V, V728)</f>
        <v>1</v>
      </c>
      <c r="T728" s="34">
        <f>SUMIFS('Raw Non-zero DMR Data'!$X:$X, 'Raw Non-zero DMR Data'!$A:$A, A728, 'Raw Non-zero DMR Data'!$C:$C, U728, 'Raw Non-zero DMR Data'!V:V, V728)</f>
        <v>2.00586075E-8</v>
      </c>
      <c r="U728" s="34" t="s">
        <v>1557</v>
      </c>
      <c r="V728" s="34" t="s">
        <v>738</v>
      </c>
      <c r="W728" s="139">
        <v>150100150604</v>
      </c>
      <c r="X728" s="140" t="s">
        <v>739</v>
      </c>
    </row>
    <row r="729" spans="1:24" x14ac:dyDescent="0.35">
      <c r="A729" s="34">
        <v>2021</v>
      </c>
      <c r="B729" s="34" t="s">
        <v>654</v>
      </c>
      <c r="C729" s="34" t="s">
        <v>1557</v>
      </c>
      <c r="D729" s="34" t="s">
        <v>337</v>
      </c>
      <c r="E729" s="34" t="s">
        <v>823</v>
      </c>
      <c r="F729" s="34" t="s">
        <v>221</v>
      </c>
      <c r="G729" s="34"/>
      <c r="H729" s="34">
        <v>36.137529999999998</v>
      </c>
      <c r="I729" s="34">
        <v>-115.15479000000001</v>
      </c>
      <c r="J729" s="34"/>
      <c r="K729" s="105">
        <v>110020039402</v>
      </c>
      <c r="L729" s="34">
        <v>7011</v>
      </c>
      <c r="M729" s="48" t="str">
        <f>VLOOKUP(L729, '2017 SIC to NAICS'!A:D, 2)</f>
        <v>Hotels and Motels</v>
      </c>
      <c r="N729" s="34">
        <f>VLOOKUP(L729,'2017 SIC to NAICS'!A:D,3)</f>
        <v>721199</v>
      </c>
      <c r="O729" s="34" t="str">
        <f>VLOOKUP(L729,'2017 SIC to NAICS'!A:D,4)</f>
        <v>All Other Traveler Accommodation</v>
      </c>
      <c r="P729" s="36" t="s">
        <v>737</v>
      </c>
      <c r="Q729" s="137" t="s">
        <v>737</v>
      </c>
      <c r="R729" s="45" t="s">
        <v>41</v>
      </c>
      <c r="S729" s="138">
        <f>COUNTIFS('Raw Non-zero DMR Data'!$A:$A, A729, 'Raw Non-zero DMR Data'!$C:$C, U729, 'Raw Non-zero DMR Data'!$V:$V, V729)</f>
        <v>1</v>
      </c>
      <c r="T729" s="34">
        <f>SUMIFS('Raw Non-zero DMR Data'!$X:$X, 'Raw Non-zero DMR Data'!$A:$A, A729, 'Raw Non-zero DMR Data'!$C:$C, U729, 'Raw Non-zero DMR Data'!V:V, V729)</f>
        <v>3.3080986137137502E-3</v>
      </c>
      <c r="U729" s="34" t="s">
        <v>1557</v>
      </c>
      <c r="V729" s="34" t="s">
        <v>738</v>
      </c>
      <c r="W729" s="139">
        <v>150100150604</v>
      </c>
      <c r="X729" s="140" t="s">
        <v>739</v>
      </c>
    </row>
    <row r="730" spans="1:24" x14ac:dyDescent="0.35">
      <c r="A730" s="34">
        <v>2022</v>
      </c>
      <c r="B730" s="34" t="s">
        <v>654</v>
      </c>
      <c r="C730" s="34" t="s">
        <v>1557</v>
      </c>
      <c r="D730" s="34" t="s">
        <v>337</v>
      </c>
      <c r="E730" s="34" t="s">
        <v>823</v>
      </c>
      <c r="F730" s="34" t="s">
        <v>221</v>
      </c>
      <c r="G730" s="34"/>
      <c r="H730" s="34">
        <v>36.137529999999998</v>
      </c>
      <c r="I730" s="34">
        <v>-115.15479000000001</v>
      </c>
      <c r="J730" s="34"/>
      <c r="K730" s="105">
        <v>110020039402</v>
      </c>
      <c r="L730" s="34">
        <v>7011</v>
      </c>
      <c r="M730" s="48" t="str">
        <f>VLOOKUP(L730, '2017 SIC to NAICS'!A:D, 2)</f>
        <v>Hotels and Motels</v>
      </c>
      <c r="N730" s="34">
        <f>VLOOKUP(L730,'2017 SIC to NAICS'!A:D,3)</f>
        <v>721199</v>
      </c>
      <c r="O730" s="34" t="str">
        <f>VLOOKUP(L730,'2017 SIC to NAICS'!A:D,4)</f>
        <v>All Other Traveler Accommodation</v>
      </c>
      <c r="P730" s="36" t="s">
        <v>737</v>
      </c>
      <c r="Q730" s="137" t="s">
        <v>737</v>
      </c>
      <c r="R730" s="45" t="s">
        <v>41</v>
      </c>
      <c r="S730" s="138">
        <f>COUNTIFS('Raw Non-zero DMR Data'!$A:$A, A730, 'Raw Non-zero DMR Data'!$C:$C, U730, 'Raw Non-zero DMR Data'!$V:$V, V730)</f>
        <v>1</v>
      </c>
      <c r="T730" s="34">
        <f>SUMIFS('Raw Non-zero DMR Data'!$X:$X, 'Raw Non-zero DMR Data'!$A:$A, A730, 'Raw Non-zero DMR Data'!$C:$C, U730, 'Raw Non-zero DMR Data'!V:V, V730)</f>
        <v>6.7077769999999996E-9</v>
      </c>
      <c r="U730" s="34" t="s">
        <v>1557</v>
      </c>
      <c r="V730" s="34" t="s">
        <v>738</v>
      </c>
      <c r="W730" s="139">
        <v>150100150604</v>
      </c>
      <c r="X730" s="140" t="s">
        <v>739</v>
      </c>
    </row>
    <row r="731" spans="1:24" x14ac:dyDescent="0.35">
      <c r="A731" s="34">
        <v>2023</v>
      </c>
      <c r="B731" s="34" t="s">
        <v>654</v>
      </c>
      <c r="C731" s="34" t="s">
        <v>1557</v>
      </c>
      <c r="D731" s="34" t="s">
        <v>337</v>
      </c>
      <c r="E731" s="34" t="s">
        <v>823</v>
      </c>
      <c r="F731" s="34" t="s">
        <v>221</v>
      </c>
      <c r="G731" s="34"/>
      <c r="H731" s="34">
        <v>36.137529999999998</v>
      </c>
      <c r="I731" s="34">
        <v>-115.15479000000001</v>
      </c>
      <c r="J731" s="34"/>
      <c r="K731" s="105">
        <v>110020039402</v>
      </c>
      <c r="L731" s="34">
        <v>7011</v>
      </c>
      <c r="M731" s="48" t="str">
        <f>VLOOKUP(L731, '2017 SIC to NAICS'!A:D, 2)</f>
        <v>Hotels and Motels</v>
      </c>
      <c r="N731" s="34">
        <f>VLOOKUP(L731,'2017 SIC to NAICS'!A:D,3)</f>
        <v>721199</v>
      </c>
      <c r="O731" s="34" t="str">
        <f>VLOOKUP(L731,'2017 SIC to NAICS'!A:D,4)</f>
        <v>All Other Traveler Accommodation</v>
      </c>
      <c r="P731" s="36" t="s">
        <v>737</v>
      </c>
      <c r="Q731" s="137" t="s">
        <v>737</v>
      </c>
      <c r="R731" s="45" t="s">
        <v>41</v>
      </c>
      <c r="S731" s="138">
        <f>COUNTIFS('Raw Non-zero DMR Data'!$A:$A, A731, 'Raw Non-zero DMR Data'!$C:$C, U731, 'Raw Non-zero DMR Data'!$V:$V, V731)</f>
        <v>1</v>
      </c>
      <c r="T731" s="34">
        <f>SUMIFS('Raw Non-zero DMR Data'!$X:$X, 'Raw Non-zero DMR Data'!$A:$A, A731, 'Raw Non-zero DMR Data'!$C:$C, U731, 'Raw Non-zero DMR Data'!V:V, V731)</f>
        <v>1.9505063768887501E-3</v>
      </c>
      <c r="U731" s="34" t="s">
        <v>1557</v>
      </c>
      <c r="V731" s="34" t="s">
        <v>738</v>
      </c>
      <c r="W731" s="139">
        <v>150100150604</v>
      </c>
      <c r="X731" s="140" t="s">
        <v>739</v>
      </c>
    </row>
    <row r="732" spans="1:24" x14ac:dyDescent="0.35">
      <c r="A732" s="34">
        <v>2019</v>
      </c>
      <c r="B732" s="34" t="s">
        <v>653</v>
      </c>
      <c r="C732" s="34" t="s">
        <v>1558</v>
      </c>
      <c r="D732" s="34" t="s">
        <v>337</v>
      </c>
      <c r="E732" s="34" t="s">
        <v>823</v>
      </c>
      <c r="F732" s="34" t="s">
        <v>221</v>
      </c>
      <c r="G732" s="34"/>
      <c r="H732" s="34">
        <v>36.16478</v>
      </c>
      <c r="I732" s="34">
        <v>-115.14067</v>
      </c>
      <c r="J732" s="34"/>
      <c r="K732" s="105">
        <v>110017237373</v>
      </c>
      <c r="L732" s="34">
        <v>8211</v>
      </c>
      <c r="M732" s="48" t="str">
        <f>VLOOKUP(L732, '2017 SIC to NAICS'!A:D, 2)</f>
        <v>Elementary and Secondary Schools</v>
      </c>
      <c r="N732" s="34">
        <f>VLOOKUP(L732,'2017 SIC to NAICS'!A:D,3)</f>
        <v>611110</v>
      </c>
      <c r="O732" s="34" t="str">
        <f>VLOOKUP(L732,'2017 SIC to NAICS'!A:D,4)</f>
        <v>Elementary and Secondary Schools</v>
      </c>
      <c r="P732" s="36" t="s">
        <v>754</v>
      </c>
      <c r="Q732" s="137" t="s">
        <v>755</v>
      </c>
      <c r="R732" s="45" t="s">
        <v>41</v>
      </c>
      <c r="S732" s="138">
        <f>COUNTIFS('Raw Non-zero DMR Data'!$A:$A, A732, 'Raw Non-zero DMR Data'!$C:$C, U732, 'Raw Non-zero DMR Data'!$V:$V, V732)</f>
        <v>1</v>
      </c>
      <c r="T732" s="34">
        <f>SUMIFS('Raw Non-zero DMR Data'!$X:$X, 'Raw Non-zero DMR Data'!$A:$A, A732, 'Raw Non-zero DMR Data'!$C:$C, U732, 'Raw Non-zero DMR Data'!V:V, V732)</f>
        <v>5.1807187500000002E-4</v>
      </c>
      <c r="U732" s="34" t="s">
        <v>1558</v>
      </c>
      <c r="V732" s="34" t="s">
        <v>738</v>
      </c>
      <c r="W732" s="139">
        <v>150100150604</v>
      </c>
      <c r="X732" s="140" t="s">
        <v>792</v>
      </c>
    </row>
    <row r="733" spans="1:24" x14ac:dyDescent="0.35">
      <c r="A733" s="34">
        <v>2020</v>
      </c>
      <c r="B733" s="34" t="s">
        <v>653</v>
      </c>
      <c r="C733" s="34" t="s">
        <v>1558</v>
      </c>
      <c r="D733" s="34" t="s">
        <v>337</v>
      </c>
      <c r="E733" s="34" t="s">
        <v>823</v>
      </c>
      <c r="F733" s="34" t="s">
        <v>221</v>
      </c>
      <c r="G733" s="34"/>
      <c r="H733" s="34">
        <v>36.16478</v>
      </c>
      <c r="I733" s="34">
        <v>-115.14067</v>
      </c>
      <c r="J733" s="34"/>
      <c r="K733" s="105">
        <v>110017237373</v>
      </c>
      <c r="L733" s="34">
        <v>8211</v>
      </c>
      <c r="M733" s="48" t="str">
        <f>VLOOKUP(L733, '2017 SIC to NAICS'!A:D, 2)</f>
        <v>Elementary and Secondary Schools</v>
      </c>
      <c r="N733" s="34">
        <f>VLOOKUP(L733,'2017 SIC to NAICS'!A:D,3)</f>
        <v>611110</v>
      </c>
      <c r="O733" s="34" t="str">
        <f>VLOOKUP(L733,'2017 SIC to NAICS'!A:D,4)</f>
        <v>Elementary and Secondary Schools</v>
      </c>
      <c r="P733" s="36" t="s">
        <v>754</v>
      </c>
      <c r="Q733" s="137" t="s">
        <v>755</v>
      </c>
      <c r="R733" s="45" t="s">
        <v>41</v>
      </c>
      <c r="S733" s="138">
        <f>COUNTIFS('Raw Non-zero DMR Data'!$A:$A, A733, 'Raw Non-zero DMR Data'!$C:$C, U733, 'Raw Non-zero DMR Data'!$V:$V, V733)</f>
        <v>1</v>
      </c>
      <c r="T733" s="34">
        <f>SUMIFS('Raw Non-zero DMR Data'!$X:$X, 'Raw Non-zero DMR Data'!$A:$A, A733, 'Raw Non-zero DMR Data'!$C:$C, U733, 'Raw Non-zero DMR Data'!V:V, V733)</f>
        <v>3.3501981249999999E-3</v>
      </c>
      <c r="U733" s="34" t="s">
        <v>1558</v>
      </c>
      <c r="V733" s="34" t="s">
        <v>738</v>
      </c>
      <c r="W733" s="139">
        <v>150100150604</v>
      </c>
      <c r="X733" s="140" t="s">
        <v>792</v>
      </c>
    </row>
    <row r="734" spans="1:24" x14ac:dyDescent="0.35">
      <c r="A734" s="34">
        <v>2020</v>
      </c>
      <c r="B734" s="34" t="s">
        <v>657</v>
      </c>
      <c r="C734" s="34" t="s">
        <v>1559</v>
      </c>
      <c r="D734" s="34" t="s">
        <v>337</v>
      </c>
      <c r="E734" s="34" t="s">
        <v>823</v>
      </c>
      <c r="F734" s="34" t="s">
        <v>221</v>
      </c>
      <c r="G734" s="34"/>
      <c r="H734" s="34">
        <v>36.119079999999997</v>
      </c>
      <c r="I734" s="34">
        <v>-115.15727</v>
      </c>
      <c r="J734" s="34"/>
      <c r="K734" s="105">
        <v>110037274133</v>
      </c>
      <c r="L734" s="34">
        <v>6512</v>
      </c>
      <c r="M734" s="48" t="str">
        <f>VLOOKUP(L734, '2017 SIC to NAICS'!A:D, 2)</f>
        <v>Nonresidential Building Operators</v>
      </c>
      <c r="N734" s="34">
        <f>VLOOKUP(L734,'2017 SIC to NAICS'!A:D,3)</f>
        <v>711310</v>
      </c>
      <c r="O734" s="34" t="str">
        <f>VLOOKUP(L734,'2017 SIC to NAICS'!A:D,4)</f>
        <v>Promoters of Performing Arts, Sports, and
Similar Events with Facilities</v>
      </c>
      <c r="P734" s="36" t="s">
        <v>737</v>
      </c>
      <c r="Q734" s="137" t="s">
        <v>737</v>
      </c>
      <c r="R734" s="45" t="s">
        <v>41</v>
      </c>
      <c r="S734" s="138">
        <f>COUNTIFS('Raw Non-zero DMR Data'!$A:$A, A734, 'Raw Non-zero DMR Data'!$C:$C, U734, 'Raw Non-zero DMR Data'!$V:$V, V734)</f>
        <v>1</v>
      </c>
      <c r="T734" s="34">
        <f>SUMIFS('Raw Non-zero DMR Data'!$X:$X, 'Raw Non-zero DMR Data'!$A:$A, A734, 'Raw Non-zero DMR Data'!$C:$C, U734, 'Raw Non-zero DMR Data'!V:V, V734)</f>
        <v>2.3036929374999999E-3</v>
      </c>
      <c r="U734" s="34" t="s">
        <v>1559</v>
      </c>
      <c r="V734" s="34" t="s">
        <v>825</v>
      </c>
      <c r="W734" s="139">
        <v>150100150505</v>
      </c>
      <c r="X734" s="140" t="s">
        <v>792</v>
      </c>
    </row>
    <row r="735" spans="1:24" x14ac:dyDescent="0.35">
      <c r="A735" s="34">
        <v>2021</v>
      </c>
      <c r="B735" s="34" t="s">
        <v>657</v>
      </c>
      <c r="C735" s="34" t="s">
        <v>1559</v>
      </c>
      <c r="D735" s="34" t="s">
        <v>337</v>
      </c>
      <c r="E735" s="34" t="s">
        <v>823</v>
      </c>
      <c r="F735" s="34" t="s">
        <v>221</v>
      </c>
      <c r="G735" s="34"/>
      <c r="H735" s="34">
        <v>36.119079999999997</v>
      </c>
      <c r="I735" s="34">
        <v>-115.15727</v>
      </c>
      <c r="J735" s="34"/>
      <c r="K735" s="105">
        <v>110037274133</v>
      </c>
      <c r="L735" s="34">
        <v>6512</v>
      </c>
      <c r="M735" s="48" t="str">
        <f>VLOOKUP(L735, '2017 SIC to NAICS'!A:D, 2)</f>
        <v>Nonresidential Building Operators</v>
      </c>
      <c r="N735" s="34">
        <f>VLOOKUP(L735,'2017 SIC to NAICS'!A:D,3)</f>
        <v>711310</v>
      </c>
      <c r="O735" s="34" t="str">
        <f>VLOOKUP(L735,'2017 SIC to NAICS'!A:D,4)</f>
        <v>Promoters of Performing Arts, Sports, and
Similar Events with Facilities</v>
      </c>
      <c r="P735" s="36" t="s">
        <v>737</v>
      </c>
      <c r="Q735" s="137" t="s">
        <v>737</v>
      </c>
      <c r="R735" s="45" t="s">
        <v>41</v>
      </c>
      <c r="S735" s="138">
        <f>COUNTIFS('Raw Non-zero DMR Data'!$A:$A, A735, 'Raw Non-zero DMR Data'!$C:$C, U735, 'Raw Non-zero DMR Data'!$V:$V, V735)</f>
        <v>1</v>
      </c>
      <c r="T735" s="34">
        <f>SUMIFS('Raw Non-zero DMR Data'!$X:$X, 'Raw Non-zero DMR Data'!$A:$A, A735, 'Raw Non-zero DMR Data'!$C:$C, U735, 'Raw Non-zero DMR Data'!V:V, V735)</f>
        <v>6.4102759999999995E-4</v>
      </c>
      <c r="U735" s="34" t="s">
        <v>1559</v>
      </c>
      <c r="V735" s="34" t="s">
        <v>825</v>
      </c>
      <c r="W735" s="139">
        <v>150100150505</v>
      </c>
      <c r="X735" s="140" t="s">
        <v>792</v>
      </c>
    </row>
    <row r="736" spans="1:24" x14ac:dyDescent="0.35">
      <c r="A736" s="34">
        <v>2022</v>
      </c>
      <c r="B736" s="34" t="s">
        <v>657</v>
      </c>
      <c r="C736" s="34" t="s">
        <v>1559</v>
      </c>
      <c r="D736" s="34" t="s">
        <v>337</v>
      </c>
      <c r="E736" s="34" t="s">
        <v>823</v>
      </c>
      <c r="F736" s="34" t="s">
        <v>221</v>
      </c>
      <c r="G736" s="34"/>
      <c r="H736" s="34">
        <v>36.119079999999997</v>
      </c>
      <c r="I736" s="34">
        <v>-115.15727</v>
      </c>
      <c r="J736" s="34"/>
      <c r="K736" s="105">
        <v>110037274133</v>
      </c>
      <c r="L736" s="34">
        <v>6512</v>
      </c>
      <c r="M736" s="48" t="str">
        <f>VLOOKUP(L736, '2017 SIC to NAICS'!A:D, 2)</f>
        <v>Nonresidential Building Operators</v>
      </c>
      <c r="N736" s="34">
        <f>VLOOKUP(L736,'2017 SIC to NAICS'!A:D,3)</f>
        <v>711310</v>
      </c>
      <c r="O736" s="34" t="str">
        <f>VLOOKUP(L736,'2017 SIC to NAICS'!A:D,4)</f>
        <v>Promoters of Performing Arts, Sports, and
Similar Events with Facilities</v>
      </c>
      <c r="P736" s="36" t="s">
        <v>737</v>
      </c>
      <c r="Q736" s="137" t="s">
        <v>737</v>
      </c>
      <c r="R736" s="45" t="s">
        <v>41</v>
      </c>
      <c r="S736" s="138">
        <f>COUNTIFS('Raw Non-zero DMR Data'!$A:$A, A736, 'Raw Non-zero DMR Data'!$C:$C, U736, 'Raw Non-zero DMR Data'!$V:$V, V736)</f>
        <v>1</v>
      </c>
      <c r="T736" s="34">
        <f>SUMIFS('Raw Non-zero DMR Data'!$X:$X, 'Raw Non-zero DMR Data'!$A:$A, A736, 'Raw Non-zero DMR Data'!$C:$C, U736, 'Raw Non-zero DMR Data'!V:V, V736)</f>
        <v>1.3815250000000001E-6</v>
      </c>
      <c r="U736" s="34" t="s">
        <v>1559</v>
      </c>
      <c r="V736" s="34" t="s">
        <v>825</v>
      </c>
      <c r="W736" s="139">
        <v>150100150505</v>
      </c>
      <c r="X736" s="140" t="s">
        <v>792</v>
      </c>
    </row>
    <row r="737" spans="1:24" x14ac:dyDescent="0.35">
      <c r="A737" s="34">
        <v>2023</v>
      </c>
      <c r="B737" s="34" t="s">
        <v>657</v>
      </c>
      <c r="C737" s="34" t="s">
        <v>1559</v>
      </c>
      <c r="D737" s="34" t="s">
        <v>337</v>
      </c>
      <c r="E737" s="34" t="s">
        <v>823</v>
      </c>
      <c r="F737" s="34" t="s">
        <v>221</v>
      </c>
      <c r="G737" s="34"/>
      <c r="H737" s="34">
        <v>36.119079999999997</v>
      </c>
      <c r="I737" s="34">
        <v>-115.15727</v>
      </c>
      <c r="J737" s="34"/>
      <c r="K737" s="105">
        <v>110037274133</v>
      </c>
      <c r="L737" s="34">
        <v>6512</v>
      </c>
      <c r="M737" s="48" t="str">
        <f>VLOOKUP(L737, '2017 SIC to NAICS'!A:D, 2)</f>
        <v>Nonresidential Building Operators</v>
      </c>
      <c r="N737" s="34">
        <f>VLOOKUP(L737,'2017 SIC to NAICS'!A:D,3)</f>
        <v>711310</v>
      </c>
      <c r="O737" s="34" t="str">
        <f>VLOOKUP(L737,'2017 SIC to NAICS'!A:D,4)</f>
        <v>Promoters of Performing Arts, Sports, and
Similar Events with Facilities</v>
      </c>
      <c r="P737" s="36" t="s">
        <v>737</v>
      </c>
      <c r="Q737" s="137" t="s">
        <v>737</v>
      </c>
      <c r="R737" s="45" t="s">
        <v>41</v>
      </c>
      <c r="S737" s="138">
        <f>COUNTIFS('Raw Non-zero DMR Data'!$A:$A, A737, 'Raw Non-zero DMR Data'!$C:$C, U737, 'Raw Non-zero DMR Data'!$V:$V, V737)</f>
        <v>1</v>
      </c>
      <c r="T737" s="34">
        <f>SUMIFS('Raw Non-zero DMR Data'!$X:$X, 'Raw Non-zero DMR Data'!$A:$A, A737, 'Raw Non-zero DMR Data'!$C:$C, U737, 'Raw Non-zero DMR Data'!V:V, V737)</f>
        <v>2.0722875E-6</v>
      </c>
      <c r="U737" s="34" t="s">
        <v>1559</v>
      </c>
      <c r="V737" s="34" t="s">
        <v>825</v>
      </c>
      <c r="W737" s="139">
        <v>150100150505</v>
      </c>
      <c r="X737" s="140" t="s">
        <v>792</v>
      </c>
    </row>
    <row r="738" spans="1:24" x14ac:dyDescent="0.35">
      <c r="A738" s="34">
        <v>2019</v>
      </c>
      <c r="B738" s="34" t="s">
        <v>444</v>
      </c>
      <c r="C738" s="34" t="s">
        <v>1560</v>
      </c>
      <c r="D738" s="34" t="s">
        <v>337</v>
      </c>
      <c r="E738" s="34" t="s">
        <v>823</v>
      </c>
      <c r="F738" s="34" t="s">
        <v>221</v>
      </c>
      <c r="G738" s="34"/>
      <c r="H738" s="34">
        <v>36.132570000000001</v>
      </c>
      <c r="I738" s="34">
        <v>-115.16477</v>
      </c>
      <c r="J738" s="34"/>
      <c r="K738" s="105">
        <v>110041253256</v>
      </c>
      <c r="L738" s="34">
        <v>7011</v>
      </c>
      <c r="M738" s="48" t="str">
        <f>VLOOKUP(L738, '2017 SIC to NAICS'!A:D, 2)</f>
        <v>Hotels and Motels</v>
      </c>
      <c r="N738" s="34">
        <f>VLOOKUP(L738,'2017 SIC to NAICS'!A:D,3)</f>
        <v>721199</v>
      </c>
      <c r="O738" s="34" t="str">
        <f>VLOOKUP(L738,'2017 SIC to NAICS'!A:D,4)</f>
        <v>All Other Traveler Accommodation</v>
      </c>
      <c r="P738" s="36" t="s">
        <v>737</v>
      </c>
      <c r="Q738" s="137" t="s">
        <v>737</v>
      </c>
      <c r="R738" s="45" t="s">
        <v>41</v>
      </c>
      <c r="S738" s="138">
        <f>COUNTIFS('Raw Non-zero DMR Data'!$A:$A, A738, 'Raw Non-zero DMR Data'!$C:$C, U738, 'Raw Non-zero DMR Data'!$V:$V, V738)</f>
        <v>1</v>
      </c>
      <c r="T738" s="34">
        <f>SUMIFS('Raw Non-zero DMR Data'!$X:$X, 'Raw Non-zero DMR Data'!$A:$A, A738, 'Raw Non-zero DMR Data'!$C:$C, U738, 'Raw Non-zero DMR Data'!V:V, V738)</f>
        <v>7.8746924999999995E-2</v>
      </c>
      <c r="U738" s="34" t="s">
        <v>1560</v>
      </c>
      <c r="V738" s="34" t="s">
        <v>738</v>
      </c>
      <c r="W738" s="139">
        <v>150100150604</v>
      </c>
      <c r="X738" s="140" t="s">
        <v>739</v>
      </c>
    </row>
    <row r="739" spans="1:24" x14ac:dyDescent="0.35">
      <c r="A739" s="34">
        <v>2020</v>
      </c>
      <c r="B739" s="34" t="s">
        <v>444</v>
      </c>
      <c r="C739" s="34" t="s">
        <v>1560</v>
      </c>
      <c r="D739" s="34" t="s">
        <v>337</v>
      </c>
      <c r="E739" s="34" t="s">
        <v>823</v>
      </c>
      <c r="F739" s="34" t="s">
        <v>221</v>
      </c>
      <c r="G739" s="34"/>
      <c r="H739" s="34">
        <v>36.132570000000001</v>
      </c>
      <c r="I739" s="34">
        <v>-115.16477</v>
      </c>
      <c r="J739" s="34"/>
      <c r="K739" s="105">
        <v>110041253256</v>
      </c>
      <c r="L739" s="34">
        <v>7011</v>
      </c>
      <c r="M739" s="48" t="str">
        <f>VLOOKUP(L739, '2017 SIC to NAICS'!A:D, 2)</f>
        <v>Hotels and Motels</v>
      </c>
      <c r="N739" s="34">
        <f>VLOOKUP(L739,'2017 SIC to NAICS'!A:D,3)</f>
        <v>721199</v>
      </c>
      <c r="O739" s="34" t="str">
        <f>VLOOKUP(L739,'2017 SIC to NAICS'!A:D,4)</f>
        <v>All Other Traveler Accommodation</v>
      </c>
      <c r="P739" s="36" t="s">
        <v>737</v>
      </c>
      <c r="Q739" s="137" t="s">
        <v>737</v>
      </c>
      <c r="R739" s="45" t="s">
        <v>41</v>
      </c>
      <c r="S739" s="138">
        <f>COUNTIFS('Raw Non-zero DMR Data'!$A:$A, A739, 'Raw Non-zero DMR Data'!$C:$C, U739, 'Raw Non-zero DMR Data'!$V:$V, V739)</f>
        <v>1</v>
      </c>
      <c r="T739" s="34">
        <f>SUMIFS('Raw Non-zero DMR Data'!$X:$X, 'Raw Non-zero DMR Data'!$A:$A, A739, 'Raw Non-zero DMR Data'!$C:$C, U739, 'Raw Non-zero DMR Data'!V:V, V739)</f>
        <v>0.1222649625</v>
      </c>
      <c r="U739" s="34" t="s">
        <v>1560</v>
      </c>
      <c r="V739" s="34" t="s">
        <v>738</v>
      </c>
      <c r="W739" s="139">
        <v>150100150604</v>
      </c>
      <c r="X739" s="140" t="s">
        <v>739</v>
      </c>
    </row>
    <row r="740" spans="1:24" x14ac:dyDescent="0.35">
      <c r="A740" s="34">
        <v>2021</v>
      </c>
      <c r="B740" s="34" t="s">
        <v>444</v>
      </c>
      <c r="C740" s="34" t="s">
        <v>1560</v>
      </c>
      <c r="D740" s="34" t="s">
        <v>337</v>
      </c>
      <c r="E740" s="34" t="s">
        <v>823</v>
      </c>
      <c r="F740" s="34" t="s">
        <v>221</v>
      </c>
      <c r="G740" s="34"/>
      <c r="H740" s="34">
        <v>36.132570000000001</v>
      </c>
      <c r="I740" s="34">
        <v>-115.16477</v>
      </c>
      <c r="J740" s="34"/>
      <c r="K740" s="105">
        <v>110041253256</v>
      </c>
      <c r="L740" s="34">
        <v>7011</v>
      </c>
      <c r="M740" s="48" t="str">
        <f>VLOOKUP(L740, '2017 SIC to NAICS'!A:D, 2)</f>
        <v>Hotels and Motels</v>
      </c>
      <c r="N740" s="34">
        <f>VLOOKUP(L740,'2017 SIC to NAICS'!A:D,3)</f>
        <v>721199</v>
      </c>
      <c r="O740" s="34" t="str">
        <f>VLOOKUP(L740,'2017 SIC to NAICS'!A:D,4)</f>
        <v>All Other Traveler Accommodation</v>
      </c>
      <c r="P740" s="36" t="s">
        <v>737</v>
      </c>
      <c r="Q740" s="137" t="s">
        <v>737</v>
      </c>
      <c r="R740" s="45" t="s">
        <v>41</v>
      </c>
      <c r="S740" s="138">
        <f>COUNTIFS('Raw Non-zero DMR Data'!$A:$A, A740, 'Raw Non-zero DMR Data'!$C:$C, U740, 'Raw Non-zero DMR Data'!$V:$V, V740)</f>
        <v>1</v>
      </c>
      <c r="T740" s="34">
        <f>SUMIFS('Raw Non-zero DMR Data'!$X:$X, 'Raw Non-zero DMR Data'!$A:$A, A740, 'Raw Non-zero DMR Data'!$C:$C, U740, 'Raw Non-zero DMR Data'!V:V, V740)</f>
        <v>0.10361437499999999</v>
      </c>
      <c r="U740" s="34" t="s">
        <v>1560</v>
      </c>
      <c r="V740" s="34" t="s">
        <v>738</v>
      </c>
      <c r="W740" s="139">
        <v>150100150604</v>
      </c>
      <c r="X740" s="140" t="s">
        <v>739</v>
      </c>
    </row>
    <row r="741" spans="1:24" x14ac:dyDescent="0.35">
      <c r="A741" s="34">
        <v>2022</v>
      </c>
      <c r="B741" s="34" t="s">
        <v>444</v>
      </c>
      <c r="C741" s="34" t="s">
        <v>1560</v>
      </c>
      <c r="D741" s="34" t="s">
        <v>337</v>
      </c>
      <c r="E741" s="34" t="s">
        <v>823</v>
      </c>
      <c r="F741" s="34" t="s">
        <v>221</v>
      </c>
      <c r="G741" s="34"/>
      <c r="H741" s="34">
        <v>36.132570000000001</v>
      </c>
      <c r="I741" s="34">
        <v>-115.16477</v>
      </c>
      <c r="J741" s="34"/>
      <c r="K741" s="105">
        <v>110041253256</v>
      </c>
      <c r="L741" s="34">
        <v>7011</v>
      </c>
      <c r="M741" s="48" t="str">
        <f>VLOOKUP(L741, '2017 SIC to NAICS'!A:D, 2)</f>
        <v>Hotels and Motels</v>
      </c>
      <c r="N741" s="34">
        <f>VLOOKUP(L741,'2017 SIC to NAICS'!A:D,3)</f>
        <v>721199</v>
      </c>
      <c r="O741" s="34" t="str">
        <f>VLOOKUP(L741,'2017 SIC to NAICS'!A:D,4)</f>
        <v>All Other Traveler Accommodation</v>
      </c>
      <c r="P741" s="36" t="s">
        <v>737</v>
      </c>
      <c r="Q741" s="137" t="s">
        <v>737</v>
      </c>
      <c r="R741" s="45" t="s">
        <v>41</v>
      </c>
      <c r="S741" s="138">
        <f>COUNTIFS('Raw Non-zero DMR Data'!$A:$A, A741, 'Raw Non-zero DMR Data'!$C:$C, U741, 'Raw Non-zero DMR Data'!$V:$V, V741)</f>
        <v>1</v>
      </c>
      <c r="T741" s="34">
        <f>SUMIFS('Raw Non-zero DMR Data'!$X:$X, 'Raw Non-zero DMR Data'!$A:$A, A741, 'Raw Non-zero DMR Data'!$C:$C, U741, 'Raw Non-zero DMR Data'!V:V, V741)</f>
        <v>9.6706749999999994E-2</v>
      </c>
      <c r="U741" s="34" t="s">
        <v>1560</v>
      </c>
      <c r="V741" s="34" t="s">
        <v>738</v>
      </c>
      <c r="W741" s="139">
        <v>150100150604</v>
      </c>
      <c r="X741" s="140" t="s">
        <v>739</v>
      </c>
    </row>
    <row r="742" spans="1:24" x14ac:dyDescent="0.35">
      <c r="A742" s="34">
        <v>2023</v>
      </c>
      <c r="B742" s="34" t="s">
        <v>444</v>
      </c>
      <c r="C742" s="34" t="s">
        <v>1560</v>
      </c>
      <c r="D742" s="34" t="s">
        <v>337</v>
      </c>
      <c r="E742" s="34" t="s">
        <v>823</v>
      </c>
      <c r="F742" s="34" t="s">
        <v>221</v>
      </c>
      <c r="G742" s="34"/>
      <c r="H742" s="34">
        <v>36.132570000000001</v>
      </c>
      <c r="I742" s="34">
        <v>-115.16477</v>
      </c>
      <c r="J742" s="34"/>
      <c r="K742" s="105">
        <v>110041253256</v>
      </c>
      <c r="L742" s="34">
        <v>7011</v>
      </c>
      <c r="M742" s="48" t="str">
        <f>VLOOKUP(L742, '2017 SIC to NAICS'!A:D, 2)</f>
        <v>Hotels and Motels</v>
      </c>
      <c r="N742" s="34">
        <f>VLOOKUP(L742,'2017 SIC to NAICS'!A:D,3)</f>
        <v>721199</v>
      </c>
      <c r="O742" s="34" t="str">
        <f>VLOOKUP(L742,'2017 SIC to NAICS'!A:D,4)</f>
        <v>All Other Traveler Accommodation</v>
      </c>
      <c r="P742" s="36" t="s">
        <v>737</v>
      </c>
      <c r="Q742" s="137" t="s">
        <v>737</v>
      </c>
      <c r="R742" s="45" t="s">
        <v>41</v>
      </c>
      <c r="S742" s="138">
        <f>COUNTIFS('Raw Non-zero DMR Data'!$A:$A, A742, 'Raw Non-zero DMR Data'!$C:$C, U742, 'Raw Non-zero DMR Data'!$V:$V, V742)</f>
        <v>1</v>
      </c>
      <c r="T742" s="34">
        <f>SUMIFS('Raw Non-zero DMR Data'!$X:$X, 'Raw Non-zero DMR Data'!$A:$A, A742, 'Raw Non-zero DMR Data'!$C:$C, U742, 'Raw Non-zero DMR Data'!V:V, V742)</f>
        <v>0.1271003</v>
      </c>
      <c r="U742" s="34" t="s">
        <v>1560</v>
      </c>
      <c r="V742" s="34" t="s">
        <v>738</v>
      </c>
      <c r="W742" s="139">
        <v>150100150604</v>
      </c>
      <c r="X742" s="140" t="s">
        <v>739</v>
      </c>
    </row>
    <row r="743" spans="1:24" x14ac:dyDescent="0.35">
      <c r="A743" s="34">
        <v>2019</v>
      </c>
      <c r="B743" s="34" t="s">
        <v>656</v>
      </c>
      <c r="C743" s="34" t="s">
        <v>1561</v>
      </c>
      <c r="D743" s="34" t="s">
        <v>337</v>
      </c>
      <c r="E743" s="34" t="s">
        <v>823</v>
      </c>
      <c r="F743" s="34" t="s">
        <v>221</v>
      </c>
      <c r="G743" s="34"/>
      <c r="H743" s="34">
        <v>36.074100000000001</v>
      </c>
      <c r="I743" s="34">
        <v>-115.17274</v>
      </c>
      <c r="J743" s="34"/>
      <c r="K743" s="105">
        <v>110041903223</v>
      </c>
      <c r="L743" s="34">
        <v>5541</v>
      </c>
      <c r="M743" s="48" t="str">
        <f>VLOOKUP(L743, '2017 SIC to NAICS'!A:D, 2)</f>
        <v>Gasoline Service Stations</v>
      </c>
      <c r="N743" s="34">
        <f>VLOOKUP(L743,'2017 SIC to NAICS'!A:D,3)</f>
        <v>447190</v>
      </c>
      <c r="O743" s="34" t="str">
        <f>VLOOKUP(L743,'2017 SIC to NAICS'!A:D,4)</f>
        <v>Other Gasoline Stations</v>
      </c>
      <c r="P743" s="36" t="s">
        <v>737</v>
      </c>
      <c r="Q743" s="137" t="s">
        <v>737</v>
      </c>
      <c r="R743" s="45" t="s">
        <v>41</v>
      </c>
      <c r="S743" s="138">
        <f>COUNTIFS('Raw Non-zero DMR Data'!$A:$A, A743, 'Raw Non-zero DMR Data'!$C:$C, U743, 'Raw Non-zero DMR Data'!$V:$V, V743)</f>
        <v>1</v>
      </c>
      <c r="T743" s="34">
        <f>SUMIFS('Raw Non-zero DMR Data'!$X:$X, 'Raw Non-zero DMR Data'!$A:$A, A743, 'Raw Non-zero DMR Data'!$C:$C, U743, 'Raw Non-zero DMR Data'!V:V, V743)</f>
        <v>2.39176515625E-3</v>
      </c>
      <c r="U743" s="34" t="s">
        <v>1561</v>
      </c>
      <c r="V743" s="34" t="s">
        <v>825</v>
      </c>
      <c r="W743" s="139">
        <v>150100150505</v>
      </c>
      <c r="X743" s="140" t="s">
        <v>739</v>
      </c>
    </row>
    <row r="744" spans="1:24" x14ac:dyDescent="0.35">
      <c r="A744" s="34">
        <v>2020</v>
      </c>
      <c r="B744" s="34" t="s">
        <v>656</v>
      </c>
      <c r="C744" s="34" t="s">
        <v>1561</v>
      </c>
      <c r="D744" s="34" t="s">
        <v>337</v>
      </c>
      <c r="E744" s="34" t="s">
        <v>823</v>
      </c>
      <c r="F744" s="34" t="s">
        <v>221</v>
      </c>
      <c r="G744" s="34"/>
      <c r="H744" s="34">
        <v>36.074100000000001</v>
      </c>
      <c r="I744" s="34">
        <v>-115.17274</v>
      </c>
      <c r="J744" s="34"/>
      <c r="K744" s="105">
        <v>110041903223</v>
      </c>
      <c r="L744" s="34">
        <v>5541</v>
      </c>
      <c r="M744" s="48" t="str">
        <f>VLOOKUP(L744, '2017 SIC to NAICS'!A:D, 2)</f>
        <v>Gasoline Service Stations</v>
      </c>
      <c r="N744" s="34">
        <f>VLOOKUP(L744,'2017 SIC to NAICS'!A:D,3)</f>
        <v>447190</v>
      </c>
      <c r="O744" s="34" t="str">
        <f>VLOOKUP(L744,'2017 SIC to NAICS'!A:D,4)</f>
        <v>Other Gasoline Stations</v>
      </c>
      <c r="P744" s="36" t="s">
        <v>737</v>
      </c>
      <c r="Q744" s="137" t="s">
        <v>737</v>
      </c>
      <c r="R744" s="45" t="s">
        <v>41</v>
      </c>
      <c r="S744" s="138">
        <f>COUNTIFS('Raw Non-zero DMR Data'!$A:$A, A744, 'Raw Non-zero DMR Data'!$C:$C, U744, 'Raw Non-zero DMR Data'!$V:$V, V744)</f>
        <v>1</v>
      </c>
      <c r="T744" s="34">
        <f>SUMIFS('Raw Non-zero DMR Data'!$X:$X, 'Raw Non-zero DMR Data'!$A:$A, A744, 'Raw Non-zero DMR Data'!$C:$C, U744, 'Raw Non-zero DMR Data'!V:V, V744)</f>
        <v>1.8132515625E-3</v>
      </c>
      <c r="U744" s="34" t="s">
        <v>1561</v>
      </c>
      <c r="V744" s="34" t="s">
        <v>825</v>
      </c>
      <c r="W744" s="139">
        <v>150100150505</v>
      </c>
      <c r="X744" s="140" t="s">
        <v>739</v>
      </c>
    </row>
    <row r="745" spans="1:24" x14ac:dyDescent="0.35">
      <c r="A745" s="34">
        <v>2020</v>
      </c>
      <c r="B745" s="34" t="s">
        <v>626</v>
      </c>
      <c r="C745" s="34" t="s">
        <v>1562</v>
      </c>
      <c r="D745" s="34" t="s">
        <v>337</v>
      </c>
      <c r="E745" s="34" t="s">
        <v>736</v>
      </c>
      <c r="F745" s="34" t="s">
        <v>221</v>
      </c>
      <c r="G745" s="34"/>
      <c r="H745" s="34">
        <v>36.19997</v>
      </c>
      <c r="I745" s="34">
        <v>-115.19658</v>
      </c>
      <c r="J745" s="34"/>
      <c r="K745" s="105">
        <v>110064418553</v>
      </c>
      <c r="L745" s="34">
        <v>5541</v>
      </c>
      <c r="M745" s="48" t="str">
        <f>VLOOKUP(L745, '2017 SIC to NAICS'!A:D, 2)</f>
        <v>Gasoline Service Stations</v>
      </c>
      <c r="N745" s="34">
        <f>VLOOKUP(L745,'2017 SIC to NAICS'!A:D,3)</f>
        <v>447190</v>
      </c>
      <c r="O745" s="34" t="str">
        <f>VLOOKUP(L745,'2017 SIC to NAICS'!A:D,4)</f>
        <v>Other Gasoline Stations</v>
      </c>
      <c r="P745" s="36" t="s">
        <v>737</v>
      </c>
      <c r="Q745" s="137" t="s">
        <v>737</v>
      </c>
      <c r="R745" s="45" t="s">
        <v>41</v>
      </c>
      <c r="S745" s="138">
        <f>COUNTIFS('Raw Non-zero DMR Data'!$A:$A, A745, 'Raw Non-zero DMR Data'!$C:$C, U745, 'Raw Non-zero DMR Data'!$V:$V, V745)</f>
        <v>1</v>
      </c>
      <c r="T745" s="34">
        <f>SUMIFS('Raw Non-zero DMR Data'!$X:$X, 'Raw Non-zero DMR Data'!$A:$A, A745, 'Raw Non-zero DMR Data'!$C:$C, U745, 'Raw Non-zero DMR Data'!V:V, V745)</f>
        <v>7.2530062500000001E-3</v>
      </c>
      <c r="U745" s="34" t="s">
        <v>1562</v>
      </c>
      <c r="V745" s="34" t="s">
        <v>738</v>
      </c>
      <c r="W745" s="139">
        <v>150100150604</v>
      </c>
      <c r="X745" s="140" t="s">
        <v>739</v>
      </c>
    </row>
    <row r="746" spans="1:24" x14ac:dyDescent="0.35">
      <c r="A746" s="34">
        <v>2021</v>
      </c>
      <c r="B746" s="34" t="s">
        <v>626</v>
      </c>
      <c r="C746" s="34" t="s">
        <v>1562</v>
      </c>
      <c r="D746" s="34" t="s">
        <v>337</v>
      </c>
      <c r="E746" s="34" t="s">
        <v>736</v>
      </c>
      <c r="F746" s="34" t="s">
        <v>221</v>
      </c>
      <c r="G746" s="34"/>
      <c r="H746" s="34">
        <v>36.19997</v>
      </c>
      <c r="I746" s="34">
        <v>-115.19658</v>
      </c>
      <c r="J746" s="34"/>
      <c r="K746" s="105">
        <v>110064418553</v>
      </c>
      <c r="L746" s="34">
        <v>5541</v>
      </c>
      <c r="M746" s="48" t="str">
        <f>VLOOKUP(L746, '2017 SIC to NAICS'!A:D, 2)</f>
        <v>Gasoline Service Stations</v>
      </c>
      <c r="N746" s="34">
        <f>VLOOKUP(L746,'2017 SIC to NAICS'!A:D,3)</f>
        <v>447190</v>
      </c>
      <c r="O746" s="34" t="str">
        <f>VLOOKUP(L746,'2017 SIC to NAICS'!A:D,4)</f>
        <v>Other Gasoline Stations</v>
      </c>
      <c r="P746" s="36" t="s">
        <v>737</v>
      </c>
      <c r="Q746" s="137" t="s">
        <v>737</v>
      </c>
      <c r="R746" s="45" t="s">
        <v>41</v>
      </c>
      <c r="S746" s="138">
        <f>COUNTIFS('Raw Non-zero DMR Data'!$A:$A, A746, 'Raw Non-zero DMR Data'!$C:$C, U746, 'Raw Non-zero DMR Data'!$V:$V, V746)</f>
        <v>1</v>
      </c>
      <c r="T746" s="34">
        <f>SUMIFS('Raw Non-zero DMR Data'!$X:$X, 'Raw Non-zero DMR Data'!$A:$A, A746, 'Raw Non-zero DMR Data'!$C:$C, U746, 'Raw Non-zero DMR Data'!V:V, V746)</f>
        <v>4.9734899999999997E-3</v>
      </c>
      <c r="U746" s="34" t="s">
        <v>1562</v>
      </c>
      <c r="V746" s="34" t="s">
        <v>738</v>
      </c>
      <c r="W746" s="139">
        <v>150100150604</v>
      </c>
      <c r="X746" s="140" t="s">
        <v>739</v>
      </c>
    </row>
    <row r="747" spans="1:24" x14ac:dyDescent="0.35">
      <c r="A747" s="34">
        <v>2021</v>
      </c>
      <c r="B747" s="34" t="s">
        <v>487</v>
      </c>
      <c r="C747" s="34" t="s">
        <v>1563</v>
      </c>
      <c r="D747" s="34" t="s">
        <v>337</v>
      </c>
      <c r="E747" s="34" t="s">
        <v>736</v>
      </c>
      <c r="F747" s="34" t="s">
        <v>221</v>
      </c>
      <c r="G747" s="34"/>
      <c r="H747" s="34">
        <v>36.090899999999998</v>
      </c>
      <c r="I747" s="34">
        <v>-115.1833</v>
      </c>
      <c r="J747" s="34"/>
      <c r="K747" s="105">
        <v>110070948151</v>
      </c>
      <c r="L747" s="34">
        <v>7941</v>
      </c>
      <c r="M747" s="48" t="str">
        <f>VLOOKUP(L747, '2017 SIC to NAICS'!A:D, 2)</f>
        <v>Sports Clubs, Managers, and Promoters</v>
      </c>
      <c r="N747" s="34">
        <f>VLOOKUP(L747,'2017 SIC to NAICS'!A:D,3)</f>
        <v>711410</v>
      </c>
      <c r="O747" s="34" t="str">
        <f>VLOOKUP(L747,'2017 SIC to NAICS'!A:D,4)</f>
        <v>Agents and Managers for Artists, Athletes,
Entertainers, and Other Public Figures</v>
      </c>
      <c r="P747" s="36" t="s">
        <v>737</v>
      </c>
      <c r="Q747" s="137" t="s">
        <v>737</v>
      </c>
      <c r="R747" s="45" t="s">
        <v>41</v>
      </c>
      <c r="S747" s="138">
        <f>COUNTIFS('Raw Non-zero DMR Data'!$A:$A, A747, 'Raw Non-zero DMR Data'!$C:$C, U747, 'Raw Non-zero DMR Data'!$V:$V, V747)</f>
        <v>1</v>
      </c>
      <c r="T747" s="34">
        <f>SUMIFS('Raw Non-zero DMR Data'!$X:$X, 'Raw Non-zero DMR Data'!$A:$A, A747, 'Raw Non-zero DMR Data'!$C:$C, U747, 'Raw Non-zero DMR Data'!V:V, V747)</f>
        <v>4.0706634125000002E-2</v>
      </c>
      <c r="U747" s="34" t="s">
        <v>1563</v>
      </c>
      <c r="V747" s="34" t="s">
        <v>825</v>
      </c>
      <c r="W747" s="139">
        <v>150100150505</v>
      </c>
      <c r="X747" s="140" t="s">
        <v>739</v>
      </c>
    </row>
    <row r="748" spans="1:24" x14ac:dyDescent="0.35">
      <c r="A748" s="34">
        <v>2022</v>
      </c>
      <c r="B748" s="34" t="s">
        <v>487</v>
      </c>
      <c r="C748" s="34" t="s">
        <v>1563</v>
      </c>
      <c r="D748" s="34" t="s">
        <v>337</v>
      </c>
      <c r="E748" s="34" t="s">
        <v>736</v>
      </c>
      <c r="F748" s="34" t="s">
        <v>221</v>
      </c>
      <c r="G748" s="34"/>
      <c r="H748" s="34">
        <v>36.090899999999998</v>
      </c>
      <c r="I748" s="34">
        <v>-115.1833</v>
      </c>
      <c r="J748" s="34"/>
      <c r="K748" s="105">
        <v>110070948151</v>
      </c>
      <c r="L748" s="34">
        <v>7941</v>
      </c>
      <c r="M748" s="48" t="str">
        <f>VLOOKUP(L748, '2017 SIC to NAICS'!A:D, 2)</f>
        <v>Sports Clubs, Managers, and Promoters</v>
      </c>
      <c r="N748" s="34">
        <f>VLOOKUP(L748,'2017 SIC to NAICS'!A:D,3)</f>
        <v>711410</v>
      </c>
      <c r="O748" s="34" t="str">
        <f>VLOOKUP(L748,'2017 SIC to NAICS'!A:D,4)</f>
        <v>Agents and Managers for Artists, Athletes,
Entertainers, and Other Public Figures</v>
      </c>
      <c r="P748" s="36" t="s">
        <v>737</v>
      </c>
      <c r="Q748" s="137" t="s">
        <v>737</v>
      </c>
      <c r="R748" s="45" t="s">
        <v>41</v>
      </c>
      <c r="S748" s="138">
        <f>COUNTIFS('Raw Non-zero DMR Data'!$A:$A, A748, 'Raw Non-zero DMR Data'!$C:$C, U748, 'Raw Non-zero DMR Data'!$V:$V, V748)</f>
        <v>1</v>
      </c>
      <c r="T748" s="34">
        <f>SUMIFS('Raw Non-zero DMR Data'!$X:$X, 'Raw Non-zero DMR Data'!$A:$A, A748, 'Raw Non-zero DMR Data'!$C:$C, U748, 'Raw Non-zero DMR Data'!V:V, V748)</f>
        <v>4.0109124562500001E-2</v>
      </c>
      <c r="U748" s="34" t="s">
        <v>1563</v>
      </c>
      <c r="V748" s="34" t="s">
        <v>825</v>
      </c>
      <c r="W748" s="139">
        <v>150100150505</v>
      </c>
      <c r="X748" s="140" t="s">
        <v>739</v>
      </c>
    </row>
    <row r="749" spans="1:24" x14ac:dyDescent="0.35">
      <c r="A749" s="34">
        <v>2023</v>
      </c>
      <c r="B749" s="34" t="s">
        <v>487</v>
      </c>
      <c r="C749" s="34" t="s">
        <v>1563</v>
      </c>
      <c r="D749" s="34" t="s">
        <v>337</v>
      </c>
      <c r="E749" s="34" t="s">
        <v>736</v>
      </c>
      <c r="F749" s="34" t="s">
        <v>221</v>
      </c>
      <c r="G749" s="34"/>
      <c r="H749" s="34">
        <v>36.090899999999998</v>
      </c>
      <c r="I749" s="34">
        <v>-115.1833</v>
      </c>
      <c r="J749" s="34"/>
      <c r="K749" s="105">
        <v>110070948151</v>
      </c>
      <c r="L749" s="34">
        <v>7941</v>
      </c>
      <c r="M749" s="48" t="str">
        <f>VLOOKUP(L749, '2017 SIC to NAICS'!A:D, 2)</f>
        <v>Sports Clubs, Managers, and Promoters</v>
      </c>
      <c r="N749" s="34">
        <f>VLOOKUP(L749,'2017 SIC to NAICS'!A:D,3)</f>
        <v>711410</v>
      </c>
      <c r="O749" s="34" t="str">
        <f>VLOOKUP(L749,'2017 SIC to NAICS'!A:D,4)</f>
        <v>Agents and Managers for Artists, Athletes,
Entertainers, and Other Public Figures</v>
      </c>
      <c r="P749" s="36" t="s">
        <v>737</v>
      </c>
      <c r="Q749" s="137" t="s">
        <v>737</v>
      </c>
      <c r="R749" s="45" t="s">
        <v>41</v>
      </c>
      <c r="S749" s="138">
        <f>COUNTIFS('Raw Non-zero DMR Data'!$A:$A, A749, 'Raw Non-zero DMR Data'!$C:$C, U749, 'Raw Non-zero DMR Data'!$V:$V, V749)</f>
        <v>1</v>
      </c>
      <c r="T749" s="34">
        <f>SUMIFS('Raw Non-zero DMR Data'!$X:$X, 'Raw Non-zero DMR Data'!$A:$A, A749, 'Raw Non-zero DMR Data'!$C:$C, U749, 'Raw Non-zero DMR Data'!V:V, V749)</f>
        <v>6.2714327375000004E-2</v>
      </c>
      <c r="U749" s="34" t="s">
        <v>1563</v>
      </c>
      <c r="V749" s="34" t="s">
        <v>825</v>
      </c>
      <c r="W749" s="139">
        <v>150100150505</v>
      </c>
      <c r="X749" s="140" t="s">
        <v>739</v>
      </c>
    </row>
    <row r="750" spans="1:24" x14ac:dyDescent="0.35">
      <c r="A750" s="34">
        <v>2021</v>
      </c>
      <c r="B750" s="34" t="s">
        <v>172</v>
      </c>
      <c r="C750" s="34" t="s">
        <v>837</v>
      </c>
      <c r="D750" s="34" t="s">
        <v>173</v>
      </c>
      <c r="E750" s="34" t="s">
        <v>838</v>
      </c>
      <c r="F750" s="34" t="s">
        <v>126</v>
      </c>
      <c r="G750" s="34"/>
      <c r="H750" s="34">
        <v>43.075907999999998</v>
      </c>
      <c r="I750" s="34">
        <v>-76.089072000000002</v>
      </c>
      <c r="J750" s="34"/>
      <c r="K750" s="105">
        <v>110011779147</v>
      </c>
      <c r="L750" s="34">
        <v>3585</v>
      </c>
      <c r="M750" s="48" t="str">
        <f>VLOOKUP(L750, '2017 SIC to NAICS'!A:D, 2)</f>
        <v>Refrigeration and Heating Equipment</v>
      </c>
      <c r="N750" s="34">
        <f>VLOOKUP(L750,'2017 SIC to NAICS'!A:D,3)</f>
        <v>336390</v>
      </c>
      <c r="O750" s="34" t="str">
        <f>VLOOKUP(L750,'2017 SIC to NAICS'!A:D,4)</f>
        <v>Other Motor Vehicle Parts Manufacturing</v>
      </c>
      <c r="P750" s="36" t="s">
        <v>832</v>
      </c>
      <c r="Q750" s="137" t="s">
        <v>833</v>
      </c>
      <c r="R750" s="45" t="s">
        <v>41</v>
      </c>
      <c r="S750" s="138">
        <f>COUNTIFS('Raw Non-zero DMR Data'!$A:$A, A750, 'Raw Non-zero DMR Data'!$C:$C, U750, 'Raw Non-zero DMR Data'!$V:$V, V750)</f>
        <v>1</v>
      </c>
      <c r="T750" s="34">
        <f>SUMIFS('Raw Non-zero DMR Data'!$X:$X, 'Raw Non-zero DMR Data'!$A:$A, A750, 'Raw Non-zero DMR Data'!$C:$C, U750, 'Raw Non-zero DMR Data'!V:V, V750)</f>
        <v>0.74354432500000001</v>
      </c>
      <c r="U750" s="34" t="s">
        <v>837</v>
      </c>
      <c r="V750" s="34" t="s">
        <v>839</v>
      </c>
      <c r="W750" s="139">
        <v>41402011508</v>
      </c>
      <c r="X750" s="140" t="s">
        <v>840</v>
      </c>
    </row>
    <row r="751" spans="1:24" x14ac:dyDescent="0.35">
      <c r="A751" s="34">
        <v>2022</v>
      </c>
      <c r="B751" s="34" t="s">
        <v>172</v>
      </c>
      <c r="C751" s="34" t="s">
        <v>837</v>
      </c>
      <c r="D751" s="34" t="s">
        <v>173</v>
      </c>
      <c r="E751" s="34" t="s">
        <v>838</v>
      </c>
      <c r="F751" s="34" t="s">
        <v>126</v>
      </c>
      <c r="G751" s="34"/>
      <c r="H751" s="34">
        <v>43.075907999999998</v>
      </c>
      <c r="I751" s="34">
        <v>-76.089072000000002</v>
      </c>
      <c r="J751" s="34"/>
      <c r="K751" s="105">
        <v>110011779147</v>
      </c>
      <c r="L751" s="34">
        <v>3585</v>
      </c>
      <c r="M751" s="48" t="str">
        <f>VLOOKUP(L751, '2017 SIC to NAICS'!A:D, 2)</f>
        <v>Refrigeration and Heating Equipment</v>
      </c>
      <c r="N751" s="34">
        <f>VLOOKUP(L751,'2017 SIC to NAICS'!A:D,3)</f>
        <v>336390</v>
      </c>
      <c r="O751" s="34" t="str">
        <f>VLOOKUP(L751,'2017 SIC to NAICS'!A:D,4)</f>
        <v>Other Motor Vehicle Parts Manufacturing</v>
      </c>
      <c r="P751" s="36" t="s">
        <v>832</v>
      </c>
      <c r="Q751" s="137" t="s">
        <v>833</v>
      </c>
      <c r="R751" s="45" t="s">
        <v>41</v>
      </c>
      <c r="S751" s="138">
        <f>COUNTIFS('Raw Non-zero DMR Data'!$A:$A, A751, 'Raw Non-zero DMR Data'!$C:$C, U751, 'Raw Non-zero DMR Data'!$V:$V, V751)</f>
        <v>1</v>
      </c>
      <c r="T751" s="34">
        <f>SUMIFS('Raw Non-zero DMR Data'!$X:$X, 'Raw Non-zero DMR Data'!$A:$A, A751, 'Raw Non-zero DMR Data'!$C:$C, U751, 'Raw Non-zero DMR Data'!V:V, V751)</f>
        <v>0.61810942499999999</v>
      </c>
      <c r="U751" s="34" t="s">
        <v>837</v>
      </c>
      <c r="V751" s="34" t="s">
        <v>839</v>
      </c>
      <c r="W751" s="141" t="s">
        <v>1564</v>
      </c>
      <c r="X751" s="140" t="s">
        <v>840</v>
      </c>
    </row>
    <row r="752" spans="1:24" x14ac:dyDescent="0.35">
      <c r="A752" s="34">
        <v>2023</v>
      </c>
      <c r="B752" s="34" t="s">
        <v>172</v>
      </c>
      <c r="C752" s="34" t="s">
        <v>837</v>
      </c>
      <c r="D752" s="34" t="s">
        <v>173</v>
      </c>
      <c r="E752" s="34" t="s">
        <v>838</v>
      </c>
      <c r="F752" s="34" t="s">
        <v>126</v>
      </c>
      <c r="G752" s="34"/>
      <c r="H752" s="34">
        <v>43.075907999999998</v>
      </c>
      <c r="I752" s="34">
        <v>-76.089072000000002</v>
      </c>
      <c r="J752" s="34"/>
      <c r="K752" s="105">
        <v>110011779147</v>
      </c>
      <c r="L752" s="34">
        <v>3585</v>
      </c>
      <c r="M752" s="48" t="str">
        <f>VLOOKUP(L752, '2017 SIC to NAICS'!A:D, 2)</f>
        <v>Refrigeration and Heating Equipment</v>
      </c>
      <c r="N752" s="34">
        <f>VLOOKUP(L752,'2017 SIC to NAICS'!A:D,3)</f>
        <v>336390</v>
      </c>
      <c r="O752" s="34" t="str">
        <f>VLOOKUP(L752,'2017 SIC to NAICS'!A:D,4)</f>
        <v>Other Motor Vehicle Parts Manufacturing</v>
      </c>
      <c r="P752" s="36" t="s">
        <v>832</v>
      </c>
      <c r="Q752" s="137" t="s">
        <v>833</v>
      </c>
      <c r="R752" s="45" t="s">
        <v>41</v>
      </c>
      <c r="S752" s="138">
        <f>COUNTIFS('Raw Non-zero DMR Data'!$A:$A, A752, 'Raw Non-zero DMR Data'!$C:$C, U752, 'Raw Non-zero DMR Data'!$V:$V, V752)</f>
        <v>1</v>
      </c>
      <c r="T752" s="34">
        <f>SUMIFS('Raw Non-zero DMR Data'!$X:$X, 'Raw Non-zero DMR Data'!$A:$A, A752, 'Raw Non-zero DMR Data'!$C:$C, U752, 'Raw Non-zero DMR Data'!V:V, V752)</f>
        <v>0.74756588749999997</v>
      </c>
      <c r="U752" s="34" t="s">
        <v>837</v>
      </c>
      <c r="V752" s="34" t="s">
        <v>839</v>
      </c>
      <c r="W752" s="141" t="s">
        <v>1564</v>
      </c>
      <c r="X752" s="140" t="s">
        <v>840</v>
      </c>
    </row>
    <row r="753" spans="1:24" x14ac:dyDescent="0.35">
      <c r="A753" s="34">
        <v>2019</v>
      </c>
      <c r="B753" s="34" t="s">
        <v>516</v>
      </c>
      <c r="C753" s="34" t="s">
        <v>1565</v>
      </c>
      <c r="D753" s="34" t="s">
        <v>517</v>
      </c>
      <c r="E753" s="34" t="s">
        <v>831</v>
      </c>
      <c r="F753" s="34" t="s">
        <v>126</v>
      </c>
      <c r="G753" s="34"/>
      <c r="H753" s="34">
        <v>43.047975999999998</v>
      </c>
      <c r="I753" s="34">
        <v>-78.859217000000001</v>
      </c>
      <c r="J753" s="34"/>
      <c r="K753" s="105">
        <v>110000734661</v>
      </c>
      <c r="L753" s="34">
        <v>9511</v>
      </c>
      <c r="M753" s="48" t="str">
        <f>VLOOKUP(L753, '2017 SIC to NAICS'!A:D, 2)</f>
        <v>Air, Water, and Solid Waste Management</v>
      </c>
      <c r="N753" s="34">
        <f>VLOOKUP(L753,'2017 SIC to NAICS'!A:D,3)</f>
        <v>924110</v>
      </c>
      <c r="O753" s="34" t="str">
        <f>VLOOKUP(L753,'2017 SIC to NAICS'!A:D,4)</f>
        <v>Administration of Air and Water Resource
and Solid Waste Management Programs</v>
      </c>
      <c r="P753" s="36" t="s">
        <v>754</v>
      </c>
      <c r="Q753" s="137" t="s">
        <v>755</v>
      </c>
      <c r="R753" s="45" t="s">
        <v>41</v>
      </c>
      <c r="S753" s="138">
        <f>COUNTIFS('Raw Non-zero DMR Data'!$A:$A, A753, 'Raw Non-zero DMR Data'!$C:$C, U753, 'Raw Non-zero DMR Data'!$V:$V, V753)</f>
        <v>1</v>
      </c>
      <c r="T753" s="34">
        <f>SUMIFS('Raw Non-zero DMR Data'!$X:$X, 'Raw Non-zero DMR Data'!$A:$A, A753, 'Raw Non-zero DMR Data'!$C:$C, U753, 'Raw Non-zero DMR Data'!V:V, V753)</f>
        <v>1.5853127307999999E-2</v>
      </c>
      <c r="U753" s="34" t="s">
        <v>1565</v>
      </c>
      <c r="V753" s="34" t="s">
        <v>1566</v>
      </c>
      <c r="W753" s="139">
        <v>41201040604</v>
      </c>
      <c r="X753" s="140" t="s">
        <v>757</v>
      </c>
    </row>
    <row r="754" spans="1:24" x14ac:dyDescent="0.35">
      <c r="A754" s="34">
        <v>2020</v>
      </c>
      <c r="B754" s="34" t="s">
        <v>516</v>
      </c>
      <c r="C754" s="34" t="s">
        <v>1565</v>
      </c>
      <c r="D754" s="34" t="s">
        <v>517</v>
      </c>
      <c r="E754" s="34" t="s">
        <v>831</v>
      </c>
      <c r="F754" s="34" t="s">
        <v>126</v>
      </c>
      <c r="G754" s="34"/>
      <c r="H754" s="34">
        <v>43.047975999999998</v>
      </c>
      <c r="I754" s="34">
        <v>-78.859217000000001</v>
      </c>
      <c r="J754" s="34"/>
      <c r="K754" s="105">
        <v>110000734661</v>
      </c>
      <c r="L754" s="34">
        <v>9511</v>
      </c>
      <c r="M754" s="48" t="str">
        <f>VLOOKUP(L754, '2017 SIC to NAICS'!A:D, 2)</f>
        <v>Air, Water, and Solid Waste Management</v>
      </c>
      <c r="N754" s="34">
        <f>VLOOKUP(L754,'2017 SIC to NAICS'!A:D,3)</f>
        <v>924110</v>
      </c>
      <c r="O754" s="34" t="str">
        <f>VLOOKUP(L754,'2017 SIC to NAICS'!A:D,4)</f>
        <v>Administration of Air and Water Resource
and Solid Waste Management Programs</v>
      </c>
      <c r="P754" s="36" t="s">
        <v>754</v>
      </c>
      <c r="Q754" s="137" t="s">
        <v>755</v>
      </c>
      <c r="R754" s="45" t="s">
        <v>41</v>
      </c>
      <c r="S754" s="138">
        <f>COUNTIFS('Raw Non-zero DMR Data'!$A:$A, A754, 'Raw Non-zero DMR Data'!$C:$C, U754, 'Raw Non-zero DMR Data'!$V:$V, V754)</f>
        <v>1</v>
      </c>
      <c r="T754" s="34">
        <f>SUMIFS('Raw Non-zero DMR Data'!$X:$X, 'Raw Non-zero DMR Data'!$A:$A, A754, 'Raw Non-zero DMR Data'!$C:$C, U754, 'Raw Non-zero DMR Data'!V:V, V754)</f>
        <v>7.5226905279999999E-3</v>
      </c>
      <c r="U754" s="34" t="s">
        <v>1565</v>
      </c>
      <c r="V754" s="34" t="s">
        <v>1566</v>
      </c>
      <c r="W754" s="139">
        <v>41201040604</v>
      </c>
      <c r="X754" s="140" t="s">
        <v>757</v>
      </c>
    </row>
    <row r="755" spans="1:24" x14ac:dyDescent="0.35">
      <c r="A755" s="34">
        <v>2021</v>
      </c>
      <c r="B755" s="34" t="s">
        <v>516</v>
      </c>
      <c r="C755" s="34" t="s">
        <v>1565</v>
      </c>
      <c r="D755" s="34" t="s">
        <v>517</v>
      </c>
      <c r="E755" s="34" t="s">
        <v>831</v>
      </c>
      <c r="F755" s="34" t="s">
        <v>126</v>
      </c>
      <c r="G755" s="34"/>
      <c r="H755" s="34">
        <v>43.047975999999998</v>
      </c>
      <c r="I755" s="34">
        <v>-78.859217000000001</v>
      </c>
      <c r="J755" s="34"/>
      <c r="K755" s="105">
        <v>110000734661</v>
      </c>
      <c r="L755" s="34">
        <v>9511</v>
      </c>
      <c r="M755" s="48" t="str">
        <f>VLOOKUP(L755, '2017 SIC to NAICS'!A:D, 2)</f>
        <v>Air, Water, and Solid Waste Management</v>
      </c>
      <c r="N755" s="34">
        <f>VLOOKUP(L755,'2017 SIC to NAICS'!A:D,3)</f>
        <v>924110</v>
      </c>
      <c r="O755" s="34" t="str">
        <f>VLOOKUP(L755,'2017 SIC to NAICS'!A:D,4)</f>
        <v>Administration of Air and Water Resource
and Solid Waste Management Programs</v>
      </c>
      <c r="P755" s="36" t="s">
        <v>754</v>
      </c>
      <c r="Q755" s="137" t="s">
        <v>755</v>
      </c>
      <c r="R755" s="45" t="s">
        <v>41</v>
      </c>
      <c r="S755" s="138">
        <f>COUNTIFS('Raw Non-zero DMR Data'!$A:$A, A755, 'Raw Non-zero DMR Data'!$C:$C, U755, 'Raw Non-zero DMR Data'!$V:$V, V755)</f>
        <v>1</v>
      </c>
      <c r="T755" s="34">
        <f>SUMIFS('Raw Non-zero DMR Data'!$X:$X, 'Raw Non-zero DMR Data'!$A:$A, A755, 'Raw Non-zero DMR Data'!$C:$C, U755, 'Raw Non-zero DMR Data'!V:V, V755)</f>
        <v>9.7632746465E-3</v>
      </c>
      <c r="U755" s="34" t="s">
        <v>1565</v>
      </c>
      <c r="V755" s="34" t="s">
        <v>1566</v>
      </c>
      <c r="W755" s="139">
        <v>41201040604</v>
      </c>
      <c r="X755" s="140" t="s">
        <v>757</v>
      </c>
    </row>
    <row r="756" spans="1:24" x14ac:dyDescent="0.35">
      <c r="A756" s="34">
        <v>2022</v>
      </c>
      <c r="B756" s="34" t="s">
        <v>516</v>
      </c>
      <c r="C756" s="34" t="s">
        <v>1565</v>
      </c>
      <c r="D756" s="34" t="s">
        <v>517</v>
      </c>
      <c r="E756" s="34" t="s">
        <v>831</v>
      </c>
      <c r="F756" s="34" t="s">
        <v>126</v>
      </c>
      <c r="G756" s="34"/>
      <c r="H756" s="34">
        <v>43.047975999999998</v>
      </c>
      <c r="I756" s="34">
        <v>-78.859217000000001</v>
      </c>
      <c r="J756" s="34"/>
      <c r="K756" s="105">
        <v>110000734661</v>
      </c>
      <c r="L756" s="34">
        <v>9511</v>
      </c>
      <c r="M756" s="48" t="str">
        <f>VLOOKUP(L756, '2017 SIC to NAICS'!A:D, 2)</f>
        <v>Air, Water, and Solid Waste Management</v>
      </c>
      <c r="N756" s="34">
        <f>VLOOKUP(L756,'2017 SIC to NAICS'!A:D,3)</f>
        <v>924110</v>
      </c>
      <c r="O756" s="34" t="str">
        <f>VLOOKUP(L756,'2017 SIC to NAICS'!A:D,4)</f>
        <v>Administration of Air and Water Resource
and Solid Waste Management Programs</v>
      </c>
      <c r="P756" s="36" t="s">
        <v>754</v>
      </c>
      <c r="Q756" s="137" t="s">
        <v>755</v>
      </c>
      <c r="R756" s="45" t="s">
        <v>41</v>
      </c>
      <c r="S756" s="138">
        <f>COUNTIFS('Raw Non-zero DMR Data'!$A:$A, A756, 'Raw Non-zero DMR Data'!$C:$C, U756, 'Raw Non-zero DMR Data'!$V:$V, V756)</f>
        <v>1</v>
      </c>
      <c r="T756" s="34">
        <f>SUMIFS('Raw Non-zero DMR Data'!$X:$X, 'Raw Non-zero DMR Data'!$A:$A, A756, 'Raw Non-zero DMR Data'!$C:$C, U756, 'Raw Non-zero DMR Data'!V:V, V756)</f>
        <v>1.5323320040500001E-2</v>
      </c>
      <c r="U756" s="34" t="s">
        <v>1565</v>
      </c>
      <c r="V756" s="34" t="s">
        <v>1566</v>
      </c>
      <c r="W756" s="141" t="s">
        <v>1567</v>
      </c>
      <c r="X756" s="140" t="s">
        <v>757</v>
      </c>
    </row>
    <row r="757" spans="1:24" x14ac:dyDescent="0.35">
      <c r="A757" s="34">
        <v>2023</v>
      </c>
      <c r="B757" s="34" t="s">
        <v>516</v>
      </c>
      <c r="C757" s="34" t="s">
        <v>1565</v>
      </c>
      <c r="D757" s="34" t="s">
        <v>517</v>
      </c>
      <c r="E757" s="34" t="s">
        <v>831</v>
      </c>
      <c r="F757" s="34" t="s">
        <v>126</v>
      </c>
      <c r="G757" s="34"/>
      <c r="H757" s="34">
        <v>43.047975999999998</v>
      </c>
      <c r="I757" s="34">
        <v>-78.859217000000001</v>
      </c>
      <c r="J757" s="34"/>
      <c r="K757" s="105">
        <v>110000734661</v>
      </c>
      <c r="L757" s="34">
        <v>9511</v>
      </c>
      <c r="M757" s="48" t="str">
        <f>VLOOKUP(L757, '2017 SIC to NAICS'!A:D, 2)</f>
        <v>Air, Water, and Solid Waste Management</v>
      </c>
      <c r="N757" s="34">
        <f>VLOOKUP(L757,'2017 SIC to NAICS'!A:D,3)</f>
        <v>924110</v>
      </c>
      <c r="O757" s="34" t="str">
        <f>VLOOKUP(L757,'2017 SIC to NAICS'!A:D,4)</f>
        <v>Administration of Air and Water Resource
and Solid Waste Management Programs</v>
      </c>
      <c r="P757" s="36" t="s">
        <v>754</v>
      </c>
      <c r="Q757" s="137" t="s">
        <v>755</v>
      </c>
      <c r="R757" s="45" t="s">
        <v>41</v>
      </c>
      <c r="S757" s="138">
        <f>COUNTIFS('Raw Non-zero DMR Data'!$A:$A, A757, 'Raw Non-zero DMR Data'!$C:$C, U757, 'Raw Non-zero DMR Data'!$V:$V, V757)</f>
        <v>1</v>
      </c>
      <c r="T757" s="34">
        <f>SUMIFS('Raw Non-zero DMR Data'!$X:$X, 'Raw Non-zero DMR Data'!$A:$A, A757, 'Raw Non-zero DMR Data'!$C:$C, U757, 'Raw Non-zero DMR Data'!V:V, V757)</f>
        <v>4.2250203302000001E-2</v>
      </c>
      <c r="U757" s="34" t="s">
        <v>1565</v>
      </c>
      <c r="V757" s="34" t="s">
        <v>1566</v>
      </c>
      <c r="W757" s="141" t="s">
        <v>1567</v>
      </c>
      <c r="X757" s="140" t="s">
        <v>757</v>
      </c>
    </row>
    <row r="758" spans="1:24" x14ac:dyDescent="0.35">
      <c r="A758" s="34">
        <v>2019</v>
      </c>
      <c r="B758" s="34" t="s">
        <v>588</v>
      </c>
      <c r="C758" s="34" t="s">
        <v>1568</v>
      </c>
      <c r="D758" s="34" t="s">
        <v>589</v>
      </c>
      <c r="E758" s="34" t="s">
        <v>831</v>
      </c>
      <c r="F758" s="34" t="s">
        <v>126</v>
      </c>
      <c r="G758" s="34"/>
      <c r="H758" s="34">
        <v>43.129750000000001</v>
      </c>
      <c r="I758" s="34">
        <v>-78.939679999999996</v>
      </c>
      <c r="J758" s="34"/>
      <c r="K758" s="105">
        <v>110000737365</v>
      </c>
      <c r="L758" s="34">
        <v>9511</v>
      </c>
      <c r="M758" s="48" t="str">
        <f>VLOOKUP(L758, '2017 SIC to NAICS'!A:D, 2)</f>
        <v>Air, Water, and Solid Waste Management</v>
      </c>
      <c r="N758" s="34">
        <f>VLOOKUP(L758,'2017 SIC to NAICS'!A:D,3)</f>
        <v>924110</v>
      </c>
      <c r="O758" s="34" t="str">
        <f>VLOOKUP(L758,'2017 SIC to NAICS'!A:D,4)</f>
        <v>Administration of Air and Water Resource
and Solid Waste Management Programs</v>
      </c>
      <c r="P758" s="36" t="s">
        <v>754</v>
      </c>
      <c r="Q758" s="137" t="s">
        <v>755</v>
      </c>
      <c r="R758" s="45" t="s">
        <v>41</v>
      </c>
      <c r="S758" s="138">
        <f>COUNTIFS('Raw Non-zero DMR Data'!$A:$A, A758, 'Raw Non-zero DMR Data'!$C:$C, U758, 'Raw Non-zero DMR Data'!$V:$V, V758)</f>
        <v>1</v>
      </c>
      <c r="T758" s="34">
        <f>SUMIFS('Raw Non-zero DMR Data'!$X:$X, 'Raw Non-zero DMR Data'!$A:$A, A758, 'Raw Non-zero DMR Data'!$C:$C, U758, 'Raw Non-zero DMR Data'!V:V, V758)</f>
        <v>1.4576963025224999E-2</v>
      </c>
      <c r="U758" s="34" t="s">
        <v>1568</v>
      </c>
      <c r="V758" s="34" t="s">
        <v>1569</v>
      </c>
      <c r="W758" s="139">
        <v>41201040603</v>
      </c>
      <c r="X758" s="140" t="s">
        <v>757</v>
      </c>
    </row>
    <row r="759" spans="1:24" x14ac:dyDescent="0.35">
      <c r="A759" s="34">
        <v>2020</v>
      </c>
      <c r="B759" s="34" t="s">
        <v>588</v>
      </c>
      <c r="C759" s="34" t="s">
        <v>1568</v>
      </c>
      <c r="D759" s="34" t="s">
        <v>589</v>
      </c>
      <c r="E759" s="34" t="s">
        <v>831</v>
      </c>
      <c r="F759" s="34" t="s">
        <v>126</v>
      </c>
      <c r="G759" s="34"/>
      <c r="H759" s="34">
        <v>43.129750000000001</v>
      </c>
      <c r="I759" s="34">
        <v>-78.939679999999996</v>
      </c>
      <c r="J759" s="34"/>
      <c r="K759" s="105">
        <v>110000737365</v>
      </c>
      <c r="L759" s="34">
        <v>9511</v>
      </c>
      <c r="M759" s="48" t="str">
        <f>VLOOKUP(L759, '2017 SIC to NAICS'!A:D, 2)</f>
        <v>Air, Water, and Solid Waste Management</v>
      </c>
      <c r="N759" s="34">
        <f>VLOOKUP(L759,'2017 SIC to NAICS'!A:D,3)</f>
        <v>924110</v>
      </c>
      <c r="O759" s="34" t="str">
        <f>VLOOKUP(L759,'2017 SIC to NAICS'!A:D,4)</f>
        <v>Administration of Air and Water Resource
and Solid Waste Management Programs</v>
      </c>
      <c r="P759" s="36" t="s">
        <v>754</v>
      </c>
      <c r="Q759" s="137" t="s">
        <v>755</v>
      </c>
      <c r="R759" s="45" t="s">
        <v>41</v>
      </c>
      <c r="S759" s="138">
        <f>COUNTIFS('Raw Non-zero DMR Data'!$A:$A, A759, 'Raw Non-zero DMR Data'!$C:$C, U759, 'Raw Non-zero DMR Data'!$V:$V, V759)</f>
        <v>1</v>
      </c>
      <c r="T759" s="34">
        <f>SUMIFS('Raw Non-zero DMR Data'!$X:$X, 'Raw Non-zero DMR Data'!$A:$A, A759, 'Raw Non-zero DMR Data'!$C:$C, U759, 'Raw Non-zero DMR Data'!V:V, V759)</f>
        <v>7.7042270954249996E-3</v>
      </c>
      <c r="U759" s="34" t="s">
        <v>1568</v>
      </c>
      <c r="V759" s="34" t="s">
        <v>1569</v>
      </c>
      <c r="W759" s="139">
        <v>41201040603</v>
      </c>
      <c r="X759" s="140" t="s">
        <v>757</v>
      </c>
    </row>
    <row r="760" spans="1:24" x14ac:dyDescent="0.35">
      <c r="A760" s="34">
        <v>2021</v>
      </c>
      <c r="B760" s="34" t="s">
        <v>588</v>
      </c>
      <c r="C760" s="34" t="s">
        <v>1568</v>
      </c>
      <c r="D760" s="34" t="s">
        <v>589</v>
      </c>
      <c r="E760" s="34" t="s">
        <v>831</v>
      </c>
      <c r="F760" s="34" t="s">
        <v>126</v>
      </c>
      <c r="G760" s="34"/>
      <c r="H760" s="34">
        <v>43.129750000000001</v>
      </c>
      <c r="I760" s="34">
        <v>-78.939679999999996</v>
      </c>
      <c r="J760" s="34"/>
      <c r="K760" s="105">
        <v>110000737365</v>
      </c>
      <c r="L760" s="34">
        <v>9511</v>
      </c>
      <c r="M760" s="48" t="str">
        <f>VLOOKUP(L760, '2017 SIC to NAICS'!A:D, 2)</f>
        <v>Air, Water, and Solid Waste Management</v>
      </c>
      <c r="N760" s="34">
        <f>VLOOKUP(L760,'2017 SIC to NAICS'!A:D,3)</f>
        <v>924110</v>
      </c>
      <c r="O760" s="34" t="str">
        <f>VLOOKUP(L760,'2017 SIC to NAICS'!A:D,4)</f>
        <v>Administration of Air and Water Resource
and Solid Waste Management Programs</v>
      </c>
      <c r="P760" s="36" t="s">
        <v>754</v>
      </c>
      <c r="Q760" s="137" t="s">
        <v>755</v>
      </c>
      <c r="R760" s="45" t="s">
        <v>41</v>
      </c>
      <c r="S760" s="138">
        <f>COUNTIFS('Raw Non-zero DMR Data'!$A:$A, A760, 'Raw Non-zero DMR Data'!$C:$C, U760, 'Raw Non-zero DMR Data'!$V:$V, V760)</f>
        <v>1</v>
      </c>
      <c r="T760" s="34">
        <f>SUMIFS('Raw Non-zero DMR Data'!$X:$X, 'Raw Non-zero DMR Data'!$A:$A, A760, 'Raw Non-zero DMR Data'!$C:$C, U760, 'Raw Non-zero DMR Data'!V:V, V760)</f>
        <v>1.1333206708075E-2</v>
      </c>
      <c r="U760" s="34" t="s">
        <v>1568</v>
      </c>
      <c r="V760" s="34" t="s">
        <v>1569</v>
      </c>
      <c r="W760" s="139">
        <v>41201040603</v>
      </c>
      <c r="X760" s="140" t="s">
        <v>757</v>
      </c>
    </row>
    <row r="761" spans="1:24" x14ac:dyDescent="0.35">
      <c r="A761" s="34">
        <v>2022</v>
      </c>
      <c r="B761" s="34" t="s">
        <v>588</v>
      </c>
      <c r="C761" s="34" t="s">
        <v>1568</v>
      </c>
      <c r="D761" s="34" t="s">
        <v>589</v>
      </c>
      <c r="E761" s="34" t="s">
        <v>831</v>
      </c>
      <c r="F761" s="34" t="s">
        <v>126</v>
      </c>
      <c r="G761" s="34"/>
      <c r="H761" s="34">
        <v>43.129750000000001</v>
      </c>
      <c r="I761" s="34">
        <v>-78.939679999999996</v>
      </c>
      <c r="J761" s="34"/>
      <c r="K761" s="105">
        <v>110000737365</v>
      </c>
      <c r="L761" s="34">
        <v>9511</v>
      </c>
      <c r="M761" s="48" t="str">
        <f>VLOOKUP(L761, '2017 SIC to NAICS'!A:D, 2)</f>
        <v>Air, Water, and Solid Waste Management</v>
      </c>
      <c r="N761" s="34">
        <f>VLOOKUP(L761,'2017 SIC to NAICS'!A:D,3)</f>
        <v>924110</v>
      </c>
      <c r="O761" s="34" t="str">
        <f>VLOOKUP(L761,'2017 SIC to NAICS'!A:D,4)</f>
        <v>Administration of Air and Water Resource
and Solid Waste Management Programs</v>
      </c>
      <c r="P761" s="36" t="s">
        <v>754</v>
      </c>
      <c r="Q761" s="137" t="s">
        <v>755</v>
      </c>
      <c r="R761" s="45" t="s">
        <v>41</v>
      </c>
      <c r="S761" s="138">
        <f>COUNTIFS('Raw Non-zero DMR Data'!$A:$A, A761, 'Raw Non-zero DMR Data'!$C:$C, U761, 'Raw Non-zero DMR Data'!$V:$V, V761)</f>
        <v>1</v>
      </c>
      <c r="T761" s="34">
        <f>SUMIFS('Raw Non-zero DMR Data'!$X:$X, 'Raw Non-zero DMR Data'!$A:$A, A761, 'Raw Non-zero DMR Data'!$C:$C, U761, 'Raw Non-zero DMR Data'!V:V, V761)</f>
        <v>1.6525279360424999E-2</v>
      </c>
      <c r="U761" s="34" t="s">
        <v>1568</v>
      </c>
      <c r="V761" s="34" t="s">
        <v>1569</v>
      </c>
      <c r="W761" s="141" t="s">
        <v>1570</v>
      </c>
      <c r="X761" s="140" t="s">
        <v>757</v>
      </c>
    </row>
    <row r="762" spans="1:24" x14ac:dyDescent="0.35">
      <c r="A762" s="34">
        <v>2023</v>
      </c>
      <c r="B762" s="34" t="s">
        <v>588</v>
      </c>
      <c r="C762" s="34" t="s">
        <v>1568</v>
      </c>
      <c r="D762" s="34" t="s">
        <v>589</v>
      </c>
      <c r="E762" s="34" t="s">
        <v>831</v>
      </c>
      <c r="F762" s="34" t="s">
        <v>126</v>
      </c>
      <c r="G762" s="34"/>
      <c r="H762" s="34">
        <v>43.129750000000001</v>
      </c>
      <c r="I762" s="34">
        <v>-78.939679999999996</v>
      </c>
      <c r="J762" s="34"/>
      <c r="K762" s="105">
        <v>110000737365</v>
      </c>
      <c r="L762" s="34">
        <v>9511</v>
      </c>
      <c r="M762" s="48" t="str">
        <f>VLOOKUP(L762, '2017 SIC to NAICS'!A:D, 2)</f>
        <v>Air, Water, and Solid Waste Management</v>
      </c>
      <c r="N762" s="34">
        <f>VLOOKUP(L762,'2017 SIC to NAICS'!A:D,3)</f>
        <v>924110</v>
      </c>
      <c r="O762" s="34" t="str">
        <f>VLOOKUP(L762,'2017 SIC to NAICS'!A:D,4)</f>
        <v>Administration of Air and Water Resource
and Solid Waste Management Programs</v>
      </c>
      <c r="P762" s="36" t="s">
        <v>754</v>
      </c>
      <c r="Q762" s="137" t="s">
        <v>755</v>
      </c>
      <c r="R762" s="45" t="s">
        <v>41</v>
      </c>
      <c r="S762" s="138">
        <f>COUNTIFS('Raw Non-zero DMR Data'!$A:$A, A762, 'Raw Non-zero DMR Data'!$C:$C, U762, 'Raw Non-zero DMR Data'!$V:$V, V762)</f>
        <v>1</v>
      </c>
      <c r="T762" s="34">
        <f>SUMIFS('Raw Non-zero DMR Data'!$X:$X, 'Raw Non-zero DMR Data'!$A:$A, A762, 'Raw Non-zero DMR Data'!$C:$C, U762, 'Raw Non-zero DMR Data'!V:V, V762)</f>
        <v>1.26163431501E-2</v>
      </c>
      <c r="U762" s="34" t="s">
        <v>1568</v>
      </c>
      <c r="V762" s="34" t="s">
        <v>1569</v>
      </c>
      <c r="W762" s="141" t="s">
        <v>1570</v>
      </c>
      <c r="X762" s="140" t="s">
        <v>757</v>
      </c>
    </row>
    <row r="763" spans="1:24" x14ac:dyDescent="0.35">
      <c r="A763" s="34">
        <v>2019</v>
      </c>
      <c r="B763" s="34" t="s">
        <v>459</v>
      </c>
      <c r="C763" s="34" t="s">
        <v>1571</v>
      </c>
      <c r="D763" s="34" t="s">
        <v>460</v>
      </c>
      <c r="E763" s="34" t="s">
        <v>1572</v>
      </c>
      <c r="F763" s="34" t="s">
        <v>126</v>
      </c>
      <c r="G763" s="34"/>
      <c r="H763" s="34">
        <v>42.308895999999997</v>
      </c>
      <c r="I763" s="34">
        <v>-75.397531999999998</v>
      </c>
      <c r="J763" s="34"/>
      <c r="K763" s="105">
        <v>110000326193</v>
      </c>
      <c r="L763" s="34">
        <v>3471</v>
      </c>
      <c r="M763" s="48" t="str">
        <f>VLOOKUP(L763, '2017 SIC to NAICS'!A:D, 2)</f>
        <v>Plating and Polishing</v>
      </c>
      <c r="N763" s="34">
        <f>VLOOKUP(L763,'2017 SIC to NAICS'!A:D,3)</f>
        <v>332813</v>
      </c>
      <c r="O763" s="34" t="str">
        <f>VLOOKUP(L763,'2017 SIC to NAICS'!A:D,4)</f>
        <v>Electroplating, Plating, Polishing,
Anodizing, and Coloring</v>
      </c>
      <c r="P763" s="36" t="s">
        <v>809</v>
      </c>
      <c r="Q763" s="137" t="s">
        <v>810</v>
      </c>
      <c r="R763" s="45" t="s">
        <v>41</v>
      </c>
      <c r="S763" s="138">
        <f>COUNTIFS('Raw Non-zero DMR Data'!$A:$A, A763, 'Raw Non-zero DMR Data'!$C:$C, U763, 'Raw Non-zero DMR Data'!$V:$V, V763)</f>
        <v>1</v>
      </c>
      <c r="T763" s="34">
        <f>SUMIFS('Raw Non-zero DMR Data'!$X:$X, 'Raw Non-zero DMR Data'!$A:$A, A763, 'Raw Non-zero DMR Data'!$C:$C, U763, 'Raw Non-zero DMR Data'!V:V, V763)</f>
        <v>0.106831946725</v>
      </c>
      <c r="U763" s="34" t="s">
        <v>1571</v>
      </c>
      <c r="V763" s="34" t="s">
        <v>1573</v>
      </c>
      <c r="W763" s="139">
        <v>20501011105</v>
      </c>
      <c r="X763" s="140" t="s">
        <v>803</v>
      </c>
    </row>
    <row r="764" spans="1:24" x14ac:dyDescent="0.35">
      <c r="A764" s="34">
        <v>2020</v>
      </c>
      <c r="B764" s="34" t="s">
        <v>459</v>
      </c>
      <c r="C764" s="34" t="s">
        <v>1571</v>
      </c>
      <c r="D764" s="34" t="s">
        <v>460</v>
      </c>
      <c r="E764" s="34" t="s">
        <v>1572</v>
      </c>
      <c r="F764" s="34" t="s">
        <v>126</v>
      </c>
      <c r="G764" s="34"/>
      <c r="H764" s="34">
        <v>42.308895999999997</v>
      </c>
      <c r="I764" s="34">
        <v>-75.397531999999998</v>
      </c>
      <c r="J764" s="34"/>
      <c r="K764" s="105">
        <v>110000326193</v>
      </c>
      <c r="L764" s="34">
        <v>3471</v>
      </c>
      <c r="M764" s="48" t="str">
        <f>VLOOKUP(L764, '2017 SIC to NAICS'!A:D, 2)</f>
        <v>Plating and Polishing</v>
      </c>
      <c r="N764" s="34">
        <f>VLOOKUP(L764,'2017 SIC to NAICS'!A:D,3)</f>
        <v>332813</v>
      </c>
      <c r="O764" s="34" t="str">
        <f>VLOOKUP(L764,'2017 SIC to NAICS'!A:D,4)</f>
        <v>Electroplating, Plating, Polishing,
Anodizing, and Coloring</v>
      </c>
      <c r="P764" s="36" t="s">
        <v>809</v>
      </c>
      <c r="Q764" s="137" t="s">
        <v>810</v>
      </c>
      <c r="R764" s="45" t="s">
        <v>41</v>
      </c>
      <c r="S764" s="138">
        <f>COUNTIFS('Raw Non-zero DMR Data'!$A:$A, A764, 'Raw Non-zero DMR Data'!$C:$C, U764, 'Raw Non-zero DMR Data'!$V:$V, V764)</f>
        <v>1</v>
      </c>
      <c r="T764" s="34">
        <f>SUMIFS('Raw Non-zero DMR Data'!$X:$X, 'Raw Non-zero DMR Data'!$A:$A, A764, 'Raw Non-zero DMR Data'!$C:$C, U764, 'Raw Non-zero DMR Data'!V:V, V764)</f>
        <v>9.1623317105000004E-2</v>
      </c>
      <c r="U764" s="34" t="s">
        <v>1571</v>
      </c>
      <c r="V764" s="34" t="s">
        <v>1573</v>
      </c>
      <c r="W764" s="139">
        <v>20501011105</v>
      </c>
      <c r="X764" s="140" t="s">
        <v>803</v>
      </c>
    </row>
    <row r="765" spans="1:24" x14ac:dyDescent="0.35">
      <c r="A765" s="34">
        <v>2021</v>
      </c>
      <c r="B765" s="34" t="s">
        <v>459</v>
      </c>
      <c r="C765" s="34" t="s">
        <v>1571</v>
      </c>
      <c r="D765" s="34" t="s">
        <v>460</v>
      </c>
      <c r="E765" s="34" t="s">
        <v>1572</v>
      </c>
      <c r="F765" s="34" t="s">
        <v>126</v>
      </c>
      <c r="G765" s="34"/>
      <c r="H765" s="34">
        <v>42.308895999999997</v>
      </c>
      <c r="I765" s="34">
        <v>-75.397531999999998</v>
      </c>
      <c r="J765" s="34"/>
      <c r="K765" s="105">
        <v>110000326193</v>
      </c>
      <c r="L765" s="34">
        <v>3471</v>
      </c>
      <c r="M765" s="48" t="str">
        <f>VLOOKUP(L765, '2017 SIC to NAICS'!A:D, 2)</f>
        <v>Plating and Polishing</v>
      </c>
      <c r="N765" s="34">
        <f>VLOOKUP(L765,'2017 SIC to NAICS'!A:D,3)</f>
        <v>332813</v>
      </c>
      <c r="O765" s="34" t="str">
        <f>VLOOKUP(L765,'2017 SIC to NAICS'!A:D,4)</f>
        <v>Electroplating, Plating, Polishing,
Anodizing, and Coloring</v>
      </c>
      <c r="P765" s="36" t="s">
        <v>809</v>
      </c>
      <c r="Q765" s="137" t="s">
        <v>810</v>
      </c>
      <c r="R765" s="45" t="s">
        <v>41</v>
      </c>
      <c r="S765" s="138">
        <f>COUNTIFS('Raw Non-zero DMR Data'!$A:$A, A765, 'Raw Non-zero DMR Data'!$C:$C, U765, 'Raw Non-zero DMR Data'!$V:$V, V765)</f>
        <v>1</v>
      </c>
      <c r="T765" s="34">
        <f>SUMIFS('Raw Non-zero DMR Data'!$X:$X, 'Raw Non-zero DMR Data'!$A:$A, A765, 'Raw Non-zero DMR Data'!$C:$C, U765, 'Raw Non-zero DMR Data'!V:V, V765)</f>
        <v>5.3623041250000003E-2</v>
      </c>
      <c r="U765" s="34" t="s">
        <v>1571</v>
      </c>
      <c r="V765" s="34" t="s">
        <v>1573</v>
      </c>
      <c r="W765" s="139">
        <v>20501011105</v>
      </c>
      <c r="X765" s="140" t="s">
        <v>803</v>
      </c>
    </row>
    <row r="766" spans="1:24" x14ac:dyDescent="0.35">
      <c r="A766" s="34">
        <v>2022</v>
      </c>
      <c r="B766" s="34" t="s">
        <v>459</v>
      </c>
      <c r="C766" s="34" t="s">
        <v>1571</v>
      </c>
      <c r="D766" s="34" t="s">
        <v>460</v>
      </c>
      <c r="E766" s="34" t="s">
        <v>1572</v>
      </c>
      <c r="F766" s="34" t="s">
        <v>126</v>
      </c>
      <c r="G766" s="34"/>
      <c r="H766" s="34">
        <v>42.308895999999997</v>
      </c>
      <c r="I766" s="34">
        <v>-75.397531999999998</v>
      </c>
      <c r="J766" s="34"/>
      <c r="K766" s="105">
        <v>110000326193</v>
      </c>
      <c r="L766" s="34">
        <v>3471</v>
      </c>
      <c r="M766" s="48" t="str">
        <f>VLOOKUP(L766, '2017 SIC to NAICS'!A:D, 2)</f>
        <v>Plating and Polishing</v>
      </c>
      <c r="N766" s="34">
        <f>VLOOKUP(L766,'2017 SIC to NAICS'!A:D,3)</f>
        <v>332813</v>
      </c>
      <c r="O766" s="34" t="str">
        <f>VLOOKUP(L766,'2017 SIC to NAICS'!A:D,4)</f>
        <v>Electroplating, Plating, Polishing,
Anodizing, and Coloring</v>
      </c>
      <c r="P766" s="36" t="s">
        <v>809</v>
      </c>
      <c r="Q766" s="137" t="s">
        <v>810</v>
      </c>
      <c r="R766" s="45" t="s">
        <v>41</v>
      </c>
      <c r="S766" s="138">
        <f>COUNTIFS('Raw Non-zero DMR Data'!$A:$A, A766, 'Raw Non-zero DMR Data'!$C:$C, U766, 'Raw Non-zero DMR Data'!$V:$V, V766)</f>
        <v>1</v>
      </c>
      <c r="T766" s="34">
        <f>SUMIFS('Raw Non-zero DMR Data'!$X:$X, 'Raw Non-zero DMR Data'!$A:$A, A766, 'Raw Non-zero DMR Data'!$C:$C, U766, 'Raw Non-zero DMR Data'!V:V, V766)</f>
        <v>3.7859951143499999E-2</v>
      </c>
      <c r="U766" s="34" t="s">
        <v>1571</v>
      </c>
      <c r="V766" s="34" t="s">
        <v>1573</v>
      </c>
      <c r="W766" s="141" t="s">
        <v>1574</v>
      </c>
      <c r="X766" s="140" t="s">
        <v>803</v>
      </c>
    </row>
    <row r="767" spans="1:24" x14ac:dyDescent="0.35">
      <c r="A767" s="34">
        <v>2023</v>
      </c>
      <c r="B767" s="34" t="s">
        <v>459</v>
      </c>
      <c r="C767" s="34" t="s">
        <v>1571</v>
      </c>
      <c r="D767" s="34" t="s">
        <v>460</v>
      </c>
      <c r="E767" s="34" t="s">
        <v>1572</v>
      </c>
      <c r="F767" s="34" t="s">
        <v>126</v>
      </c>
      <c r="G767" s="34"/>
      <c r="H767" s="34">
        <v>42.308895999999997</v>
      </c>
      <c r="I767" s="34">
        <v>-75.397531999999998</v>
      </c>
      <c r="J767" s="34"/>
      <c r="K767" s="105">
        <v>110000326193</v>
      </c>
      <c r="L767" s="34">
        <v>3471</v>
      </c>
      <c r="M767" s="48" t="str">
        <f>VLOOKUP(L767, '2017 SIC to NAICS'!A:D, 2)</f>
        <v>Plating and Polishing</v>
      </c>
      <c r="N767" s="34">
        <f>VLOOKUP(L767,'2017 SIC to NAICS'!A:D,3)</f>
        <v>332813</v>
      </c>
      <c r="O767" s="34" t="str">
        <f>VLOOKUP(L767,'2017 SIC to NAICS'!A:D,4)</f>
        <v>Electroplating, Plating, Polishing,
Anodizing, and Coloring</v>
      </c>
      <c r="P767" s="36" t="s">
        <v>809</v>
      </c>
      <c r="Q767" s="137" t="s">
        <v>810</v>
      </c>
      <c r="R767" s="45" t="s">
        <v>41</v>
      </c>
      <c r="S767" s="138">
        <f>COUNTIFS('Raw Non-zero DMR Data'!$A:$A, A767, 'Raw Non-zero DMR Data'!$C:$C, U767, 'Raw Non-zero DMR Data'!$V:$V, V767)</f>
        <v>1</v>
      </c>
      <c r="T767" s="34">
        <f>SUMIFS('Raw Non-zero DMR Data'!$X:$X, 'Raw Non-zero DMR Data'!$A:$A, A767, 'Raw Non-zero DMR Data'!$C:$C, U767, 'Raw Non-zero DMR Data'!V:V, V767)</f>
        <v>4.4775851667499998E-2</v>
      </c>
      <c r="U767" s="34" t="s">
        <v>1571</v>
      </c>
      <c r="V767" s="34" t="s">
        <v>1573</v>
      </c>
      <c r="W767" s="141" t="s">
        <v>1574</v>
      </c>
      <c r="X767" s="140" t="s">
        <v>803</v>
      </c>
    </row>
    <row r="768" spans="1:24" x14ac:dyDescent="0.35">
      <c r="A768" s="34">
        <v>2021</v>
      </c>
      <c r="B768" s="34" t="s">
        <v>605</v>
      </c>
      <c r="C768" s="34" t="s">
        <v>1575</v>
      </c>
      <c r="D768" s="34" t="s">
        <v>606</v>
      </c>
      <c r="E768" s="34" t="s">
        <v>1576</v>
      </c>
      <c r="F768" s="34" t="s">
        <v>126</v>
      </c>
      <c r="G768" s="34"/>
      <c r="H768" s="34">
        <v>41.570210000000003</v>
      </c>
      <c r="I768" s="34">
        <v>-73.599559999999997</v>
      </c>
      <c r="J768" s="34"/>
      <c r="K768" s="105">
        <v>110000324765</v>
      </c>
      <c r="L768" s="34">
        <v>3069</v>
      </c>
      <c r="M768" s="48" t="str">
        <f>VLOOKUP(L768, '2017 SIC to NAICS'!A:D, 2)</f>
        <v>Fabricated Rubber Products, Nec</v>
      </c>
      <c r="N768" s="34">
        <f>VLOOKUP(L768,'2017 SIC to NAICS'!A:D,3)</f>
        <v>339930</v>
      </c>
      <c r="O768" s="34" t="str">
        <f>VLOOKUP(L768,'2017 SIC to NAICS'!A:D,4)</f>
        <v>Doll, Toy, and Game Manufacturing</v>
      </c>
      <c r="P768" s="36" t="s">
        <v>1228</v>
      </c>
      <c r="Q768" s="137" t="s">
        <v>1229</v>
      </c>
      <c r="R768" s="45" t="s">
        <v>41</v>
      </c>
      <c r="S768" s="138">
        <f>COUNTIFS('Raw Non-zero DMR Data'!$A:$A, A768, 'Raw Non-zero DMR Data'!$C:$C, U768, 'Raw Non-zero DMR Data'!$V:$V, V768)</f>
        <v>1</v>
      </c>
      <c r="T768" s="34">
        <f>SUMIFS('Raw Non-zero DMR Data'!$X:$X, 'Raw Non-zero DMR Data'!$A:$A, A768, 'Raw Non-zero DMR Data'!$C:$C, U768, 'Raw Non-zero DMR Data'!V:V, V768)</f>
        <v>7.7652778963750004E-3</v>
      </c>
      <c r="U768" s="34" t="s">
        <v>1575</v>
      </c>
      <c r="V768" s="34" t="s">
        <v>1577</v>
      </c>
      <c r="W768" s="139">
        <v>11000050505</v>
      </c>
      <c r="X768" s="140" t="s">
        <v>812</v>
      </c>
    </row>
    <row r="769" spans="1:24" x14ac:dyDescent="0.35">
      <c r="A769" s="34">
        <v>2022</v>
      </c>
      <c r="B769" s="34" t="s">
        <v>605</v>
      </c>
      <c r="C769" s="34" t="s">
        <v>1575</v>
      </c>
      <c r="D769" s="34" t="s">
        <v>606</v>
      </c>
      <c r="E769" s="34" t="s">
        <v>1576</v>
      </c>
      <c r="F769" s="34" t="s">
        <v>126</v>
      </c>
      <c r="G769" s="34"/>
      <c r="H769" s="34">
        <v>41.570210000000003</v>
      </c>
      <c r="I769" s="34">
        <v>-73.599559999999997</v>
      </c>
      <c r="J769" s="34"/>
      <c r="K769" s="105">
        <v>110000324765</v>
      </c>
      <c r="L769" s="34">
        <v>3069</v>
      </c>
      <c r="M769" s="48" t="str">
        <f>VLOOKUP(L769, '2017 SIC to NAICS'!A:D, 2)</f>
        <v>Fabricated Rubber Products, Nec</v>
      </c>
      <c r="N769" s="34">
        <f>VLOOKUP(L769,'2017 SIC to NAICS'!A:D,3)</f>
        <v>339930</v>
      </c>
      <c r="O769" s="34" t="str">
        <f>VLOOKUP(L769,'2017 SIC to NAICS'!A:D,4)</f>
        <v>Doll, Toy, and Game Manufacturing</v>
      </c>
      <c r="P769" s="36" t="s">
        <v>1228</v>
      </c>
      <c r="Q769" s="137" t="s">
        <v>1229</v>
      </c>
      <c r="R769" s="45" t="s">
        <v>41</v>
      </c>
      <c r="S769" s="138">
        <f>COUNTIFS('Raw Non-zero DMR Data'!$A:$A, A769, 'Raw Non-zero DMR Data'!$C:$C, U769, 'Raw Non-zero DMR Data'!$V:$V, V769)</f>
        <v>1</v>
      </c>
      <c r="T769" s="34">
        <f>SUMIFS('Raw Non-zero DMR Data'!$X:$X, 'Raw Non-zero DMR Data'!$A:$A, A769, 'Raw Non-zero DMR Data'!$C:$C, U769, 'Raw Non-zero DMR Data'!V:V, V769)</f>
        <v>7.7222851222499998E-3</v>
      </c>
      <c r="U769" s="34" t="s">
        <v>1575</v>
      </c>
      <c r="V769" s="34" t="s">
        <v>1577</v>
      </c>
      <c r="W769" s="141" t="s">
        <v>1578</v>
      </c>
      <c r="X769" s="140" t="s">
        <v>812</v>
      </c>
    </row>
    <row r="770" spans="1:24" x14ac:dyDescent="0.35">
      <c r="A770" s="34">
        <v>2023</v>
      </c>
      <c r="B770" s="34" t="s">
        <v>605</v>
      </c>
      <c r="C770" s="34" t="s">
        <v>1575</v>
      </c>
      <c r="D770" s="34" t="s">
        <v>606</v>
      </c>
      <c r="E770" s="34" t="s">
        <v>1576</v>
      </c>
      <c r="F770" s="34" t="s">
        <v>126</v>
      </c>
      <c r="G770" s="34"/>
      <c r="H770" s="34">
        <v>41.570210000000003</v>
      </c>
      <c r="I770" s="34">
        <v>-73.599559999999997</v>
      </c>
      <c r="J770" s="34"/>
      <c r="K770" s="105">
        <v>110000324765</v>
      </c>
      <c r="L770" s="34">
        <v>3069</v>
      </c>
      <c r="M770" s="48" t="str">
        <f>VLOOKUP(L770, '2017 SIC to NAICS'!A:D, 2)</f>
        <v>Fabricated Rubber Products, Nec</v>
      </c>
      <c r="N770" s="34">
        <f>VLOOKUP(L770,'2017 SIC to NAICS'!A:D,3)</f>
        <v>339930</v>
      </c>
      <c r="O770" s="34" t="str">
        <f>VLOOKUP(L770,'2017 SIC to NAICS'!A:D,4)</f>
        <v>Doll, Toy, and Game Manufacturing</v>
      </c>
      <c r="P770" s="36" t="s">
        <v>1228</v>
      </c>
      <c r="Q770" s="137" t="s">
        <v>1229</v>
      </c>
      <c r="R770" s="45" t="s">
        <v>41</v>
      </c>
      <c r="S770" s="138">
        <f>COUNTIFS('Raw Non-zero DMR Data'!$A:$A, A770, 'Raw Non-zero DMR Data'!$C:$C, U770, 'Raw Non-zero DMR Data'!$V:$V, V770)</f>
        <v>1</v>
      </c>
      <c r="T770" s="34">
        <f>SUMIFS('Raw Non-zero DMR Data'!$X:$X, 'Raw Non-zero DMR Data'!$A:$A, A770, 'Raw Non-zero DMR Data'!$C:$C, U770, 'Raw Non-zero DMR Data'!V:V, V770)</f>
        <v>1.1981612711375E-2</v>
      </c>
      <c r="U770" s="34" t="s">
        <v>1575</v>
      </c>
      <c r="V770" s="34" t="s">
        <v>1577</v>
      </c>
      <c r="W770" s="141" t="s">
        <v>1578</v>
      </c>
      <c r="X770" s="140" t="s">
        <v>812</v>
      </c>
    </row>
    <row r="771" spans="1:24" x14ac:dyDescent="0.35">
      <c r="A771" s="34">
        <v>2019</v>
      </c>
      <c r="B771" s="34" t="s">
        <v>375</v>
      </c>
      <c r="C771" s="34" t="s">
        <v>1579</v>
      </c>
      <c r="D771" s="34" t="s">
        <v>376</v>
      </c>
      <c r="E771" s="34" t="s">
        <v>128</v>
      </c>
      <c r="F771" s="34" t="s">
        <v>126</v>
      </c>
      <c r="G771" s="34"/>
      <c r="H771" s="34">
        <v>43.285654999999998</v>
      </c>
      <c r="I771" s="34">
        <v>-73.589192999999995</v>
      </c>
      <c r="J771" s="34"/>
      <c r="K771" s="105">
        <v>110000324569</v>
      </c>
      <c r="L771" s="34">
        <v>3612</v>
      </c>
      <c r="M771" s="48" t="str">
        <f>VLOOKUP(L771, '2017 SIC to NAICS'!A:D, 2)</f>
        <v>Power, Distribution and Specialty
Transformers</v>
      </c>
      <c r="N771" s="34">
        <f>VLOOKUP(L771,'2017 SIC to NAICS'!A:D,3)</f>
        <v>335311</v>
      </c>
      <c r="O771" s="34" t="str">
        <f>VLOOKUP(L771,'2017 SIC to NAICS'!A:D,4)</f>
        <v>Power, Distribution, and Specialty
Transformer Manufacturing</v>
      </c>
      <c r="P771" s="36" t="s">
        <v>1360</v>
      </c>
      <c r="Q771" s="137" t="s">
        <v>1361</v>
      </c>
      <c r="R771" s="45" t="s">
        <v>41</v>
      </c>
      <c r="S771" s="138">
        <f>COUNTIFS('Raw Non-zero DMR Data'!$A:$A, A771, 'Raw Non-zero DMR Data'!$C:$C, U771, 'Raw Non-zero DMR Data'!$V:$V, V771)</f>
        <v>1</v>
      </c>
      <c r="T771" s="34">
        <f>SUMIFS('Raw Non-zero DMR Data'!$X:$X, 'Raw Non-zero DMR Data'!$A:$A, A771, 'Raw Non-zero DMR Data'!$C:$C, U771, 'Raw Non-zero DMR Data'!V:V, V771)</f>
        <v>0.24647659999999999</v>
      </c>
      <c r="U771" s="34" t="s">
        <v>1579</v>
      </c>
      <c r="V771" s="34" t="s">
        <v>1580</v>
      </c>
      <c r="W771" s="139">
        <v>20200030506</v>
      </c>
      <c r="X771" s="140" t="s">
        <v>812</v>
      </c>
    </row>
    <row r="772" spans="1:24" x14ac:dyDescent="0.35">
      <c r="A772" s="34">
        <v>2020</v>
      </c>
      <c r="B772" s="34" t="s">
        <v>375</v>
      </c>
      <c r="C772" s="34" t="s">
        <v>1579</v>
      </c>
      <c r="D772" s="34" t="s">
        <v>376</v>
      </c>
      <c r="E772" s="34" t="s">
        <v>128</v>
      </c>
      <c r="F772" s="34" t="s">
        <v>126</v>
      </c>
      <c r="G772" s="34"/>
      <c r="H772" s="34">
        <v>43.285654999999998</v>
      </c>
      <c r="I772" s="34">
        <v>-73.589192999999995</v>
      </c>
      <c r="J772" s="34"/>
      <c r="K772" s="105">
        <v>110000324569</v>
      </c>
      <c r="L772" s="34">
        <v>3612</v>
      </c>
      <c r="M772" s="48" t="str">
        <f>VLOOKUP(L772, '2017 SIC to NAICS'!A:D, 2)</f>
        <v>Power, Distribution and Specialty
Transformers</v>
      </c>
      <c r="N772" s="34">
        <f>VLOOKUP(L772,'2017 SIC to NAICS'!A:D,3)</f>
        <v>335311</v>
      </c>
      <c r="O772" s="34" t="str">
        <f>VLOOKUP(L772,'2017 SIC to NAICS'!A:D,4)</f>
        <v>Power, Distribution, and Specialty
Transformer Manufacturing</v>
      </c>
      <c r="P772" s="36" t="s">
        <v>1360</v>
      </c>
      <c r="Q772" s="137" t="s">
        <v>1361</v>
      </c>
      <c r="R772" s="45" t="s">
        <v>41</v>
      </c>
      <c r="S772" s="138">
        <f>COUNTIFS('Raw Non-zero DMR Data'!$A:$A, A772, 'Raw Non-zero DMR Data'!$C:$C, U772, 'Raw Non-zero DMR Data'!$V:$V, V772)</f>
        <v>1</v>
      </c>
      <c r="T772" s="34">
        <f>SUMIFS('Raw Non-zero DMR Data'!$X:$X, 'Raw Non-zero DMR Data'!$A:$A, A772, 'Raw Non-zero DMR Data'!$C:$C, U772, 'Raw Non-zero DMR Data'!V:V, V772)</f>
        <v>0.32688</v>
      </c>
      <c r="U772" s="34" t="s">
        <v>1579</v>
      </c>
      <c r="V772" s="34" t="s">
        <v>1580</v>
      </c>
      <c r="W772" s="139">
        <v>20200030506</v>
      </c>
      <c r="X772" s="140" t="s">
        <v>812</v>
      </c>
    </row>
    <row r="773" spans="1:24" x14ac:dyDescent="0.35">
      <c r="A773" s="34">
        <v>2019</v>
      </c>
      <c r="B773" s="34" t="s">
        <v>528</v>
      </c>
      <c r="C773" s="34" t="s">
        <v>1581</v>
      </c>
      <c r="D773" s="34" t="s">
        <v>143</v>
      </c>
      <c r="E773" s="34" t="s">
        <v>1582</v>
      </c>
      <c r="F773" s="34" t="s">
        <v>126</v>
      </c>
      <c r="G773" s="34"/>
      <c r="H773" s="34">
        <v>43.087819000000003</v>
      </c>
      <c r="I773" s="34">
        <v>-75.182382000000004</v>
      </c>
      <c r="J773" s="34"/>
      <c r="K773" s="105">
        <v>110019560722</v>
      </c>
      <c r="L773" s="34">
        <v>9511</v>
      </c>
      <c r="M773" s="48" t="str">
        <f>VLOOKUP(L773, '2017 SIC to NAICS'!A:D, 2)</f>
        <v>Air, Water, and Solid Waste Management</v>
      </c>
      <c r="N773" s="34">
        <f>VLOOKUP(L773,'2017 SIC to NAICS'!A:D,3)</f>
        <v>924110</v>
      </c>
      <c r="O773" s="34" t="str">
        <f>VLOOKUP(L773,'2017 SIC to NAICS'!A:D,4)</f>
        <v>Administration of Air and Water Resource
and Solid Waste Management Programs</v>
      </c>
      <c r="P773" s="36" t="s">
        <v>754</v>
      </c>
      <c r="Q773" s="137" t="s">
        <v>755</v>
      </c>
      <c r="R773" s="45" t="s">
        <v>41</v>
      </c>
      <c r="S773" s="138">
        <f>COUNTIFS('Raw Non-zero DMR Data'!$A:$A, A773, 'Raw Non-zero DMR Data'!$C:$C, U773, 'Raw Non-zero DMR Data'!$V:$V, V773)</f>
        <v>1</v>
      </c>
      <c r="T773" s="34">
        <f>SUMIFS('Raw Non-zero DMR Data'!$X:$X, 'Raw Non-zero DMR Data'!$A:$A, A773, 'Raw Non-zero DMR Data'!$C:$C, U773, 'Raw Non-zero DMR Data'!V:V, V773)</f>
        <v>2.5043140237500001E-2</v>
      </c>
      <c r="U773" s="34" t="s">
        <v>1581</v>
      </c>
      <c r="V773" s="34" t="s">
        <v>1583</v>
      </c>
      <c r="W773" s="139">
        <v>20200040311</v>
      </c>
      <c r="X773" s="140" t="s">
        <v>745</v>
      </c>
    </row>
    <row r="774" spans="1:24" x14ac:dyDescent="0.35">
      <c r="A774" s="34">
        <v>2020</v>
      </c>
      <c r="B774" s="34" t="s">
        <v>528</v>
      </c>
      <c r="C774" s="34" t="s">
        <v>1581</v>
      </c>
      <c r="D774" s="34" t="s">
        <v>143</v>
      </c>
      <c r="E774" s="34" t="s">
        <v>1582</v>
      </c>
      <c r="F774" s="34" t="s">
        <v>126</v>
      </c>
      <c r="G774" s="34"/>
      <c r="H774" s="34">
        <v>43.087819000000003</v>
      </c>
      <c r="I774" s="34">
        <v>-75.182382000000004</v>
      </c>
      <c r="J774" s="34"/>
      <c r="K774" s="105">
        <v>110019560722</v>
      </c>
      <c r="L774" s="34">
        <v>9511</v>
      </c>
      <c r="M774" s="48" t="str">
        <f>VLOOKUP(L774, '2017 SIC to NAICS'!A:D, 2)</f>
        <v>Air, Water, and Solid Waste Management</v>
      </c>
      <c r="N774" s="34">
        <f>VLOOKUP(L774,'2017 SIC to NAICS'!A:D,3)</f>
        <v>924110</v>
      </c>
      <c r="O774" s="34" t="str">
        <f>VLOOKUP(L774,'2017 SIC to NAICS'!A:D,4)</f>
        <v>Administration of Air and Water Resource
and Solid Waste Management Programs</v>
      </c>
      <c r="P774" s="36" t="s">
        <v>754</v>
      </c>
      <c r="Q774" s="137" t="s">
        <v>755</v>
      </c>
      <c r="R774" s="45" t="s">
        <v>41</v>
      </c>
      <c r="S774" s="138">
        <f>COUNTIFS('Raw Non-zero DMR Data'!$A:$A, A774, 'Raw Non-zero DMR Data'!$C:$C, U774, 'Raw Non-zero DMR Data'!$V:$V, V774)</f>
        <v>1</v>
      </c>
      <c r="T774" s="34">
        <f>SUMIFS('Raw Non-zero DMR Data'!$X:$X, 'Raw Non-zero DMR Data'!$A:$A, A774, 'Raw Non-zero DMR Data'!$C:$C, U774, 'Raw Non-zero DMR Data'!V:V, V774)</f>
        <v>2.0186900075E-2</v>
      </c>
      <c r="U774" s="34" t="s">
        <v>1581</v>
      </c>
      <c r="V774" s="34" t="s">
        <v>1583</v>
      </c>
      <c r="W774" s="139">
        <v>20200040311</v>
      </c>
      <c r="X774" s="140" t="s">
        <v>745</v>
      </c>
    </row>
    <row r="775" spans="1:24" x14ac:dyDescent="0.35">
      <c r="A775" s="34">
        <v>2021</v>
      </c>
      <c r="B775" s="34" t="s">
        <v>528</v>
      </c>
      <c r="C775" s="34" t="s">
        <v>1581</v>
      </c>
      <c r="D775" s="34" t="s">
        <v>143</v>
      </c>
      <c r="E775" s="34" t="s">
        <v>1582</v>
      </c>
      <c r="F775" s="34" t="s">
        <v>126</v>
      </c>
      <c r="G775" s="34"/>
      <c r="H775" s="34">
        <v>43.087819000000003</v>
      </c>
      <c r="I775" s="34">
        <v>-75.182382000000004</v>
      </c>
      <c r="J775" s="34"/>
      <c r="K775" s="105">
        <v>110019560722</v>
      </c>
      <c r="L775" s="34">
        <v>9511</v>
      </c>
      <c r="M775" s="48" t="str">
        <f>VLOOKUP(L775, '2017 SIC to NAICS'!A:D, 2)</f>
        <v>Air, Water, and Solid Waste Management</v>
      </c>
      <c r="N775" s="34">
        <f>VLOOKUP(L775,'2017 SIC to NAICS'!A:D,3)</f>
        <v>924110</v>
      </c>
      <c r="O775" s="34" t="str">
        <f>VLOOKUP(L775,'2017 SIC to NAICS'!A:D,4)</f>
        <v>Administration of Air and Water Resource
and Solid Waste Management Programs</v>
      </c>
      <c r="P775" s="36" t="s">
        <v>754</v>
      </c>
      <c r="Q775" s="137" t="s">
        <v>755</v>
      </c>
      <c r="R775" s="45" t="s">
        <v>41</v>
      </c>
      <c r="S775" s="138">
        <f>COUNTIFS('Raw Non-zero DMR Data'!$A:$A, A775, 'Raw Non-zero DMR Data'!$C:$C, U775, 'Raw Non-zero DMR Data'!$V:$V, V775)</f>
        <v>1</v>
      </c>
      <c r="T775" s="34">
        <f>SUMIFS('Raw Non-zero DMR Data'!$X:$X, 'Raw Non-zero DMR Data'!$A:$A, A775, 'Raw Non-zero DMR Data'!$C:$C, U775, 'Raw Non-zero DMR Data'!V:V, V775)</f>
        <v>3.4574483709999999E-2</v>
      </c>
      <c r="U775" s="34" t="s">
        <v>1581</v>
      </c>
      <c r="V775" s="34" t="s">
        <v>1583</v>
      </c>
      <c r="W775" s="139">
        <v>20200040311</v>
      </c>
      <c r="X775" s="140" t="s">
        <v>745</v>
      </c>
    </row>
    <row r="776" spans="1:24" x14ac:dyDescent="0.35">
      <c r="A776" s="34">
        <v>2022</v>
      </c>
      <c r="B776" s="34" t="s">
        <v>528</v>
      </c>
      <c r="C776" s="34" t="s">
        <v>1581</v>
      </c>
      <c r="D776" s="34" t="s">
        <v>143</v>
      </c>
      <c r="E776" s="34" t="s">
        <v>1582</v>
      </c>
      <c r="F776" s="34" t="s">
        <v>126</v>
      </c>
      <c r="G776" s="34"/>
      <c r="H776" s="34">
        <v>43.087819000000003</v>
      </c>
      <c r="I776" s="34">
        <v>-75.182382000000004</v>
      </c>
      <c r="J776" s="34"/>
      <c r="K776" s="105">
        <v>110019560722</v>
      </c>
      <c r="L776" s="34">
        <v>9511</v>
      </c>
      <c r="M776" s="48" t="str">
        <f>VLOOKUP(L776, '2017 SIC to NAICS'!A:D, 2)</f>
        <v>Air, Water, and Solid Waste Management</v>
      </c>
      <c r="N776" s="34">
        <f>VLOOKUP(L776,'2017 SIC to NAICS'!A:D,3)</f>
        <v>924110</v>
      </c>
      <c r="O776" s="34" t="str">
        <f>VLOOKUP(L776,'2017 SIC to NAICS'!A:D,4)</f>
        <v>Administration of Air and Water Resource
and Solid Waste Management Programs</v>
      </c>
      <c r="P776" s="36" t="s">
        <v>754</v>
      </c>
      <c r="Q776" s="137" t="s">
        <v>755</v>
      </c>
      <c r="R776" s="45" t="s">
        <v>41</v>
      </c>
      <c r="S776" s="138">
        <f>COUNTIFS('Raw Non-zero DMR Data'!$A:$A, A776, 'Raw Non-zero DMR Data'!$C:$C, U776, 'Raw Non-zero DMR Data'!$V:$V, V776)</f>
        <v>1</v>
      </c>
      <c r="T776" s="34">
        <f>SUMIFS('Raw Non-zero DMR Data'!$X:$X, 'Raw Non-zero DMR Data'!$A:$A, A776, 'Raw Non-zero DMR Data'!$C:$C, U776, 'Raw Non-zero DMR Data'!V:V, V776)</f>
        <v>2.0643938824999999E-2</v>
      </c>
      <c r="U776" s="34" t="s">
        <v>1581</v>
      </c>
      <c r="V776" s="34" t="s">
        <v>1583</v>
      </c>
      <c r="W776" s="141" t="s">
        <v>1584</v>
      </c>
      <c r="X776" s="140" t="s">
        <v>745</v>
      </c>
    </row>
    <row r="777" spans="1:24" x14ac:dyDescent="0.35">
      <c r="A777" s="34">
        <v>2023</v>
      </c>
      <c r="B777" s="34" t="s">
        <v>528</v>
      </c>
      <c r="C777" s="34" t="s">
        <v>1581</v>
      </c>
      <c r="D777" s="34" t="s">
        <v>143</v>
      </c>
      <c r="E777" s="34" t="s">
        <v>1582</v>
      </c>
      <c r="F777" s="34" t="s">
        <v>126</v>
      </c>
      <c r="G777" s="34"/>
      <c r="H777" s="34">
        <v>43.087819000000003</v>
      </c>
      <c r="I777" s="34">
        <v>-75.182382000000004</v>
      </c>
      <c r="J777" s="34"/>
      <c r="K777" s="105">
        <v>110019560722</v>
      </c>
      <c r="L777" s="34">
        <v>9511</v>
      </c>
      <c r="M777" s="48" t="str">
        <f>VLOOKUP(L777, '2017 SIC to NAICS'!A:D, 2)</f>
        <v>Air, Water, and Solid Waste Management</v>
      </c>
      <c r="N777" s="34">
        <f>VLOOKUP(L777,'2017 SIC to NAICS'!A:D,3)</f>
        <v>924110</v>
      </c>
      <c r="O777" s="34" t="str">
        <f>VLOOKUP(L777,'2017 SIC to NAICS'!A:D,4)</f>
        <v>Administration of Air and Water Resource
and Solid Waste Management Programs</v>
      </c>
      <c r="P777" s="36" t="s">
        <v>754</v>
      </c>
      <c r="Q777" s="137" t="s">
        <v>755</v>
      </c>
      <c r="R777" s="45" t="s">
        <v>41</v>
      </c>
      <c r="S777" s="138">
        <f>COUNTIFS('Raw Non-zero DMR Data'!$A:$A, A777, 'Raw Non-zero DMR Data'!$C:$C, U777, 'Raw Non-zero DMR Data'!$V:$V, V777)</f>
        <v>1</v>
      </c>
      <c r="T777" s="34">
        <f>SUMIFS('Raw Non-zero DMR Data'!$X:$X, 'Raw Non-zero DMR Data'!$A:$A, A777, 'Raw Non-zero DMR Data'!$C:$C, U777, 'Raw Non-zero DMR Data'!V:V, V777)</f>
        <v>1.774449635E-2</v>
      </c>
      <c r="U777" s="34" t="s">
        <v>1581</v>
      </c>
      <c r="V777" s="34" t="s">
        <v>1583</v>
      </c>
      <c r="W777" s="141" t="s">
        <v>1584</v>
      </c>
      <c r="X777" s="140" t="s">
        <v>745</v>
      </c>
    </row>
    <row r="778" spans="1:24" x14ac:dyDescent="0.35">
      <c r="A778" s="34">
        <v>2019</v>
      </c>
      <c r="B778" s="34" t="s">
        <v>310</v>
      </c>
      <c r="C778" s="34" t="s">
        <v>1585</v>
      </c>
      <c r="D778" s="34" t="s">
        <v>311</v>
      </c>
      <c r="E778" s="34" t="s">
        <v>311</v>
      </c>
      <c r="F778" s="34" t="s">
        <v>126</v>
      </c>
      <c r="G778" s="34"/>
      <c r="H778" s="34">
        <v>42.593527999999999</v>
      </c>
      <c r="I778" s="34">
        <v>-76.155360999999999</v>
      </c>
      <c r="J778" s="34"/>
      <c r="K778" s="105">
        <v>110009827143</v>
      </c>
      <c r="L778" s="34">
        <v>9999</v>
      </c>
      <c r="M778" s="48" t="str">
        <f>VLOOKUP(L778, '2017 SIC to NAICS'!A:D, 2)</f>
        <v>Nonclassifiable Establishments</v>
      </c>
      <c r="N778" s="34">
        <f>VLOOKUP(L778,'2017 SIC to NAICS'!A:D,3)</f>
        <v>0</v>
      </c>
      <c r="O778" s="34">
        <f>VLOOKUP(L778,'2017 SIC to NAICS'!A:D,4)</f>
        <v>0</v>
      </c>
      <c r="P778" s="36" t="s">
        <v>737</v>
      </c>
      <c r="Q778" s="137" t="s">
        <v>737</v>
      </c>
      <c r="R778" s="45" t="s">
        <v>41</v>
      </c>
      <c r="S778" s="138">
        <f>COUNTIFS('Raw Non-zero DMR Data'!$A:$A, A778, 'Raw Non-zero DMR Data'!$C:$C, U778, 'Raw Non-zero DMR Data'!$V:$V, V778)</f>
        <v>1</v>
      </c>
      <c r="T778" s="34">
        <f>SUMIFS('Raw Non-zero DMR Data'!$X:$X, 'Raw Non-zero DMR Data'!$A:$A, A778, 'Raw Non-zero DMR Data'!$C:$C, U778, 'Raw Non-zero DMR Data'!V:V, V778)</f>
        <v>0.63469200000000003</v>
      </c>
      <c r="U778" s="34" t="s">
        <v>1585</v>
      </c>
      <c r="V778" s="34" t="s">
        <v>1586</v>
      </c>
      <c r="W778" s="139">
        <v>20501020403</v>
      </c>
      <c r="X778" s="140" t="s">
        <v>739</v>
      </c>
    </row>
    <row r="779" spans="1:24" x14ac:dyDescent="0.35">
      <c r="A779" s="34">
        <v>2020</v>
      </c>
      <c r="B779" s="34" t="s">
        <v>310</v>
      </c>
      <c r="C779" s="34" t="s">
        <v>1585</v>
      </c>
      <c r="D779" s="34" t="s">
        <v>311</v>
      </c>
      <c r="E779" s="34" t="s">
        <v>311</v>
      </c>
      <c r="F779" s="34" t="s">
        <v>126</v>
      </c>
      <c r="G779" s="34"/>
      <c r="H779" s="34">
        <v>42.593527999999999</v>
      </c>
      <c r="I779" s="34">
        <v>-76.155360999999999</v>
      </c>
      <c r="J779" s="34"/>
      <c r="K779" s="105">
        <v>110009827143</v>
      </c>
      <c r="L779" s="34">
        <v>9999</v>
      </c>
      <c r="M779" s="48" t="str">
        <f>VLOOKUP(L779, '2017 SIC to NAICS'!A:D, 2)</f>
        <v>Nonclassifiable Establishments</v>
      </c>
      <c r="N779" s="34">
        <f>VLOOKUP(L779,'2017 SIC to NAICS'!A:D,3)</f>
        <v>0</v>
      </c>
      <c r="O779" s="34">
        <f>VLOOKUP(L779,'2017 SIC to NAICS'!A:D,4)</f>
        <v>0</v>
      </c>
      <c r="P779" s="36" t="s">
        <v>737</v>
      </c>
      <c r="Q779" s="137" t="s">
        <v>737</v>
      </c>
      <c r="R779" s="45" t="s">
        <v>41</v>
      </c>
      <c r="S779" s="138">
        <f>COUNTIFS('Raw Non-zero DMR Data'!$A:$A, A779, 'Raw Non-zero DMR Data'!$C:$C, U779, 'Raw Non-zero DMR Data'!$V:$V, V779)</f>
        <v>1</v>
      </c>
      <c r="T779" s="34">
        <f>SUMIFS('Raw Non-zero DMR Data'!$X:$X, 'Raw Non-zero DMR Data'!$A:$A, A779, 'Raw Non-zero DMR Data'!$C:$C, U779, 'Raw Non-zero DMR Data'!V:V, V779)</f>
        <v>0.50757200000000002</v>
      </c>
      <c r="U779" s="34" t="s">
        <v>1585</v>
      </c>
      <c r="V779" s="34" t="s">
        <v>1586</v>
      </c>
      <c r="W779" s="139">
        <v>20501020403</v>
      </c>
      <c r="X779" s="140" t="s">
        <v>739</v>
      </c>
    </row>
    <row r="780" spans="1:24" x14ac:dyDescent="0.35">
      <c r="A780" s="34">
        <v>2021</v>
      </c>
      <c r="B780" s="34" t="s">
        <v>310</v>
      </c>
      <c r="C780" s="34" t="s">
        <v>1585</v>
      </c>
      <c r="D780" s="34" t="s">
        <v>311</v>
      </c>
      <c r="E780" s="34" t="s">
        <v>311</v>
      </c>
      <c r="F780" s="34" t="s">
        <v>126</v>
      </c>
      <c r="G780" s="34"/>
      <c r="H780" s="34">
        <v>42.593527999999999</v>
      </c>
      <c r="I780" s="34">
        <v>-76.155360999999999</v>
      </c>
      <c r="J780" s="34"/>
      <c r="K780" s="105">
        <v>110009827143</v>
      </c>
      <c r="L780" s="34">
        <v>9999</v>
      </c>
      <c r="M780" s="48" t="str">
        <f>VLOOKUP(L780, '2017 SIC to NAICS'!A:D, 2)</f>
        <v>Nonclassifiable Establishments</v>
      </c>
      <c r="N780" s="34">
        <f>VLOOKUP(L780,'2017 SIC to NAICS'!A:D,3)</f>
        <v>0</v>
      </c>
      <c r="O780" s="34">
        <f>VLOOKUP(L780,'2017 SIC to NAICS'!A:D,4)</f>
        <v>0</v>
      </c>
      <c r="P780" s="36" t="s">
        <v>737</v>
      </c>
      <c r="Q780" s="137" t="s">
        <v>737</v>
      </c>
      <c r="R780" s="45" t="s">
        <v>41</v>
      </c>
      <c r="S780" s="138">
        <f>COUNTIFS('Raw Non-zero DMR Data'!$A:$A, A780, 'Raw Non-zero DMR Data'!$C:$C, U780, 'Raw Non-zero DMR Data'!$V:$V, V780)</f>
        <v>1</v>
      </c>
      <c r="T780" s="34">
        <f>SUMIFS('Raw Non-zero DMR Data'!$X:$X, 'Raw Non-zero DMR Data'!$A:$A, A780, 'Raw Non-zero DMR Data'!$C:$C, U780, 'Raw Non-zero DMR Data'!V:V, V780)</f>
        <v>0.893926</v>
      </c>
      <c r="U780" s="34" t="s">
        <v>1585</v>
      </c>
      <c r="V780" s="34" t="s">
        <v>1586</v>
      </c>
      <c r="W780" s="139">
        <v>20501020403</v>
      </c>
      <c r="X780" s="140" t="s">
        <v>739</v>
      </c>
    </row>
    <row r="781" spans="1:24" x14ac:dyDescent="0.35">
      <c r="A781" s="34">
        <v>2022</v>
      </c>
      <c r="B781" s="34" t="s">
        <v>310</v>
      </c>
      <c r="C781" s="34" t="s">
        <v>1585</v>
      </c>
      <c r="D781" s="34" t="s">
        <v>311</v>
      </c>
      <c r="E781" s="34" t="s">
        <v>311</v>
      </c>
      <c r="F781" s="34" t="s">
        <v>126</v>
      </c>
      <c r="G781" s="34"/>
      <c r="H781" s="34">
        <v>42.593527999999999</v>
      </c>
      <c r="I781" s="34">
        <v>-76.155360999999999</v>
      </c>
      <c r="J781" s="34"/>
      <c r="K781" s="105">
        <v>110009827143</v>
      </c>
      <c r="L781" s="34">
        <v>9999</v>
      </c>
      <c r="M781" s="48" t="str">
        <f>VLOOKUP(L781, '2017 SIC to NAICS'!A:D, 2)</f>
        <v>Nonclassifiable Establishments</v>
      </c>
      <c r="N781" s="34">
        <f>VLOOKUP(L781,'2017 SIC to NAICS'!A:D,3)</f>
        <v>0</v>
      </c>
      <c r="O781" s="34">
        <f>VLOOKUP(L781,'2017 SIC to NAICS'!A:D,4)</f>
        <v>0</v>
      </c>
      <c r="P781" s="36" t="s">
        <v>737</v>
      </c>
      <c r="Q781" s="137" t="s">
        <v>737</v>
      </c>
      <c r="R781" s="45" t="s">
        <v>41</v>
      </c>
      <c r="S781" s="138">
        <f>COUNTIFS('Raw Non-zero DMR Data'!$A:$A, A781, 'Raw Non-zero DMR Data'!$C:$C, U781, 'Raw Non-zero DMR Data'!$V:$V, V781)</f>
        <v>1</v>
      </c>
      <c r="T781" s="34">
        <f>SUMIFS('Raw Non-zero DMR Data'!$X:$X, 'Raw Non-zero DMR Data'!$A:$A, A781, 'Raw Non-zero DMR Data'!$C:$C, U781, 'Raw Non-zero DMR Data'!V:V, V781)</f>
        <v>0.88666199999999995</v>
      </c>
      <c r="U781" s="34" t="s">
        <v>1585</v>
      </c>
      <c r="V781" s="34" t="s">
        <v>1586</v>
      </c>
      <c r="W781" s="141" t="s">
        <v>1587</v>
      </c>
      <c r="X781" s="140" t="s">
        <v>739</v>
      </c>
    </row>
    <row r="782" spans="1:24" x14ac:dyDescent="0.35">
      <c r="A782" s="34">
        <v>2023</v>
      </c>
      <c r="B782" s="34" t="s">
        <v>310</v>
      </c>
      <c r="C782" s="34" t="s">
        <v>1585</v>
      </c>
      <c r="D782" s="34" t="s">
        <v>311</v>
      </c>
      <c r="E782" s="34" t="s">
        <v>311</v>
      </c>
      <c r="F782" s="34" t="s">
        <v>126</v>
      </c>
      <c r="G782" s="34"/>
      <c r="H782" s="34">
        <v>42.593527999999999</v>
      </c>
      <c r="I782" s="34">
        <v>-76.155360999999999</v>
      </c>
      <c r="J782" s="34"/>
      <c r="K782" s="105">
        <v>110009827143</v>
      </c>
      <c r="L782" s="34">
        <v>9999</v>
      </c>
      <c r="M782" s="48" t="str">
        <f>VLOOKUP(L782, '2017 SIC to NAICS'!A:D, 2)</f>
        <v>Nonclassifiable Establishments</v>
      </c>
      <c r="N782" s="34">
        <f>VLOOKUP(L782,'2017 SIC to NAICS'!A:D,3)</f>
        <v>0</v>
      </c>
      <c r="O782" s="34">
        <f>VLOOKUP(L782,'2017 SIC to NAICS'!A:D,4)</f>
        <v>0</v>
      </c>
      <c r="P782" s="36" t="s">
        <v>737</v>
      </c>
      <c r="Q782" s="137" t="s">
        <v>737</v>
      </c>
      <c r="R782" s="45" t="s">
        <v>41</v>
      </c>
      <c r="S782" s="138">
        <f>COUNTIFS('Raw Non-zero DMR Data'!$A:$A, A782, 'Raw Non-zero DMR Data'!$C:$C, U782, 'Raw Non-zero DMR Data'!$V:$V, V782)</f>
        <v>1</v>
      </c>
      <c r="T782" s="34">
        <f>SUMIFS('Raw Non-zero DMR Data'!$X:$X, 'Raw Non-zero DMR Data'!$A:$A, A782, 'Raw Non-zero DMR Data'!$C:$C, U782, 'Raw Non-zero DMR Data'!V:V, V782)</f>
        <v>0.71618499999999996</v>
      </c>
      <c r="U782" s="34" t="s">
        <v>1585</v>
      </c>
      <c r="V782" s="34" t="s">
        <v>1586</v>
      </c>
      <c r="W782" s="141" t="s">
        <v>1587</v>
      </c>
      <c r="X782" s="140" t="s">
        <v>739</v>
      </c>
    </row>
    <row r="783" spans="1:24" x14ac:dyDescent="0.35">
      <c r="A783" s="34">
        <v>2019</v>
      </c>
      <c r="B783" s="34" t="s">
        <v>619</v>
      </c>
      <c r="C783" s="34" t="s">
        <v>1588</v>
      </c>
      <c r="D783" s="34" t="s">
        <v>620</v>
      </c>
      <c r="E783" s="34" t="s">
        <v>1589</v>
      </c>
      <c r="F783" s="34" t="s">
        <v>126</v>
      </c>
      <c r="G783" s="34"/>
      <c r="H783" s="34">
        <v>43.089840000000002</v>
      </c>
      <c r="I783" s="34">
        <v>-75.280265</v>
      </c>
      <c r="J783" s="34"/>
      <c r="K783" s="105">
        <v>110000738916</v>
      </c>
      <c r="L783" s="34">
        <v>3369</v>
      </c>
      <c r="M783" s="48" t="str">
        <f>VLOOKUP(L783, '2017 SIC to NAICS'!A:D, 2)</f>
        <v>Nonferrous Foundries, Nec</v>
      </c>
      <c r="N783" s="34">
        <f>VLOOKUP(L783,'2017 SIC to NAICS'!A:D,3)</f>
        <v>331529</v>
      </c>
      <c r="O783" s="34" t="str">
        <f>VLOOKUP(L783,'2017 SIC to NAICS'!A:D,4)</f>
        <v>Other Nonferrous Metal Foundries (except
Die-Casting)</v>
      </c>
      <c r="P783" s="36" t="s">
        <v>785</v>
      </c>
      <c r="Q783" s="137" t="s">
        <v>786</v>
      </c>
      <c r="R783" s="45" t="s">
        <v>41</v>
      </c>
      <c r="S783" s="138">
        <f>COUNTIFS('Raw Non-zero DMR Data'!$A:$A, A783, 'Raw Non-zero DMR Data'!$C:$C, U783, 'Raw Non-zero DMR Data'!$V:$V, V783)</f>
        <v>1</v>
      </c>
      <c r="T783" s="34">
        <f>SUMIFS('Raw Non-zero DMR Data'!$X:$X, 'Raw Non-zero DMR Data'!$A:$A, A783, 'Raw Non-zero DMR Data'!$C:$C, U783, 'Raw Non-zero DMR Data'!V:V, V783)</f>
        <v>8.0783103600000003E-3</v>
      </c>
      <c r="U783" s="34" t="s">
        <v>1588</v>
      </c>
      <c r="V783" s="34" t="s">
        <v>1590</v>
      </c>
      <c r="W783" s="139">
        <v>20200040310</v>
      </c>
      <c r="X783" s="140" t="s">
        <v>1591</v>
      </c>
    </row>
    <row r="784" spans="1:24" x14ac:dyDescent="0.35">
      <c r="A784" s="34">
        <v>2020</v>
      </c>
      <c r="B784" s="34" t="s">
        <v>619</v>
      </c>
      <c r="C784" s="34" t="s">
        <v>1588</v>
      </c>
      <c r="D784" s="34" t="s">
        <v>620</v>
      </c>
      <c r="E784" s="34" t="s">
        <v>1589</v>
      </c>
      <c r="F784" s="34" t="s">
        <v>126</v>
      </c>
      <c r="G784" s="34"/>
      <c r="H784" s="34">
        <v>43.089840000000002</v>
      </c>
      <c r="I784" s="34">
        <v>-75.280265</v>
      </c>
      <c r="J784" s="34"/>
      <c r="K784" s="105">
        <v>110000738916</v>
      </c>
      <c r="L784" s="34">
        <v>3369</v>
      </c>
      <c r="M784" s="48" t="str">
        <f>VLOOKUP(L784, '2017 SIC to NAICS'!A:D, 2)</f>
        <v>Nonferrous Foundries, Nec</v>
      </c>
      <c r="N784" s="34">
        <f>VLOOKUP(L784,'2017 SIC to NAICS'!A:D,3)</f>
        <v>331529</v>
      </c>
      <c r="O784" s="34" t="str">
        <f>VLOOKUP(L784,'2017 SIC to NAICS'!A:D,4)</f>
        <v>Other Nonferrous Metal Foundries (except
Die-Casting)</v>
      </c>
      <c r="P784" s="36" t="s">
        <v>785</v>
      </c>
      <c r="Q784" s="137" t="s">
        <v>786</v>
      </c>
      <c r="R784" s="45" t="s">
        <v>41</v>
      </c>
      <c r="S784" s="138">
        <f>COUNTIFS('Raw Non-zero DMR Data'!$A:$A, A784, 'Raw Non-zero DMR Data'!$C:$C, U784, 'Raw Non-zero DMR Data'!$V:$V, V784)</f>
        <v>1</v>
      </c>
      <c r="T784" s="34">
        <f>SUMIFS('Raw Non-zero DMR Data'!$X:$X, 'Raw Non-zero DMR Data'!$A:$A, A784, 'Raw Non-zero DMR Data'!$C:$C, U784, 'Raw Non-zero DMR Data'!V:V, V784)</f>
        <v>6.2949394800000001E-3</v>
      </c>
      <c r="U784" s="34" t="s">
        <v>1588</v>
      </c>
      <c r="V784" s="34" t="s">
        <v>1590</v>
      </c>
      <c r="W784" s="139">
        <v>20200040310</v>
      </c>
      <c r="X784" s="140" t="s">
        <v>1591</v>
      </c>
    </row>
    <row r="785" spans="1:24" x14ac:dyDescent="0.35">
      <c r="A785" s="34">
        <v>2021</v>
      </c>
      <c r="B785" s="34" t="s">
        <v>619</v>
      </c>
      <c r="C785" s="34" t="s">
        <v>1588</v>
      </c>
      <c r="D785" s="34" t="s">
        <v>620</v>
      </c>
      <c r="E785" s="34" t="s">
        <v>1589</v>
      </c>
      <c r="F785" s="34" t="s">
        <v>126</v>
      </c>
      <c r="G785" s="34"/>
      <c r="H785" s="34">
        <v>43.089840000000002</v>
      </c>
      <c r="I785" s="34">
        <v>-75.280265</v>
      </c>
      <c r="J785" s="34"/>
      <c r="K785" s="105">
        <v>110000738916</v>
      </c>
      <c r="L785" s="34">
        <v>3369</v>
      </c>
      <c r="M785" s="48" t="str">
        <f>VLOOKUP(L785, '2017 SIC to NAICS'!A:D, 2)</f>
        <v>Nonferrous Foundries, Nec</v>
      </c>
      <c r="N785" s="34">
        <f>VLOOKUP(L785,'2017 SIC to NAICS'!A:D,3)</f>
        <v>331529</v>
      </c>
      <c r="O785" s="34" t="str">
        <f>VLOOKUP(L785,'2017 SIC to NAICS'!A:D,4)</f>
        <v>Other Nonferrous Metal Foundries (except
Die-Casting)</v>
      </c>
      <c r="P785" s="36" t="s">
        <v>785</v>
      </c>
      <c r="Q785" s="137" t="s">
        <v>786</v>
      </c>
      <c r="R785" s="45" t="s">
        <v>41</v>
      </c>
      <c r="S785" s="138">
        <f>COUNTIFS('Raw Non-zero DMR Data'!$A:$A, A785, 'Raw Non-zero DMR Data'!$C:$C, U785, 'Raw Non-zero DMR Data'!$V:$V, V785)</f>
        <v>1</v>
      </c>
      <c r="T785" s="34">
        <f>SUMIFS('Raw Non-zero DMR Data'!$X:$X, 'Raw Non-zero DMR Data'!$A:$A, A785, 'Raw Non-zero DMR Data'!$C:$C, U785, 'Raw Non-zero DMR Data'!V:V, V785)</f>
        <v>3.2383551599999998E-3</v>
      </c>
      <c r="U785" s="34" t="s">
        <v>1588</v>
      </c>
      <c r="V785" s="34" t="s">
        <v>1590</v>
      </c>
      <c r="W785" s="139">
        <v>20200040310</v>
      </c>
      <c r="X785" s="140" t="s">
        <v>1591</v>
      </c>
    </row>
    <row r="786" spans="1:24" x14ac:dyDescent="0.35">
      <c r="A786" s="34">
        <v>2019</v>
      </c>
      <c r="B786" s="34" t="s">
        <v>595</v>
      </c>
      <c r="C786" s="34" t="s">
        <v>1592</v>
      </c>
      <c r="D786" s="34" t="s">
        <v>596</v>
      </c>
      <c r="E786" s="34" t="s">
        <v>1593</v>
      </c>
      <c r="F786" s="34" t="s">
        <v>126</v>
      </c>
      <c r="G786" s="34"/>
      <c r="H786" s="34">
        <v>43.211829000000002</v>
      </c>
      <c r="I786" s="34">
        <v>-77.929390999999995</v>
      </c>
      <c r="J786" s="34"/>
      <c r="K786" s="105">
        <v>110000616414</v>
      </c>
      <c r="L786" s="34">
        <v>9511</v>
      </c>
      <c r="M786" s="48" t="str">
        <f>VLOOKUP(L786, '2017 SIC to NAICS'!A:D, 2)</f>
        <v>Air, Water, and Solid Waste Management</v>
      </c>
      <c r="N786" s="34">
        <f>VLOOKUP(L786,'2017 SIC to NAICS'!A:D,3)</f>
        <v>924110</v>
      </c>
      <c r="O786" s="34" t="str">
        <f>VLOOKUP(L786,'2017 SIC to NAICS'!A:D,4)</f>
        <v>Administration of Air and Water Resource
and Solid Waste Management Programs</v>
      </c>
      <c r="P786" s="36" t="s">
        <v>754</v>
      </c>
      <c r="Q786" s="137" t="s">
        <v>755</v>
      </c>
      <c r="R786" s="45" t="s">
        <v>41</v>
      </c>
      <c r="S786" s="138">
        <f>COUNTIFS('Raw Non-zero DMR Data'!$A:$A, A786, 'Raw Non-zero DMR Data'!$C:$C, U786, 'Raw Non-zero DMR Data'!$V:$V, V786)</f>
        <v>1</v>
      </c>
      <c r="T786" s="34">
        <f>SUMIFS('Raw Non-zero DMR Data'!$X:$X, 'Raw Non-zero DMR Data'!$A:$A, A786, 'Raw Non-zero DMR Data'!$C:$C, U786, 'Raw Non-zero DMR Data'!V:V, V786)</f>
        <v>5.8111999999999999E-3</v>
      </c>
      <c r="U786" s="34" t="s">
        <v>1592</v>
      </c>
      <c r="V786" s="34" t="s">
        <v>1594</v>
      </c>
      <c r="W786" s="139">
        <v>41300010202</v>
      </c>
      <c r="X786" s="140" t="s">
        <v>757</v>
      </c>
    </row>
    <row r="787" spans="1:24" x14ac:dyDescent="0.35">
      <c r="A787" s="34">
        <v>2020</v>
      </c>
      <c r="B787" s="34" t="s">
        <v>595</v>
      </c>
      <c r="C787" s="34" t="s">
        <v>1592</v>
      </c>
      <c r="D787" s="34" t="s">
        <v>596</v>
      </c>
      <c r="E787" s="34" t="s">
        <v>1593</v>
      </c>
      <c r="F787" s="34" t="s">
        <v>126</v>
      </c>
      <c r="G787" s="34"/>
      <c r="H787" s="34">
        <v>43.211829000000002</v>
      </c>
      <c r="I787" s="34">
        <v>-77.929390999999995</v>
      </c>
      <c r="J787" s="34"/>
      <c r="K787" s="105">
        <v>110000616414</v>
      </c>
      <c r="L787" s="34">
        <v>9511</v>
      </c>
      <c r="M787" s="48" t="str">
        <f>VLOOKUP(L787, '2017 SIC to NAICS'!A:D, 2)</f>
        <v>Air, Water, and Solid Waste Management</v>
      </c>
      <c r="N787" s="34">
        <f>VLOOKUP(L787,'2017 SIC to NAICS'!A:D,3)</f>
        <v>924110</v>
      </c>
      <c r="O787" s="34" t="str">
        <f>VLOOKUP(L787,'2017 SIC to NAICS'!A:D,4)</f>
        <v>Administration of Air and Water Resource
and Solid Waste Management Programs</v>
      </c>
      <c r="P787" s="36" t="s">
        <v>754</v>
      </c>
      <c r="Q787" s="137" t="s">
        <v>755</v>
      </c>
      <c r="R787" s="45" t="s">
        <v>41</v>
      </c>
      <c r="S787" s="138">
        <f>COUNTIFS('Raw Non-zero DMR Data'!$A:$A, A787, 'Raw Non-zero DMR Data'!$C:$C, U787, 'Raw Non-zero DMR Data'!$V:$V, V787)</f>
        <v>1</v>
      </c>
      <c r="T787" s="34">
        <f>SUMIFS('Raw Non-zero DMR Data'!$X:$X, 'Raw Non-zero DMR Data'!$A:$A, A787, 'Raw Non-zero DMR Data'!$C:$C, U787, 'Raw Non-zero DMR Data'!V:V, V787)</f>
        <v>1.366086E-2</v>
      </c>
      <c r="U787" s="34" t="s">
        <v>1592</v>
      </c>
      <c r="V787" s="34" t="s">
        <v>1594</v>
      </c>
      <c r="W787" s="139">
        <v>41300010202</v>
      </c>
      <c r="X787" s="140" t="s">
        <v>757</v>
      </c>
    </row>
    <row r="788" spans="1:24" x14ac:dyDescent="0.35">
      <c r="A788" s="34">
        <v>2021</v>
      </c>
      <c r="B788" s="34" t="s">
        <v>595</v>
      </c>
      <c r="C788" s="34" t="s">
        <v>1592</v>
      </c>
      <c r="D788" s="34" t="s">
        <v>596</v>
      </c>
      <c r="E788" s="34" t="s">
        <v>1593</v>
      </c>
      <c r="F788" s="34" t="s">
        <v>126</v>
      </c>
      <c r="G788" s="34"/>
      <c r="H788" s="34">
        <v>43.211829000000002</v>
      </c>
      <c r="I788" s="34">
        <v>-77.929390999999995</v>
      </c>
      <c r="J788" s="34"/>
      <c r="K788" s="105">
        <v>110000616414</v>
      </c>
      <c r="L788" s="34">
        <v>9511</v>
      </c>
      <c r="M788" s="48" t="str">
        <f>VLOOKUP(L788, '2017 SIC to NAICS'!A:D, 2)</f>
        <v>Air, Water, and Solid Waste Management</v>
      </c>
      <c r="N788" s="34">
        <f>VLOOKUP(L788,'2017 SIC to NAICS'!A:D,3)</f>
        <v>924110</v>
      </c>
      <c r="O788" s="34" t="str">
        <f>VLOOKUP(L788,'2017 SIC to NAICS'!A:D,4)</f>
        <v>Administration of Air and Water Resource
and Solid Waste Management Programs</v>
      </c>
      <c r="P788" s="36" t="s">
        <v>754</v>
      </c>
      <c r="Q788" s="137" t="s">
        <v>755</v>
      </c>
      <c r="R788" s="45" t="s">
        <v>41</v>
      </c>
      <c r="S788" s="138">
        <f>COUNTIFS('Raw Non-zero DMR Data'!$A:$A, A788, 'Raw Non-zero DMR Data'!$C:$C, U788, 'Raw Non-zero DMR Data'!$V:$V, V788)</f>
        <v>1</v>
      </c>
      <c r="T788" s="34">
        <f>SUMIFS('Raw Non-zero DMR Data'!$X:$X, 'Raw Non-zero DMR Data'!$A:$A, A788, 'Raw Non-zero DMR Data'!$C:$C, U788, 'Raw Non-zero DMR Data'!V:V, V788)</f>
        <v>1.293446E-2</v>
      </c>
      <c r="U788" s="34" t="s">
        <v>1592</v>
      </c>
      <c r="V788" s="34" t="s">
        <v>1594</v>
      </c>
      <c r="W788" s="139">
        <v>41300010202</v>
      </c>
      <c r="X788" s="140" t="s">
        <v>757</v>
      </c>
    </row>
    <row r="789" spans="1:24" x14ac:dyDescent="0.35">
      <c r="A789" s="34">
        <v>2022</v>
      </c>
      <c r="B789" s="34" t="s">
        <v>595</v>
      </c>
      <c r="C789" s="34" t="s">
        <v>1592</v>
      </c>
      <c r="D789" s="34" t="s">
        <v>596</v>
      </c>
      <c r="E789" s="34" t="s">
        <v>1593</v>
      </c>
      <c r="F789" s="34" t="s">
        <v>126</v>
      </c>
      <c r="G789" s="34"/>
      <c r="H789" s="34">
        <v>43.211829000000002</v>
      </c>
      <c r="I789" s="34">
        <v>-77.929390999999995</v>
      </c>
      <c r="J789" s="34"/>
      <c r="K789" s="105">
        <v>110000616414</v>
      </c>
      <c r="L789" s="34">
        <v>9511</v>
      </c>
      <c r="M789" s="48" t="str">
        <f>VLOOKUP(L789, '2017 SIC to NAICS'!A:D, 2)</f>
        <v>Air, Water, and Solid Waste Management</v>
      </c>
      <c r="N789" s="34">
        <f>VLOOKUP(L789,'2017 SIC to NAICS'!A:D,3)</f>
        <v>924110</v>
      </c>
      <c r="O789" s="34" t="str">
        <f>VLOOKUP(L789,'2017 SIC to NAICS'!A:D,4)</f>
        <v>Administration of Air and Water Resource
and Solid Waste Management Programs</v>
      </c>
      <c r="P789" s="36" t="s">
        <v>754</v>
      </c>
      <c r="Q789" s="137" t="s">
        <v>755</v>
      </c>
      <c r="R789" s="45" t="s">
        <v>41</v>
      </c>
      <c r="S789" s="138">
        <f>COUNTIFS('Raw Non-zero DMR Data'!$A:$A, A789, 'Raw Non-zero DMR Data'!$C:$C, U789, 'Raw Non-zero DMR Data'!$V:$V, V789)</f>
        <v>1</v>
      </c>
      <c r="T789" s="34">
        <f>SUMIFS('Raw Non-zero DMR Data'!$X:$X, 'Raw Non-zero DMR Data'!$A:$A, A789, 'Raw Non-zero DMR Data'!$C:$C, U789, 'Raw Non-zero DMR Data'!V:V, V789)</f>
        <v>1.194928E-2</v>
      </c>
      <c r="U789" s="34" t="s">
        <v>1592</v>
      </c>
      <c r="V789" s="34" t="s">
        <v>1594</v>
      </c>
      <c r="W789" s="141" t="s">
        <v>1595</v>
      </c>
      <c r="X789" s="140" t="s">
        <v>757</v>
      </c>
    </row>
    <row r="790" spans="1:24" x14ac:dyDescent="0.35">
      <c r="A790" s="34">
        <v>2023</v>
      </c>
      <c r="B790" s="34" t="s">
        <v>595</v>
      </c>
      <c r="C790" s="34" t="s">
        <v>1592</v>
      </c>
      <c r="D790" s="34" t="s">
        <v>596</v>
      </c>
      <c r="E790" s="34" t="s">
        <v>1593</v>
      </c>
      <c r="F790" s="34" t="s">
        <v>126</v>
      </c>
      <c r="G790" s="34"/>
      <c r="H790" s="34">
        <v>43.211829000000002</v>
      </c>
      <c r="I790" s="34">
        <v>-77.929390999999995</v>
      </c>
      <c r="J790" s="34"/>
      <c r="K790" s="105">
        <v>110000616414</v>
      </c>
      <c r="L790" s="34">
        <v>9511</v>
      </c>
      <c r="M790" s="48" t="str">
        <f>VLOOKUP(L790, '2017 SIC to NAICS'!A:D, 2)</f>
        <v>Air, Water, and Solid Waste Management</v>
      </c>
      <c r="N790" s="34">
        <f>VLOOKUP(L790,'2017 SIC to NAICS'!A:D,3)</f>
        <v>924110</v>
      </c>
      <c r="O790" s="34" t="str">
        <f>VLOOKUP(L790,'2017 SIC to NAICS'!A:D,4)</f>
        <v>Administration of Air and Water Resource
and Solid Waste Management Programs</v>
      </c>
      <c r="P790" s="36" t="s">
        <v>754</v>
      </c>
      <c r="Q790" s="137" t="s">
        <v>755</v>
      </c>
      <c r="R790" s="45" t="s">
        <v>41</v>
      </c>
      <c r="S790" s="138">
        <f>COUNTIFS('Raw Non-zero DMR Data'!$A:$A, A790, 'Raw Non-zero DMR Data'!$C:$C, U790, 'Raw Non-zero DMR Data'!$V:$V, V790)</f>
        <v>1</v>
      </c>
      <c r="T790" s="34">
        <f>SUMIFS('Raw Non-zero DMR Data'!$X:$X, 'Raw Non-zero DMR Data'!$A:$A, A790, 'Raw Non-zero DMR Data'!$C:$C, U790, 'Raw Non-zero DMR Data'!V:V, V790)</f>
        <v>1.0230889999999999E-2</v>
      </c>
      <c r="U790" s="34" t="s">
        <v>1592</v>
      </c>
      <c r="V790" s="34" t="s">
        <v>1594</v>
      </c>
      <c r="W790" s="141" t="s">
        <v>1595</v>
      </c>
      <c r="X790" s="140" t="s">
        <v>757</v>
      </c>
    </row>
    <row r="791" spans="1:24" x14ac:dyDescent="0.35">
      <c r="A791" s="34">
        <v>2019</v>
      </c>
      <c r="B791" s="34" t="s">
        <v>629</v>
      </c>
      <c r="C791" s="34" t="s">
        <v>1596</v>
      </c>
      <c r="D791" s="34" t="s">
        <v>620</v>
      </c>
      <c r="E791" s="34" t="s">
        <v>1589</v>
      </c>
      <c r="F791" s="34" t="s">
        <v>126</v>
      </c>
      <c r="G791" s="34"/>
      <c r="H791" s="34">
        <v>43.107216000000001</v>
      </c>
      <c r="I791" s="34">
        <v>-75.225815999999995</v>
      </c>
      <c r="J791" s="34"/>
      <c r="K791" s="105">
        <v>110002321345</v>
      </c>
      <c r="L791" s="34">
        <v>5169</v>
      </c>
      <c r="M791" s="48" t="str">
        <f>VLOOKUP(L791, '2017 SIC to NAICS'!A:D, 2)</f>
        <v>Chemicals and Allied Products, Nec</v>
      </c>
      <c r="N791" s="34">
        <f>VLOOKUP(L791,'2017 SIC to NAICS'!A:D,3)</f>
        <v>425120</v>
      </c>
      <c r="O791" s="34" t="str">
        <f>VLOOKUP(L791,'2017 SIC to NAICS'!A:D,4)</f>
        <v>Wholesale Trade Agents and Brokers</v>
      </c>
      <c r="P791" s="36" t="s">
        <v>765</v>
      </c>
      <c r="Q791" s="137" t="s">
        <v>766</v>
      </c>
      <c r="R791" s="45" t="s">
        <v>41</v>
      </c>
      <c r="S791" s="138">
        <f>COUNTIFS('Raw Non-zero DMR Data'!$A:$A, A791, 'Raw Non-zero DMR Data'!$C:$C, U791, 'Raw Non-zero DMR Data'!$V:$V, V791)</f>
        <v>1</v>
      </c>
      <c r="T791" s="34">
        <f>SUMIFS('Raw Non-zero DMR Data'!$X:$X, 'Raw Non-zero DMR Data'!$A:$A, A791, 'Raw Non-zero DMR Data'!$C:$C, U791, 'Raw Non-zero DMR Data'!V:V, V791)</f>
        <v>7.0432793999999996E-3</v>
      </c>
      <c r="U791" s="34" t="s">
        <v>1596</v>
      </c>
      <c r="V791" s="34" t="s">
        <v>1583</v>
      </c>
      <c r="W791" s="139">
        <v>20200040311</v>
      </c>
      <c r="X791" s="140" t="s">
        <v>812</v>
      </c>
    </row>
    <row r="792" spans="1:24" x14ac:dyDescent="0.35">
      <c r="A792" s="34">
        <v>2020</v>
      </c>
      <c r="B792" s="34" t="s">
        <v>629</v>
      </c>
      <c r="C792" s="34" t="s">
        <v>1596</v>
      </c>
      <c r="D792" s="34" t="s">
        <v>620</v>
      </c>
      <c r="E792" s="34" t="s">
        <v>1589</v>
      </c>
      <c r="F792" s="34" t="s">
        <v>126</v>
      </c>
      <c r="G792" s="34"/>
      <c r="H792" s="34">
        <v>43.107216000000001</v>
      </c>
      <c r="I792" s="34">
        <v>-75.225815999999995</v>
      </c>
      <c r="J792" s="34"/>
      <c r="K792" s="105">
        <v>110002321345</v>
      </c>
      <c r="L792" s="34">
        <v>5169</v>
      </c>
      <c r="M792" s="48" t="str">
        <f>VLOOKUP(L792, '2017 SIC to NAICS'!A:D, 2)</f>
        <v>Chemicals and Allied Products, Nec</v>
      </c>
      <c r="N792" s="34">
        <f>VLOOKUP(L792,'2017 SIC to NAICS'!A:D,3)</f>
        <v>425120</v>
      </c>
      <c r="O792" s="34" t="str">
        <f>VLOOKUP(L792,'2017 SIC to NAICS'!A:D,4)</f>
        <v>Wholesale Trade Agents and Brokers</v>
      </c>
      <c r="P792" s="36" t="s">
        <v>765</v>
      </c>
      <c r="Q792" s="137" t="s">
        <v>766</v>
      </c>
      <c r="R792" s="45" t="s">
        <v>41</v>
      </c>
      <c r="S792" s="138">
        <f>COUNTIFS('Raw Non-zero DMR Data'!$A:$A, A792, 'Raw Non-zero DMR Data'!$C:$C, U792, 'Raw Non-zero DMR Data'!$V:$V, V792)</f>
        <v>1</v>
      </c>
      <c r="T792" s="34">
        <f>SUMIFS('Raw Non-zero DMR Data'!$X:$X, 'Raw Non-zero DMR Data'!$A:$A, A792, 'Raw Non-zero DMR Data'!$C:$C, U792, 'Raw Non-zero DMR Data'!V:V, V792)</f>
        <v>2.7483642000000002E-3</v>
      </c>
      <c r="U792" s="34" t="s">
        <v>1596</v>
      </c>
      <c r="V792" s="34" t="s">
        <v>1583</v>
      </c>
      <c r="W792" s="139">
        <v>20200040311</v>
      </c>
      <c r="X792" s="140" t="s">
        <v>812</v>
      </c>
    </row>
    <row r="793" spans="1:24" x14ac:dyDescent="0.35">
      <c r="A793" s="34">
        <v>2021</v>
      </c>
      <c r="B793" s="34" t="s">
        <v>629</v>
      </c>
      <c r="C793" s="34" t="s">
        <v>1596</v>
      </c>
      <c r="D793" s="34" t="s">
        <v>620</v>
      </c>
      <c r="E793" s="34" t="s">
        <v>1589</v>
      </c>
      <c r="F793" s="34" t="s">
        <v>126</v>
      </c>
      <c r="G793" s="34"/>
      <c r="H793" s="34">
        <v>43.107216000000001</v>
      </c>
      <c r="I793" s="34">
        <v>-75.225815999999995</v>
      </c>
      <c r="J793" s="34"/>
      <c r="K793" s="105">
        <v>110002321345</v>
      </c>
      <c r="L793" s="34">
        <v>5169</v>
      </c>
      <c r="M793" s="48" t="str">
        <f>VLOOKUP(L793, '2017 SIC to NAICS'!A:D, 2)</f>
        <v>Chemicals and Allied Products, Nec</v>
      </c>
      <c r="N793" s="34">
        <f>VLOOKUP(L793,'2017 SIC to NAICS'!A:D,3)</f>
        <v>425120</v>
      </c>
      <c r="O793" s="34" t="str">
        <f>VLOOKUP(L793,'2017 SIC to NAICS'!A:D,4)</f>
        <v>Wholesale Trade Agents and Brokers</v>
      </c>
      <c r="P793" s="36" t="s">
        <v>765</v>
      </c>
      <c r="Q793" s="137" t="s">
        <v>766</v>
      </c>
      <c r="R793" s="45" t="s">
        <v>41</v>
      </c>
      <c r="S793" s="138">
        <f>COUNTIFS('Raw Non-zero DMR Data'!$A:$A, A793, 'Raw Non-zero DMR Data'!$C:$C, U793, 'Raw Non-zero DMR Data'!$V:$V, V793)</f>
        <v>1</v>
      </c>
      <c r="T793" s="34">
        <f>SUMIFS('Raw Non-zero DMR Data'!$X:$X, 'Raw Non-zero DMR Data'!$A:$A, A793, 'Raw Non-zero DMR Data'!$C:$C, U793, 'Raw Non-zero DMR Data'!V:V, V793)</f>
        <v>5.7760614E-3</v>
      </c>
      <c r="U793" s="34" t="s">
        <v>1596</v>
      </c>
      <c r="V793" s="34" t="s">
        <v>1583</v>
      </c>
      <c r="W793" s="139">
        <v>20200040311</v>
      </c>
      <c r="X793" s="140" t="s">
        <v>812</v>
      </c>
    </row>
    <row r="794" spans="1:24" x14ac:dyDescent="0.35">
      <c r="A794" s="34">
        <v>2022</v>
      </c>
      <c r="B794" s="34" t="s">
        <v>629</v>
      </c>
      <c r="C794" s="34" t="s">
        <v>1596</v>
      </c>
      <c r="D794" s="34" t="s">
        <v>620</v>
      </c>
      <c r="E794" s="34" t="s">
        <v>1589</v>
      </c>
      <c r="F794" s="34" t="s">
        <v>126</v>
      </c>
      <c r="G794" s="34"/>
      <c r="H794" s="34">
        <v>43.107216000000001</v>
      </c>
      <c r="I794" s="34">
        <v>-75.225815999999995</v>
      </c>
      <c r="J794" s="34"/>
      <c r="K794" s="105">
        <v>110002321345</v>
      </c>
      <c r="L794" s="34">
        <v>5169</v>
      </c>
      <c r="M794" s="48" t="str">
        <f>VLOOKUP(L794, '2017 SIC to NAICS'!A:D, 2)</f>
        <v>Chemicals and Allied Products, Nec</v>
      </c>
      <c r="N794" s="34">
        <f>VLOOKUP(L794,'2017 SIC to NAICS'!A:D,3)</f>
        <v>425120</v>
      </c>
      <c r="O794" s="34" t="str">
        <f>VLOOKUP(L794,'2017 SIC to NAICS'!A:D,4)</f>
        <v>Wholesale Trade Agents and Brokers</v>
      </c>
      <c r="P794" s="36" t="s">
        <v>765</v>
      </c>
      <c r="Q794" s="137" t="s">
        <v>766</v>
      </c>
      <c r="R794" s="45" t="s">
        <v>41</v>
      </c>
      <c r="S794" s="138">
        <f>COUNTIFS('Raw Non-zero DMR Data'!$A:$A, A794, 'Raw Non-zero DMR Data'!$C:$C, U794, 'Raw Non-zero DMR Data'!$V:$V, V794)</f>
        <v>1</v>
      </c>
      <c r="T794" s="34">
        <f>SUMIFS('Raw Non-zero DMR Data'!$X:$X, 'Raw Non-zero DMR Data'!$A:$A, A794, 'Raw Non-zero DMR Data'!$C:$C, U794, 'Raw Non-zero DMR Data'!V:V, V794)</f>
        <v>5.9606937000000002E-3</v>
      </c>
      <c r="U794" s="34" t="s">
        <v>1596</v>
      </c>
      <c r="V794" s="34" t="s">
        <v>1583</v>
      </c>
      <c r="W794" s="141" t="s">
        <v>1584</v>
      </c>
      <c r="X794" s="140" t="s">
        <v>812</v>
      </c>
    </row>
    <row r="795" spans="1:24" x14ac:dyDescent="0.35">
      <c r="A795" s="34">
        <v>2023</v>
      </c>
      <c r="B795" s="34" t="s">
        <v>629</v>
      </c>
      <c r="C795" s="34" t="s">
        <v>1596</v>
      </c>
      <c r="D795" s="34" t="s">
        <v>620</v>
      </c>
      <c r="E795" s="34" t="s">
        <v>1589</v>
      </c>
      <c r="F795" s="34" t="s">
        <v>126</v>
      </c>
      <c r="G795" s="34"/>
      <c r="H795" s="34">
        <v>43.107216000000001</v>
      </c>
      <c r="I795" s="34">
        <v>-75.225815999999995</v>
      </c>
      <c r="J795" s="34"/>
      <c r="K795" s="105">
        <v>110002321345</v>
      </c>
      <c r="L795" s="34">
        <v>5169</v>
      </c>
      <c r="M795" s="48" t="str">
        <f>VLOOKUP(L795, '2017 SIC to NAICS'!A:D, 2)</f>
        <v>Chemicals and Allied Products, Nec</v>
      </c>
      <c r="N795" s="34">
        <f>VLOOKUP(L795,'2017 SIC to NAICS'!A:D,3)</f>
        <v>425120</v>
      </c>
      <c r="O795" s="34" t="str">
        <f>VLOOKUP(L795,'2017 SIC to NAICS'!A:D,4)</f>
        <v>Wholesale Trade Agents and Brokers</v>
      </c>
      <c r="P795" s="36" t="s">
        <v>765</v>
      </c>
      <c r="Q795" s="137" t="s">
        <v>766</v>
      </c>
      <c r="R795" s="45" t="s">
        <v>41</v>
      </c>
      <c r="S795" s="138">
        <f>COUNTIFS('Raw Non-zero DMR Data'!$A:$A, A795, 'Raw Non-zero DMR Data'!$C:$C, U795, 'Raw Non-zero DMR Data'!$V:$V, V795)</f>
        <v>1</v>
      </c>
      <c r="T795" s="34">
        <f>SUMIFS('Raw Non-zero DMR Data'!$X:$X, 'Raw Non-zero DMR Data'!$A:$A, A795, 'Raw Non-zero DMR Data'!$C:$C, U795, 'Raw Non-zero DMR Data'!V:V, V795)</f>
        <v>6.0083847000000001E-3</v>
      </c>
      <c r="U795" s="34" t="s">
        <v>1596</v>
      </c>
      <c r="V795" s="34" t="s">
        <v>1583</v>
      </c>
      <c r="W795" s="141" t="s">
        <v>1584</v>
      </c>
      <c r="X795" s="140" t="s">
        <v>812</v>
      </c>
    </row>
    <row r="796" spans="1:24" x14ac:dyDescent="0.35">
      <c r="A796" s="34">
        <v>2019</v>
      </c>
      <c r="B796" s="34" t="s">
        <v>469</v>
      </c>
      <c r="C796" s="34" t="s">
        <v>1597</v>
      </c>
      <c r="D796" s="34" t="s">
        <v>470</v>
      </c>
      <c r="E796" s="34" t="s">
        <v>1598</v>
      </c>
      <c r="F796" s="34" t="s">
        <v>126</v>
      </c>
      <c r="G796" s="34"/>
      <c r="H796" s="34">
        <v>42.025620000000004</v>
      </c>
      <c r="I796" s="34">
        <v>-74.099329999999995</v>
      </c>
      <c r="J796" s="34"/>
      <c r="K796" s="105">
        <v>110015744024</v>
      </c>
      <c r="L796" s="34">
        <v>9511</v>
      </c>
      <c r="M796" s="48" t="str">
        <f>VLOOKUP(L796, '2017 SIC to NAICS'!A:D, 2)</f>
        <v>Air, Water, and Solid Waste Management</v>
      </c>
      <c r="N796" s="34">
        <f>VLOOKUP(L796,'2017 SIC to NAICS'!A:D,3)</f>
        <v>924110</v>
      </c>
      <c r="O796" s="34" t="str">
        <f>VLOOKUP(L796,'2017 SIC to NAICS'!A:D,4)</f>
        <v>Administration of Air and Water Resource
and Solid Waste Management Programs</v>
      </c>
      <c r="P796" s="36" t="s">
        <v>754</v>
      </c>
      <c r="Q796" s="137" t="s">
        <v>755</v>
      </c>
      <c r="R796" s="45" t="s">
        <v>41</v>
      </c>
      <c r="S796" s="138">
        <f>COUNTIFS('Raw Non-zero DMR Data'!$A:$A, A796, 'Raw Non-zero DMR Data'!$C:$C, U796, 'Raw Non-zero DMR Data'!$V:$V, V796)</f>
        <v>1</v>
      </c>
      <c r="T796" s="34">
        <f>SUMIFS('Raw Non-zero DMR Data'!$X:$X, 'Raw Non-zero DMR Data'!$A:$A, A796, 'Raw Non-zero DMR Data'!$C:$C, U796, 'Raw Non-zero DMR Data'!V:V, V796)</f>
        <v>8.32701419375E-2</v>
      </c>
      <c r="U796" s="34" t="s">
        <v>1597</v>
      </c>
      <c r="V796" s="34" t="s">
        <v>1599</v>
      </c>
      <c r="W796" s="139">
        <v>20200060907</v>
      </c>
      <c r="X796" s="140" t="s">
        <v>757</v>
      </c>
    </row>
    <row r="797" spans="1:24" x14ac:dyDescent="0.35">
      <c r="A797" s="34">
        <v>2020</v>
      </c>
      <c r="B797" s="34" t="s">
        <v>469</v>
      </c>
      <c r="C797" s="34" t="s">
        <v>1597</v>
      </c>
      <c r="D797" s="34" t="s">
        <v>470</v>
      </c>
      <c r="E797" s="34" t="s">
        <v>1598</v>
      </c>
      <c r="F797" s="34" t="s">
        <v>126</v>
      </c>
      <c r="G797" s="34"/>
      <c r="H797" s="34">
        <v>42.025620000000004</v>
      </c>
      <c r="I797" s="34">
        <v>-74.099329999999995</v>
      </c>
      <c r="J797" s="34"/>
      <c r="K797" s="105">
        <v>110015744024</v>
      </c>
      <c r="L797" s="34">
        <v>9511</v>
      </c>
      <c r="M797" s="48" t="str">
        <f>VLOOKUP(L797, '2017 SIC to NAICS'!A:D, 2)</f>
        <v>Air, Water, and Solid Waste Management</v>
      </c>
      <c r="N797" s="34">
        <f>VLOOKUP(L797,'2017 SIC to NAICS'!A:D,3)</f>
        <v>924110</v>
      </c>
      <c r="O797" s="34" t="str">
        <f>VLOOKUP(L797,'2017 SIC to NAICS'!A:D,4)</f>
        <v>Administration of Air and Water Resource
and Solid Waste Management Programs</v>
      </c>
      <c r="P797" s="36" t="s">
        <v>754</v>
      </c>
      <c r="Q797" s="137" t="s">
        <v>755</v>
      </c>
      <c r="R797" s="45" t="s">
        <v>41</v>
      </c>
      <c r="S797" s="138">
        <f>COUNTIFS('Raw Non-zero DMR Data'!$A:$A, A797, 'Raw Non-zero DMR Data'!$C:$C, U797, 'Raw Non-zero DMR Data'!$V:$V, V797)</f>
        <v>1</v>
      </c>
      <c r="T797" s="34">
        <f>SUMIFS('Raw Non-zero DMR Data'!$X:$X, 'Raw Non-zero DMR Data'!$A:$A, A797, 'Raw Non-zero DMR Data'!$C:$C, U797, 'Raw Non-zero DMR Data'!V:V, V797)</f>
        <v>8.7018947875000002E-2</v>
      </c>
      <c r="U797" s="34" t="s">
        <v>1597</v>
      </c>
      <c r="V797" s="34" t="s">
        <v>1599</v>
      </c>
      <c r="W797" s="139">
        <v>20200060907</v>
      </c>
      <c r="X797" s="140" t="s">
        <v>757</v>
      </c>
    </row>
    <row r="798" spans="1:24" x14ac:dyDescent="0.35">
      <c r="A798" s="34">
        <v>2021</v>
      </c>
      <c r="B798" s="34" t="s">
        <v>469</v>
      </c>
      <c r="C798" s="34" t="s">
        <v>1597</v>
      </c>
      <c r="D798" s="34" t="s">
        <v>470</v>
      </c>
      <c r="E798" s="34" t="s">
        <v>1598</v>
      </c>
      <c r="F798" s="34" t="s">
        <v>126</v>
      </c>
      <c r="G798" s="34"/>
      <c r="H798" s="34">
        <v>42.025620000000004</v>
      </c>
      <c r="I798" s="34">
        <v>-74.099329999999995</v>
      </c>
      <c r="J798" s="34"/>
      <c r="K798" s="105">
        <v>110015744024</v>
      </c>
      <c r="L798" s="34">
        <v>9511</v>
      </c>
      <c r="M798" s="48" t="str">
        <f>VLOOKUP(L798, '2017 SIC to NAICS'!A:D, 2)</f>
        <v>Air, Water, and Solid Waste Management</v>
      </c>
      <c r="N798" s="34">
        <f>VLOOKUP(L798,'2017 SIC to NAICS'!A:D,3)</f>
        <v>924110</v>
      </c>
      <c r="O798" s="34" t="str">
        <f>VLOOKUP(L798,'2017 SIC to NAICS'!A:D,4)</f>
        <v>Administration of Air and Water Resource
and Solid Waste Management Programs</v>
      </c>
      <c r="P798" s="36" t="s">
        <v>754</v>
      </c>
      <c r="Q798" s="137" t="s">
        <v>755</v>
      </c>
      <c r="R798" s="45" t="s">
        <v>41</v>
      </c>
      <c r="S798" s="138">
        <f>COUNTIFS('Raw Non-zero DMR Data'!$A:$A, A798, 'Raw Non-zero DMR Data'!$C:$C, U798, 'Raw Non-zero DMR Data'!$V:$V, V798)</f>
        <v>1</v>
      </c>
      <c r="T798" s="34">
        <f>SUMIFS('Raw Non-zero DMR Data'!$X:$X, 'Raw Non-zero DMR Data'!$A:$A, A798, 'Raw Non-zero DMR Data'!$C:$C, U798, 'Raw Non-zero DMR Data'!V:V, V798)</f>
        <v>9.4578614825000004E-2</v>
      </c>
      <c r="U798" s="34" t="s">
        <v>1597</v>
      </c>
      <c r="V798" s="34" t="s">
        <v>1599</v>
      </c>
      <c r="W798" s="139">
        <v>20200060907</v>
      </c>
      <c r="X798" s="140" t="s">
        <v>757</v>
      </c>
    </row>
    <row r="799" spans="1:24" x14ac:dyDescent="0.35">
      <c r="A799" s="34">
        <v>2022</v>
      </c>
      <c r="B799" s="34" t="s">
        <v>469</v>
      </c>
      <c r="C799" s="34" t="s">
        <v>1597</v>
      </c>
      <c r="D799" s="34" t="s">
        <v>470</v>
      </c>
      <c r="E799" s="34" t="s">
        <v>1598</v>
      </c>
      <c r="F799" s="34" t="s">
        <v>126</v>
      </c>
      <c r="G799" s="34"/>
      <c r="H799" s="34">
        <v>42.025620000000004</v>
      </c>
      <c r="I799" s="34">
        <v>-74.099329999999995</v>
      </c>
      <c r="J799" s="34"/>
      <c r="K799" s="105">
        <v>110015744024</v>
      </c>
      <c r="L799" s="34">
        <v>9511</v>
      </c>
      <c r="M799" s="48" t="str">
        <f>VLOOKUP(L799, '2017 SIC to NAICS'!A:D, 2)</f>
        <v>Air, Water, and Solid Waste Management</v>
      </c>
      <c r="N799" s="34">
        <f>VLOOKUP(L799,'2017 SIC to NAICS'!A:D,3)</f>
        <v>924110</v>
      </c>
      <c r="O799" s="34" t="str">
        <f>VLOOKUP(L799,'2017 SIC to NAICS'!A:D,4)</f>
        <v>Administration of Air and Water Resource
and Solid Waste Management Programs</v>
      </c>
      <c r="P799" s="36" t="s">
        <v>754</v>
      </c>
      <c r="Q799" s="137" t="s">
        <v>755</v>
      </c>
      <c r="R799" s="45" t="s">
        <v>41</v>
      </c>
      <c r="S799" s="138">
        <f>COUNTIFS('Raw Non-zero DMR Data'!$A:$A, A799, 'Raw Non-zero DMR Data'!$C:$C, U799, 'Raw Non-zero DMR Data'!$V:$V, V799)</f>
        <v>1</v>
      </c>
      <c r="T799" s="34">
        <f>SUMIFS('Raw Non-zero DMR Data'!$X:$X, 'Raw Non-zero DMR Data'!$A:$A, A799, 'Raw Non-zero DMR Data'!$C:$C, U799, 'Raw Non-zero DMR Data'!V:V, V799)</f>
        <v>8.1061802612499997E-2</v>
      </c>
      <c r="U799" s="34" t="s">
        <v>1597</v>
      </c>
      <c r="V799" s="34" t="s">
        <v>1599</v>
      </c>
      <c r="W799" s="141" t="s">
        <v>1600</v>
      </c>
      <c r="X799" s="140" t="s">
        <v>757</v>
      </c>
    </row>
    <row r="800" spans="1:24" x14ac:dyDescent="0.35">
      <c r="A800" s="34">
        <v>2023</v>
      </c>
      <c r="B800" s="34" t="s">
        <v>469</v>
      </c>
      <c r="C800" s="34" t="s">
        <v>1597</v>
      </c>
      <c r="D800" s="34" t="s">
        <v>470</v>
      </c>
      <c r="E800" s="34" t="s">
        <v>1598</v>
      </c>
      <c r="F800" s="34" t="s">
        <v>126</v>
      </c>
      <c r="G800" s="34"/>
      <c r="H800" s="34">
        <v>42.025620000000004</v>
      </c>
      <c r="I800" s="34">
        <v>-74.099329999999995</v>
      </c>
      <c r="J800" s="34"/>
      <c r="K800" s="105">
        <v>110015744024</v>
      </c>
      <c r="L800" s="34">
        <v>9511</v>
      </c>
      <c r="M800" s="48" t="str">
        <f>VLOOKUP(L800, '2017 SIC to NAICS'!A:D, 2)</f>
        <v>Air, Water, and Solid Waste Management</v>
      </c>
      <c r="N800" s="34">
        <f>VLOOKUP(L800,'2017 SIC to NAICS'!A:D,3)</f>
        <v>924110</v>
      </c>
      <c r="O800" s="34" t="str">
        <f>VLOOKUP(L800,'2017 SIC to NAICS'!A:D,4)</f>
        <v>Administration of Air and Water Resource
and Solid Waste Management Programs</v>
      </c>
      <c r="P800" s="36" t="s">
        <v>754</v>
      </c>
      <c r="Q800" s="137" t="s">
        <v>755</v>
      </c>
      <c r="R800" s="45" t="s">
        <v>41</v>
      </c>
      <c r="S800" s="138">
        <f>COUNTIFS('Raw Non-zero DMR Data'!$A:$A, A800, 'Raw Non-zero DMR Data'!$C:$C, U800, 'Raw Non-zero DMR Data'!$V:$V, V800)</f>
        <v>1</v>
      </c>
      <c r="T800" s="34">
        <f>SUMIFS('Raw Non-zero DMR Data'!$X:$X, 'Raw Non-zero DMR Data'!$A:$A, A800, 'Raw Non-zero DMR Data'!$C:$C, U800, 'Raw Non-zero DMR Data'!V:V, V800)</f>
        <v>9.6208795400000005E-2</v>
      </c>
      <c r="U800" s="34" t="s">
        <v>1597</v>
      </c>
      <c r="V800" s="34" t="s">
        <v>1599</v>
      </c>
      <c r="W800" s="141" t="s">
        <v>1600</v>
      </c>
      <c r="X800" s="140" t="s">
        <v>757</v>
      </c>
    </row>
    <row r="801" spans="1:24" x14ac:dyDescent="0.35">
      <c r="A801" s="34">
        <v>2019</v>
      </c>
      <c r="B801" s="34" t="s">
        <v>456</v>
      </c>
      <c r="C801" s="34" t="s">
        <v>1601</v>
      </c>
      <c r="D801" s="34" t="s">
        <v>457</v>
      </c>
      <c r="E801" s="34" t="s">
        <v>1602</v>
      </c>
      <c r="F801" s="34" t="s">
        <v>458</v>
      </c>
      <c r="G801" s="34"/>
      <c r="H801" s="34">
        <v>41.678610999999997</v>
      </c>
      <c r="I801" s="34">
        <v>-84.325556000000006</v>
      </c>
      <c r="J801" s="34"/>
      <c r="K801" s="105">
        <v>110058286331</v>
      </c>
      <c r="L801" s="34">
        <v>8999</v>
      </c>
      <c r="M801" s="48" t="str">
        <f>VLOOKUP(L801, '2017 SIC to NAICS'!A:D, 2)</f>
        <v>Services, Nec</v>
      </c>
      <c r="N801" s="34">
        <f>VLOOKUP(L801,'2017 SIC to NAICS'!A:D,3)</f>
        <v>711510</v>
      </c>
      <c r="O801" s="34" t="str">
        <f>VLOOKUP(L801,'2017 SIC to NAICS'!A:D,4)</f>
        <v>Independent Artists, Writers, and
Performers</v>
      </c>
      <c r="P801" s="36" t="s">
        <v>737</v>
      </c>
      <c r="Q801" s="137" t="s">
        <v>737</v>
      </c>
      <c r="R801" s="45" t="s">
        <v>41</v>
      </c>
      <c r="S801" s="138">
        <f>COUNTIFS('Raw Non-zero DMR Data'!$A:$A, A801, 'Raw Non-zero DMR Data'!$C:$C, U801, 'Raw Non-zero DMR Data'!$V:$V, V801)</f>
        <v>1</v>
      </c>
      <c r="T801" s="34">
        <f>SUMIFS('Raw Non-zero DMR Data'!$X:$X, 'Raw Non-zero DMR Data'!$A:$A, A801, 'Raw Non-zero DMR Data'!$C:$C, U801, 'Raw Non-zero DMR Data'!V:V, V801)</f>
        <v>0.106970801721</v>
      </c>
      <c r="U801" s="34" t="s">
        <v>1601</v>
      </c>
      <c r="V801" s="34" t="s">
        <v>1603</v>
      </c>
      <c r="W801" s="139">
        <v>41000060202</v>
      </c>
      <c r="X801" s="140" t="s">
        <v>739</v>
      </c>
    </row>
    <row r="802" spans="1:24" x14ac:dyDescent="0.35">
      <c r="A802" s="34">
        <v>2019</v>
      </c>
      <c r="B802" s="34" t="s">
        <v>599</v>
      </c>
      <c r="C802" s="34" t="s">
        <v>1604</v>
      </c>
      <c r="D802" s="34" t="s">
        <v>600</v>
      </c>
      <c r="E802" s="34" t="s">
        <v>1605</v>
      </c>
      <c r="F802" s="34" t="s">
        <v>601</v>
      </c>
      <c r="G802" s="34"/>
      <c r="H802" s="34">
        <v>45.543847</v>
      </c>
      <c r="I802" s="34">
        <v>-122.46656299999999</v>
      </c>
      <c r="J802" s="34"/>
      <c r="K802" s="105">
        <v>110000487633</v>
      </c>
      <c r="L802" s="34">
        <v>3728</v>
      </c>
      <c r="M802" s="48" t="str">
        <f>VLOOKUP(L802, '2017 SIC to NAICS'!A:D, 2)</f>
        <v>Aircraft Parts and Auxiliary Equipment, NEC (research and development not
producing prototypes)</v>
      </c>
      <c r="N802" s="34">
        <f>VLOOKUP(L802,'2017 SIC to NAICS'!A:D,3)</f>
        <v>541713</v>
      </c>
      <c r="O802" s="34" t="str">
        <f>VLOOKUP(L802,'2017 SIC to NAICS'!A:D,4)</f>
        <v>Research and Development in Nanotechnology</v>
      </c>
      <c r="P802" s="36" t="s">
        <v>754</v>
      </c>
      <c r="Q802" s="137" t="s">
        <v>755</v>
      </c>
      <c r="R802" s="45" t="s">
        <v>41</v>
      </c>
      <c r="S802" s="138">
        <f>COUNTIFS('Raw Non-zero DMR Data'!$A:$A, A802, 'Raw Non-zero DMR Data'!$C:$C, U802, 'Raw Non-zero DMR Data'!$V:$V, V802)</f>
        <v>1</v>
      </c>
      <c r="T802" s="34">
        <f>SUMIFS('Raw Non-zero DMR Data'!$X:$X, 'Raw Non-zero DMR Data'!$A:$A, A802, 'Raw Non-zero DMR Data'!$C:$C, U802, 'Raw Non-zero DMR Data'!V:V, V802)</f>
        <v>9.9867679200000004E-3</v>
      </c>
      <c r="U802" s="34" t="s">
        <v>1604</v>
      </c>
      <c r="V802" s="34" t="s">
        <v>1606</v>
      </c>
      <c r="W802" s="139">
        <v>170900120201</v>
      </c>
      <c r="X802" s="140" t="s">
        <v>1607</v>
      </c>
    </row>
    <row r="803" spans="1:24" x14ac:dyDescent="0.35">
      <c r="A803" s="34">
        <v>2020</v>
      </c>
      <c r="B803" s="34" t="s">
        <v>599</v>
      </c>
      <c r="C803" s="34" t="s">
        <v>1604</v>
      </c>
      <c r="D803" s="34" t="s">
        <v>600</v>
      </c>
      <c r="E803" s="34" t="s">
        <v>1605</v>
      </c>
      <c r="F803" s="34" t="s">
        <v>601</v>
      </c>
      <c r="G803" s="34"/>
      <c r="H803" s="34">
        <v>45.543847</v>
      </c>
      <c r="I803" s="34">
        <v>-122.46656299999999</v>
      </c>
      <c r="J803" s="34"/>
      <c r="K803" s="105">
        <v>110000487633</v>
      </c>
      <c r="L803" s="34">
        <v>3728</v>
      </c>
      <c r="M803" s="48" t="str">
        <f>VLOOKUP(L803, '2017 SIC to NAICS'!A:D, 2)</f>
        <v>Aircraft Parts and Auxiliary Equipment, NEC (research and development not
producing prototypes)</v>
      </c>
      <c r="N803" s="34">
        <f>VLOOKUP(L803,'2017 SIC to NAICS'!A:D,3)</f>
        <v>541713</v>
      </c>
      <c r="O803" s="34" t="str">
        <f>VLOOKUP(L803,'2017 SIC to NAICS'!A:D,4)</f>
        <v>Research and Development in Nanotechnology</v>
      </c>
      <c r="P803" s="36" t="s">
        <v>754</v>
      </c>
      <c r="Q803" s="137" t="s">
        <v>755</v>
      </c>
      <c r="R803" s="45" t="s">
        <v>41</v>
      </c>
      <c r="S803" s="138">
        <f>COUNTIFS('Raw Non-zero DMR Data'!$A:$A, A803, 'Raw Non-zero DMR Data'!$C:$C, U803, 'Raw Non-zero DMR Data'!$V:$V, V803)</f>
        <v>1</v>
      </c>
      <c r="T803" s="34">
        <f>SUMIFS('Raw Non-zero DMR Data'!$X:$X, 'Raw Non-zero DMR Data'!$A:$A, A803, 'Raw Non-zero DMR Data'!$C:$C, U803, 'Raw Non-zero DMR Data'!V:V, V803)</f>
        <v>1.41247116E-3</v>
      </c>
      <c r="U803" s="34" t="s">
        <v>1604</v>
      </c>
      <c r="V803" s="34" t="s">
        <v>1606</v>
      </c>
      <c r="W803" s="139">
        <v>170900120201</v>
      </c>
      <c r="X803" s="140" t="s">
        <v>1607</v>
      </c>
    </row>
    <row r="804" spans="1:24" x14ac:dyDescent="0.35">
      <c r="A804" s="34">
        <v>2021</v>
      </c>
      <c r="B804" s="34" t="s">
        <v>599</v>
      </c>
      <c r="C804" s="34" t="s">
        <v>1604</v>
      </c>
      <c r="D804" s="34" t="s">
        <v>600</v>
      </c>
      <c r="E804" s="34" t="s">
        <v>1605</v>
      </c>
      <c r="F804" s="34" t="s">
        <v>601</v>
      </c>
      <c r="G804" s="34"/>
      <c r="H804" s="34">
        <v>45.543847</v>
      </c>
      <c r="I804" s="34">
        <v>-122.46656299999999</v>
      </c>
      <c r="J804" s="34"/>
      <c r="K804" s="105">
        <v>110000487633</v>
      </c>
      <c r="L804" s="34">
        <v>3728</v>
      </c>
      <c r="M804" s="48" t="str">
        <f>VLOOKUP(L804, '2017 SIC to NAICS'!A:D, 2)</f>
        <v>Aircraft Parts and Auxiliary Equipment, NEC (research and development not
producing prototypes)</v>
      </c>
      <c r="N804" s="34">
        <f>VLOOKUP(L804,'2017 SIC to NAICS'!A:D,3)</f>
        <v>541713</v>
      </c>
      <c r="O804" s="34" t="str">
        <f>VLOOKUP(L804,'2017 SIC to NAICS'!A:D,4)</f>
        <v>Research and Development in Nanotechnology</v>
      </c>
      <c r="P804" s="36" t="s">
        <v>754</v>
      </c>
      <c r="Q804" s="137" t="s">
        <v>755</v>
      </c>
      <c r="R804" s="45" t="s">
        <v>41</v>
      </c>
      <c r="S804" s="138">
        <f>COUNTIFS('Raw Non-zero DMR Data'!$A:$A, A804, 'Raw Non-zero DMR Data'!$C:$C, U804, 'Raw Non-zero DMR Data'!$V:$V, V804)</f>
        <v>1</v>
      </c>
      <c r="T804" s="34">
        <f>SUMIFS('Raw Non-zero DMR Data'!$X:$X, 'Raw Non-zero DMR Data'!$A:$A, A804, 'Raw Non-zero DMR Data'!$C:$C, U804, 'Raw Non-zero DMR Data'!V:V, V804)</f>
        <v>1.25331948E-2</v>
      </c>
      <c r="U804" s="34" t="s">
        <v>1604</v>
      </c>
      <c r="V804" s="34" t="s">
        <v>1606</v>
      </c>
      <c r="W804" s="139">
        <v>170900120201</v>
      </c>
      <c r="X804" s="140" t="s">
        <v>1607</v>
      </c>
    </row>
    <row r="805" spans="1:24" x14ac:dyDescent="0.35">
      <c r="A805" s="34">
        <v>2022</v>
      </c>
      <c r="B805" s="34" t="s">
        <v>599</v>
      </c>
      <c r="C805" s="34" t="s">
        <v>1604</v>
      </c>
      <c r="D805" s="34" t="s">
        <v>600</v>
      </c>
      <c r="E805" s="34" t="s">
        <v>1605</v>
      </c>
      <c r="F805" s="34" t="s">
        <v>601</v>
      </c>
      <c r="G805" s="34"/>
      <c r="H805" s="34">
        <v>45.543847</v>
      </c>
      <c r="I805" s="34">
        <v>-122.46656299999999</v>
      </c>
      <c r="J805" s="34"/>
      <c r="K805" s="105">
        <v>110000487633</v>
      </c>
      <c r="L805" s="34">
        <v>3728</v>
      </c>
      <c r="M805" s="48" t="str">
        <f>VLOOKUP(L805, '2017 SIC to NAICS'!A:D, 2)</f>
        <v>Aircraft Parts and Auxiliary Equipment, NEC (research and development not
producing prototypes)</v>
      </c>
      <c r="N805" s="34">
        <f>VLOOKUP(L805,'2017 SIC to NAICS'!A:D,3)</f>
        <v>541713</v>
      </c>
      <c r="O805" s="34" t="str">
        <f>VLOOKUP(L805,'2017 SIC to NAICS'!A:D,4)</f>
        <v>Research and Development in Nanotechnology</v>
      </c>
      <c r="P805" s="36" t="s">
        <v>754</v>
      </c>
      <c r="Q805" s="137" t="s">
        <v>755</v>
      </c>
      <c r="R805" s="45" t="s">
        <v>41</v>
      </c>
      <c r="S805" s="138">
        <f>COUNTIFS('Raw Non-zero DMR Data'!$A:$A, A805, 'Raw Non-zero DMR Data'!$C:$C, U805, 'Raw Non-zero DMR Data'!$V:$V, V805)</f>
        <v>1</v>
      </c>
      <c r="T805" s="34">
        <f>SUMIFS('Raw Non-zero DMR Data'!$X:$X, 'Raw Non-zero DMR Data'!$A:$A, A805, 'Raw Non-zero DMR Data'!$C:$C, U805, 'Raw Non-zero DMR Data'!V:V, V805)</f>
        <v>1.23342552E-2</v>
      </c>
      <c r="U805" s="34" t="s">
        <v>1604</v>
      </c>
      <c r="V805" s="34" t="s">
        <v>1606</v>
      </c>
      <c r="W805" s="139">
        <v>170900120201</v>
      </c>
      <c r="X805" s="140" t="s">
        <v>1607</v>
      </c>
    </row>
    <row r="806" spans="1:24" x14ac:dyDescent="0.35">
      <c r="A806" s="34">
        <v>2023</v>
      </c>
      <c r="B806" s="34" t="s">
        <v>599</v>
      </c>
      <c r="C806" s="34" t="s">
        <v>1604</v>
      </c>
      <c r="D806" s="34" t="s">
        <v>600</v>
      </c>
      <c r="E806" s="34" t="s">
        <v>1605</v>
      </c>
      <c r="F806" s="34" t="s">
        <v>601</v>
      </c>
      <c r="G806" s="34"/>
      <c r="H806" s="34">
        <v>45.543847</v>
      </c>
      <c r="I806" s="34">
        <v>-122.46656299999999</v>
      </c>
      <c r="J806" s="34"/>
      <c r="K806" s="105">
        <v>110000487633</v>
      </c>
      <c r="L806" s="34">
        <v>3728</v>
      </c>
      <c r="M806" s="48" t="str">
        <f>VLOOKUP(L806, '2017 SIC to NAICS'!A:D, 2)</f>
        <v>Aircraft Parts and Auxiliary Equipment, NEC (research and development not
producing prototypes)</v>
      </c>
      <c r="N806" s="34">
        <f>VLOOKUP(L806,'2017 SIC to NAICS'!A:D,3)</f>
        <v>541713</v>
      </c>
      <c r="O806" s="34" t="str">
        <f>VLOOKUP(L806,'2017 SIC to NAICS'!A:D,4)</f>
        <v>Research and Development in Nanotechnology</v>
      </c>
      <c r="P806" s="36" t="s">
        <v>754</v>
      </c>
      <c r="Q806" s="137" t="s">
        <v>755</v>
      </c>
      <c r="R806" s="45" t="s">
        <v>41</v>
      </c>
      <c r="S806" s="138">
        <f>COUNTIFS('Raw Non-zero DMR Data'!$A:$A, A806, 'Raw Non-zero DMR Data'!$C:$C, U806, 'Raw Non-zero DMR Data'!$V:$V, V806)</f>
        <v>1</v>
      </c>
      <c r="T806" s="34">
        <f>SUMIFS('Raw Non-zero DMR Data'!$X:$X, 'Raw Non-zero DMR Data'!$A:$A, A806, 'Raw Non-zero DMR Data'!$C:$C, U806, 'Raw Non-zero DMR Data'!V:V, V806)</f>
        <v>1.23342552E-2</v>
      </c>
      <c r="U806" s="34" t="s">
        <v>1604</v>
      </c>
      <c r="V806" s="34" t="s">
        <v>1606</v>
      </c>
      <c r="W806" s="139">
        <v>170900120201</v>
      </c>
      <c r="X806" s="140" t="s">
        <v>1607</v>
      </c>
    </row>
    <row r="807" spans="1:24" x14ac:dyDescent="0.35">
      <c r="A807" s="34">
        <v>2019</v>
      </c>
      <c r="B807" s="34" t="s">
        <v>655</v>
      </c>
      <c r="C807" s="34" t="s">
        <v>1608</v>
      </c>
      <c r="D807" s="34" t="s">
        <v>600</v>
      </c>
      <c r="E807" s="34" t="s">
        <v>1605</v>
      </c>
      <c r="F807" s="34" t="s">
        <v>601</v>
      </c>
      <c r="G807" s="34"/>
      <c r="H807" s="34">
        <v>45.548641000000003</v>
      </c>
      <c r="I807" s="34">
        <v>-122.72292299999999</v>
      </c>
      <c r="J807" s="34"/>
      <c r="K807" s="105">
        <v>110000487447</v>
      </c>
      <c r="L807" s="34">
        <v>5169</v>
      </c>
      <c r="M807" s="48" t="str">
        <f>VLOOKUP(L807, '2017 SIC to NAICS'!A:D, 2)</f>
        <v>Chemicals and Allied Products, Nec</v>
      </c>
      <c r="N807" s="34">
        <f>VLOOKUP(L807,'2017 SIC to NAICS'!A:D,3)</f>
        <v>425120</v>
      </c>
      <c r="O807" s="34" t="str">
        <f>VLOOKUP(L807,'2017 SIC to NAICS'!A:D,4)</f>
        <v>Wholesale Trade Agents and Brokers</v>
      </c>
      <c r="P807" s="36" t="s">
        <v>765</v>
      </c>
      <c r="Q807" s="137" t="s">
        <v>766</v>
      </c>
      <c r="R807" s="45" t="s">
        <v>41</v>
      </c>
      <c r="S807" s="138">
        <f>COUNTIFS('Raw Non-zero DMR Data'!$A:$A, A807, 'Raw Non-zero DMR Data'!$C:$C, U807, 'Raw Non-zero DMR Data'!$V:$V, V807)</f>
        <v>1</v>
      </c>
      <c r="T807" s="34">
        <f>SUMIFS('Raw Non-zero DMR Data'!$X:$X, 'Raw Non-zero DMR Data'!$A:$A, A807, 'Raw Non-zero DMR Data'!$C:$C, U807, 'Raw Non-zero DMR Data'!V:V, V807)</f>
        <v>2.9100837970285698E-3</v>
      </c>
      <c r="U807" s="34" t="s">
        <v>1608</v>
      </c>
      <c r="V807" s="34" t="s">
        <v>1609</v>
      </c>
      <c r="W807" s="139">
        <v>170900120202</v>
      </c>
      <c r="X807" s="140" t="s">
        <v>751</v>
      </c>
    </row>
    <row r="808" spans="1:24" x14ac:dyDescent="0.35">
      <c r="A808" s="34">
        <v>2020</v>
      </c>
      <c r="B808" s="34" t="s">
        <v>655</v>
      </c>
      <c r="C808" s="34" t="s">
        <v>1608</v>
      </c>
      <c r="D808" s="34" t="s">
        <v>600</v>
      </c>
      <c r="E808" s="34" t="s">
        <v>1605</v>
      </c>
      <c r="F808" s="34" t="s">
        <v>601</v>
      </c>
      <c r="G808" s="34"/>
      <c r="H808" s="34">
        <v>45.548641000000003</v>
      </c>
      <c r="I808" s="34">
        <v>-122.72292299999999</v>
      </c>
      <c r="J808" s="34"/>
      <c r="K808" s="105">
        <v>110000487447</v>
      </c>
      <c r="L808" s="34">
        <v>5169</v>
      </c>
      <c r="M808" s="48" t="str">
        <f>VLOOKUP(L808, '2017 SIC to NAICS'!A:D, 2)</f>
        <v>Chemicals and Allied Products, Nec</v>
      </c>
      <c r="N808" s="34">
        <f>VLOOKUP(L808,'2017 SIC to NAICS'!A:D,3)</f>
        <v>425120</v>
      </c>
      <c r="O808" s="34" t="str">
        <f>VLOOKUP(L808,'2017 SIC to NAICS'!A:D,4)</f>
        <v>Wholesale Trade Agents and Brokers</v>
      </c>
      <c r="P808" s="36" t="s">
        <v>765</v>
      </c>
      <c r="Q808" s="137" t="s">
        <v>766</v>
      </c>
      <c r="R808" s="45" t="s">
        <v>41</v>
      </c>
      <c r="S808" s="138">
        <f>COUNTIFS('Raw Non-zero DMR Data'!$A:$A, A808, 'Raw Non-zero DMR Data'!$C:$C, U808, 'Raw Non-zero DMR Data'!$V:$V, V808)</f>
        <v>1</v>
      </c>
      <c r="T808" s="34">
        <f>SUMIFS('Raw Non-zero DMR Data'!$X:$X, 'Raw Non-zero DMR Data'!$A:$A, A808, 'Raw Non-zero DMR Data'!$C:$C, U808, 'Raw Non-zero DMR Data'!V:V, V808)</f>
        <v>3.1110610680000002E-3</v>
      </c>
      <c r="U808" s="34" t="s">
        <v>1608</v>
      </c>
      <c r="V808" s="34" t="s">
        <v>1609</v>
      </c>
      <c r="W808" s="139">
        <v>170900120202</v>
      </c>
      <c r="X808" s="140" t="s">
        <v>751</v>
      </c>
    </row>
    <row r="809" spans="1:24" x14ac:dyDescent="0.35">
      <c r="A809" s="34">
        <v>2021</v>
      </c>
      <c r="B809" s="34" t="s">
        <v>655</v>
      </c>
      <c r="C809" s="34" t="s">
        <v>1608</v>
      </c>
      <c r="D809" s="34" t="s">
        <v>600</v>
      </c>
      <c r="E809" s="34" t="s">
        <v>1605</v>
      </c>
      <c r="F809" s="34" t="s">
        <v>601</v>
      </c>
      <c r="G809" s="34"/>
      <c r="H809" s="34">
        <v>45.548641000000003</v>
      </c>
      <c r="I809" s="34">
        <v>-122.72292299999999</v>
      </c>
      <c r="J809" s="34"/>
      <c r="K809" s="105">
        <v>110000487447</v>
      </c>
      <c r="L809" s="34">
        <v>5169</v>
      </c>
      <c r="M809" s="48" t="str">
        <f>VLOOKUP(L809, '2017 SIC to NAICS'!A:D, 2)</f>
        <v>Chemicals and Allied Products, Nec</v>
      </c>
      <c r="N809" s="34">
        <f>VLOOKUP(L809,'2017 SIC to NAICS'!A:D,3)</f>
        <v>425120</v>
      </c>
      <c r="O809" s="34" t="str">
        <f>VLOOKUP(L809,'2017 SIC to NAICS'!A:D,4)</f>
        <v>Wholesale Trade Agents and Brokers</v>
      </c>
      <c r="P809" s="36" t="s">
        <v>765</v>
      </c>
      <c r="Q809" s="137" t="s">
        <v>766</v>
      </c>
      <c r="R809" s="45" t="s">
        <v>41</v>
      </c>
      <c r="S809" s="138">
        <f>COUNTIFS('Raw Non-zero DMR Data'!$A:$A, A809, 'Raw Non-zero DMR Data'!$C:$C, U809, 'Raw Non-zero DMR Data'!$V:$V, V809)</f>
        <v>1</v>
      </c>
      <c r="T809" s="34">
        <f>SUMIFS('Raw Non-zero DMR Data'!$X:$X, 'Raw Non-zero DMR Data'!$A:$A, A809, 'Raw Non-zero DMR Data'!$C:$C, U809, 'Raw Non-zero DMR Data'!V:V, V809)</f>
        <v>1.7917971983999999E-3</v>
      </c>
      <c r="U809" s="34" t="s">
        <v>1608</v>
      </c>
      <c r="V809" s="34" t="s">
        <v>1609</v>
      </c>
      <c r="W809" s="139">
        <v>170900120202</v>
      </c>
      <c r="X809" s="140" t="s">
        <v>751</v>
      </c>
    </row>
    <row r="810" spans="1:24" x14ac:dyDescent="0.35">
      <c r="A810" s="34">
        <v>2022</v>
      </c>
      <c r="B810" s="34" t="s">
        <v>655</v>
      </c>
      <c r="C810" s="34" t="s">
        <v>1608</v>
      </c>
      <c r="D810" s="34" t="s">
        <v>600</v>
      </c>
      <c r="E810" s="34" t="s">
        <v>1605</v>
      </c>
      <c r="F810" s="34" t="s">
        <v>601</v>
      </c>
      <c r="G810" s="34"/>
      <c r="H810" s="34">
        <v>45.548641000000003</v>
      </c>
      <c r="I810" s="34">
        <v>-122.72292299999999</v>
      </c>
      <c r="J810" s="34"/>
      <c r="K810" s="105">
        <v>110000487447</v>
      </c>
      <c r="L810" s="34">
        <v>5169</v>
      </c>
      <c r="M810" s="48" t="str">
        <f>VLOOKUP(L810, '2017 SIC to NAICS'!A:D, 2)</f>
        <v>Chemicals and Allied Products, Nec</v>
      </c>
      <c r="N810" s="34">
        <f>VLOOKUP(L810,'2017 SIC to NAICS'!A:D,3)</f>
        <v>425120</v>
      </c>
      <c r="O810" s="34" t="str">
        <f>VLOOKUP(L810,'2017 SIC to NAICS'!A:D,4)</f>
        <v>Wholesale Trade Agents and Brokers</v>
      </c>
      <c r="P810" s="36" t="s">
        <v>765</v>
      </c>
      <c r="Q810" s="137" t="s">
        <v>766</v>
      </c>
      <c r="R810" s="45" t="s">
        <v>41</v>
      </c>
      <c r="S810" s="138">
        <f>COUNTIFS('Raw Non-zero DMR Data'!$A:$A, A810, 'Raw Non-zero DMR Data'!$C:$C, U810, 'Raw Non-zero DMR Data'!$V:$V, V810)</f>
        <v>1</v>
      </c>
      <c r="T810" s="34">
        <f>SUMIFS('Raw Non-zero DMR Data'!$X:$X, 'Raw Non-zero DMR Data'!$A:$A, A810, 'Raw Non-zero DMR Data'!$C:$C, U810, 'Raw Non-zero DMR Data'!V:V, V810)</f>
        <v>1.527638112E-3</v>
      </c>
      <c r="U810" s="34" t="s">
        <v>1608</v>
      </c>
      <c r="V810" s="34" t="s">
        <v>1609</v>
      </c>
      <c r="W810" s="139">
        <v>170900120202</v>
      </c>
      <c r="X810" s="140" t="s">
        <v>751</v>
      </c>
    </row>
    <row r="811" spans="1:24" x14ac:dyDescent="0.35">
      <c r="A811" s="34">
        <v>2023</v>
      </c>
      <c r="B811" s="34" t="s">
        <v>655</v>
      </c>
      <c r="C811" s="34" t="s">
        <v>1608</v>
      </c>
      <c r="D811" s="34" t="s">
        <v>600</v>
      </c>
      <c r="E811" s="34" t="s">
        <v>1605</v>
      </c>
      <c r="F811" s="34" t="s">
        <v>601</v>
      </c>
      <c r="G811" s="34"/>
      <c r="H811" s="34">
        <v>45.548641000000003</v>
      </c>
      <c r="I811" s="34">
        <v>-122.72292299999999</v>
      </c>
      <c r="J811" s="34"/>
      <c r="K811" s="105">
        <v>110000487447</v>
      </c>
      <c r="L811" s="34">
        <v>5169</v>
      </c>
      <c r="M811" s="48" t="str">
        <f>VLOOKUP(L811, '2017 SIC to NAICS'!A:D, 2)</f>
        <v>Chemicals and Allied Products, Nec</v>
      </c>
      <c r="N811" s="34">
        <f>VLOOKUP(L811,'2017 SIC to NAICS'!A:D,3)</f>
        <v>425120</v>
      </c>
      <c r="O811" s="34" t="str">
        <f>VLOOKUP(L811,'2017 SIC to NAICS'!A:D,4)</f>
        <v>Wholesale Trade Agents and Brokers</v>
      </c>
      <c r="P811" s="36" t="s">
        <v>765</v>
      </c>
      <c r="Q811" s="137" t="s">
        <v>766</v>
      </c>
      <c r="R811" s="45" t="s">
        <v>41</v>
      </c>
      <c r="S811" s="138">
        <f>COUNTIFS('Raw Non-zero DMR Data'!$A:$A, A811, 'Raw Non-zero DMR Data'!$C:$C, U811, 'Raw Non-zero DMR Data'!$V:$V, V811)</f>
        <v>1</v>
      </c>
      <c r="T811" s="34">
        <f>SUMIFS('Raw Non-zero DMR Data'!$X:$X, 'Raw Non-zero DMR Data'!$A:$A, A811, 'Raw Non-zero DMR Data'!$C:$C, U811, 'Raw Non-zero DMR Data'!V:V, V811)</f>
        <v>1.2107627568E-3</v>
      </c>
      <c r="U811" s="34" t="s">
        <v>1608</v>
      </c>
      <c r="V811" s="34" t="s">
        <v>1609</v>
      </c>
      <c r="W811" s="139">
        <v>170900120202</v>
      </c>
      <c r="X811" s="140" t="s">
        <v>751</v>
      </c>
    </row>
    <row r="812" spans="1:24" x14ac:dyDescent="0.35">
      <c r="A812" s="34">
        <v>2019</v>
      </c>
      <c r="B812" s="34" t="s">
        <v>550</v>
      </c>
      <c r="C812" s="34" t="s">
        <v>1610</v>
      </c>
      <c r="D812" s="34" t="s">
        <v>551</v>
      </c>
      <c r="E812" s="34" t="s">
        <v>1611</v>
      </c>
      <c r="F812" s="34" t="s">
        <v>340</v>
      </c>
      <c r="G812" s="34"/>
      <c r="H812" s="34">
        <v>40.359177000000003</v>
      </c>
      <c r="I812" s="34">
        <v>-79.902659999999997</v>
      </c>
      <c r="J812" s="34"/>
      <c r="K812" s="105">
        <v>110000701973</v>
      </c>
      <c r="L812" s="34">
        <v>8733</v>
      </c>
      <c r="M812" s="48" t="str">
        <f>VLOOKUP(L812, '2017 SIC to NAICS'!A:D, 2)</f>
        <v>Noncommercial Research Organizations</v>
      </c>
      <c r="N812" s="34">
        <f>VLOOKUP(L812,'2017 SIC to NAICS'!A:D,3)</f>
        <v>541720</v>
      </c>
      <c r="O812" s="34" t="str">
        <f>VLOOKUP(L812,'2017 SIC to NAICS'!A:D,4)</f>
        <v>Research and Development in the Social
Sciences and Humanities</v>
      </c>
      <c r="P812" s="36" t="s">
        <v>754</v>
      </c>
      <c r="Q812" s="137" t="s">
        <v>755</v>
      </c>
      <c r="R812" s="45" t="s">
        <v>41</v>
      </c>
      <c r="S812" s="138">
        <f>COUNTIFS('Raw Non-zero DMR Data'!$A:$A, A812, 'Raw Non-zero DMR Data'!$C:$C, U812, 'Raw Non-zero DMR Data'!$V:$V, V812)</f>
        <v>1</v>
      </c>
      <c r="T812" s="34">
        <f>SUMIFS('Raw Non-zero DMR Data'!$X:$X, 'Raw Non-zero DMR Data'!$A:$A, A812, 'Raw Non-zero DMR Data'!$C:$C, U812, 'Raw Non-zero DMR Data'!V:V, V812)</f>
        <v>2.6203555E-2</v>
      </c>
      <c r="U812" s="34" t="s">
        <v>1610</v>
      </c>
      <c r="V812" s="34" t="s">
        <v>1612</v>
      </c>
      <c r="W812" s="139">
        <v>50200050808</v>
      </c>
      <c r="X812" s="140" t="s">
        <v>1613</v>
      </c>
    </row>
    <row r="813" spans="1:24" x14ac:dyDescent="0.35">
      <c r="A813" s="34">
        <v>2020</v>
      </c>
      <c r="B813" s="34" t="s">
        <v>550</v>
      </c>
      <c r="C813" s="34" t="s">
        <v>1610</v>
      </c>
      <c r="D813" s="34" t="s">
        <v>551</v>
      </c>
      <c r="E813" s="34" t="s">
        <v>1611</v>
      </c>
      <c r="F813" s="34" t="s">
        <v>340</v>
      </c>
      <c r="G813" s="34"/>
      <c r="H813" s="34">
        <v>40.359177000000003</v>
      </c>
      <c r="I813" s="34">
        <v>-79.902659999999997</v>
      </c>
      <c r="J813" s="34"/>
      <c r="K813" s="105">
        <v>110000701973</v>
      </c>
      <c r="L813" s="34">
        <v>8733</v>
      </c>
      <c r="M813" s="48" t="str">
        <f>VLOOKUP(L813, '2017 SIC to NAICS'!A:D, 2)</f>
        <v>Noncommercial Research Organizations</v>
      </c>
      <c r="N813" s="34">
        <f>VLOOKUP(L813,'2017 SIC to NAICS'!A:D,3)</f>
        <v>541720</v>
      </c>
      <c r="O813" s="34" t="str">
        <f>VLOOKUP(L813,'2017 SIC to NAICS'!A:D,4)</f>
        <v>Research and Development in the Social
Sciences and Humanities</v>
      </c>
      <c r="P813" s="36" t="s">
        <v>754</v>
      </c>
      <c r="Q813" s="137" t="s">
        <v>755</v>
      </c>
      <c r="R813" s="45" t="s">
        <v>41</v>
      </c>
      <c r="S813" s="138">
        <f>COUNTIFS('Raw Non-zero DMR Data'!$A:$A, A813, 'Raw Non-zero DMR Data'!$C:$C, U813, 'Raw Non-zero DMR Data'!$V:$V, V813)</f>
        <v>1</v>
      </c>
      <c r="T813" s="34">
        <f>SUMIFS('Raw Non-zero DMR Data'!$X:$X, 'Raw Non-zero DMR Data'!$A:$A, A813, 'Raw Non-zero DMR Data'!$C:$C, U813, 'Raw Non-zero DMR Data'!V:V, V813)</f>
        <v>2.077965E-2</v>
      </c>
      <c r="U813" s="34" t="s">
        <v>1610</v>
      </c>
      <c r="V813" s="34" t="s">
        <v>1612</v>
      </c>
      <c r="W813" s="139">
        <v>50200050808</v>
      </c>
      <c r="X813" s="140" t="s">
        <v>1613</v>
      </c>
    </row>
    <row r="814" spans="1:24" x14ac:dyDescent="0.35">
      <c r="A814" s="34">
        <v>2021</v>
      </c>
      <c r="B814" s="34" t="s">
        <v>550</v>
      </c>
      <c r="C814" s="34" t="s">
        <v>1610</v>
      </c>
      <c r="D814" s="34" t="s">
        <v>551</v>
      </c>
      <c r="E814" s="34" t="s">
        <v>1611</v>
      </c>
      <c r="F814" s="34" t="s">
        <v>340</v>
      </c>
      <c r="G814" s="34"/>
      <c r="H814" s="34">
        <v>40.359177000000003</v>
      </c>
      <c r="I814" s="34">
        <v>-79.902659999999997</v>
      </c>
      <c r="J814" s="34"/>
      <c r="K814" s="105">
        <v>110000701973</v>
      </c>
      <c r="L814" s="34">
        <v>8733</v>
      </c>
      <c r="M814" s="48" t="str">
        <f>VLOOKUP(L814, '2017 SIC to NAICS'!A:D, 2)</f>
        <v>Noncommercial Research Organizations</v>
      </c>
      <c r="N814" s="34">
        <f>VLOOKUP(L814,'2017 SIC to NAICS'!A:D,3)</f>
        <v>541720</v>
      </c>
      <c r="O814" s="34" t="str">
        <f>VLOOKUP(L814,'2017 SIC to NAICS'!A:D,4)</f>
        <v>Research and Development in the Social
Sciences and Humanities</v>
      </c>
      <c r="P814" s="36" t="s">
        <v>754</v>
      </c>
      <c r="Q814" s="137" t="s">
        <v>755</v>
      </c>
      <c r="R814" s="45" t="s">
        <v>41</v>
      </c>
      <c r="S814" s="138">
        <f>COUNTIFS('Raw Non-zero DMR Data'!$A:$A, A814, 'Raw Non-zero DMR Data'!$C:$C, U814, 'Raw Non-zero DMR Data'!$V:$V, V814)</f>
        <v>1</v>
      </c>
      <c r="T814" s="34">
        <f>SUMIFS('Raw Non-zero DMR Data'!$X:$X, 'Raw Non-zero DMR Data'!$A:$A, A814, 'Raw Non-zero DMR Data'!$C:$C, U814, 'Raw Non-zero DMR Data'!V:V, V814)</f>
        <v>2.0560120000000001E-2</v>
      </c>
      <c r="U814" s="34" t="s">
        <v>1610</v>
      </c>
      <c r="V814" s="34" t="s">
        <v>1612</v>
      </c>
      <c r="W814" s="139">
        <v>50200050808</v>
      </c>
      <c r="X814" s="140" t="s">
        <v>1613</v>
      </c>
    </row>
    <row r="815" spans="1:24" x14ac:dyDescent="0.35">
      <c r="A815" s="34">
        <v>2022</v>
      </c>
      <c r="B815" s="34" t="s">
        <v>550</v>
      </c>
      <c r="C815" s="34" t="s">
        <v>1610</v>
      </c>
      <c r="D815" s="34" t="s">
        <v>551</v>
      </c>
      <c r="E815" s="34" t="s">
        <v>1611</v>
      </c>
      <c r="F815" s="34" t="s">
        <v>340</v>
      </c>
      <c r="G815" s="34"/>
      <c r="H815" s="34">
        <v>40.359177000000003</v>
      </c>
      <c r="I815" s="34">
        <v>-79.902659999999997</v>
      </c>
      <c r="J815" s="34"/>
      <c r="K815" s="105">
        <v>110000701973</v>
      </c>
      <c r="L815" s="34">
        <v>8733</v>
      </c>
      <c r="M815" s="48" t="str">
        <f>VLOOKUP(L815, '2017 SIC to NAICS'!A:D, 2)</f>
        <v>Noncommercial Research Organizations</v>
      </c>
      <c r="N815" s="34">
        <f>VLOOKUP(L815,'2017 SIC to NAICS'!A:D,3)</f>
        <v>541720</v>
      </c>
      <c r="O815" s="34" t="str">
        <f>VLOOKUP(L815,'2017 SIC to NAICS'!A:D,4)</f>
        <v>Research and Development in the Social
Sciences and Humanities</v>
      </c>
      <c r="P815" s="36" t="s">
        <v>754</v>
      </c>
      <c r="Q815" s="137" t="s">
        <v>755</v>
      </c>
      <c r="R815" s="45" t="s">
        <v>41</v>
      </c>
      <c r="S815" s="138">
        <f>COUNTIFS('Raw Non-zero DMR Data'!$A:$A, A815, 'Raw Non-zero DMR Data'!$C:$C, U815, 'Raw Non-zero DMR Data'!$V:$V, V815)</f>
        <v>1</v>
      </c>
      <c r="T815" s="34">
        <f>SUMIFS('Raw Non-zero DMR Data'!$X:$X, 'Raw Non-zero DMR Data'!$A:$A, A815, 'Raw Non-zero DMR Data'!$C:$C, U815, 'Raw Non-zero DMR Data'!V:V, V815)</f>
        <v>2.58723675E-2</v>
      </c>
      <c r="U815" s="34" t="s">
        <v>1610</v>
      </c>
      <c r="V815" s="34" t="s">
        <v>1612</v>
      </c>
      <c r="W815" s="141" t="s">
        <v>1614</v>
      </c>
      <c r="X815" s="140" t="s">
        <v>1613</v>
      </c>
    </row>
    <row r="816" spans="1:24" x14ac:dyDescent="0.35">
      <c r="A816" s="34">
        <v>2023</v>
      </c>
      <c r="B816" s="34" t="s">
        <v>550</v>
      </c>
      <c r="C816" s="34" t="s">
        <v>1610</v>
      </c>
      <c r="D816" s="34" t="s">
        <v>551</v>
      </c>
      <c r="E816" s="34" t="s">
        <v>1611</v>
      </c>
      <c r="F816" s="34" t="s">
        <v>340</v>
      </c>
      <c r="G816" s="34"/>
      <c r="H816" s="34">
        <v>40.359177000000003</v>
      </c>
      <c r="I816" s="34">
        <v>-79.902659999999997</v>
      </c>
      <c r="J816" s="34"/>
      <c r="K816" s="105">
        <v>110000701973</v>
      </c>
      <c r="L816" s="34">
        <v>8733</v>
      </c>
      <c r="M816" s="48" t="str">
        <f>VLOOKUP(L816, '2017 SIC to NAICS'!A:D, 2)</f>
        <v>Noncommercial Research Organizations</v>
      </c>
      <c r="N816" s="34">
        <f>VLOOKUP(L816,'2017 SIC to NAICS'!A:D,3)</f>
        <v>541720</v>
      </c>
      <c r="O816" s="34" t="str">
        <f>VLOOKUP(L816,'2017 SIC to NAICS'!A:D,4)</f>
        <v>Research and Development in the Social
Sciences and Humanities</v>
      </c>
      <c r="P816" s="36" t="s">
        <v>754</v>
      </c>
      <c r="Q816" s="137" t="s">
        <v>755</v>
      </c>
      <c r="R816" s="45" t="s">
        <v>41</v>
      </c>
      <c r="S816" s="138">
        <f>COUNTIFS('Raw Non-zero DMR Data'!$A:$A, A816, 'Raw Non-zero DMR Data'!$C:$C, U816, 'Raw Non-zero DMR Data'!$V:$V, V816)</f>
        <v>1</v>
      </c>
      <c r="T816" s="34">
        <f>SUMIFS('Raw Non-zero DMR Data'!$X:$X, 'Raw Non-zero DMR Data'!$A:$A, A816, 'Raw Non-zero DMR Data'!$C:$C, U816, 'Raw Non-zero DMR Data'!V:V, V816)</f>
        <v>1.3949617500000001E-2</v>
      </c>
      <c r="U816" s="34" t="s">
        <v>1610</v>
      </c>
      <c r="V816" s="34" t="s">
        <v>1612</v>
      </c>
      <c r="W816" s="141" t="s">
        <v>1614</v>
      </c>
      <c r="X816" s="140" t="s">
        <v>1613</v>
      </c>
    </row>
    <row r="817" spans="1:24" x14ac:dyDescent="0.35">
      <c r="A817" s="34">
        <v>2022</v>
      </c>
      <c r="B817" s="34" t="s">
        <v>548</v>
      </c>
      <c r="C817" s="34" t="s">
        <v>1615</v>
      </c>
      <c r="D817" s="34" t="s">
        <v>339</v>
      </c>
      <c r="E817" s="34" t="s">
        <v>1616</v>
      </c>
      <c r="F817" s="34" t="s">
        <v>340</v>
      </c>
      <c r="G817" s="34"/>
      <c r="H817" s="34">
        <v>40.670580000000001</v>
      </c>
      <c r="I817" s="34">
        <v>-80.336500000000001</v>
      </c>
      <c r="J817" s="34"/>
      <c r="K817" s="105">
        <v>110000329038</v>
      </c>
      <c r="L817" s="34">
        <v>2869</v>
      </c>
      <c r="M817" s="48" t="str">
        <f>VLOOKUP(L817, '2017 SIC to NAICS'!A:D, 2)</f>
        <v>Industrial Organic Chemicals, Nec</v>
      </c>
      <c r="N817" s="34">
        <f>VLOOKUP(L817,'2017 SIC to NAICS'!A:D,3)</f>
        <v>325998</v>
      </c>
      <c r="O817" s="34" t="str">
        <f>VLOOKUP(L817,'2017 SIC to NAICS'!A:D,4)</f>
        <v>All Other Miscellaneous Chemical Product and Preparation Manufacturing</v>
      </c>
      <c r="P817" s="36" t="s">
        <v>748</v>
      </c>
      <c r="Q817" s="137" t="s">
        <v>749</v>
      </c>
      <c r="R817" s="45" t="s">
        <v>41</v>
      </c>
      <c r="S817" s="138">
        <f>COUNTIFS('Raw Non-zero DMR Data'!$A:$A, A817, 'Raw Non-zero DMR Data'!$C:$C, U817, 'Raw Non-zero DMR Data'!$V:$V, V817)</f>
        <v>1</v>
      </c>
      <c r="T817" s="34">
        <f>SUMIFS('Raw Non-zero DMR Data'!$X:$X, 'Raw Non-zero DMR Data'!$A:$A, A817, 'Raw Non-zero DMR Data'!$C:$C, U817, 'Raw Non-zero DMR Data'!V:V, V817)</f>
        <v>6.8100000000000001E-3</v>
      </c>
      <c r="U817" s="34" t="s">
        <v>1615</v>
      </c>
      <c r="V817" s="34" t="s">
        <v>1617</v>
      </c>
      <c r="W817" s="141" t="s">
        <v>1618</v>
      </c>
      <c r="X817" s="140" t="s">
        <v>751</v>
      </c>
    </row>
    <row r="818" spans="1:24" x14ac:dyDescent="0.35">
      <c r="A818" s="34">
        <v>2023</v>
      </c>
      <c r="B818" s="34" t="s">
        <v>548</v>
      </c>
      <c r="C818" s="34" t="s">
        <v>1615</v>
      </c>
      <c r="D818" s="34" t="s">
        <v>339</v>
      </c>
      <c r="E818" s="34" t="s">
        <v>1616</v>
      </c>
      <c r="F818" s="34" t="s">
        <v>340</v>
      </c>
      <c r="G818" s="34"/>
      <c r="H818" s="34">
        <v>40.670580000000001</v>
      </c>
      <c r="I818" s="34">
        <v>-80.336500000000001</v>
      </c>
      <c r="J818" s="34"/>
      <c r="K818" s="105">
        <v>110000329038</v>
      </c>
      <c r="L818" s="34">
        <v>2869</v>
      </c>
      <c r="M818" s="48" t="str">
        <f>VLOOKUP(L818, '2017 SIC to NAICS'!A:D, 2)</f>
        <v>Industrial Organic Chemicals, Nec</v>
      </c>
      <c r="N818" s="34">
        <f>VLOOKUP(L818,'2017 SIC to NAICS'!A:D,3)</f>
        <v>325998</v>
      </c>
      <c r="O818" s="34" t="str">
        <f>VLOOKUP(L818,'2017 SIC to NAICS'!A:D,4)</f>
        <v>All Other Miscellaneous Chemical Product and Preparation Manufacturing</v>
      </c>
      <c r="P818" s="36" t="s">
        <v>748</v>
      </c>
      <c r="Q818" s="137" t="s">
        <v>749</v>
      </c>
      <c r="R818" s="45" t="s">
        <v>41</v>
      </c>
      <c r="S818" s="138">
        <f>COUNTIFS('Raw Non-zero DMR Data'!$A:$A, A818, 'Raw Non-zero DMR Data'!$C:$C, U818, 'Raw Non-zero DMR Data'!$V:$V, V818)</f>
        <v>1</v>
      </c>
      <c r="T818" s="34">
        <f>SUMIFS('Raw Non-zero DMR Data'!$X:$X, 'Raw Non-zero DMR Data'!$A:$A, A818, 'Raw Non-zero DMR Data'!$C:$C, U818, 'Raw Non-zero DMR Data'!V:V, V818)</f>
        <v>2.8147999999999999E-2</v>
      </c>
      <c r="U818" s="34" t="s">
        <v>1615</v>
      </c>
      <c r="V818" s="34" t="s">
        <v>1617</v>
      </c>
      <c r="W818" s="141" t="s">
        <v>1618</v>
      </c>
      <c r="X818" s="140" t="s">
        <v>751</v>
      </c>
    </row>
    <row r="819" spans="1:24" x14ac:dyDescent="0.35">
      <c r="A819" s="34">
        <v>2019</v>
      </c>
      <c r="B819" s="34" t="s">
        <v>338</v>
      </c>
      <c r="C819" s="34" t="s">
        <v>1619</v>
      </c>
      <c r="D819" s="34" t="s">
        <v>339</v>
      </c>
      <c r="E819" s="34" t="s">
        <v>1616</v>
      </c>
      <c r="F819" s="34" t="s">
        <v>340</v>
      </c>
      <c r="G819" s="34"/>
      <c r="H819" s="34">
        <v>40.655278000000003</v>
      </c>
      <c r="I819" s="34">
        <v>-80.356388999999993</v>
      </c>
      <c r="J819" s="34"/>
      <c r="K819" s="105">
        <v>110059344473</v>
      </c>
      <c r="L819" s="34">
        <v>2821</v>
      </c>
      <c r="M819" s="48" t="str">
        <f>VLOOKUP(L819, '2017 SIC to NAICS'!A:D, 2)</f>
        <v>Plastics Materials and Resins</v>
      </c>
      <c r="N819" s="34">
        <f>VLOOKUP(L819,'2017 SIC to NAICS'!A:D,3)</f>
        <v>325211</v>
      </c>
      <c r="O819" s="34" t="str">
        <f>VLOOKUP(L819,'2017 SIC to NAICS'!A:D,4)</f>
        <v>Plastics Material and Resin Manufacturing</v>
      </c>
      <c r="P819" s="36" t="s">
        <v>796</v>
      </c>
      <c r="Q819" s="137" t="s">
        <v>797</v>
      </c>
      <c r="R819" s="45" t="s">
        <v>41</v>
      </c>
      <c r="S819" s="138">
        <f>COUNTIFS('Raw Non-zero DMR Data'!$A:$A, A819, 'Raw Non-zero DMR Data'!$C:$C, U819, 'Raw Non-zero DMR Data'!$V:$V, V819)</f>
        <v>1</v>
      </c>
      <c r="T819" s="34">
        <f>SUMIFS('Raw Non-zero DMR Data'!$X:$X, 'Raw Non-zero DMR Data'!$A:$A, A819, 'Raw Non-zero DMR Data'!$C:$C, U819, 'Raw Non-zero DMR Data'!V:V, V819)</f>
        <v>0.66283999999999998</v>
      </c>
      <c r="U819" s="34" t="s">
        <v>1619</v>
      </c>
      <c r="V819" s="34" t="s">
        <v>1617</v>
      </c>
      <c r="W819" s="139">
        <v>50301010310</v>
      </c>
      <c r="X819" s="140" t="s">
        <v>751</v>
      </c>
    </row>
    <row r="820" spans="1:24" x14ac:dyDescent="0.35">
      <c r="A820" s="34">
        <v>2020</v>
      </c>
      <c r="B820" s="34" t="s">
        <v>338</v>
      </c>
      <c r="C820" s="34" t="s">
        <v>1619</v>
      </c>
      <c r="D820" s="34" t="s">
        <v>339</v>
      </c>
      <c r="E820" s="34" t="s">
        <v>1616</v>
      </c>
      <c r="F820" s="34" t="s">
        <v>340</v>
      </c>
      <c r="G820" s="34"/>
      <c r="H820" s="34">
        <v>40.655278000000003</v>
      </c>
      <c r="I820" s="34">
        <v>-80.356388999999993</v>
      </c>
      <c r="J820" s="34"/>
      <c r="K820" s="105">
        <v>110059344473</v>
      </c>
      <c r="L820" s="34">
        <v>2821</v>
      </c>
      <c r="M820" s="48" t="str">
        <f>VLOOKUP(L820, '2017 SIC to NAICS'!A:D, 2)</f>
        <v>Plastics Materials and Resins</v>
      </c>
      <c r="N820" s="34">
        <f>VLOOKUP(L820,'2017 SIC to NAICS'!A:D,3)</f>
        <v>325211</v>
      </c>
      <c r="O820" s="34" t="str">
        <f>VLOOKUP(L820,'2017 SIC to NAICS'!A:D,4)</f>
        <v>Plastics Material and Resin Manufacturing</v>
      </c>
      <c r="P820" s="36" t="s">
        <v>796</v>
      </c>
      <c r="Q820" s="137" t="s">
        <v>797</v>
      </c>
      <c r="R820" s="45" t="s">
        <v>41</v>
      </c>
      <c r="S820" s="138">
        <f>COUNTIFS('Raw Non-zero DMR Data'!$A:$A, A820, 'Raw Non-zero DMR Data'!$C:$C, U820, 'Raw Non-zero DMR Data'!$V:$V, V820)</f>
        <v>1</v>
      </c>
      <c r="T820" s="34">
        <f>SUMIFS('Raw Non-zero DMR Data'!$X:$X, 'Raw Non-zero DMR Data'!$A:$A, A820, 'Raw Non-zero DMR Data'!$C:$C, U820, 'Raw Non-zero DMR Data'!V:V, V820)</f>
        <v>0.49713000000000002</v>
      </c>
      <c r="U820" s="34" t="s">
        <v>1619</v>
      </c>
      <c r="V820" s="34" t="s">
        <v>1617</v>
      </c>
      <c r="W820" s="139">
        <v>50301010310</v>
      </c>
      <c r="X820" s="140" t="s">
        <v>751</v>
      </c>
    </row>
    <row r="821" spans="1:24" x14ac:dyDescent="0.35">
      <c r="A821" s="34">
        <v>2021</v>
      </c>
      <c r="B821" s="34" t="s">
        <v>338</v>
      </c>
      <c r="C821" s="34" t="s">
        <v>1619</v>
      </c>
      <c r="D821" s="34" t="s">
        <v>339</v>
      </c>
      <c r="E821" s="34" t="s">
        <v>1616</v>
      </c>
      <c r="F821" s="34" t="s">
        <v>340</v>
      </c>
      <c r="G821" s="34"/>
      <c r="H821" s="34">
        <v>40.655278000000003</v>
      </c>
      <c r="I821" s="34">
        <v>-80.356388999999993</v>
      </c>
      <c r="J821" s="34"/>
      <c r="K821" s="105">
        <v>110059344473</v>
      </c>
      <c r="L821" s="34">
        <v>2821</v>
      </c>
      <c r="M821" s="48" t="str">
        <f>VLOOKUP(L821, '2017 SIC to NAICS'!A:D, 2)</f>
        <v>Plastics Materials and Resins</v>
      </c>
      <c r="N821" s="34">
        <f>VLOOKUP(L821,'2017 SIC to NAICS'!A:D,3)</f>
        <v>325211</v>
      </c>
      <c r="O821" s="34" t="str">
        <f>VLOOKUP(L821,'2017 SIC to NAICS'!A:D,4)</f>
        <v>Plastics Material and Resin Manufacturing</v>
      </c>
      <c r="P821" s="36" t="s">
        <v>796</v>
      </c>
      <c r="Q821" s="137" t="s">
        <v>797</v>
      </c>
      <c r="R821" s="45" t="s">
        <v>41</v>
      </c>
      <c r="S821" s="138">
        <f>COUNTIFS('Raw Non-zero DMR Data'!$A:$A, A821, 'Raw Non-zero DMR Data'!$C:$C, U821, 'Raw Non-zero DMR Data'!$V:$V, V821)</f>
        <v>1</v>
      </c>
      <c r="T821" s="34">
        <f>SUMIFS('Raw Non-zero DMR Data'!$X:$X, 'Raw Non-zero DMR Data'!$A:$A, A821, 'Raw Non-zero DMR Data'!$C:$C, U821, 'Raw Non-zero DMR Data'!V:V, V821)</f>
        <v>0.57998499999999997</v>
      </c>
      <c r="U821" s="34" t="s">
        <v>1619</v>
      </c>
      <c r="V821" s="34" t="s">
        <v>1617</v>
      </c>
      <c r="W821" s="139">
        <v>50301010310</v>
      </c>
      <c r="X821" s="140" t="s">
        <v>751</v>
      </c>
    </row>
    <row r="822" spans="1:24" x14ac:dyDescent="0.35">
      <c r="A822" s="34">
        <v>2022</v>
      </c>
      <c r="B822" s="34" t="s">
        <v>338</v>
      </c>
      <c r="C822" s="34" t="s">
        <v>1619</v>
      </c>
      <c r="D822" s="34" t="s">
        <v>339</v>
      </c>
      <c r="E822" s="34" t="s">
        <v>1616</v>
      </c>
      <c r="F822" s="34" t="s">
        <v>340</v>
      </c>
      <c r="G822" s="34"/>
      <c r="H822" s="34">
        <v>40.655278000000003</v>
      </c>
      <c r="I822" s="34">
        <v>-80.356388999999993</v>
      </c>
      <c r="J822" s="34"/>
      <c r="K822" s="105">
        <v>110059344473</v>
      </c>
      <c r="L822" s="34">
        <v>2821</v>
      </c>
      <c r="M822" s="48" t="str">
        <f>VLOOKUP(L822, '2017 SIC to NAICS'!A:D, 2)</f>
        <v>Plastics Materials and Resins</v>
      </c>
      <c r="N822" s="34">
        <f>VLOOKUP(L822,'2017 SIC to NAICS'!A:D,3)</f>
        <v>325211</v>
      </c>
      <c r="O822" s="34" t="str">
        <f>VLOOKUP(L822,'2017 SIC to NAICS'!A:D,4)</f>
        <v>Plastics Material and Resin Manufacturing</v>
      </c>
      <c r="P822" s="36" t="s">
        <v>796</v>
      </c>
      <c r="Q822" s="137" t="s">
        <v>797</v>
      </c>
      <c r="R822" s="45" t="s">
        <v>41</v>
      </c>
      <c r="S822" s="138">
        <f>COUNTIFS('Raw Non-zero DMR Data'!$A:$A, A822, 'Raw Non-zero DMR Data'!$C:$C, U822, 'Raw Non-zero DMR Data'!$V:$V, V822)</f>
        <v>1</v>
      </c>
      <c r="T822" s="34">
        <f>SUMIFS('Raw Non-zero DMR Data'!$X:$X, 'Raw Non-zero DMR Data'!$A:$A, A822, 'Raw Non-zero DMR Data'!$C:$C, U822, 'Raw Non-zero DMR Data'!V:V, V822)</f>
        <v>0.66283999999999998</v>
      </c>
      <c r="U822" s="34" t="s">
        <v>1619</v>
      </c>
      <c r="V822" s="34" t="s">
        <v>1617</v>
      </c>
      <c r="W822" s="141" t="s">
        <v>1618</v>
      </c>
      <c r="X822" s="140" t="s">
        <v>751</v>
      </c>
    </row>
    <row r="823" spans="1:24" x14ac:dyDescent="0.35">
      <c r="A823" s="34">
        <v>2023</v>
      </c>
      <c r="B823" s="34" t="s">
        <v>338</v>
      </c>
      <c r="C823" s="34" t="s">
        <v>1619</v>
      </c>
      <c r="D823" s="34" t="s">
        <v>339</v>
      </c>
      <c r="E823" s="34" t="s">
        <v>1616</v>
      </c>
      <c r="F823" s="34" t="s">
        <v>340</v>
      </c>
      <c r="G823" s="34"/>
      <c r="H823" s="34">
        <v>40.655278000000003</v>
      </c>
      <c r="I823" s="34">
        <v>-80.356388999999993</v>
      </c>
      <c r="J823" s="34"/>
      <c r="K823" s="105">
        <v>110059344473</v>
      </c>
      <c r="L823" s="34">
        <v>2821</v>
      </c>
      <c r="M823" s="48" t="str">
        <f>VLOOKUP(L823, '2017 SIC to NAICS'!A:D, 2)</f>
        <v>Plastics Materials and Resins</v>
      </c>
      <c r="N823" s="34">
        <f>VLOOKUP(L823,'2017 SIC to NAICS'!A:D,3)</f>
        <v>325211</v>
      </c>
      <c r="O823" s="34" t="str">
        <f>VLOOKUP(L823,'2017 SIC to NAICS'!A:D,4)</f>
        <v>Plastics Material and Resin Manufacturing</v>
      </c>
      <c r="P823" s="36" t="s">
        <v>796</v>
      </c>
      <c r="Q823" s="137" t="s">
        <v>797</v>
      </c>
      <c r="R823" s="45" t="s">
        <v>41</v>
      </c>
      <c r="S823" s="138">
        <f>COUNTIFS('Raw Non-zero DMR Data'!$A:$A, A823, 'Raw Non-zero DMR Data'!$C:$C, U823, 'Raw Non-zero DMR Data'!$V:$V, V823)</f>
        <v>1</v>
      </c>
      <c r="T823" s="34">
        <f>SUMIFS('Raw Non-zero DMR Data'!$X:$X, 'Raw Non-zero DMR Data'!$A:$A, A823, 'Raw Non-zero DMR Data'!$C:$C, U823, 'Raw Non-zero DMR Data'!V:V, V823)</f>
        <v>0.66283999999999998</v>
      </c>
      <c r="U823" s="34" t="s">
        <v>1619</v>
      </c>
      <c r="V823" s="34" t="s">
        <v>1617</v>
      </c>
      <c r="W823" s="141" t="s">
        <v>1618</v>
      </c>
      <c r="X823" s="140" t="s">
        <v>751</v>
      </c>
    </row>
    <row r="824" spans="1:24" x14ac:dyDescent="0.35">
      <c r="A824" s="34">
        <v>2019</v>
      </c>
      <c r="B824" s="34" t="s">
        <v>624</v>
      </c>
      <c r="C824" s="34" t="s">
        <v>1620</v>
      </c>
      <c r="D824" s="34" t="s">
        <v>625</v>
      </c>
      <c r="E824" s="34" t="s">
        <v>1621</v>
      </c>
      <c r="F824" s="34" t="s">
        <v>340</v>
      </c>
      <c r="G824" s="34"/>
      <c r="H824" s="34">
        <v>40.627648000000001</v>
      </c>
      <c r="I824" s="34">
        <v>-76.064880000000002</v>
      </c>
      <c r="J824" s="34"/>
      <c r="K824" s="105">
        <v>110000584305</v>
      </c>
      <c r="L824" s="34">
        <v>3951</v>
      </c>
      <c r="M824" s="48" t="str">
        <f>VLOOKUP(L824, '2017 SIC to NAICS'!A:D, 2)</f>
        <v>Pens and Mechanical Pencils</v>
      </c>
      <c r="N824" s="34">
        <f>VLOOKUP(L824,'2017 SIC to NAICS'!A:D,3)</f>
        <v>339940</v>
      </c>
      <c r="O824" s="34" t="str">
        <f>VLOOKUP(L824,'2017 SIC to NAICS'!A:D,4)</f>
        <v>Office Supplies (except Paper)
Manufacturing</v>
      </c>
      <c r="P824" s="36" t="s">
        <v>1228</v>
      </c>
      <c r="Q824" s="137" t="s">
        <v>1229</v>
      </c>
      <c r="R824" s="45" t="s">
        <v>41</v>
      </c>
      <c r="S824" s="138">
        <f>COUNTIFS('Raw Non-zero DMR Data'!$A:$A, A824, 'Raw Non-zero DMR Data'!$C:$C, U824, 'Raw Non-zero DMR Data'!$V:$V, V824)</f>
        <v>1</v>
      </c>
      <c r="T824" s="34">
        <f>SUMIFS('Raw Non-zero DMR Data'!$X:$X, 'Raw Non-zero DMR Data'!$A:$A, A824, 'Raw Non-zero DMR Data'!$C:$C, U824, 'Raw Non-zero DMR Data'!V:V, V824)</f>
        <v>7.2526500000000002E-3</v>
      </c>
      <c r="U824" s="34" t="s">
        <v>1620</v>
      </c>
      <c r="V824" s="34" t="s">
        <v>1622</v>
      </c>
      <c r="W824" s="139">
        <v>20402030205</v>
      </c>
      <c r="X824" s="140" t="s">
        <v>1623</v>
      </c>
    </row>
    <row r="825" spans="1:24" x14ac:dyDescent="0.35">
      <c r="A825" s="34">
        <v>2020</v>
      </c>
      <c r="B825" s="34" t="s">
        <v>624</v>
      </c>
      <c r="C825" s="34" t="s">
        <v>1620</v>
      </c>
      <c r="D825" s="34" t="s">
        <v>625</v>
      </c>
      <c r="E825" s="34" t="s">
        <v>1621</v>
      </c>
      <c r="F825" s="34" t="s">
        <v>340</v>
      </c>
      <c r="G825" s="34"/>
      <c r="H825" s="34">
        <v>40.627648000000001</v>
      </c>
      <c r="I825" s="34">
        <v>-76.064880000000002</v>
      </c>
      <c r="J825" s="34"/>
      <c r="K825" s="105">
        <v>110000584305</v>
      </c>
      <c r="L825" s="34">
        <v>3951</v>
      </c>
      <c r="M825" s="48" t="str">
        <f>VLOOKUP(L825, '2017 SIC to NAICS'!A:D, 2)</f>
        <v>Pens and Mechanical Pencils</v>
      </c>
      <c r="N825" s="34">
        <f>VLOOKUP(L825,'2017 SIC to NAICS'!A:D,3)</f>
        <v>339940</v>
      </c>
      <c r="O825" s="34" t="str">
        <f>VLOOKUP(L825,'2017 SIC to NAICS'!A:D,4)</f>
        <v>Office Supplies (except Paper)
Manufacturing</v>
      </c>
      <c r="P825" s="36" t="s">
        <v>1228</v>
      </c>
      <c r="Q825" s="137" t="s">
        <v>1229</v>
      </c>
      <c r="R825" s="45" t="s">
        <v>41</v>
      </c>
      <c r="S825" s="138">
        <f>COUNTIFS('Raw Non-zero DMR Data'!$A:$A, A825, 'Raw Non-zero DMR Data'!$C:$C, U825, 'Raw Non-zero DMR Data'!$V:$V, V825)</f>
        <v>1</v>
      </c>
      <c r="T825" s="34">
        <f>SUMIFS('Raw Non-zero DMR Data'!$X:$X, 'Raw Non-zero DMR Data'!$A:$A, A825, 'Raw Non-zero DMR Data'!$C:$C, U825, 'Raw Non-zero DMR Data'!V:V, V825)</f>
        <v>5.9996099999999998E-3</v>
      </c>
      <c r="U825" s="34" t="s">
        <v>1620</v>
      </c>
      <c r="V825" s="34" t="s">
        <v>1622</v>
      </c>
      <c r="W825" s="139">
        <v>20402030205</v>
      </c>
      <c r="X825" s="140" t="s">
        <v>1623</v>
      </c>
    </row>
    <row r="826" spans="1:24" x14ac:dyDescent="0.35">
      <c r="A826" s="34">
        <v>2021</v>
      </c>
      <c r="B826" s="34" t="s">
        <v>624</v>
      </c>
      <c r="C826" s="34" t="s">
        <v>1620</v>
      </c>
      <c r="D826" s="34" t="s">
        <v>625</v>
      </c>
      <c r="E826" s="34" t="s">
        <v>1621</v>
      </c>
      <c r="F826" s="34" t="s">
        <v>340</v>
      </c>
      <c r="G826" s="34"/>
      <c r="H826" s="34">
        <v>40.627648000000001</v>
      </c>
      <c r="I826" s="34">
        <v>-76.064880000000002</v>
      </c>
      <c r="J826" s="34"/>
      <c r="K826" s="105">
        <v>110000584305</v>
      </c>
      <c r="L826" s="34">
        <v>3951</v>
      </c>
      <c r="M826" s="48" t="str">
        <f>VLOOKUP(L826, '2017 SIC to NAICS'!A:D, 2)</f>
        <v>Pens and Mechanical Pencils</v>
      </c>
      <c r="N826" s="34">
        <f>VLOOKUP(L826,'2017 SIC to NAICS'!A:D,3)</f>
        <v>339940</v>
      </c>
      <c r="O826" s="34" t="str">
        <f>VLOOKUP(L826,'2017 SIC to NAICS'!A:D,4)</f>
        <v>Office Supplies (except Paper)
Manufacturing</v>
      </c>
      <c r="P826" s="36" t="s">
        <v>1228</v>
      </c>
      <c r="Q826" s="137" t="s">
        <v>1229</v>
      </c>
      <c r="R826" s="45" t="s">
        <v>41</v>
      </c>
      <c r="S826" s="138">
        <f>COUNTIFS('Raw Non-zero DMR Data'!$A:$A, A826, 'Raw Non-zero DMR Data'!$C:$C, U826, 'Raw Non-zero DMR Data'!$V:$V, V826)</f>
        <v>1</v>
      </c>
      <c r="T826" s="34">
        <f>SUMIFS('Raw Non-zero DMR Data'!$X:$X, 'Raw Non-zero DMR Data'!$A:$A, A826, 'Raw Non-zero DMR Data'!$C:$C, U826, 'Raw Non-zero DMR Data'!V:V, V826)</f>
        <v>5.8089300000000003E-3</v>
      </c>
      <c r="U826" s="34" t="s">
        <v>1620</v>
      </c>
      <c r="V826" s="34" t="s">
        <v>1622</v>
      </c>
      <c r="W826" s="139">
        <v>20402030205</v>
      </c>
      <c r="X826" s="140" t="s">
        <v>1623</v>
      </c>
    </row>
    <row r="827" spans="1:24" x14ac:dyDescent="0.35">
      <c r="A827" s="34">
        <v>2022</v>
      </c>
      <c r="B827" s="34" t="s">
        <v>624</v>
      </c>
      <c r="C827" s="34" t="s">
        <v>1620</v>
      </c>
      <c r="D827" s="34" t="s">
        <v>625</v>
      </c>
      <c r="E827" s="34" t="s">
        <v>1621</v>
      </c>
      <c r="F827" s="34" t="s">
        <v>340</v>
      </c>
      <c r="G827" s="34"/>
      <c r="H827" s="34">
        <v>40.627648000000001</v>
      </c>
      <c r="I827" s="34">
        <v>-76.064880000000002</v>
      </c>
      <c r="J827" s="34"/>
      <c r="K827" s="105">
        <v>110000584305</v>
      </c>
      <c r="L827" s="34">
        <v>3951</v>
      </c>
      <c r="M827" s="48" t="str">
        <f>VLOOKUP(L827, '2017 SIC to NAICS'!A:D, 2)</f>
        <v>Pens and Mechanical Pencils</v>
      </c>
      <c r="N827" s="34">
        <f>VLOOKUP(L827,'2017 SIC to NAICS'!A:D,3)</f>
        <v>339940</v>
      </c>
      <c r="O827" s="34" t="str">
        <f>VLOOKUP(L827,'2017 SIC to NAICS'!A:D,4)</f>
        <v>Office Supplies (except Paper)
Manufacturing</v>
      </c>
      <c r="P827" s="36" t="s">
        <v>1228</v>
      </c>
      <c r="Q827" s="137" t="s">
        <v>1229</v>
      </c>
      <c r="R827" s="45" t="s">
        <v>41</v>
      </c>
      <c r="S827" s="138">
        <f>COUNTIFS('Raw Non-zero DMR Data'!$A:$A, A827, 'Raw Non-zero DMR Data'!$C:$C, U827, 'Raw Non-zero DMR Data'!$V:$V, V827)</f>
        <v>1</v>
      </c>
      <c r="T827" s="34">
        <f>SUMIFS('Raw Non-zero DMR Data'!$X:$X, 'Raw Non-zero DMR Data'!$A:$A, A827, 'Raw Non-zero DMR Data'!$C:$C, U827, 'Raw Non-zero DMR Data'!V:V, V827)</f>
        <v>7.8678199999999993E-3</v>
      </c>
      <c r="U827" s="34" t="s">
        <v>1620</v>
      </c>
      <c r="V827" s="34" t="s">
        <v>1622</v>
      </c>
      <c r="W827" s="141" t="s">
        <v>1624</v>
      </c>
      <c r="X827" s="140" t="s">
        <v>1623</v>
      </c>
    </row>
    <row r="828" spans="1:24" x14ac:dyDescent="0.35">
      <c r="A828" s="34">
        <v>2023</v>
      </c>
      <c r="B828" s="34" t="s">
        <v>624</v>
      </c>
      <c r="C828" s="34" t="s">
        <v>1620</v>
      </c>
      <c r="D828" s="34" t="s">
        <v>625</v>
      </c>
      <c r="E828" s="34" t="s">
        <v>1621</v>
      </c>
      <c r="F828" s="34" t="s">
        <v>340</v>
      </c>
      <c r="G828" s="34"/>
      <c r="H828" s="34">
        <v>40.627648000000001</v>
      </c>
      <c r="I828" s="34">
        <v>-76.064880000000002</v>
      </c>
      <c r="J828" s="34"/>
      <c r="K828" s="105">
        <v>110000584305</v>
      </c>
      <c r="L828" s="34">
        <v>3951</v>
      </c>
      <c r="M828" s="48" t="str">
        <f>VLOOKUP(L828, '2017 SIC to NAICS'!A:D, 2)</f>
        <v>Pens and Mechanical Pencils</v>
      </c>
      <c r="N828" s="34">
        <f>VLOOKUP(L828,'2017 SIC to NAICS'!A:D,3)</f>
        <v>339940</v>
      </c>
      <c r="O828" s="34" t="str">
        <f>VLOOKUP(L828,'2017 SIC to NAICS'!A:D,4)</f>
        <v>Office Supplies (except Paper)
Manufacturing</v>
      </c>
      <c r="P828" s="36" t="s">
        <v>1228</v>
      </c>
      <c r="Q828" s="137" t="s">
        <v>1229</v>
      </c>
      <c r="R828" s="45" t="s">
        <v>41</v>
      </c>
      <c r="S828" s="138">
        <f>COUNTIFS('Raw Non-zero DMR Data'!$A:$A, A828, 'Raw Non-zero DMR Data'!$C:$C, U828, 'Raw Non-zero DMR Data'!$V:$V, V828)</f>
        <v>1</v>
      </c>
      <c r="T828" s="34">
        <f>SUMIFS('Raw Non-zero DMR Data'!$X:$X, 'Raw Non-zero DMR Data'!$A:$A, A828, 'Raw Non-zero DMR Data'!$C:$C, U828, 'Raw Non-zero DMR Data'!V:V, V828)</f>
        <v>7.2435700000000004E-3</v>
      </c>
      <c r="U828" s="34" t="s">
        <v>1620</v>
      </c>
      <c r="V828" s="34" t="s">
        <v>1622</v>
      </c>
      <c r="W828" s="141" t="s">
        <v>1624</v>
      </c>
      <c r="X828" s="140" t="s">
        <v>1623</v>
      </c>
    </row>
    <row r="829" spans="1:24" x14ac:dyDescent="0.35">
      <c r="A829" s="34">
        <v>2019</v>
      </c>
      <c r="B829" s="34" t="s">
        <v>461</v>
      </c>
      <c r="C829" s="34" t="s">
        <v>1625</v>
      </c>
      <c r="D829" s="34" t="s">
        <v>462</v>
      </c>
      <c r="E829" s="34" t="s">
        <v>1626</v>
      </c>
      <c r="F829" s="34" t="s">
        <v>340</v>
      </c>
      <c r="G829" s="34"/>
      <c r="H829" s="34">
        <v>40.095258000000001</v>
      </c>
      <c r="I829" s="34">
        <v>-74.877359999999996</v>
      </c>
      <c r="J829" s="34"/>
      <c r="K829" s="105">
        <v>110064634686</v>
      </c>
      <c r="L829" s="34">
        <v>2821</v>
      </c>
      <c r="M829" s="48" t="str">
        <f>VLOOKUP(L829, '2017 SIC to NAICS'!A:D, 2)</f>
        <v>Plastics Materials and Resins</v>
      </c>
      <c r="N829" s="34">
        <f>VLOOKUP(L829,'2017 SIC to NAICS'!A:D,3)</f>
        <v>325211</v>
      </c>
      <c r="O829" s="34" t="str">
        <f>VLOOKUP(L829,'2017 SIC to NAICS'!A:D,4)</f>
        <v>Plastics Material and Resin Manufacturing</v>
      </c>
      <c r="P829" s="36" t="s">
        <v>796</v>
      </c>
      <c r="Q829" s="137" t="s">
        <v>797</v>
      </c>
      <c r="R829" s="45" t="s">
        <v>41</v>
      </c>
      <c r="S829" s="138">
        <f>COUNTIFS('Raw Non-zero DMR Data'!$A:$A, A829, 'Raw Non-zero DMR Data'!$C:$C, U829, 'Raw Non-zero DMR Data'!$V:$V, V829)</f>
        <v>1</v>
      </c>
      <c r="T829" s="34">
        <f>SUMIFS('Raw Non-zero DMR Data'!$X:$X, 'Raw Non-zero DMR Data'!$A:$A, A829, 'Raw Non-zero DMR Data'!$C:$C, U829, 'Raw Non-zero DMR Data'!V:V, V829)</f>
        <v>8.2900399999999999E-2</v>
      </c>
      <c r="U829" s="34" t="s">
        <v>1625</v>
      </c>
      <c r="V829" s="34" t="s">
        <v>1627</v>
      </c>
      <c r="W829" s="139">
        <v>20402010405</v>
      </c>
      <c r="X829" s="140" t="s">
        <v>751</v>
      </c>
    </row>
    <row r="830" spans="1:24" x14ac:dyDescent="0.35">
      <c r="A830" s="34">
        <v>2020</v>
      </c>
      <c r="B830" s="34" t="s">
        <v>461</v>
      </c>
      <c r="C830" s="34" t="s">
        <v>1625</v>
      </c>
      <c r="D830" s="34" t="s">
        <v>462</v>
      </c>
      <c r="E830" s="34" t="s">
        <v>1626</v>
      </c>
      <c r="F830" s="34" t="s">
        <v>340</v>
      </c>
      <c r="G830" s="34"/>
      <c r="H830" s="34">
        <v>40.095258000000001</v>
      </c>
      <c r="I830" s="34">
        <v>-74.877359999999996</v>
      </c>
      <c r="J830" s="34"/>
      <c r="K830" s="105">
        <v>110064634686</v>
      </c>
      <c r="L830" s="34">
        <v>2821</v>
      </c>
      <c r="M830" s="48" t="str">
        <f>VLOOKUP(L830, '2017 SIC to NAICS'!A:D, 2)</f>
        <v>Plastics Materials and Resins</v>
      </c>
      <c r="N830" s="34">
        <f>VLOOKUP(L830,'2017 SIC to NAICS'!A:D,3)</f>
        <v>325211</v>
      </c>
      <c r="O830" s="34" t="str">
        <f>VLOOKUP(L830,'2017 SIC to NAICS'!A:D,4)</f>
        <v>Plastics Material and Resin Manufacturing</v>
      </c>
      <c r="P830" s="36" t="s">
        <v>796</v>
      </c>
      <c r="Q830" s="137" t="s">
        <v>797</v>
      </c>
      <c r="R830" s="45" t="s">
        <v>41</v>
      </c>
      <c r="S830" s="138">
        <f>COUNTIFS('Raw Non-zero DMR Data'!$A:$A, A830, 'Raw Non-zero DMR Data'!$C:$C, U830, 'Raw Non-zero DMR Data'!$V:$V, V830)</f>
        <v>1</v>
      </c>
      <c r="T830" s="34">
        <f>SUMIFS('Raw Non-zero DMR Data'!$X:$X, 'Raw Non-zero DMR Data'!$A:$A, A830, 'Raw Non-zero DMR Data'!$C:$C, U830, 'Raw Non-zero DMR Data'!V:V, V830)</f>
        <v>8.4943400000000002E-2</v>
      </c>
      <c r="U830" s="34" t="s">
        <v>1625</v>
      </c>
      <c r="V830" s="34" t="s">
        <v>1627</v>
      </c>
      <c r="W830" s="139">
        <v>20402010405</v>
      </c>
      <c r="X830" s="140" t="s">
        <v>751</v>
      </c>
    </row>
    <row r="831" spans="1:24" x14ac:dyDescent="0.35">
      <c r="A831" s="34">
        <v>2021</v>
      </c>
      <c r="B831" s="34" t="s">
        <v>461</v>
      </c>
      <c r="C831" s="34" t="s">
        <v>1625</v>
      </c>
      <c r="D831" s="34" t="s">
        <v>462</v>
      </c>
      <c r="E831" s="34" t="s">
        <v>1626</v>
      </c>
      <c r="F831" s="34" t="s">
        <v>340</v>
      </c>
      <c r="G831" s="34"/>
      <c r="H831" s="34">
        <v>40.095258000000001</v>
      </c>
      <c r="I831" s="34">
        <v>-74.877359999999996</v>
      </c>
      <c r="J831" s="34"/>
      <c r="K831" s="105">
        <v>110064634686</v>
      </c>
      <c r="L831" s="34">
        <v>2821</v>
      </c>
      <c r="M831" s="48" t="str">
        <f>VLOOKUP(L831, '2017 SIC to NAICS'!A:D, 2)</f>
        <v>Plastics Materials and Resins</v>
      </c>
      <c r="N831" s="34">
        <f>VLOOKUP(L831,'2017 SIC to NAICS'!A:D,3)</f>
        <v>325211</v>
      </c>
      <c r="O831" s="34" t="str">
        <f>VLOOKUP(L831,'2017 SIC to NAICS'!A:D,4)</f>
        <v>Plastics Material and Resin Manufacturing</v>
      </c>
      <c r="P831" s="36" t="s">
        <v>796</v>
      </c>
      <c r="Q831" s="137" t="s">
        <v>797</v>
      </c>
      <c r="R831" s="45" t="s">
        <v>41</v>
      </c>
      <c r="S831" s="138">
        <f>COUNTIFS('Raw Non-zero DMR Data'!$A:$A, A831, 'Raw Non-zero DMR Data'!$C:$C, U831, 'Raw Non-zero DMR Data'!$V:$V, V831)</f>
        <v>1</v>
      </c>
      <c r="T831" s="34">
        <f>SUMIFS('Raw Non-zero DMR Data'!$X:$X, 'Raw Non-zero DMR Data'!$A:$A, A831, 'Raw Non-zero DMR Data'!$C:$C, U831, 'Raw Non-zero DMR Data'!V:V, V831)</f>
        <v>9.1776099999999999E-2</v>
      </c>
      <c r="U831" s="34" t="s">
        <v>1625</v>
      </c>
      <c r="V831" s="34" t="s">
        <v>1627</v>
      </c>
      <c r="W831" s="139">
        <v>20402010405</v>
      </c>
      <c r="X831" s="140" t="s">
        <v>751</v>
      </c>
    </row>
    <row r="832" spans="1:24" x14ac:dyDescent="0.35">
      <c r="A832" s="34">
        <v>2022</v>
      </c>
      <c r="B832" s="34" t="s">
        <v>461</v>
      </c>
      <c r="C832" s="34" t="s">
        <v>1625</v>
      </c>
      <c r="D832" s="34" t="s">
        <v>462</v>
      </c>
      <c r="E832" s="34" t="s">
        <v>1626</v>
      </c>
      <c r="F832" s="34" t="s">
        <v>340</v>
      </c>
      <c r="G832" s="34"/>
      <c r="H832" s="34">
        <v>40.095258000000001</v>
      </c>
      <c r="I832" s="34">
        <v>-74.877359999999996</v>
      </c>
      <c r="J832" s="34"/>
      <c r="K832" s="105">
        <v>110064634686</v>
      </c>
      <c r="L832" s="34">
        <v>2821</v>
      </c>
      <c r="M832" s="48" t="str">
        <f>VLOOKUP(L832, '2017 SIC to NAICS'!A:D, 2)</f>
        <v>Plastics Materials and Resins</v>
      </c>
      <c r="N832" s="34">
        <f>VLOOKUP(L832,'2017 SIC to NAICS'!A:D,3)</f>
        <v>325211</v>
      </c>
      <c r="O832" s="34" t="str">
        <f>VLOOKUP(L832,'2017 SIC to NAICS'!A:D,4)</f>
        <v>Plastics Material and Resin Manufacturing</v>
      </c>
      <c r="P832" s="36" t="s">
        <v>796</v>
      </c>
      <c r="Q832" s="137" t="s">
        <v>797</v>
      </c>
      <c r="R832" s="45" t="s">
        <v>41</v>
      </c>
      <c r="S832" s="138">
        <f>COUNTIFS('Raw Non-zero DMR Data'!$A:$A, A832, 'Raw Non-zero DMR Data'!$C:$C, U832, 'Raw Non-zero DMR Data'!$V:$V, V832)</f>
        <v>1</v>
      </c>
      <c r="T832" s="34">
        <f>SUMIFS('Raw Non-zero DMR Data'!$X:$X, 'Raw Non-zero DMR Data'!$A:$A, A832, 'Raw Non-zero DMR Data'!$C:$C, U832, 'Raw Non-zero DMR Data'!V:V, V832)</f>
        <v>8.2105899999999996E-2</v>
      </c>
      <c r="U832" s="34" t="s">
        <v>1625</v>
      </c>
      <c r="V832" s="34" t="s">
        <v>1627</v>
      </c>
      <c r="W832" s="141" t="s">
        <v>1628</v>
      </c>
      <c r="X832" s="140" t="s">
        <v>751</v>
      </c>
    </row>
    <row r="833" spans="1:24" x14ac:dyDescent="0.35">
      <c r="A833" s="34">
        <v>2023</v>
      </c>
      <c r="B833" s="34" t="s">
        <v>461</v>
      </c>
      <c r="C833" s="34" t="s">
        <v>1625</v>
      </c>
      <c r="D833" s="34" t="s">
        <v>462</v>
      </c>
      <c r="E833" s="34" t="s">
        <v>1626</v>
      </c>
      <c r="F833" s="34" t="s">
        <v>340</v>
      </c>
      <c r="G833" s="34"/>
      <c r="H833" s="34">
        <v>40.095258000000001</v>
      </c>
      <c r="I833" s="34">
        <v>-74.877359999999996</v>
      </c>
      <c r="J833" s="34"/>
      <c r="K833" s="105">
        <v>110064634686</v>
      </c>
      <c r="L833" s="34">
        <v>2821</v>
      </c>
      <c r="M833" s="48" t="str">
        <f>VLOOKUP(L833, '2017 SIC to NAICS'!A:D, 2)</f>
        <v>Plastics Materials and Resins</v>
      </c>
      <c r="N833" s="34">
        <f>VLOOKUP(L833,'2017 SIC to NAICS'!A:D,3)</f>
        <v>325211</v>
      </c>
      <c r="O833" s="34" t="str">
        <f>VLOOKUP(L833,'2017 SIC to NAICS'!A:D,4)</f>
        <v>Plastics Material and Resin Manufacturing</v>
      </c>
      <c r="P833" s="36" t="s">
        <v>796</v>
      </c>
      <c r="Q833" s="137" t="s">
        <v>797</v>
      </c>
      <c r="R833" s="45" t="s">
        <v>41</v>
      </c>
      <c r="S833" s="138">
        <f>COUNTIFS('Raw Non-zero DMR Data'!$A:$A, A833, 'Raw Non-zero DMR Data'!$C:$C, U833, 'Raw Non-zero DMR Data'!$V:$V, V833)</f>
        <v>1</v>
      </c>
      <c r="T833" s="34">
        <f>SUMIFS('Raw Non-zero DMR Data'!$X:$X, 'Raw Non-zero DMR Data'!$A:$A, A833, 'Raw Non-zero DMR Data'!$C:$C, U833, 'Raw Non-zero DMR Data'!V:V, V833)</f>
        <v>0.1045108</v>
      </c>
      <c r="U833" s="34" t="s">
        <v>1625</v>
      </c>
      <c r="V833" s="34" t="s">
        <v>1627</v>
      </c>
      <c r="W833" s="141" t="s">
        <v>1628</v>
      </c>
      <c r="X833" s="140" t="s">
        <v>751</v>
      </c>
    </row>
    <row r="834" spans="1:24" x14ac:dyDescent="0.35">
      <c r="A834" s="34">
        <v>2019</v>
      </c>
      <c r="B834" s="34" t="s">
        <v>435</v>
      </c>
      <c r="C834" s="34" t="s">
        <v>1629</v>
      </c>
      <c r="D834" s="34" t="s">
        <v>436</v>
      </c>
      <c r="E834" s="34" t="s">
        <v>1626</v>
      </c>
      <c r="F834" s="34" t="s">
        <v>340</v>
      </c>
      <c r="G834" s="34"/>
      <c r="H834" s="34">
        <v>40.159343999999997</v>
      </c>
      <c r="I834" s="34">
        <v>-74.776695000000004</v>
      </c>
      <c r="J834" s="34"/>
      <c r="K834" s="105">
        <v>110000817439</v>
      </c>
      <c r="L834" s="34">
        <v>4953</v>
      </c>
      <c r="M834" s="48" t="str">
        <f>VLOOKUP(L834, '2017 SIC to NAICS'!A:D, 2)</f>
        <v>Refuse Systems</v>
      </c>
      <c r="N834" s="34">
        <f>VLOOKUP(L834,'2017 SIC to NAICS'!A:D,3)</f>
        <v>562920</v>
      </c>
      <c r="O834" s="34" t="str">
        <f>VLOOKUP(L834,'2017 SIC to NAICS'!A:D,4)</f>
        <v>Materials Recovery Facilities</v>
      </c>
      <c r="P834" s="36" t="s">
        <v>754</v>
      </c>
      <c r="Q834" s="137" t="s">
        <v>755</v>
      </c>
      <c r="R834" s="45" t="s">
        <v>40</v>
      </c>
      <c r="S834" s="138">
        <f>COUNTIFS('Raw Non-zero DMR Data'!$A:$A, A834, 'Raw Non-zero DMR Data'!$C:$C, U834, 'Raw Non-zero DMR Data'!$V:$V, V834)</f>
        <v>1</v>
      </c>
      <c r="T834" s="34">
        <f>SUMIFS('Raw Non-zero DMR Data'!$X:$X, 'Raw Non-zero DMR Data'!$A:$A, A834, 'Raw Non-zero DMR Data'!$C:$C, U834, 'Raw Non-zero DMR Data'!V:V, V834)</f>
        <v>0.14096700000000001</v>
      </c>
      <c r="U834" s="34" t="s">
        <v>1629</v>
      </c>
      <c r="V834" s="34" t="s">
        <v>1630</v>
      </c>
      <c r="W834" s="139">
        <v>20402010404</v>
      </c>
      <c r="X834" s="140" t="s">
        <v>745</v>
      </c>
    </row>
    <row r="835" spans="1:24" x14ac:dyDescent="0.35">
      <c r="A835" s="34">
        <v>2020</v>
      </c>
      <c r="B835" s="34" t="s">
        <v>435</v>
      </c>
      <c r="C835" s="34" t="s">
        <v>1629</v>
      </c>
      <c r="D835" s="34" t="s">
        <v>436</v>
      </c>
      <c r="E835" s="34" t="s">
        <v>1626</v>
      </c>
      <c r="F835" s="34" t="s">
        <v>340</v>
      </c>
      <c r="G835" s="34"/>
      <c r="H835" s="34">
        <v>40.159343999999997</v>
      </c>
      <c r="I835" s="34">
        <v>-74.776695000000004</v>
      </c>
      <c r="J835" s="34"/>
      <c r="K835" s="105">
        <v>110000817439</v>
      </c>
      <c r="L835" s="34">
        <v>4953</v>
      </c>
      <c r="M835" s="48" t="str">
        <f>VLOOKUP(L835, '2017 SIC to NAICS'!A:D, 2)</f>
        <v>Refuse Systems</v>
      </c>
      <c r="N835" s="34">
        <f>VLOOKUP(L835,'2017 SIC to NAICS'!A:D,3)</f>
        <v>562920</v>
      </c>
      <c r="O835" s="34" t="str">
        <f>VLOOKUP(L835,'2017 SIC to NAICS'!A:D,4)</f>
        <v>Materials Recovery Facilities</v>
      </c>
      <c r="P835" s="36" t="s">
        <v>754</v>
      </c>
      <c r="Q835" s="137" t="s">
        <v>755</v>
      </c>
      <c r="R835" s="45" t="s">
        <v>40</v>
      </c>
      <c r="S835" s="138">
        <f>COUNTIFS('Raw Non-zero DMR Data'!$A:$A, A835, 'Raw Non-zero DMR Data'!$C:$C, U835, 'Raw Non-zero DMR Data'!$V:$V, V835)</f>
        <v>1</v>
      </c>
      <c r="T835" s="34">
        <f>SUMIFS('Raw Non-zero DMR Data'!$X:$X, 'Raw Non-zero DMR Data'!$A:$A, A835, 'Raw Non-zero DMR Data'!$C:$C, U835, 'Raw Non-zero DMR Data'!V:V, V835)</f>
        <v>0.14482600000000001</v>
      </c>
      <c r="U835" s="34" t="s">
        <v>1629</v>
      </c>
      <c r="V835" s="34" t="s">
        <v>1630</v>
      </c>
      <c r="W835" s="139">
        <v>20402010404</v>
      </c>
      <c r="X835" s="140" t="s">
        <v>745</v>
      </c>
    </row>
    <row r="836" spans="1:24" x14ac:dyDescent="0.35">
      <c r="A836" s="34">
        <v>2021</v>
      </c>
      <c r="B836" s="34" t="s">
        <v>435</v>
      </c>
      <c r="C836" s="34" t="s">
        <v>1629</v>
      </c>
      <c r="D836" s="34" t="s">
        <v>436</v>
      </c>
      <c r="E836" s="34" t="s">
        <v>1626</v>
      </c>
      <c r="F836" s="34" t="s">
        <v>340</v>
      </c>
      <c r="G836" s="34"/>
      <c r="H836" s="34">
        <v>40.159343999999997</v>
      </c>
      <c r="I836" s="34">
        <v>-74.776695000000004</v>
      </c>
      <c r="J836" s="34"/>
      <c r="K836" s="105">
        <v>110000817439</v>
      </c>
      <c r="L836" s="34">
        <v>4953</v>
      </c>
      <c r="M836" s="48" t="str">
        <f>VLOOKUP(L836, '2017 SIC to NAICS'!A:D, 2)</f>
        <v>Refuse Systems</v>
      </c>
      <c r="N836" s="34">
        <f>VLOOKUP(L836,'2017 SIC to NAICS'!A:D,3)</f>
        <v>562920</v>
      </c>
      <c r="O836" s="34" t="str">
        <f>VLOOKUP(L836,'2017 SIC to NAICS'!A:D,4)</f>
        <v>Materials Recovery Facilities</v>
      </c>
      <c r="P836" s="36" t="s">
        <v>754</v>
      </c>
      <c r="Q836" s="137" t="s">
        <v>755</v>
      </c>
      <c r="R836" s="45" t="s">
        <v>40</v>
      </c>
      <c r="S836" s="138">
        <f>COUNTIFS('Raw Non-zero DMR Data'!$A:$A, A836, 'Raw Non-zero DMR Data'!$C:$C, U836, 'Raw Non-zero DMR Data'!$V:$V, V836)</f>
        <v>1</v>
      </c>
      <c r="T836" s="34">
        <f>SUMIFS('Raw Non-zero DMR Data'!$X:$X, 'Raw Non-zero DMR Data'!$A:$A, A836, 'Raw Non-zero DMR Data'!$C:$C, U836, 'Raw Non-zero DMR Data'!V:V, V836)</f>
        <v>6.2129900000000002E-2</v>
      </c>
      <c r="U836" s="34" t="s">
        <v>1629</v>
      </c>
      <c r="V836" s="34" t="s">
        <v>1630</v>
      </c>
      <c r="W836" s="139">
        <v>20402010404</v>
      </c>
      <c r="X836" s="140" t="s">
        <v>745</v>
      </c>
    </row>
    <row r="837" spans="1:24" x14ac:dyDescent="0.35">
      <c r="A837" s="34">
        <v>2019</v>
      </c>
      <c r="B837" s="34" t="s">
        <v>416</v>
      </c>
      <c r="C837" s="34" t="s">
        <v>1631</v>
      </c>
      <c r="D837" s="34" t="s">
        <v>417</v>
      </c>
      <c r="E837" s="34" t="s">
        <v>1626</v>
      </c>
      <c r="F837" s="34" t="s">
        <v>340</v>
      </c>
      <c r="G837" s="34"/>
      <c r="H837" s="34">
        <v>40.177332</v>
      </c>
      <c r="I837" s="34">
        <v>-74.800439999999995</v>
      </c>
      <c r="J837" s="34"/>
      <c r="K837" s="105">
        <v>110000772628</v>
      </c>
      <c r="L837" s="34">
        <v>2819</v>
      </c>
      <c r="M837" s="48" t="str">
        <f>VLOOKUP(L837, '2017 SIC to NAICS'!A:D, 2)</f>
        <v>Industrial Inorganic Chemicals, Nec</v>
      </c>
      <c r="N837" s="34">
        <f>VLOOKUP(L837,'2017 SIC to NAICS'!A:D,3)</f>
        <v>331313</v>
      </c>
      <c r="O837" s="34" t="str">
        <f>VLOOKUP(L837,'2017 SIC to NAICS'!A:D,4)</f>
        <v>Alumina Refining and Primary Aluminum
Production</v>
      </c>
      <c r="P837" s="36" t="s">
        <v>785</v>
      </c>
      <c r="Q837" s="137" t="s">
        <v>786</v>
      </c>
      <c r="R837" s="45" t="s">
        <v>41</v>
      </c>
      <c r="S837" s="138">
        <f>COUNTIFS('Raw Non-zero DMR Data'!$A:$A, A837, 'Raw Non-zero DMR Data'!$C:$C, U837, 'Raw Non-zero DMR Data'!$V:$V, V837)</f>
        <v>1</v>
      </c>
      <c r="T837" s="34">
        <f>SUMIFS('Raw Non-zero DMR Data'!$X:$X, 'Raw Non-zero DMR Data'!$A:$A, A837, 'Raw Non-zero DMR Data'!$C:$C, U837, 'Raw Non-zero DMR Data'!V:V, V837)</f>
        <v>8.2891500000000007E-2</v>
      </c>
      <c r="U837" s="34" t="s">
        <v>1631</v>
      </c>
      <c r="V837" s="34" t="s">
        <v>1632</v>
      </c>
      <c r="W837" s="139">
        <v>20402010403</v>
      </c>
      <c r="X837" s="140" t="s">
        <v>1623</v>
      </c>
    </row>
    <row r="838" spans="1:24" x14ac:dyDescent="0.35">
      <c r="A838" s="34">
        <v>2020</v>
      </c>
      <c r="B838" s="34" t="s">
        <v>416</v>
      </c>
      <c r="C838" s="34" t="s">
        <v>1631</v>
      </c>
      <c r="D838" s="34" t="s">
        <v>417</v>
      </c>
      <c r="E838" s="34" t="s">
        <v>1626</v>
      </c>
      <c r="F838" s="34" t="s">
        <v>340</v>
      </c>
      <c r="G838" s="34"/>
      <c r="H838" s="34">
        <v>40.177332</v>
      </c>
      <c r="I838" s="34">
        <v>-74.800439999999995</v>
      </c>
      <c r="J838" s="34"/>
      <c r="K838" s="105">
        <v>110000772628</v>
      </c>
      <c r="L838" s="34">
        <v>2819</v>
      </c>
      <c r="M838" s="48" t="str">
        <f>VLOOKUP(L838, '2017 SIC to NAICS'!A:D, 2)</f>
        <v>Industrial Inorganic Chemicals, Nec</v>
      </c>
      <c r="N838" s="34">
        <f>VLOOKUP(L838,'2017 SIC to NAICS'!A:D,3)</f>
        <v>331313</v>
      </c>
      <c r="O838" s="34" t="str">
        <f>VLOOKUP(L838,'2017 SIC to NAICS'!A:D,4)</f>
        <v>Alumina Refining and Primary Aluminum
Production</v>
      </c>
      <c r="P838" s="36" t="s">
        <v>785</v>
      </c>
      <c r="Q838" s="137" t="s">
        <v>786</v>
      </c>
      <c r="R838" s="45" t="s">
        <v>41</v>
      </c>
      <c r="S838" s="138">
        <f>COUNTIFS('Raw Non-zero DMR Data'!$A:$A, A838, 'Raw Non-zero DMR Data'!$C:$C, U838, 'Raw Non-zero DMR Data'!$V:$V, V838)</f>
        <v>1</v>
      </c>
      <c r="T838" s="34">
        <f>SUMIFS('Raw Non-zero DMR Data'!$X:$X, 'Raw Non-zero DMR Data'!$A:$A, A838, 'Raw Non-zero DMR Data'!$C:$C, U838, 'Raw Non-zero DMR Data'!V:V, V838)</f>
        <v>8.2891500000000007E-2</v>
      </c>
      <c r="U838" s="34" t="s">
        <v>1631</v>
      </c>
      <c r="V838" s="34" t="s">
        <v>1632</v>
      </c>
      <c r="W838" s="139">
        <v>20402010403</v>
      </c>
      <c r="X838" s="140" t="s">
        <v>1623</v>
      </c>
    </row>
    <row r="839" spans="1:24" x14ac:dyDescent="0.35">
      <c r="A839" s="34">
        <v>2021</v>
      </c>
      <c r="B839" s="34" t="s">
        <v>416</v>
      </c>
      <c r="C839" s="34" t="s">
        <v>1631</v>
      </c>
      <c r="D839" s="34" t="s">
        <v>417</v>
      </c>
      <c r="E839" s="34" t="s">
        <v>1626</v>
      </c>
      <c r="F839" s="34" t="s">
        <v>340</v>
      </c>
      <c r="G839" s="34"/>
      <c r="H839" s="34">
        <v>40.177332</v>
      </c>
      <c r="I839" s="34">
        <v>-74.800439999999995</v>
      </c>
      <c r="J839" s="34"/>
      <c r="K839" s="105">
        <v>110000772628</v>
      </c>
      <c r="L839" s="34">
        <v>2819</v>
      </c>
      <c r="M839" s="48" t="str">
        <f>VLOOKUP(L839, '2017 SIC to NAICS'!A:D, 2)</f>
        <v>Industrial Inorganic Chemicals, Nec</v>
      </c>
      <c r="N839" s="34">
        <f>VLOOKUP(L839,'2017 SIC to NAICS'!A:D,3)</f>
        <v>331313</v>
      </c>
      <c r="O839" s="34" t="str">
        <f>VLOOKUP(L839,'2017 SIC to NAICS'!A:D,4)</f>
        <v>Alumina Refining and Primary Aluminum
Production</v>
      </c>
      <c r="P839" s="36" t="s">
        <v>785</v>
      </c>
      <c r="Q839" s="137" t="s">
        <v>786</v>
      </c>
      <c r="R839" s="45" t="s">
        <v>41</v>
      </c>
      <c r="S839" s="138">
        <f>COUNTIFS('Raw Non-zero DMR Data'!$A:$A, A839, 'Raw Non-zero DMR Data'!$C:$C, U839, 'Raw Non-zero DMR Data'!$V:$V, V839)</f>
        <v>1</v>
      </c>
      <c r="T839" s="34">
        <f>SUMIFS('Raw Non-zero DMR Data'!$X:$X, 'Raw Non-zero DMR Data'!$A:$A, A839, 'Raw Non-zero DMR Data'!$C:$C, U839, 'Raw Non-zero DMR Data'!V:V, V839)</f>
        <v>8.2891500000000007E-2</v>
      </c>
      <c r="U839" s="34" t="s">
        <v>1631</v>
      </c>
      <c r="V839" s="34" t="s">
        <v>1632</v>
      </c>
      <c r="W839" s="139">
        <v>20402010403</v>
      </c>
      <c r="X839" s="140" t="s">
        <v>1623</v>
      </c>
    </row>
    <row r="840" spans="1:24" x14ac:dyDescent="0.35">
      <c r="A840" s="34">
        <v>2022</v>
      </c>
      <c r="B840" s="34" t="s">
        <v>416</v>
      </c>
      <c r="C840" s="34" t="s">
        <v>1631</v>
      </c>
      <c r="D840" s="34" t="s">
        <v>417</v>
      </c>
      <c r="E840" s="34" t="s">
        <v>1626</v>
      </c>
      <c r="F840" s="34" t="s">
        <v>340</v>
      </c>
      <c r="G840" s="34"/>
      <c r="H840" s="34">
        <v>40.177332</v>
      </c>
      <c r="I840" s="34">
        <v>-74.800439999999995</v>
      </c>
      <c r="J840" s="34"/>
      <c r="K840" s="105">
        <v>110000772628</v>
      </c>
      <c r="L840" s="34">
        <v>2819</v>
      </c>
      <c r="M840" s="48" t="str">
        <f>VLOOKUP(L840, '2017 SIC to NAICS'!A:D, 2)</f>
        <v>Industrial Inorganic Chemicals, Nec</v>
      </c>
      <c r="N840" s="34">
        <f>VLOOKUP(L840,'2017 SIC to NAICS'!A:D,3)</f>
        <v>331313</v>
      </c>
      <c r="O840" s="34" t="str">
        <f>VLOOKUP(L840,'2017 SIC to NAICS'!A:D,4)</f>
        <v>Alumina Refining and Primary Aluminum
Production</v>
      </c>
      <c r="P840" s="36" t="s">
        <v>785</v>
      </c>
      <c r="Q840" s="137" t="s">
        <v>786</v>
      </c>
      <c r="R840" s="45" t="s">
        <v>41</v>
      </c>
      <c r="S840" s="138">
        <f>COUNTIFS('Raw Non-zero DMR Data'!$A:$A, A840, 'Raw Non-zero DMR Data'!$C:$C, U840, 'Raw Non-zero DMR Data'!$V:$V, V840)</f>
        <v>1</v>
      </c>
      <c r="T840" s="34">
        <f>SUMIFS('Raw Non-zero DMR Data'!$X:$X, 'Raw Non-zero DMR Data'!$A:$A, A840, 'Raw Non-zero DMR Data'!$C:$C, U840, 'Raw Non-zero DMR Data'!V:V, V840)</f>
        <v>0.1040118</v>
      </c>
      <c r="U840" s="34" t="s">
        <v>1631</v>
      </c>
      <c r="V840" s="34" t="s">
        <v>1632</v>
      </c>
      <c r="W840" s="141" t="s">
        <v>1633</v>
      </c>
      <c r="X840" s="140" t="s">
        <v>1623</v>
      </c>
    </row>
    <row r="841" spans="1:24" x14ac:dyDescent="0.35">
      <c r="A841" s="34">
        <v>2023</v>
      </c>
      <c r="B841" s="34" t="s">
        <v>416</v>
      </c>
      <c r="C841" s="34" t="s">
        <v>1631</v>
      </c>
      <c r="D841" s="34" t="s">
        <v>417</v>
      </c>
      <c r="E841" s="34" t="s">
        <v>1626</v>
      </c>
      <c r="F841" s="34" t="s">
        <v>340</v>
      </c>
      <c r="G841" s="34"/>
      <c r="H841" s="34">
        <v>40.177332</v>
      </c>
      <c r="I841" s="34">
        <v>-74.800439999999995</v>
      </c>
      <c r="J841" s="34"/>
      <c r="K841" s="105">
        <v>110000772628</v>
      </c>
      <c r="L841" s="34">
        <v>2819</v>
      </c>
      <c r="M841" s="48" t="str">
        <f>VLOOKUP(L841, '2017 SIC to NAICS'!A:D, 2)</f>
        <v>Industrial Inorganic Chemicals, Nec</v>
      </c>
      <c r="N841" s="34">
        <f>VLOOKUP(L841,'2017 SIC to NAICS'!A:D,3)</f>
        <v>331313</v>
      </c>
      <c r="O841" s="34" t="str">
        <f>VLOOKUP(L841,'2017 SIC to NAICS'!A:D,4)</f>
        <v>Alumina Refining and Primary Aluminum
Production</v>
      </c>
      <c r="P841" s="36" t="s">
        <v>785</v>
      </c>
      <c r="Q841" s="137" t="s">
        <v>786</v>
      </c>
      <c r="R841" s="45" t="s">
        <v>41</v>
      </c>
      <c r="S841" s="138">
        <f>COUNTIFS('Raw Non-zero DMR Data'!$A:$A, A841, 'Raw Non-zero DMR Data'!$C:$C, U841, 'Raw Non-zero DMR Data'!$V:$V, V841)</f>
        <v>1</v>
      </c>
      <c r="T841" s="34">
        <f>SUMIFS('Raw Non-zero DMR Data'!$X:$X, 'Raw Non-zero DMR Data'!$A:$A, A841, 'Raw Non-zero DMR Data'!$C:$C, U841, 'Raw Non-zero DMR Data'!V:V, V841)</f>
        <v>0.16578300000000001</v>
      </c>
      <c r="U841" s="34" t="s">
        <v>1631</v>
      </c>
      <c r="V841" s="34" t="s">
        <v>1632</v>
      </c>
      <c r="W841" s="141" t="s">
        <v>1633</v>
      </c>
      <c r="X841" s="140" t="s">
        <v>1623</v>
      </c>
    </row>
    <row r="842" spans="1:24" x14ac:dyDescent="0.35">
      <c r="A842" s="34">
        <v>2019</v>
      </c>
      <c r="B842" s="34" t="s">
        <v>630</v>
      </c>
      <c r="C842" s="34" t="s">
        <v>1634</v>
      </c>
      <c r="D842" s="34" t="s">
        <v>631</v>
      </c>
      <c r="E842" s="34" t="s">
        <v>1635</v>
      </c>
      <c r="F842" s="34" t="s">
        <v>340</v>
      </c>
      <c r="G842" s="34"/>
      <c r="H842" s="34">
        <v>39.859110000000001</v>
      </c>
      <c r="I842" s="34">
        <v>-77.236620000000002</v>
      </c>
      <c r="J842" s="34"/>
      <c r="K842" s="105">
        <v>110071151044</v>
      </c>
      <c r="L842" s="34">
        <v>4959</v>
      </c>
      <c r="M842" s="48" t="str">
        <f>VLOOKUP(L842, '2017 SIC to NAICS'!A:D, 2)</f>
        <v>Sanitary Services, Nec</v>
      </c>
      <c r="N842" s="34">
        <f>VLOOKUP(L842,'2017 SIC to NAICS'!A:D,3)</f>
        <v>562998</v>
      </c>
      <c r="O842" s="34" t="str">
        <f>VLOOKUP(L842,'2017 SIC to NAICS'!A:D,4)</f>
        <v>All Other Miscellaneous Waste
Management Services</v>
      </c>
      <c r="P842" s="36" t="s">
        <v>754</v>
      </c>
      <c r="Q842" s="137" t="s">
        <v>755</v>
      </c>
      <c r="R842" s="45" t="s">
        <v>41</v>
      </c>
      <c r="S842" s="138">
        <f>COUNTIFS('Raw Non-zero DMR Data'!$A:$A, A842, 'Raw Non-zero DMR Data'!$C:$C, U842, 'Raw Non-zero DMR Data'!$V:$V, V842)</f>
        <v>1</v>
      </c>
      <c r="T842" s="34">
        <f>SUMIFS('Raw Non-zero DMR Data'!$X:$X, 'Raw Non-zero DMR Data'!$A:$A, A842, 'Raw Non-zero DMR Data'!$C:$C, U842, 'Raw Non-zero DMR Data'!V:V, V842)</f>
        <v>5.633385825E-3</v>
      </c>
      <c r="U842" s="34" t="s">
        <v>1634</v>
      </c>
      <c r="V842" s="34" t="s">
        <v>1636</v>
      </c>
      <c r="W842" s="139">
        <v>20700090101</v>
      </c>
      <c r="X842" s="140" t="s">
        <v>821</v>
      </c>
    </row>
    <row r="843" spans="1:24" x14ac:dyDescent="0.35">
      <c r="A843" s="34">
        <v>2020</v>
      </c>
      <c r="B843" s="34" t="s">
        <v>630</v>
      </c>
      <c r="C843" s="34" t="s">
        <v>1634</v>
      </c>
      <c r="D843" s="34" t="s">
        <v>631</v>
      </c>
      <c r="E843" s="34" t="s">
        <v>1635</v>
      </c>
      <c r="F843" s="34" t="s">
        <v>340</v>
      </c>
      <c r="G843" s="34"/>
      <c r="H843" s="34">
        <v>39.859110000000001</v>
      </c>
      <c r="I843" s="34">
        <v>-77.236620000000002</v>
      </c>
      <c r="J843" s="34"/>
      <c r="K843" s="105">
        <v>110071151044</v>
      </c>
      <c r="L843" s="34">
        <v>4959</v>
      </c>
      <c r="M843" s="48" t="str">
        <f>VLOOKUP(L843, '2017 SIC to NAICS'!A:D, 2)</f>
        <v>Sanitary Services, Nec</v>
      </c>
      <c r="N843" s="34">
        <f>VLOOKUP(L843,'2017 SIC to NAICS'!A:D,3)</f>
        <v>562998</v>
      </c>
      <c r="O843" s="34" t="str">
        <f>VLOOKUP(L843,'2017 SIC to NAICS'!A:D,4)</f>
        <v>All Other Miscellaneous Waste
Management Services</v>
      </c>
      <c r="P843" s="36" t="s">
        <v>754</v>
      </c>
      <c r="Q843" s="137" t="s">
        <v>755</v>
      </c>
      <c r="R843" s="45" t="s">
        <v>41</v>
      </c>
      <c r="S843" s="138">
        <f>COUNTIFS('Raw Non-zero DMR Data'!$A:$A, A843, 'Raw Non-zero DMR Data'!$C:$C, U843, 'Raw Non-zero DMR Data'!$V:$V, V843)</f>
        <v>1</v>
      </c>
      <c r="T843" s="34">
        <f>SUMIFS('Raw Non-zero DMR Data'!$X:$X, 'Raw Non-zero DMR Data'!$A:$A, A843, 'Raw Non-zero DMR Data'!$C:$C, U843, 'Raw Non-zero DMR Data'!V:V, V843)</f>
        <v>6.5149789410000004E-3</v>
      </c>
      <c r="U843" s="34" t="s">
        <v>1634</v>
      </c>
      <c r="V843" s="34" t="s">
        <v>1636</v>
      </c>
      <c r="W843" s="139">
        <v>20700090101</v>
      </c>
      <c r="X843" s="140" t="s">
        <v>821</v>
      </c>
    </row>
    <row r="844" spans="1:24" x14ac:dyDescent="0.35">
      <c r="A844" s="34">
        <v>2019</v>
      </c>
      <c r="B844" s="34" t="s">
        <v>382</v>
      </c>
      <c r="C844" s="34" t="s">
        <v>1637</v>
      </c>
      <c r="D844" s="34" t="s">
        <v>383</v>
      </c>
      <c r="E844" s="34" t="s">
        <v>1517</v>
      </c>
      <c r="F844" s="34" t="s">
        <v>340</v>
      </c>
      <c r="G844" s="34"/>
      <c r="H844" s="34">
        <v>40.231741999999997</v>
      </c>
      <c r="I844" s="34">
        <v>-78.917860000000005</v>
      </c>
      <c r="J844" s="34"/>
      <c r="K844" s="105">
        <v>110001057533</v>
      </c>
      <c r="L844" s="34">
        <v>4952</v>
      </c>
      <c r="M844" s="48" t="str">
        <f>VLOOKUP(L844, '2017 SIC to NAICS'!A:D, 2)</f>
        <v>Sewerage Systems</v>
      </c>
      <c r="N844" s="34">
        <f>VLOOKUP(L844,'2017 SIC to NAICS'!A:D,3)</f>
        <v>221320</v>
      </c>
      <c r="O844" s="34" t="str">
        <f>VLOOKUP(L844,'2017 SIC to NAICS'!A:D,4)</f>
        <v>Sewage Treatment Facilities</v>
      </c>
      <c r="P844" s="36" t="s">
        <v>742</v>
      </c>
      <c r="Q844" s="137" t="s">
        <v>743</v>
      </c>
      <c r="R844" s="45" t="s">
        <v>38</v>
      </c>
      <c r="S844" s="138">
        <f>COUNTIFS('Raw Non-zero DMR Data'!$A:$A, A844, 'Raw Non-zero DMR Data'!$C:$C, U844, 'Raw Non-zero DMR Data'!$V:$V, V844)</f>
        <v>1</v>
      </c>
      <c r="T844" s="34">
        <f>SUMIFS('Raw Non-zero DMR Data'!$X:$X, 'Raw Non-zero DMR Data'!$A:$A, A844, 'Raw Non-zero DMR Data'!$C:$C, U844, 'Raw Non-zero DMR Data'!V:V, V844)</f>
        <v>3.7922861250000002E-2</v>
      </c>
      <c r="U844" s="34" t="s">
        <v>1637</v>
      </c>
      <c r="V844" s="34" t="s">
        <v>1638</v>
      </c>
      <c r="W844" s="139">
        <v>50100070310</v>
      </c>
      <c r="X844" s="140" t="s">
        <v>745</v>
      </c>
    </row>
    <row r="845" spans="1:24" x14ac:dyDescent="0.35">
      <c r="A845" s="34">
        <v>2020</v>
      </c>
      <c r="B845" s="34" t="s">
        <v>382</v>
      </c>
      <c r="C845" s="34" t="s">
        <v>1637</v>
      </c>
      <c r="D845" s="34" t="s">
        <v>383</v>
      </c>
      <c r="E845" s="34" t="s">
        <v>1517</v>
      </c>
      <c r="F845" s="34" t="s">
        <v>340</v>
      </c>
      <c r="G845" s="34"/>
      <c r="H845" s="34">
        <v>40.231741999999997</v>
      </c>
      <c r="I845" s="34">
        <v>-78.917860000000005</v>
      </c>
      <c r="J845" s="34"/>
      <c r="K845" s="105">
        <v>110001057533</v>
      </c>
      <c r="L845" s="34">
        <v>4952</v>
      </c>
      <c r="M845" s="48" t="str">
        <f>VLOOKUP(L845, '2017 SIC to NAICS'!A:D, 2)</f>
        <v>Sewerage Systems</v>
      </c>
      <c r="N845" s="34">
        <f>VLOOKUP(L845,'2017 SIC to NAICS'!A:D,3)</f>
        <v>221320</v>
      </c>
      <c r="O845" s="34" t="str">
        <f>VLOOKUP(L845,'2017 SIC to NAICS'!A:D,4)</f>
        <v>Sewage Treatment Facilities</v>
      </c>
      <c r="P845" s="36" t="s">
        <v>742</v>
      </c>
      <c r="Q845" s="137" t="s">
        <v>743</v>
      </c>
      <c r="R845" s="45" t="s">
        <v>38</v>
      </c>
      <c r="S845" s="138">
        <f>COUNTIFS('Raw Non-zero DMR Data'!$A:$A, A845, 'Raw Non-zero DMR Data'!$C:$C, U845, 'Raw Non-zero DMR Data'!$V:$V, V845)</f>
        <v>1</v>
      </c>
      <c r="T845" s="34">
        <f>SUMIFS('Raw Non-zero DMR Data'!$X:$X, 'Raw Non-zero DMR Data'!$A:$A, A845, 'Raw Non-zero DMR Data'!$C:$C, U845, 'Raw Non-zero DMR Data'!V:V, V845)</f>
        <v>1.998514065E-2</v>
      </c>
      <c r="U845" s="34" t="s">
        <v>1637</v>
      </c>
      <c r="V845" s="34" t="s">
        <v>1638</v>
      </c>
      <c r="W845" s="139">
        <v>50100070310</v>
      </c>
      <c r="X845" s="140" t="s">
        <v>745</v>
      </c>
    </row>
    <row r="846" spans="1:24" x14ac:dyDescent="0.35">
      <c r="A846" s="34">
        <v>2021</v>
      </c>
      <c r="B846" s="34" t="s">
        <v>382</v>
      </c>
      <c r="C846" s="34" t="s">
        <v>1637</v>
      </c>
      <c r="D846" s="34" t="s">
        <v>383</v>
      </c>
      <c r="E846" s="34" t="s">
        <v>1517</v>
      </c>
      <c r="F846" s="34" t="s">
        <v>340</v>
      </c>
      <c r="G846" s="34"/>
      <c r="H846" s="34">
        <v>40.231741999999997</v>
      </c>
      <c r="I846" s="34">
        <v>-78.917860000000005</v>
      </c>
      <c r="J846" s="34"/>
      <c r="K846" s="105">
        <v>110001057533</v>
      </c>
      <c r="L846" s="34">
        <v>4952</v>
      </c>
      <c r="M846" s="48" t="str">
        <f>VLOOKUP(L846, '2017 SIC to NAICS'!A:D, 2)</f>
        <v>Sewerage Systems</v>
      </c>
      <c r="N846" s="34">
        <f>VLOOKUP(L846,'2017 SIC to NAICS'!A:D,3)</f>
        <v>221320</v>
      </c>
      <c r="O846" s="34" t="str">
        <f>VLOOKUP(L846,'2017 SIC to NAICS'!A:D,4)</f>
        <v>Sewage Treatment Facilities</v>
      </c>
      <c r="P846" s="36" t="s">
        <v>742</v>
      </c>
      <c r="Q846" s="137" t="s">
        <v>743</v>
      </c>
      <c r="R846" s="45" t="s">
        <v>38</v>
      </c>
      <c r="S846" s="138">
        <f>COUNTIFS('Raw Non-zero DMR Data'!$A:$A, A846, 'Raw Non-zero DMR Data'!$C:$C, U846, 'Raw Non-zero DMR Data'!$V:$V, V846)</f>
        <v>1</v>
      </c>
      <c r="T846" s="34">
        <f>SUMIFS('Raw Non-zero DMR Data'!$X:$X, 'Raw Non-zero DMR Data'!$A:$A, A846, 'Raw Non-zero DMR Data'!$C:$C, U846, 'Raw Non-zero DMR Data'!V:V, V846)</f>
        <v>2.3854101412499999E-2</v>
      </c>
      <c r="U846" s="34" t="s">
        <v>1637</v>
      </c>
      <c r="V846" s="34" t="s">
        <v>1638</v>
      </c>
      <c r="W846" s="139">
        <v>50100070310</v>
      </c>
      <c r="X846" s="140" t="s">
        <v>745</v>
      </c>
    </row>
    <row r="847" spans="1:24" x14ac:dyDescent="0.35">
      <c r="A847" s="34">
        <v>2022</v>
      </c>
      <c r="B847" s="34" t="s">
        <v>382</v>
      </c>
      <c r="C847" s="34" t="s">
        <v>1637</v>
      </c>
      <c r="D847" s="34" t="s">
        <v>383</v>
      </c>
      <c r="E847" s="34" t="s">
        <v>1517</v>
      </c>
      <c r="F847" s="34" t="s">
        <v>340</v>
      </c>
      <c r="G847" s="34"/>
      <c r="H847" s="34">
        <v>40.231741999999997</v>
      </c>
      <c r="I847" s="34">
        <v>-78.917860000000005</v>
      </c>
      <c r="J847" s="34"/>
      <c r="K847" s="105">
        <v>110001057533</v>
      </c>
      <c r="L847" s="34">
        <v>4952</v>
      </c>
      <c r="M847" s="48" t="str">
        <f>VLOOKUP(L847, '2017 SIC to NAICS'!A:D, 2)</f>
        <v>Sewerage Systems</v>
      </c>
      <c r="N847" s="34">
        <f>VLOOKUP(L847,'2017 SIC to NAICS'!A:D,3)</f>
        <v>221320</v>
      </c>
      <c r="O847" s="34" t="str">
        <f>VLOOKUP(L847,'2017 SIC to NAICS'!A:D,4)</f>
        <v>Sewage Treatment Facilities</v>
      </c>
      <c r="P847" s="36" t="s">
        <v>742</v>
      </c>
      <c r="Q847" s="137" t="s">
        <v>743</v>
      </c>
      <c r="R847" s="45" t="s">
        <v>38</v>
      </c>
      <c r="S847" s="138">
        <f>COUNTIFS('Raw Non-zero DMR Data'!$A:$A, A847, 'Raw Non-zero DMR Data'!$C:$C, U847, 'Raw Non-zero DMR Data'!$V:$V, V847)</f>
        <v>1</v>
      </c>
      <c r="T847" s="34">
        <f>SUMIFS('Raw Non-zero DMR Data'!$X:$X, 'Raw Non-zero DMR Data'!$A:$A, A847, 'Raw Non-zero DMR Data'!$C:$C, U847, 'Raw Non-zero DMR Data'!V:V, V847)</f>
        <v>3.5769754537499997E-2</v>
      </c>
      <c r="U847" s="34" t="s">
        <v>1637</v>
      </c>
      <c r="V847" s="34" t="s">
        <v>1638</v>
      </c>
      <c r="W847" s="141" t="s">
        <v>1639</v>
      </c>
      <c r="X847" s="140" t="s">
        <v>745</v>
      </c>
    </row>
    <row r="848" spans="1:24" x14ac:dyDescent="0.35">
      <c r="A848" s="34">
        <v>2023</v>
      </c>
      <c r="B848" s="34" t="s">
        <v>382</v>
      </c>
      <c r="C848" s="34" t="s">
        <v>1637</v>
      </c>
      <c r="D848" s="34" t="s">
        <v>383</v>
      </c>
      <c r="E848" s="34" t="s">
        <v>1517</v>
      </c>
      <c r="F848" s="34" t="s">
        <v>340</v>
      </c>
      <c r="G848" s="34"/>
      <c r="H848" s="34">
        <v>40.231741999999997</v>
      </c>
      <c r="I848" s="34">
        <v>-78.917860000000005</v>
      </c>
      <c r="J848" s="34"/>
      <c r="K848" s="105">
        <v>110001057533</v>
      </c>
      <c r="L848" s="34">
        <v>4952</v>
      </c>
      <c r="M848" s="48" t="str">
        <f>VLOOKUP(L848, '2017 SIC to NAICS'!A:D, 2)</f>
        <v>Sewerage Systems</v>
      </c>
      <c r="N848" s="34">
        <f>VLOOKUP(L848,'2017 SIC to NAICS'!A:D,3)</f>
        <v>221320</v>
      </c>
      <c r="O848" s="34" t="str">
        <f>VLOOKUP(L848,'2017 SIC to NAICS'!A:D,4)</f>
        <v>Sewage Treatment Facilities</v>
      </c>
      <c r="P848" s="36" t="s">
        <v>742</v>
      </c>
      <c r="Q848" s="137" t="s">
        <v>743</v>
      </c>
      <c r="R848" s="45" t="s">
        <v>38</v>
      </c>
      <c r="S848" s="138">
        <f>COUNTIFS('Raw Non-zero DMR Data'!$A:$A, A848, 'Raw Non-zero DMR Data'!$C:$C, U848, 'Raw Non-zero DMR Data'!$V:$V, V848)</f>
        <v>1</v>
      </c>
      <c r="T848" s="34">
        <f>SUMIFS('Raw Non-zero DMR Data'!$X:$X, 'Raw Non-zero DMR Data'!$A:$A, A848, 'Raw Non-zero DMR Data'!$C:$C, U848, 'Raw Non-zero DMR Data'!V:V, V848)</f>
        <v>0.28684603575000001</v>
      </c>
      <c r="U848" s="34" t="s">
        <v>1637</v>
      </c>
      <c r="V848" s="34" t="s">
        <v>1638</v>
      </c>
      <c r="W848" s="141" t="s">
        <v>1639</v>
      </c>
      <c r="X848" s="140" t="s">
        <v>745</v>
      </c>
    </row>
    <row r="849" spans="1:24" x14ac:dyDescent="0.35">
      <c r="A849" s="34">
        <v>2019</v>
      </c>
      <c r="B849" s="34" t="s">
        <v>609</v>
      </c>
      <c r="C849" s="34" t="s">
        <v>1640</v>
      </c>
      <c r="D849" s="34" t="s">
        <v>610</v>
      </c>
      <c r="E849" s="34" t="s">
        <v>1641</v>
      </c>
      <c r="F849" s="34" t="s">
        <v>340</v>
      </c>
      <c r="G849" s="34"/>
      <c r="H849" s="34">
        <v>41.452778000000002</v>
      </c>
      <c r="I849" s="34">
        <v>-79.690278000000006</v>
      </c>
      <c r="J849" s="34"/>
      <c r="K849" s="105">
        <v>110008476327</v>
      </c>
      <c r="L849" s="34">
        <v>2865</v>
      </c>
      <c r="M849" s="48" t="str">
        <f>VLOOKUP(L849, '2017 SIC to NAICS'!A:D, 2)</f>
        <v>Cyclic Crudes and Intermediates</v>
      </c>
      <c r="N849" s="34">
        <f>VLOOKUP(L849,'2017 SIC to NAICS'!A:D,3)</f>
        <v>325194</v>
      </c>
      <c r="O849" s="34" t="str">
        <f>VLOOKUP(L849,'2017 SIC to NAICS'!A:D,4)</f>
        <v>Cyclic Crude, Intermediate, and Gum and
Wood Chemical Manufacturing</v>
      </c>
      <c r="P849" s="36" t="s">
        <v>872</v>
      </c>
      <c r="Q849" s="137" t="s">
        <v>873</v>
      </c>
      <c r="R849" s="45" t="s">
        <v>41</v>
      </c>
      <c r="S849" s="138">
        <f>COUNTIFS('Raw Non-zero DMR Data'!$A:$A, A849, 'Raw Non-zero DMR Data'!$C:$C, U849, 'Raw Non-zero DMR Data'!$V:$V, V849)</f>
        <v>1</v>
      </c>
      <c r="T849" s="34">
        <f>SUMIFS('Raw Non-zero DMR Data'!$X:$X, 'Raw Non-zero DMR Data'!$A:$A, A849, 'Raw Non-zero DMR Data'!$C:$C, U849, 'Raw Non-zero DMR Data'!V:V, V849)</f>
        <v>8.2854999999999995E-3</v>
      </c>
      <c r="U849" s="34" t="s">
        <v>1640</v>
      </c>
      <c r="V849" s="34" t="s">
        <v>1642</v>
      </c>
      <c r="W849" s="139">
        <v>50100030606</v>
      </c>
      <c r="X849" s="140" t="s">
        <v>1643</v>
      </c>
    </row>
    <row r="850" spans="1:24" x14ac:dyDescent="0.35">
      <c r="A850" s="34">
        <v>2020</v>
      </c>
      <c r="B850" s="34" t="s">
        <v>609</v>
      </c>
      <c r="C850" s="34" t="s">
        <v>1640</v>
      </c>
      <c r="D850" s="34" t="s">
        <v>610</v>
      </c>
      <c r="E850" s="34" t="s">
        <v>1641</v>
      </c>
      <c r="F850" s="34" t="s">
        <v>340</v>
      </c>
      <c r="G850" s="34"/>
      <c r="H850" s="34">
        <v>41.452778000000002</v>
      </c>
      <c r="I850" s="34">
        <v>-79.690278000000006</v>
      </c>
      <c r="J850" s="34"/>
      <c r="K850" s="105">
        <v>110008476327</v>
      </c>
      <c r="L850" s="34">
        <v>2865</v>
      </c>
      <c r="M850" s="48" t="str">
        <f>VLOOKUP(L850, '2017 SIC to NAICS'!A:D, 2)</f>
        <v>Cyclic Crudes and Intermediates</v>
      </c>
      <c r="N850" s="34">
        <f>VLOOKUP(L850,'2017 SIC to NAICS'!A:D,3)</f>
        <v>325194</v>
      </c>
      <c r="O850" s="34" t="str">
        <f>VLOOKUP(L850,'2017 SIC to NAICS'!A:D,4)</f>
        <v>Cyclic Crude, Intermediate, and Gum and
Wood Chemical Manufacturing</v>
      </c>
      <c r="P850" s="36" t="s">
        <v>872</v>
      </c>
      <c r="Q850" s="137" t="s">
        <v>873</v>
      </c>
      <c r="R850" s="45" t="s">
        <v>41</v>
      </c>
      <c r="S850" s="138">
        <f>COUNTIFS('Raw Non-zero DMR Data'!$A:$A, A850, 'Raw Non-zero DMR Data'!$C:$C, U850, 'Raw Non-zero DMR Data'!$V:$V, V850)</f>
        <v>1</v>
      </c>
      <c r="T850" s="34">
        <f>SUMIFS('Raw Non-zero DMR Data'!$X:$X, 'Raw Non-zero DMR Data'!$A:$A, A850, 'Raw Non-zero DMR Data'!$C:$C, U850, 'Raw Non-zero DMR Data'!V:V, V850)</f>
        <v>3.3141999999999998E-3</v>
      </c>
      <c r="U850" s="34" t="s">
        <v>1640</v>
      </c>
      <c r="V850" s="34" t="s">
        <v>1642</v>
      </c>
      <c r="W850" s="139">
        <v>50100030606</v>
      </c>
      <c r="X850" s="140" t="s">
        <v>1643</v>
      </c>
    </row>
    <row r="851" spans="1:24" x14ac:dyDescent="0.35">
      <c r="A851" s="34">
        <v>2021</v>
      </c>
      <c r="B851" s="34" t="s">
        <v>609</v>
      </c>
      <c r="C851" s="34" t="s">
        <v>1640</v>
      </c>
      <c r="D851" s="34" t="s">
        <v>610</v>
      </c>
      <c r="E851" s="34" t="s">
        <v>1641</v>
      </c>
      <c r="F851" s="34" t="s">
        <v>340</v>
      </c>
      <c r="G851" s="34"/>
      <c r="H851" s="34">
        <v>41.452778000000002</v>
      </c>
      <c r="I851" s="34">
        <v>-79.690278000000006</v>
      </c>
      <c r="J851" s="34"/>
      <c r="K851" s="105">
        <v>110008476327</v>
      </c>
      <c r="L851" s="34">
        <v>2865</v>
      </c>
      <c r="M851" s="48" t="str">
        <f>VLOOKUP(L851, '2017 SIC to NAICS'!A:D, 2)</f>
        <v>Cyclic Crudes and Intermediates</v>
      </c>
      <c r="N851" s="34">
        <f>VLOOKUP(L851,'2017 SIC to NAICS'!A:D,3)</f>
        <v>325194</v>
      </c>
      <c r="O851" s="34" t="str">
        <f>VLOOKUP(L851,'2017 SIC to NAICS'!A:D,4)</f>
        <v>Cyclic Crude, Intermediate, and Gum and
Wood Chemical Manufacturing</v>
      </c>
      <c r="P851" s="36" t="s">
        <v>872</v>
      </c>
      <c r="Q851" s="137" t="s">
        <v>873</v>
      </c>
      <c r="R851" s="45" t="s">
        <v>41</v>
      </c>
      <c r="S851" s="138">
        <f>COUNTIFS('Raw Non-zero DMR Data'!$A:$A, A851, 'Raw Non-zero DMR Data'!$C:$C, U851, 'Raw Non-zero DMR Data'!$V:$V, V851)</f>
        <v>1</v>
      </c>
      <c r="T851" s="34">
        <f>SUMIFS('Raw Non-zero DMR Data'!$X:$X, 'Raw Non-zero DMR Data'!$A:$A, A851, 'Raw Non-zero DMR Data'!$C:$C, U851, 'Raw Non-zero DMR Data'!V:V, V851)</f>
        <v>1.077115E-2</v>
      </c>
      <c r="U851" s="34" t="s">
        <v>1640</v>
      </c>
      <c r="V851" s="34" t="s">
        <v>1642</v>
      </c>
      <c r="W851" s="139">
        <v>50100030606</v>
      </c>
      <c r="X851" s="140" t="s">
        <v>1643</v>
      </c>
    </row>
    <row r="852" spans="1:24" x14ac:dyDescent="0.35">
      <c r="A852" s="34">
        <v>2022</v>
      </c>
      <c r="B852" s="34" t="s">
        <v>609</v>
      </c>
      <c r="C852" s="34" t="s">
        <v>1640</v>
      </c>
      <c r="D852" s="34" t="s">
        <v>610</v>
      </c>
      <c r="E852" s="34" t="s">
        <v>1641</v>
      </c>
      <c r="F852" s="34" t="s">
        <v>340</v>
      </c>
      <c r="G852" s="34"/>
      <c r="H852" s="34">
        <v>41.452778000000002</v>
      </c>
      <c r="I852" s="34">
        <v>-79.690278000000006</v>
      </c>
      <c r="J852" s="34"/>
      <c r="K852" s="105">
        <v>110008476327</v>
      </c>
      <c r="L852" s="34">
        <v>2865</v>
      </c>
      <c r="M852" s="48" t="str">
        <f>VLOOKUP(L852, '2017 SIC to NAICS'!A:D, 2)</f>
        <v>Cyclic Crudes and Intermediates</v>
      </c>
      <c r="N852" s="34">
        <f>VLOOKUP(L852,'2017 SIC to NAICS'!A:D,3)</f>
        <v>325194</v>
      </c>
      <c r="O852" s="34" t="str">
        <f>VLOOKUP(L852,'2017 SIC to NAICS'!A:D,4)</f>
        <v>Cyclic Crude, Intermediate, and Gum and
Wood Chemical Manufacturing</v>
      </c>
      <c r="P852" s="36" t="s">
        <v>872</v>
      </c>
      <c r="Q852" s="137" t="s">
        <v>873</v>
      </c>
      <c r="R852" s="45" t="s">
        <v>41</v>
      </c>
      <c r="S852" s="138">
        <f>COUNTIFS('Raw Non-zero DMR Data'!$A:$A, A852, 'Raw Non-zero DMR Data'!$C:$C, U852, 'Raw Non-zero DMR Data'!$V:$V, V852)</f>
        <v>1</v>
      </c>
      <c r="T852" s="34">
        <f>SUMIFS('Raw Non-zero DMR Data'!$X:$X, 'Raw Non-zero DMR Data'!$A:$A, A852, 'Raw Non-zero DMR Data'!$C:$C, U852, 'Raw Non-zero DMR Data'!V:V, V852)</f>
        <v>2.4856499999999998E-3</v>
      </c>
      <c r="U852" s="34" t="s">
        <v>1640</v>
      </c>
      <c r="V852" s="34" t="s">
        <v>1642</v>
      </c>
      <c r="W852" s="141" t="s">
        <v>1644</v>
      </c>
      <c r="X852" s="140" t="s">
        <v>1643</v>
      </c>
    </row>
    <row r="853" spans="1:24" x14ac:dyDescent="0.35">
      <c r="A853" s="34">
        <v>2023</v>
      </c>
      <c r="B853" s="34" t="s">
        <v>609</v>
      </c>
      <c r="C853" s="34" t="s">
        <v>1640</v>
      </c>
      <c r="D853" s="34" t="s">
        <v>610</v>
      </c>
      <c r="E853" s="34" t="s">
        <v>1641</v>
      </c>
      <c r="F853" s="34" t="s">
        <v>340</v>
      </c>
      <c r="G853" s="34"/>
      <c r="H853" s="34">
        <v>41.452778000000002</v>
      </c>
      <c r="I853" s="34">
        <v>-79.690278000000006</v>
      </c>
      <c r="J853" s="34"/>
      <c r="K853" s="105">
        <v>110008476327</v>
      </c>
      <c r="L853" s="34">
        <v>2865</v>
      </c>
      <c r="M853" s="48" t="str">
        <f>VLOOKUP(L853, '2017 SIC to NAICS'!A:D, 2)</f>
        <v>Cyclic Crudes and Intermediates</v>
      </c>
      <c r="N853" s="34">
        <f>VLOOKUP(L853,'2017 SIC to NAICS'!A:D,3)</f>
        <v>325194</v>
      </c>
      <c r="O853" s="34" t="str">
        <f>VLOOKUP(L853,'2017 SIC to NAICS'!A:D,4)</f>
        <v>Cyclic Crude, Intermediate, and Gum and
Wood Chemical Manufacturing</v>
      </c>
      <c r="P853" s="36" t="s">
        <v>872</v>
      </c>
      <c r="Q853" s="137" t="s">
        <v>873</v>
      </c>
      <c r="R853" s="45" t="s">
        <v>41</v>
      </c>
      <c r="S853" s="138">
        <f>COUNTIFS('Raw Non-zero DMR Data'!$A:$A, A853, 'Raw Non-zero DMR Data'!$C:$C, U853, 'Raw Non-zero DMR Data'!$V:$V, V853)</f>
        <v>1</v>
      </c>
      <c r="T853" s="34">
        <f>SUMIFS('Raw Non-zero DMR Data'!$X:$X, 'Raw Non-zero DMR Data'!$A:$A, A853, 'Raw Non-zero DMR Data'!$C:$C, U853, 'Raw Non-zero DMR Data'!V:V, V853)</f>
        <v>2.4856499999999998E-3</v>
      </c>
      <c r="U853" s="34" t="s">
        <v>1640</v>
      </c>
      <c r="V853" s="34" t="s">
        <v>1642</v>
      </c>
      <c r="W853" s="141" t="s">
        <v>1644</v>
      </c>
      <c r="X853" s="140" t="s">
        <v>1643</v>
      </c>
    </row>
    <row r="854" spans="1:24" x14ac:dyDescent="0.35">
      <c r="A854" s="34">
        <v>2019</v>
      </c>
      <c r="B854" s="34" t="s">
        <v>642</v>
      </c>
      <c r="C854" s="34" t="s">
        <v>1645</v>
      </c>
      <c r="D854" s="34" t="s">
        <v>643</v>
      </c>
      <c r="E854" s="34" t="s">
        <v>1646</v>
      </c>
      <c r="F854" s="34" t="s">
        <v>340</v>
      </c>
      <c r="G854" s="34"/>
      <c r="H854" s="34">
        <v>40.725278000000003</v>
      </c>
      <c r="I854" s="34">
        <v>-77.056944000000001</v>
      </c>
      <c r="J854" s="34"/>
      <c r="K854" s="105">
        <v>110017796330</v>
      </c>
      <c r="L854" s="34">
        <v>3645</v>
      </c>
      <c r="M854" s="48" t="str">
        <f>VLOOKUP(L854, '2017 SIC to NAICS'!A:D, 2)</f>
        <v>Residential Lighting Fixtures</v>
      </c>
      <c r="N854" s="34">
        <f>VLOOKUP(L854,'2017 SIC to NAICS'!A:D,3)</f>
        <v>335121</v>
      </c>
      <c r="O854" s="34" t="str">
        <f>VLOOKUP(L854,'2017 SIC to NAICS'!A:D,4)</f>
        <v>Residential Electric Lighting Fixture
Manufacturing</v>
      </c>
      <c r="P854" s="36" t="s">
        <v>1360</v>
      </c>
      <c r="Q854" s="137" t="s">
        <v>1361</v>
      </c>
      <c r="R854" s="45" t="s">
        <v>41</v>
      </c>
      <c r="S854" s="138">
        <f>COUNTIFS('Raw Non-zero DMR Data'!$A:$A, A854, 'Raw Non-zero DMR Data'!$C:$C, U854, 'Raw Non-zero DMR Data'!$V:$V, V854)</f>
        <v>1</v>
      </c>
      <c r="T854" s="34">
        <f>SUMIFS('Raw Non-zero DMR Data'!$X:$X, 'Raw Non-zero DMR Data'!$A:$A, A854, 'Raw Non-zero DMR Data'!$C:$C, U854, 'Raw Non-zero DMR Data'!V:V, V854)</f>
        <v>4.3566038181818102E-3</v>
      </c>
      <c r="U854" s="34" t="s">
        <v>1645</v>
      </c>
      <c r="V854" s="34" t="s">
        <v>1647</v>
      </c>
      <c r="W854" s="139">
        <v>20503010601</v>
      </c>
      <c r="X854" s="140" t="s">
        <v>812</v>
      </c>
    </row>
    <row r="855" spans="1:24" x14ac:dyDescent="0.35">
      <c r="A855" s="34">
        <v>2020</v>
      </c>
      <c r="B855" s="34" t="s">
        <v>642</v>
      </c>
      <c r="C855" s="34" t="s">
        <v>1645</v>
      </c>
      <c r="D855" s="34" t="s">
        <v>643</v>
      </c>
      <c r="E855" s="34" t="s">
        <v>1646</v>
      </c>
      <c r="F855" s="34" t="s">
        <v>340</v>
      </c>
      <c r="G855" s="34"/>
      <c r="H855" s="34">
        <v>40.725278000000003</v>
      </c>
      <c r="I855" s="34">
        <v>-77.056944000000001</v>
      </c>
      <c r="J855" s="34"/>
      <c r="K855" s="105">
        <v>110017796330</v>
      </c>
      <c r="L855" s="34">
        <v>3645</v>
      </c>
      <c r="M855" s="48" t="str">
        <f>VLOOKUP(L855, '2017 SIC to NAICS'!A:D, 2)</f>
        <v>Residential Lighting Fixtures</v>
      </c>
      <c r="N855" s="34">
        <f>VLOOKUP(L855,'2017 SIC to NAICS'!A:D,3)</f>
        <v>335121</v>
      </c>
      <c r="O855" s="34" t="str">
        <f>VLOOKUP(L855,'2017 SIC to NAICS'!A:D,4)</f>
        <v>Residential Electric Lighting Fixture
Manufacturing</v>
      </c>
      <c r="P855" s="36" t="s">
        <v>1360</v>
      </c>
      <c r="Q855" s="137" t="s">
        <v>1361</v>
      </c>
      <c r="R855" s="45" t="s">
        <v>41</v>
      </c>
      <c r="S855" s="138">
        <f>COUNTIFS('Raw Non-zero DMR Data'!$A:$A, A855, 'Raw Non-zero DMR Data'!$C:$C, U855, 'Raw Non-zero DMR Data'!$V:$V, V855)</f>
        <v>1</v>
      </c>
      <c r="T855" s="34">
        <f>SUMIFS('Raw Non-zero DMR Data'!$X:$X, 'Raw Non-zero DMR Data'!$A:$A, A855, 'Raw Non-zero DMR Data'!$C:$C, U855, 'Raw Non-zero DMR Data'!V:V, V855)</f>
        <v>3.7446897499999999E-3</v>
      </c>
      <c r="U855" s="34" t="s">
        <v>1645</v>
      </c>
      <c r="V855" s="34" t="s">
        <v>1647</v>
      </c>
      <c r="W855" s="139">
        <v>20503010601</v>
      </c>
      <c r="X855" s="140" t="s">
        <v>812</v>
      </c>
    </row>
    <row r="856" spans="1:24" x14ac:dyDescent="0.35">
      <c r="A856" s="34">
        <v>2021</v>
      </c>
      <c r="B856" s="34" t="s">
        <v>642</v>
      </c>
      <c r="C856" s="34" t="s">
        <v>1645</v>
      </c>
      <c r="D856" s="34" t="s">
        <v>643</v>
      </c>
      <c r="E856" s="34" t="s">
        <v>1646</v>
      </c>
      <c r="F856" s="34" t="s">
        <v>340</v>
      </c>
      <c r="G856" s="34"/>
      <c r="H856" s="34">
        <v>40.725278000000003</v>
      </c>
      <c r="I856" s="34">
        <v>-77.056944000000001</v>
      </c>
      <c r="J856" s="34"/>
      <c r="K856" s="105">
        <v>110017796330</v>
      </c>
      <c r="L856" s="34">
        <v>3645</v>
      </c>
      <c r="M856" s="48" t="str">
        <f>VLOOKUP(L856, '2017 SIC to NAICS'!A:D, 2)</f>
        <v>Residential Lighting Fixtures</v>
      </c>
      <c r="N856" s="34">
        <f>VLOOKUP(L856,'2017 SIC to NAICS'!A:D,3)</f>
        <v>335121</v>
      </c>
      <c r="O856" s="34" t="str">
        <f>VLOOKUP(L856,'2017 SIC to NAICS'!A:D,4)</f>
        <v>Residential Electric Lighting Fixture
Manufacturing</v>
      </c>
      <c r="P856" s="36" t="s">
        <v>1360</v>
      </c>
      <c r="Q856" s="137" t="s">
        <v>1361</v>
      </c>
      <c r="R856" s="45" t="s">
        <v>41</v>
      </c>
      <c r="S856" s="138">
        <f>COUNTIFS('Raw Non-zero DMR Data'!$A:$A, A856, 'Raw Non-zero DMR Data'!$C:$C, U856, 'Raw Non-zero DMR Data'!$V:$V, V856)</f>
        <v>1</v>
      </c>
      <c r="T856" s="34">
        <f>SUMIFS('Raw Non-zero DMR Data'!$X:$X, 'Raw Non-zero DMR Data'!$A:$A, A856, 'Raw Non-zero DMR Data'!$C:$C, U856, 'Raw Non-zero DMR Data'!V:V, V856)</f>
        <v>4.0575200000000002E-3</v>
      </c>
      <c r="U856" s="34" t="s">
        <v>1645</v>
      </c>
      <c r="V856" s="34" t="s">
        <v>1647</v>
      </c>
      <c r="W856" s="139">
        <v>20503010601</v>
      </c>
      <c r="X856" s="140" t="s">
        <v>812</v>
      </c>
    </row>
    <row r="857" spans="1:24" x14ac:dyDescent="0.35">
      <c r="A857" s="34">
        <v>2022</v>
      </c>
      <c r="B857" s="34" t="s">
        <v>642</v>
      </c>
      <c r="C857" s="34" t="s">
        <v>1645</v>
      </c>
      <c r="D857" s="34" t="s">
        <v>643</v>
      </c>
      <c r="E857" s="34" t="s">
        <v>1646</v>
      </c>
      <c r="F857" s="34" t="s">
        <v>340</v>
      </c>
      <c r="G857" s="34"/>
      <c r="H857" s="34">
        <v>40.725278000000003</v>
      </c>
      <c r="I857" s="34">
        <v>-77.056944000000001</v>
      </c>
      <c r="J857" s="34"/>
      <c r="K857" s="105">
        <v>110017796330</v>
      </c>
      <c r="L857" s="34">
        <v>3645</v>
      </c>
      <c r="M857" s="48" t="str">
        <f>VLOOKUP(L857, '2017 SIC to NAICS'!A:D, 2)</f>
        <v>Residential Lighting Fixtures</v>
      </c>
      <c r="N857" s="34">
        <f>VLOOKUP(L857,'2017 SIC to NAICS'!A:D,3)</f>
        <v>335121</v>
      </c>
      <c r="O857" s="34" t="str">
        <f>VLOOKUP(L857,'2017 SIC to NAICS'!A:D,4)</f>
        <v>Residential Electric Lighting Fixture
Manufacturing</v>
      </c>
      <c r="P857" s="36" t="s">
        <v>1360</v>
      </c>
      <c r="Q857" s="137" t="s">
        <v>1361</v>
      </c>
      <c r="R857" s="45" t="s">
        <v>41</v>
      </c>
      <c r="S857" s="138">
        <f>COUNTIFS('Raw Non-zero DMR Data'!$A:$A, A857, 'Raw Non-zero DMR Data'!$C:$C, U857, 'Raw Non-zero DMR Data'!$V:$V, V857)</f>
        <v>1</v>
      </c>
      <c r="T857" s="34">
        <f>SUMIFS('Raw Non-zero DMR Data'!$X:$X, 'Raw Non-zero DMR Data'!$A:$A, A857, 'Raw Non-zero DMR Data'!$C:$C, U857, 'Raw Non-zero DMR Data'!V:V, V857)</f>
        <v>3.919746E-3</v>
      </c>
      <c r="U857" s="34" t="s">
        <v>1645</v>
      </c>
      <c r="V857" s="34" t="s">
        <v>1647</v>
      </c>
      <c r="W857" s="141" t="s">
        <v>1648</v>
      </c>
      <c r="X857" s="140" t="s">
        <v>812</v>
      </c>
    </row>
    <row r="858" spans="1:24" x14ac:dyDescent="0.35">
      <c r="A858" s="34">
        <v>2023</v>
      </c>
      <c r="B858" s="34" t="s">
        <v>642</v>
      </c>
      <c r="C858" s="34" t="s">
        <v>1645</v>
      </c>
      <c r="D858" s="34" t="s">
        <v>643</v>
      </c>
      <c r="E858" s="34" t="s">
        <v>1646</v>
      </c>
      <c r="F858" s="34" t="s">
        <v>340</v>
      </c>
      <c r="G858" s="34"/>
      <c r="H858" s="34">
        <v>40.725278000000003</v>
      </c>
      <c r="I858" s="34">
        <v>-77.056944000000001</v>
      </c>
      <c r="J858" s="34"/>
      <c r="K858" s="105">
        <v>110017796330</v>
      </c>
      <c r="L858" s="34">
        <v>3645</v>
      </c>
      <c r="M858" s="48" t="str">
        <f>VLOOKUP(L858, '2017 SIC to NAICS'!A:D, 2)</f>
        <v>Residential Lighting Fixtures</v>
      </c>
      <c r="N858" s="34">
        <f>VLOOKUP(L858,'2017 SIC to NAICS'!A:D,3)</f>
        <v>335121</v>
      </c>
      <c r="O858" s="34" t="str">
        <f>VLOOKUP(L858,'2017 SIC to NAICS'!A:D,4)</f>
        <v>Residential Electric Lighting Fixture
Manufacturing</v>
      </c>
      <c r="P858" s="36" t="s">
        <v>1360</v>
      </c>
      <c r="Q858" s="137" t="s">
        <v>1361</v>
      </c>
      <c r="R858" s="45" t="s">
        <v>41</v>
      </c>
      <c r="S858" s="138">
        <f>COUNTIFS('Raw Non-zero DMR Data'!$A:$A, A858, 'Raw Non-zero DMR Data'!$C:$C, U858, 'Raw Non-zero DMR Data'!$V:$V, V858)</f>
        <v>1</v>
      </c>
      <c r="T858" s="34">
        <f>SUMIFS('Raw Non-zero DMR Data'!$X:$X, 'Raw Non-zero DMR Data'!$A:$A, A858, 'Raw Non-zero DMR Data'!$C:$C, U858, 'Raw Non-zero DMR Data'!V:V, V858)</f>
        <v>4.4248542499999996E-3</v>
      </c>
      <c r="U858" s="34" t="s">
        <v>1645</v>
      </c>
      <c r="V858" s="34" t="s">
        <v>1647</v>
      </c>
      <c r="W858" s="141" t="s">
        <v>1648</v>
      </c>
      <c r="X858" s="140" t="s">
        <v>812</v>
      </c>
    </row>
    <row r="859" spans="1:24" x14ac:dyDescent="0.35">
      <c r="A859" s="34">
        <v>2019</v>
      </c>
      <c r="B859" s="34" t="s">
        <v>563</v>
      </c>
      <c r="C859" s="34" t="s">
        <v>1649</v>
      </c>
      <c r="D859" s="34" t="s">
        <v>564</v>
      </c>
      <c r="E859" s="34" t="s">
        <v>1650</v>
      </c>
      <c r="F859" s="34" t="s">
        <v>340</v>
      </c>
      <c r="G859" s="34"/>
      <c r="H859" s="34">
        <v>41.795278000000003</v>
      </c>
      <c r="I859" s="34">
        <v>-77.299722000000003</v>
      </c>
      <c r="J859" s="34"/>
      <c r="K859" s="105">
        <v>110020036209</v>
      </c>
      <c r="L859" s="34">
        <v>9999</v>
      </c>
      <c r="M859" s="48" t="str">
        <f>VLOOKUP(L859, '2017 SIC to NAICS'!A:D, 2)</f>
        <v>Nonclassifiable Establishments</v>
      </c>
      <c r="N859" s="34">
        <f>VLOOKUP(L859,'2017 SIC to NAICS'!A:D,3)</f>
        <v>0</v>
      </c>
      <c r="O859" s="34">
        <f>VLOOKUP(L859,'2017 SIC to NAICS'!A:D,4)</f>
        <v>0</v>
      </c>
      <c r="P859" s="36" t="s">
        <v>737</v>
      </c>
      <c r="Q859" s="137" t="s">
        <v>737</v>
      </c>
      <c r="R859" s="45" t="s">
        <v>41</v>
      </c>
      <c r="S859" s="138">
        <f>COUNTIFS('Raw Non-zero DMR Data'!$A:$A, A859, 'Raw Non-zero DMR Data'!$C:$C, U859, 'Raw Non-zero DMR Data'!$V:$V, V859)</f>
        <v>1</v>
      </c>
      <c r="T859" s="34">
        <f>SUMIFS('Raw Non-zero DMR Data'!$X:$X, 'Raw Non-zero DMR Data'!$A:$A, A859, 'Raw Non-zero DMR Data'!$C:$C, U859, 'Raw Non-zero DMR Data'!V:V, V859)</f>
        <v>2.15573034833333E-2</v>
      </c>
      <c r="U859" s="34" t="s">
        <v>1649</v>
      </c>
      <c r="V859" s="34" t="s">
        <v>1651</v>
      </c>
      <c r="W859" s="139">
        <v>20502050303</v>
      </c>
      <c r="X859" s="140" t="s">
        <v>739</v>
      </c>
    </row>
    <row r="860" spans="1:24" x14ac:dyDescent="0.35">
      <c r="A860" s="34">
        <v>2020</v>
      </c>
      <c r="B860" s="34" t="s">
        <v>563</v>
      </c>
      <c r="C860" s="34" t="s">
        <v>1649</v>
      </c>
      <c r="D860" s="34" t="s">
        <v>564</v>
      </c>
      <c r="E860" s="34" t="s">
        <v>1650</v>
      </c>
      <c r="F860" s="34" t="s">
        <v>340</v>
      </c>
      <c r="G860" s="34"/>
      <c r="H860" s="34">
        <v>41.795278000000003</v>
      </c>
      <c r="I860" s="34">
        <v>-77.299722000000003</v>
      </c>
      <c r="J860" s="34"/>
      <c r="K860" s="105">
        <v>110020036209</v>
      </c>
      <c r="L860" s="34">
        <v>9999</v>
      </c>
      <c r="M860" s="48" t="str">
        <f>VLOOKUP(L860, '2017 SIC to NAICS'!A:D, 2)</f>
        <v>Nonclassifiable Establishments</v>
      </c>
      <c r="N860" s="34">
        <f>VLOOKUP(L860,'2017 SIC to NAICS'!A:D,3)</f>
        <v>0</v>
      </c>
      <c r="O860" s="34">
        <f>VLOOKUP(L860,'2017 SIC to NAICS'!A:D,4)</f>
        <v>0</v>
      </c>
      <c r="P860" s="36" t="s">
        <v>737</v>
      </c>
      <c r="Q860" s="137" t="s">
        <v>737</v>
      </c>
      <c r="R860" s="45" t="s">
        <v>41</v>
      </c>
      <c r="S860" s="138">
        <f>COUNTIFS('Raw Non-zero DMR Data'!$A:$A, A860, 'Raw Non-zero DMR Data'!$C:$C, U860, 'Raw Non-zero DMR Data'!$V:$V, V860)</f>
        <v>1</v>
      </c>
      <c r="T860" s="34">
        <f>SUMIFS('Raw Non-zero DMR Data'!$X:$X, 'Raw Non-zero DMR Data'!$A:$A, A860, 'Raw Non-zero DMR Data'!$C:$C, U860, 'Raw Non-zero DMR Data'!V:V, V860)</f>
        <v>1.5980322346549999E-2</v>
      </c>
      <c r="U860" s="34" t="s">
        <v>1649</v>
      </c>
      <c r="V860" s="34" t="s">
        <v>1651</v>
      </c>
      <c r="W860" s="139">
        <v>20502050303</v>
      </c>
      <c r="X860" s="140" t="s">
        <v>739</v>
      </c>
    </row>
    <row r="861" spans="1:24" x14ac:dyDescent="0.35">
      <c r="A861" s="34">
        <v>2021</v>
      </c>
      <c r="B861" s="34" t="s">
        <v>563</v>
      </c>
      <c r="C861" s="34" t="s">
        <v>1649</v>
      </c>
      <c r="D861" s="34" t="s">
        <v>564</v>
      </c>
      <c r="E861" s="34" t="s">
        <v>1650</v>
      </c>
      <c r="F861" s="34" t="s">
        <v>340</v>
      </c>
      <c r="G861" s="34"/>
      <c r="H861" s="34">
        <v>41.795278000000003</v>
      </c>
      <c r="I861" s="34">
        <v>-77.299722000000003</v>
      </c>
      <c r="J861" s="34"/>
      <c r="K861" s="105">
        <v>110020036209</v>
      </c>
      <c r="L861" s="34">
        <v>9999</v>
      </c>
      <c r="M861" s="48" t="str">
        <f>VLOOKUP(L861, '2017 SIC to NAICS'!A:D, 2)</f>
        <v>Nonclassifiable Establishments</v>
      </c>
      <c r="N861" s="34">
        <f>VLOOKUP(L861,'2017 SIC to NAICS'!A:D,3)</f>
        <v>0</v>
      </c>
      <c r="O861" s="34">
        <f>VLOOKUP(L861,'2017 SIC to NAICS'!A:D,4)</f>
        <v>0</v>
      </c>
      <c r="P861" s="36" t="s">
        <v>737</v>
      </c>
      <c r="Q861" s="137" t="s">
        <v>737</v>
      </c>
      <c r="R861" s="45" t="s">
        <v>41</v>
      </c>
      <c r="S861" s="138">
        <f>COUNTIFS('Raw Non-zero DMR Data'!$A:$A, A861, 'Raw Non-zero DMR Data'!$C:$C, U861, 'Raw Non-zero DMR Data'!$V:$V, V861)</f>
        <v>1</v>
      </c>
      <c r="T861" s="34">
        <f>SUMIFS('Raw Non-zero DMR Data'!$X:$X, 'Raw Non-zero DMR Data'!$A:$A, A861, 'Raw Non-zero DMR Data'!$C:$C, U861, 'Raw Non-zero DMR Data'!V:V, V861)</f>
        <v>2.03104330125E-2</v>
      </c>
      <c r="U861" s="34" t="s">
        <v>1649</v>
      </c>
      <c r="V861" s="34" t="s">
        <v>1651</v>
      </c>
      <c r="W861" s="139">
        <v>20502050303</v>
      </c>
      <c r="X861" s="140" t="s">
        <v>739</v>
      </c>
    </row>
    <row r="862" spans="1:24" x14ac:dyDescent="0.35">
      <c r="A862" s="34">
        <v>2022</v>
      </c>
      <c r="B862" s="34" t="s">
        <v>563</v>
      </c>
      <c r="C862" s="34" t="s">
        <v>1649</v>
      </c>
      <c r="D862" s="34" t="s">
        <v>564</v>
      </c>
      <c r="E862" s="34" t="s">
        <v>1650</v>
      </c>
      <c r="F862" s="34" t="s">
        <v>340</v>
      </c>
      <c r="G862" s="34"/>
      <c r="H862" s="34">
        <v>41.795278000000003</v>
      </c>
      <c r="I862" s="34">
        <v>-77.299722000000003</v>
      </c>
      <c r="J862" s="34"/>
      <c r="K862" s="105">
        <v>110020036209</v>
      </c>
      <c r="L862" s="34">
        <v>9999</v>
      </c>
      <c r="M862" s="48" t="str">
        <f>VLOOKUP(L862, '2017 SIC to NAICS'!A:D, 2)</f>
        <v>Nonclassifiable Establishments</v>
      </c>
      <c r="N862" s="34">
        <f>VLOOKUP(L862,'2017 SIC to NAICS'!A:D,3)</f>
        <v>0</v>
      </c>
      <c r="O862" s="34">
        <f>VLOOKUP(L862,'2017 SIC to NAICS'!A:D,4)</f>
        <v>0</v>
      </c>
      <c r="P862" s="36" t="s">
        <v>737</v>
      </c>
      <c r="Q862" s="137" t="s">
        <v>737</v>
      </c>
      <c r="R862" s="45" t="s">
        <v>41</v>
      </c>
      <c r="S862" s="138">
        <f>COUNTIFS('Raw Non-zero DMR Data'!$A:$A, A862, 'Raw Non-zero DMR Data'!$C:$C, U862, 'Raw Non-zero DMR Data'!$V:$V, V862)</f>
        <v>1</v>
      </c>
      <c r="T862" s="34">
        <f>SUMIFS('Raw Non-zero DMR Data'!$X:$X, 'Raw Non-zero DMR Data'!$A:$A, A862, 'Raw Non-zero DMR Data'!$C:$C, U862, 'Raw Non-zero DMR Data'!V:V, V862)</f>
        <v>7.1127719999999998E-3</v>
      </c>
      <c r="U862" s="34" t="s">
        <v>1649</v>
      </c>
      <c r="V862" s="34" t="s">
        <v>1651</v>
      </c>
      <c r="W862" s="141" t="s">
        <v>1652</v>
      </c>
      <c r="X862" s="140" t="s">
        <v>739</v>
      </c>
    </row>
    <row r="863" spans="1:24" x14ac:dyDescent="0.35">
      <c r="A863" s="34">
        <v>2022</v>
      </c>
      <c r="B863" s="34" t="s">
        <v>435</v>
      </c>
      <c r="C863" s="34" t="s">
        <v>1653</v>
      </c>
      <c r="D863" s="34" t="s">
        <v>436</v>
      </c>
      <c r="E863" s="34" t="s">
        <v>1626</v>
      </c>
      <c r="F863" s="34" t="s">
        <v>340</v>
      </c>
      <c r="G863" s="34"/>
      <c r="H863" s="34">
        <v>40.159343999999997</v>
      </c>
      <c r="I863" s="34">
        <v>-74.776695000000004</v>
      </c>
      <c r="J863" s="34"/>
      <c r="K863" s="105">
        <v>110000817439</v>
      </c>
      <c r="L863" s="34">
        <v>4953</v>
      </c>
      <c r="M863" s="48" t="str">
        <f>VLOOKUP(L863, '2017 SIC to NAICS'!A:D, 2)</f>
        <v>Refuse Systems</v>
      </c>
      <c r="N863" s="34">
        <f>VLOOKUP(L863,'2017 SIC to NAICS'!A:D,3)</f>
        <v>562920</v>
      </c>
      <c r="O863" s="34" t="str">
        <f>VLOOKUP(L863,'2017 SIC to NAICS'!A:D,4)</f>
        <v>Materials Recovery Facilities</v>
      </c>
      <c r="P863" s="36" t="s">
        <v>754</v>
      </c>
      <c r="Q863" s="137" t="s">
        <v>755</v>
      </c>
      <c r="R863" s="45" t="s">
        <v>40</v>
      </c>
      <c r="S863" s="138">
        <f>COUNTIFS('Raw Non-zero DMR Data'!$A:$A, A863, 'Raw Non-zero DMR Data'!$C:$C, U863, 'Raw Non-zero DMR Data'!$V:$V, V863)</f>
        <v>1</v>
      </c>
      <c r="T863" s="34">
        <f>SUMIFS('Raw Non-zero DMR Data'!$X:$X, 'Raw Non-zero DMR Data'!$A:$A, A863, 'Raw Non-zero DMR Data'!$C:$C, U863, 'Raw Non-zero DMR Data'!V:V, V863)</f>
        <v>4.1336699999999997E-2</v>
      </c>
      <c r="U863" s="34" t="s">
        <v>1653</v>
      </c>
      <c r="V863" s="34" t="s">
        <v>1630</v>
      </c>
      <c r="W863" s="141" t="s">
        <v>1654</v>
      </c>
      <c r="X863" s="140" t="s">
        <v>745</v>
      </c>
    </row>
    <row r="864" spans="1:24" x14ac:dyDescent="0.35">
      <c r="A864" s="34">
        <v>2023</v>
      </c>
      <c r="B864" s="34" t="s">
        <v>435</v>
      </c>
      <c r="C864" s="34" t="s">
        <v>1653</v>
      </c>
      <c r="D864" s="34" t="s">
        <v>436</v>
      </c>
      <c r="E864" s="34" t="s">
        <v>1626</v>
      </c>
      <c r="F864" s="34" t="s">
        <v>340</v>
      </c>
      <c r="G864" s="34"/>
      <c r="H864" s="34">
        <v>40.159343999999997</v>
      </c>
      <c r="I864" s="34">
        <v>-74.776695000000004</v>
      </c>
      <c r="J864" s="34"/>
      <c r="K864" s="105">
        <v>110000817439</v>
      </c>
      <c r="L864" s="34">
        <v>4953</v>
      </c>
      <c r="M864" s="48" t="str">
        <f>VLOOKUP(L864, '2017 SIC to NAICS'!A:D, 2)</f>
        <v>Refuse Systems</v>
      </c>
      <c r="N864" s="34">
        <f>VLOOKUP(L864,'2017 SIC to NAICS'!A:D,3)</f>
        <v>562920</v>
      </c>
      <c r="O864" s="34" t="str">
        <f>VLOOKUP(L864,'2017 SIC to NAICS'!A:D,4)</f>
        <v>Materials Recovery Facilities</v>
      </c>
      <c r="P864" s="36" t="s">
        <v>754</v>
      </c>
      <c r="Q864" s="137" t="s">
        <v>755</v>
      </c>
      <c r="R864" s="45" t="s">
        <v>40</v>
      </c>
      <c r="S864" s="138">
        <f>COUNTIFS('Raw Non-zero DMR Data'!$A:$A, A864, 'Raw Non-zero DMR Data'!$C:$C, U864, 'Raw Non-zero DMR Data'!$V:$V, V864)</f>
        <v>1</v>
      </c>
      <c r="T864" s="34">
        <f>SUMIFS('Raw Non-zero DMR Data'!$X:$X, 'Raw Non-zero DMR Data'!$A:$A, A864, 'Raw Non-zero DMR Data'!$C:$C, U864, 'Raw Non-zero DMR Data'!V:V, V864)</f>
        <v>5.7816899999999997E-2</v>
      </c>
      <c r="U864" s="34" t="s">
        <v>1653</v>
      </c>
      <c r="V864" s="34" t="s">
        <v>1630</v>
      </c>
      <c r="W864" s="141" t="s">
        <v>1654</v>
      </c>
      <c r="X864" s="140" t="s">
        <v>745</v>
      </c>
    </row>
    <row r="865" spans="1:24" x14ac:dyDescent="0.35">
      <c r="A865" s="34">
        <v>2022</v>
      </c>
      <c r="B865" s="34" t="s">
        <v>398</v>
      </c>
      <c r="C865" s="34" t="s">
        <v>1655</v>
      </c>
      <c r="D865" s="34" t="s">
        <v>399</v>
      </c>
      <c r="E865" s="34" t="s">
        <v>1656</v>
      </c>
      <c r="F865" s="34" t="s">
        <v>400</v>
      </c>
      <c r="G865" s="34"/>
      <c r="H865" s="34">
        <v>41.633920000000003</v>
      </c>
      <c r="I865" s="34">
        <v>-71.493690000000001</v>
      </c>
      <c r="J865" s="34"/>
      <c r="K865" s="105">
        <v>110000581255</v>
      </c>
      <c r="L865" s="34">
        <v>3315</v>
      </c>
      <c r="M865" s="48" t="str">
        <f>VLOOKUP(L865, '2017 SIC to NAICS'!A:D, 2)</f>
        <v>Steel Wire and Related Products</v>
      </c>
      <c r="N865" s="34">
        <f>VLOOKUP(L865,'2017 SIC to NAICS'!A:D,3)</f>
        <v>332618</v>
      </c>
      <c r="O865" s="34" t="str">
        <f>VLOOKUP(L865,'2017 SIC to NAICS'!A:D,4)</f>
        <v>Other Fabricated Wire Product
Manufacturing</v>
      </c>
      <c r="P865" s="36" t="s">
        <v>809</v>
      </c>
      <c r="Q865" s="137" t="s">
        <v>810</v>
      </c>
      <c r="R865" s="45" t="s">
        <v>41</v>
      </c>
      <c r="S865" s="138">
        <f>COUNTIFS('Raw Non-zero DMR Data'!$A:$A, A865, 'Raw Non-zero DMR Data'!$C:$C, U865, 'Raw Non-zero DMR Data'!$V:$V, V865)</f>
        <v>1</v>
      </c>
      <c r="T865" s="34">
        <f>SUMIFS('Raw Non-zero DMR Data'!$X:$X, 'Raw Non-zero DMR Data'!$A:$A, A865, 'Raw Non-zero DMR Data'!$C:$C, U865, 'Raw Non-zero DMR Data'!V:V, V865)</f>
        <v>0.233113608</v>
      </c>
      <c r="U865" s="34" t="s">
        <v>1655</v>
      </c>
      <c r="V865" s="34" t="s">
        <v>1657</v>
      </c>
      <c r="W865" s="141" t="s">
        <v>1658</v>
      </c>
      <c r="X865" s="140" t="s">
        <v>739</v>
      </c>
    </row>
    <row r="866" spans="1:24" x14ac:dyDescent="0.35">
      <c r="A866" s="34">
        <v>2023</v>
      </c>
      <c r="B866" s="34" t="s">
        <v>510</v>
      </c>
      <c r="C866" s="34" t="s">
        <v>1659</v>
      </c>
      <c r="D866" s="34" t="s">
        <v>511</v>
      </c>
      <c r="E866" s="34" t="s">
        <v>1656</v>
      </c>
      <c r="F866" s="34" t="s">
        <v>400</v>
      </c>
      <c r="G866" s="34"/>
      <c r="H866" s="34">
        <v>41.711390000000002</v>
      </c>
      <c r="I866" s="34">
        <v>-71.426670000000001</v>
      </c>
      <c r="J866" s="34"/>
      <c r="K866" s="105">
        <v>110013738045</v>
      </c>
      <c r="L866" s="34">
        <v>9511</v>
      </c>
      <c r="M866" s="48" t="str">
        <f>VLOOKUP(L866, '2017 SIC to NAICS'!A:D, 2)</f>
        <v>Air, Water, and Solid Waste Management</v>
      </c>
      <c r="N866" s="34">
        <f>VLOOKUP(L866,'2017 SIC to NAICS'!A:D,3)</f>
        <v>924110</v>
      </c>
      <c r="O866" s="34" t="str">
        <f>VLOOKUP(L866,'2017 SIC to NAICS'!A:D,4)</f>
        <v>Administration of Air and Water Resource
and Solid Waste Management Programs</v>
      </c>
      <c r="P866" s="36" t="s">
        <v>754</v>
      </c>
      <c r="Q866" s="137" t="s">
        <v>755</v>
      </c>
      <c r="R866" s="45" t="s">
        <v>41</v>
      </c>
      <c r="S866" s="138">
        <f>COUNTIFS('Raw Non-zero DMR Data'!$A:$A, A866, 'Raw Non-zero DMR Data'!$C:$C, U866, 'Raw Non-zero DMR Data'!$V:$V, V866)</f>
        <v>1</v>
      </c>
      <c r="T866" s="34">
        <f>SUMIFS('Raw Non-zero DMR Data'!$X:$X, 'Raw Non-zero DMR Data'!$A:$A, A866, 'Raw Non-zero DMR Data'!$C:$C, U866, 'Raw Non-zero DMR Data'!V:V, V866)</f>
        <v>4.7236572900000003E-2</v>
      </c>
      <c r="U866" s="34" t="s">
        <v>1659</v>
      </c>
      <c r="V866" s="34" t="s">
        <v>1660</v>
      </c>
      <c r="W866" s="141" t="s">
        <v>1661</v>
      </c>
      <c r="X866" s="140" t="s">
        <v>734</v>
      </c>
    </row>
    <row r="867" spans="1:24" x14ac:dyDescent="0.35">
      <c r="A867" s="34">
        <v>2022</v>
      </c>
      <c r="B867" s="34" t="s">
        <v>192</v>
      </c>
      <c r="C867" s="34" t="s">
        <v>1662</v>
      </c>
      <c r="D867" s="34" t="s">
        <v>193</v>
      </c>
      <c r="E867" s="34" t="s">
        <v>1663</v>
      </c>
      <c r="F867" s="34" t="s">
        <v>194</v>
      </c>
      <c r="G867" s="34"/>
      <c r="H867" s="34">
        <v>35.118552999999999</v>
      </c>
      <c r="I867" s="34">
        <v>-81.559533000000002</v>
      </c>
      <c r="J867" s="34"/>
      <c r="K867" s="105">
        <v>110000915984</v>
      </c>
      <c r="L867" s="34">
        <v>2261</v>
      </c>
      <c r="M867" s="48" t="str">
        <f>VLOOKUP(L867, '2017 SIC to NAICS'!A:D, 2)</f>
        <v>Finishing Plants, Cotton</v>
      </c>
      <c r="N867" s="34">
        <f>VLOOKUP(L867,'2017 SIC to NAICS'!A:D,3)</f>
        <v>313310</v>
      </c>
      <c r="O867" s="34" t="str">
        <f>VLOOKUP(L867,'2017 SIC to NAICS'!A:D,4)</f>
        <v>Textile and Fabric Finishing Mills</v>
      </c>
      <c r="P867" s="36" t="s">
        <v>1664</v>
      </c>
      <c r="Q867" s="137" t="s">
        <v>1665</v>
      </c>
      <c r="R867" s="45" t="s">
        <v>41</v>
      </c>
      <c r="S867" s="138">
        <f>COUNTIFS('Raw Non-zero DMR Data'!$A:$A, A867, 'Raw Non-zero DMR Data'!$C:$C, U867, 'Raw Non-zero DMR Data'!$V:$V, V867)</f>
        <v>1</v>
      </c>
      <c r="T867" s="34">
        <f>SUMIFS('Raw Non-zero DMR Data'!$X:$X, 'Raw Non-zero DMR Data'!$A:$A, A867, 'Raw Non-zero DMR Data'!$C:$C, U867, 'Raw Non-zero DMR Data'!V:V, V867)</f>
        <v>4.8967305000000003</v>
      </c>
      <c r="U867" s="34" t="s">
        <v>1662</v>
      </c>
      <c r="V867" s="34" t="s">
        <v>1666</v>
      </c>
      <c r="W867" s="141" t="s">
        <v>1667</v>
      </c>
      <c r="X867" s="140" t="s">
        <v>739</v>
      </c>
    </row>
    <row r="868" spans="1:24" x14ac:dyDescent="0.35">
      <c r="A868" s="34">
        <v>2021</v>
      </c>
      <c r="B868" s="34" t="s">
        <v>374</v>
      </c>
      <c r="C868" s="34" t="s">
        <v>1668</v>
      </c>
      <c r="D868" s="34" t="s">
        <v>197</v>
      </c>
      <c r="E868" s="34" t="s">
        <v>1669</v>
      </c>
      <c r="F868" s="34" t="s">
        <v>194</v>
      </c>
      <c r="G868" s="34"/>
      <c r="H868" s="34">
        <v>34.047221999999998</v>
      </c>
      <c r="I868" s="34">
        <v>-81.151360999999994</v>
      </c>
      <c r="J868" s="34"/>
      <c r="K868" s="105">
        <v>110000854246</v>
      </c>
      <c r="L868" s="34">
        <v>2824</v>
      </c>
      <c r="M868" s="48" t="str">
        <f>VLOOKUP(L868, '2017 SIC to NAICS'!A:D, 2)</f>
        <v>Organic Fibers, Noncellulosic</v>
      </c>
      <c r="N868" s="34">
        <f>VLOOKUP(L868,'2017 SIC to NAICS'!A:D,3)</f>
        <v>325220</v>
      </c>
      <c r="O868" s="34" t="str">
        <f>VLOOKUP(L868,'2017 SIC to NAICS'!A:D,4)</f>
        <v>Artificial and Synthetic Fibers and
Filaments Manufacturing</v>
      </c>
      <c r="P868" s="36" t="s">
        <v>1670</v>
      </c>
      <c r="Q868" s="137" t="s">
        <v>1671</v>
      </c>
      <c r="R868" s="45" t="s">
        <v>41</v>
      </c>
      <c r="S868" s="138">
        <f>COUNTIFS('Raw Non-zero DMR Data'!$A:$A, A868, 'Raw Non-zero DMR Data'!$C:$C, U868, 'Raw Non-zero DMR Data'!$V:$V, V868)</f>
        <v>1</v>
      </c>
      <c r="T868" s="34">
        <f>SUMIFS('Raw Non-zero DMR Data'!$X:$X, 'Raw Non-zero DMR Data'!$A:$A, A868, 'Raw Non-zero DMR Data'!$C:$C, U868, 'Raw Non-zero DMR Data'!V:V, V868)</f>
        <v>0.33141999999999999</v>
      </c>
      <c r="U868" s="34" t="s">
        <v>1668</v>
      </c>
      <c r="V868" s="34" t="s">
        <v>1672</v>
      </c>
      <c r="W868" s="139">
        <v>30501091403</v>
      </c>
      <c r="X868" s="140" t="s">
        <v>1673</v>
      </c>
    </row>
    <row r="869" spans="1:24" x14ac:dyDescent="0.35">
      <c r="A869" s="34">
        <v>2022</v>
      </c>
      <c r="B869" s="34" t="s">
        <v>374</v>
      </c>
      <c r="C869" s="34" t="s">
        <v>1668</v>
      </c>
      <c r="D869" s="34" t="s">
        <v>197</v>
      </c>
      <c r="E869" s="34" t="s">
        <v>1669</v>
      </c>
      <c r="F869" s="34" t="s">
        <v>194</v>
      </c>
      <c r="G869" s="34"/>
      <c r="H869" s="34">
        <v>34.047221999999998</v>
      </c>
      <c r="I869" s="34">
        <v>-81.151360999999994</v>
      </c>
      <c r="J869" s="34"/>
      <c r="K869" s="105">
        <v>110000854246</v>
      </c>
      <c r="L869" s="34">
        <v>2824</v>
      </c>
      <c r="M869" s="48" t="str">
        <f>VLOOKUP(L869, '2017 SIC to NAICS'!A:D, 2)</f>
        <v>Organic Fibers, Noncellulosic</v>
      </c>
      <c r="N869" s="34">
        <f>VLOOKUP(L869,'2017 SIC to NAICS'!A:D,3)</f>
        <v>325220</v>
      </c>
      <c r="O869" s="34" t="str">
        <f>VLOOKUP(L869,'2017 SIC to NAICS'!A:D,4)</f>
        <v>Artificial and Synthetic Fibers and
Filaments Manufacturing</v>
      </c>
      <c r="P869" s="36" t="s">
        <v>1670</v>
      </c>
      <c r="Q869" s="137" t="s">
        <v>1671</v>
      </c>
      <c r="R869" s="45" t="s">
        <v>41</v>
      </c>
      <c r="S869" s="138">
        <f>COUNTIFS('Raw Non-zero DMR Data'!$A:$A, A869, 'Raw Non-zero DMR Data'!$C:$C, U869, 'Raw Non-zero DMR Data'!$V:$V, V869)</f>
        <v>1</v>
      </c>
      <c r="T869" s="34">
        <f>SUMIFS('Raw Non-zero DMR Data'!$X:$X, 'Raw Non-zero DMR Data'!$A:$A, A869, 'Raw Non-zero DMR Data'!$C:$C, U869, 'Raw Non-zero DMR Data'!V:V, V869)</f>
        <v>0.33141999999999999</v>
      </c>
      <c r="U869" s="34" t="s">
        <v>1668</v>
      </c>
      <c r="V869" s="34" t="s">
        <v>1672</v>
      </c>
      <c r="W869" s="141" t="s">
        <v>1674</v>
      </c>
      <c r="X869" s="140" t="s">
        <v>1673</v>
      </c>
    </row>
    <row r="870" spans="1:24" x14ac:dyDescent="0.35">
      <c r="A870" s="34">
        <v>2023</v>
      </c>
      <c r="B870" s="34" t="s">
        <v>374</v>
      </c>
      <c r="C870" s="34" t="s">
        <v>1668</v>
      </c>
      <c r="D870" s="34" t="s">
        <v>197</v>
      </c>
      <c r="E870" s="34" t="s">
        <v>1669</v>
      </c>
      <c r="F870" s="34" t="s">
        <v>194</v>
      </c>
      <c r="G870" s="34"/>
      <c r="H870" s="34">
        <v>34.047221999999998</v>
      </c>
      <c r="I870" s="34">
        <v>-81.151360999999994</v>
      </c>
      <c r="J870" s="34"/>
      <c r="K870" s="105">
        <v>110000854246</v>
      </c>
      <c r="L870" s="34">
        <v>2824</v>
      </c>
      <c r="M870" s="48" t="str">
        <f>VLOOKUP(L870, '2017 SIC to NAICS'!A:D, 2)</f>
        <v>Organic Fibers, Noncellulosic</v>
      </c>
      <c r="N870" s="34">
        <f>VLOOKUP(L870,'2017 SIC to NAICS'!A:D,3)</f>
        <v>325220</v>
      </c>
      <c r="O870" s="34" t="str">
        <f>VLOOKUP(L870,'2017 SIC to NAICS'!A:D,4)</f>
        <v>Artificial and Synthetic Fibers and
Filaments Manufacturing</v>
      </c>
      <c r="P870" s="36" t="s">
        <v>1670</v>
      </c>
      <c r="Q870" s="137" t="s">
        <v>1671</v>
      </c>
      <c r="R870" s="45" t="s">
        <v>41</v>
      </c>
      <c r="S870" s="138">
        <f>COUNTIFS('Raw Non-zero DMR Data'!$A:$A, A870, 'Raw Non-zero DMR Data'!$C:$C, U870, 'Raw Non-zero DMR Data'!$V:$V, V870)</f>
        <v>1</v>
      </c>
      <c r="T870" s="34">
        <f>SUMIFS('Raw Non-zero DMR Data'!$X:$X, 'Raw Non-zero DMR Data'!$A:$A, A870, 'Raw Non-zero DMR Data'!$C:$C, U870, 'Raw Non-zero DMR Data'!V:V, V870)</f>
        <v>0.33141999999999999</v>
      </c>
      <c r="U870" s="34" t="s">
        <v>1668</v>
      </c>
      <c r="V870" s="34" t="s">
        <v>1672</v>
      </c>
      <c r="W870" s="141" t="s">
        <v>1674</v>
      </c>
      <c r="X870" s="140" t="s">
        <v>1673</v>
      </c>
    </row>
    <row r="871" spans="1:24" x14ac:dyDescent="0.35">
      <c r="A871" s="34">
        <v>2019</v>
      </c>
      <c r="B871" s="34" t="s">
        <v>666</v>
      </c>
      <c r="C871" s="34" t="s">
        <v>1675</v>
      </c>
      <c r="D871" s="34" t="s">
        <v>667</v>
      </c>
      <c r="E871" s="34" t="s">
        <v>667</v>
      </c>
      <c r="F871" s="34" t="s">
        <v>194</v>
      </c>
      <c r="G871" s="34"/>
      <c r="H871" s="34">
        <v>33.773513999999999</v>
      </c>
      <c r="I871" s="34">
        <v>-81.904872999999995</v>
      </c>
      <c r="J871" s="34"/>
      <c r="K871" s="105">
        <v>110002311551</v>
      </c>
      <c r="L871" s="34">
        <v>4952</v>
      </c>
      <c r="M871" s="48" t="str">
        <f>VLOOKUP(L871, '2017 SIC to NAICS'!A:D, 2)</f>
        <v>Sewerage Systems</v>
      </c>
      <c r="N871" s="34">
        <f>VLOOKUP(L871,'2017 SIC to NAICS'!A:D,3)</f>
        <v>221320</v>
      </c>
      <c r="O871" s="34" t="str">
        <f>VLOOKUP(L871,'2017 SIC to NAICS'!A:D,4)</f>
        <v>Sewage Treatment Facilities</v>
      </c>
      <c r="P871" s="36" t="s">
        <v>742</v>
      </c>
      <c r="Q871" s="137" t="s">
        <v>743</v>
      </c>
      <c r="R871" s="45" t="s">
        <v>38</v>
      </c>
      <c r="S871" s="138">
        <f>COUNTIFS('Raw Non-zero DMR Data'!$A:$A, A871, 'Raw Non-zero DMR Data'!$C:$C, U871, 'Raw Non-zero DMR Data'!$V:$V, V871)</f>
        <v>1</v>
      </c>
      <c r="T871" s="34">
        <f>SUMIFS('Raw Non-zero DMR Data'!$X:$X, 'Raw Non-zero DMR Data'!$A:$A, A871, 'Raw Non-zero DMR Data'!$C:$C, U871, 'Raw Non-zero DMR Data'!V:V, V871)</f>
        <v>1.257660875E-3</v>
      </c>
      <c r="U871" s="34" t="s">
        <v>1675</v>
      </c>
      <c r="V871" s="34" t="s">
        <v>1676</v>
      </c>
      <c r="W871" s="139">
        <v>30601070207</v>
      </c>
      <c r="X871" s="140" t="s">
        <v>745</v>
      </c>
    </row>
    <row r="872" spans="1:24" x14ac:dyDescent="0.35">
      <c r="A872" s="34">
        <v>2020</v>
      </c>
      <c r="B872" s="34" t="s">
        <v>666</v>
      </c>
      <c r="C872" s="34" t="s">
        <v>1675</v>
      </c>
      <c r="D872" s="34" t="s">
        <v>667</v>
      </c>
      <c r="E872" s="34" t="s">
        <v>667</v>
      </c>
      <c r="F872" s="34" t="s">
        <v>194</v>
      </c>
      <c r="G872" s="34"/>
      <c r="H872" s="34">
        <v>33.773513999999999</v>
      </c>
      <c r="I872" s="34">
        <v>-81.904872999999995</v>
      </c>
      <c r="J872" s="34"/>
      <c r="K872" s="105">
        <v>110002311551</v>
      </c>
      <c r="L872" s="34">
        <v>4952</v>
      </c>
      <c r="M872" s="48" t="str">
        <f>VLOOKUP(L872, '2017 SIC to NAICS'!A:D, 2)</f>
        <v>Sewerage Systems</v>
      </c>
      <c r="N872" s="34">
        <f>VLOOKUP(L872,'2017 SIC to NAICS'!A:D,3)</f>
        <v>221320</v>
      </c>
      <c r="O872" s="34" t="str">
        <f>VLOOKUP(L872,'2017 SIC to NAICS'!A:D,4)</f>
        <v>Sewage Treatment Facilities</v>
      </c>
      <c r="P872" s="36" t="s">
        <v>742</v>
      </c>
      <c r="Q872" s="137" t="s">
        <v>743</v>
      </c>
      <c r="R872" s="45" t="s">
        <v>38</v>
      </c>
      <c r="S872" s="138">
        <f>COUNTIFS('Raw Non-zero DMR Data'!$A:$A, A872, 'Raw Non-zero DMR Data'!$C:$C, U872, 'Raw Non-zero DMR Data'!$V:$V, V872)</f>
        <v>1</v>
      </c>
      <c r="T872" s="34">
        <f>SUMIFS('Raw Non-zero DMR Data'!$X:$X, 'Raw Non-zero DMR Data'!$A:$A, A872, 'Raw Non-zero DMR Data'!$C:$C, U872, 'Raw Non-zero DMR Data'!V:V, V872)</f>
        <v>4.9939857750000004E-4</v>
      </c>
      <c r="U872" s="34" t="s">
        <v>1675</v>
      </c>
      <c r="V872" s="34" t="s">
        <v>1676</v>
      </c>
      <c r="W872" s="139">
        <v>30601070207</v>
      </c>
      <c r="X872" s="140" t="s">
        <v>745</v>
      </c>
    </row>
    <row r="873" spans="1:24" x14ac:dyDescent="0.35">
      <c r="A873" s="34">
        <v>2021</v>
      </c>
      <c r="B873" s="34" t="s">
        <v>666</v>
      </c>
      <c r="C873" s="34" t="s">
        <v>1675</v>
      </c>
      <c r="D873" s="34" t="s">
        <v>667</v>
      </c>
      <c r="E873" s="34" t="s">
        <v>667</v>
      </c>
      <c r="F873" s="34" t="s">
        <v>194</v>
      </c>
      <c r="G873" s="34"/>
      <c r="H873" s="34">
        <v>33.773513999999999</v>
      </c>
      <c r="I873" s="34">
        <v>-81.904872999999995</v>
      </c>
      <c r="J873" s="34"/>
      <c r="K873" s="105">
        <v>110002311551</v>
      </c>
      <c r="L873" s="34">
        <v>4952</v>
      </c>
      <c r="M873" s="48" t="str">
        <f>VLOOKUP(L873, '2017 SIC to NAICS'!A:D, 2)</f>
        <v>Sewerage Systems</v>
      </c>
      <c r="N873" s="34">
        <f>VLOOKUP(L873,'2017 SIC to NAICS'!A:D,3)</f>
        <v>221320</v>
      </c>
      <c r="O873" s="34" t="str">
        <f>VLOOKUP(L873,'2017 SIC to NAICS'!A:D,4)</f>
        <v>Sewage Treatment Facilities</v>
      </c>
      <c r="P873" s="36" t="s">
        <v>742</v>
      </c>
      <c r="Q873" s="137" t="s">
        <v>743</v>
      </c>
      <c r="R873" s="45" t="s">
        <v>38</v>
      </c>
      <c r="S873" s="138">
        <f>COUNTIFS('Raw Non-zero DMR Data'!$A:$A, A873, 'Raw Non-zero DMR Data'!$C:$C, U873, 'Raw Non-zero DMR Data'!$V:$V, V873)</f>
        <v>1</v>
      </c>
      <c r="T873" s="34">
        <f>SUMIFS('Raw Non-zero DMR Data'!$X:$X, 'Raw Non-zero DMR Data'!$A:$A, A873, 'Raw Non-zero DMR Data'!$C:$C, U873, 'Raw Non-zero DMR Data'!V:V, V873)</f>
        <v>4.8845425000000001E-4</v>
      </c>
      <c r="U873" s="34" t="s">
        <v>1675</v>
      </c>
      <c r="V873" s="34" t="s">
        <v>1676</v>
      </c>
      <c r="W873" s="139">
        <v>30601070207</v>
      </c>
      <c r="X873" s="140" t="s">
        <v>745</v>
      </c>
    </row>
    <row r="874" spans="1:24" x14ac:dyDescent="0.35">
      <c r="A874" s="34">
        <v>2019</v>
      </c>
      <c r="B874" s="34" t="s">
        <v>159</v>
      </c>
      <c r="C874" s="34" t="s">
        <v>850</v>
      </c>
      <c r="D874" s="34" t="s">
        <v>160</v>
      </c>
      <c r="E874" s="34" t="s">
        <v>851</v>
      </c>
      <c r="F874" s="34" t="s">
        <v>161</v>
      </c>
      <c r="G874" s="34"/>
      <c r="H874" s="34">
        <v>36.527054999999997</v>
      </c>
      <c r="I874" s="34">
        <v>-82.538579999999996</v>
      </c>
      <c r="J874" s="34"/>
      <c r="K874" s="105">
        <v>110000574423</v>
      </c>
      <c r="L874" s="34">
        <v>2869</v>
      </c>
      <c r="M874" s="48" t="str">
        <f>VLOOKUP(L874, '2017 SIC to NAICS'!A:D, 2)</f>
        <v>Industrial Organic Chemicals, Nec</v>
      </c>
      <c r="N874" s="34">
        <f>VLOOKUP(L874,'2017 SIC to NAICS'!A:D,3)</f>
        <v>325998</v>
      </c>
      <c r="O874" s="34" t="str">
        <f>VLOOKUP(L874,'2017 SIC to NAICS'!A:D,4)</f>
        <v>All Other Miscellaneous Chemical Product and Preparation Manufacturing</v>
      </c>
      <c r="P874" s="36" t="s">
        <v>748</v>
      </c>
      <c r="Q874" s="137" t="s">
        <v>749</v>
      </c>
      <c r="R874" s="45" t="s">
        <v>41</v>
      </c>
      <c r="S874" s="138">
        <f>COUNTIFS('Raw Non-zero DMR Data'!$A:$A, A874, 'Raw Non-zero DMR Data'!$C:$C, U874, 'Raw Non-zero DMR Data'!$V:$V, V874)</f>
        <v>1</v>
      </c>
      <c r="T874" s="34">
        <f>SUMIFS('Raw Non-zero DMR Data'!$X:$X, 'Raw Non-zero DMR Data'!$A:$A, A874, 'Raw Non-zero DMR Data'!$C:$C, U874, 'Raw Non-zero DMR Data'!V:V, V874)</f>
        <v>0.53304060374999995</v>
      </c>
      <c r="U874" s="34" t="s">
        <v>850</v>
      </c>
      <c r="V874" s="34" t="s">
        <v>852</v>
      </c>
      <c r="W874" s="139">
        <v>60101020704</v>
      </c>
      <c r="X874" s="140" t="s">
        <v>854</v>
      </c>
    </row>
    <row r="875" spans="1:24" x14ac:dyDescent="0.35">
      <c r="A875" s="34">
        <v>2020</v>
      </c>
      <c r="B875" s="34" t="s">
        <v>281</v>
      </c>
      <c r="C875" s="34" t="s">
        <v>1677</v>
      </c>
      <c r="D875" s="34" t="s">
        <v>160</v>
      </c>
      <c r="E875" s="34" t="s">
        <v>1678</v>
      </c>
      <c r="F875" s="34" t="s">
        <v>161</v>
      </c>
      <c r="G875" s="34"/>
      <c r="H875" s="34">
        <v>36.550454999999999</v>
      </c>
      <c r="I875" s="34">
        <v>-82.634793999999999</v>
      </c>
      <c r="J875" s="34"/>
      <c r="K875" s="105">
        <v>110070828339</v>
      </c>
      <c r="L875" s="34">
        <v>2892</v>
      </c>
      <c r="M875" s="48" t="str">
        <f>VLOOKUP(L875, '2017 SIC to NAICS'!A:D, 2)</f>
        <v>Explosives</v>
      </c>
      <c r="N875" s="34">
        <f>VLOOKUP(L875,'2017 SIC to NAICS'!A:D,3)</f>
        <v>325920</v>
      </c>
      <c r="O875" s="34" t="str">
        <f>VLOOKUP(L875,'2017 SIC to NAICS'!A:D,4)</f>
        <v>Explosives Manufacturing</v>
      </c>
      <c r="P875" s="36" t="s">
        <v>1679</v>
      </c>
      <c r="Q875" s="137" t="s">
        <v>1680</v>
      </c>
      <c r="R875" s="45" t="s">
        <v>41</v>
      </c>
      <c r="S875" s="138">
        <f>COUNTIFS('Raw Non-zero DMR Data'!$A:$A, A875, 'Raw Non-zero DMR Data'!$C:$C, U875, 'Raw Non-zero DMR Data'!$V:$V, V875)</f>
        <v>1</v>
      </c>
      <c r="T875" s="34">
        <f>SUMIFS('Raw Non-zero DMR Data'!$X:$X, 'Raw Non-zero DMR Data'!$A:$A, A875, 'Raw Non-zero DMR Data'!$C:$C, U875, 'Raw Non-zero DMR Data'!V:V, V875)</f>
        <v>1.4085350000000001</v>
      </c>
      <c r="U875" s="34" t="s">
        <v>1677</v>
      </c>
      <c r="V875" s="34" t="s">
        <v>1681</v>
      </c>
      <c r="W875" s="139">
        <v>60101040101</v>
      </c>
      <c r="X875" s="140" t="s">
        <v>745</v>
      </c>
    </row>
    <row r="876" spans="1:24" x14ac:dyDescent="0.35">
      <c r="A876" s="34">
        <v>2021</v>
      </c>
      <c r="B876" s="34" t="s">
        <v>281</v>
      </c>
      <c r="C876" s="34" t="s">
        <v>1677</v>
      </c>
      <c r="D876" s="34" t="s">
        <v>160</v>
      </c>
      <c r="E876" s="34" t="s">
        <v>1678</v>
      </c>
      <c r="F876" s="34" t="s">
        <v>161</v>
      </c>
      <c r="G876" s="34"/>
      <c r="H876" s="34">
        <v>36.550454999999999</v>
      </c>
      <c r="I876" s="34">
        <v>-82.634793999999999</v>
      </c>
      <c r="J876" s="34"/>
      <c r="K876" s="105">
        <v>110070828339</v>
      </c>
      <c r="L876" s="34">
        <v>2892</v>
      </c>
      <c r="M876" s="48" t="str">
        <f>VLOOKUP(L876, '2017 SIC to NAICS'!A:D, 2)</f>
        <v>Explosives</v>
      </c>
      <c r="N876" s="34">
        <f>VLOOKUP(L876,'2017 SIC to NAICS'!A:D,3)</f>
        <v>325920</v>
      </c>
      <c r="O876" s="34" t="str">
        <f>VLOOKUP(L876,'2017 SIC to NAICS'!A:D,4)</f>
        <v>Explosives Manufacturing</v>
      </c>
      <c r="P876" s="36" t="s">
        <v>1679</v>
      </c>
      <c r="Q876" s="137" t="s">
        <v>1680</v>
      </c>
      <c r="R876" s="45" t="s">
        <v>41</v>
      </c>
      <c r="S876" s="138">
        <f>COUNTIFS('Raw Non-zero DMR Data'!$A:$A, A876, 'Raw Non-zero DMR Data'!$C:$C, U876, 'Raw Non-zero DMR Data'!$V:$V, V876)</f>
        <v>1</v>
      </c>
      <c r="T876" s="34">
        <f>SUMIFS('Raw Non-zero DMR Data'!$X:$X, 'Raw Non-zero DMR Data'!$A:$A, A876, 'Raw Non-zero DMR Data'!$C:$C, U876, 'Raw Non-zero DMR Data'!V:V, V876)</f>
        <v>0.49713000000000002</v>
      </c>
      <c r="U876" s="34" t="s">
        <v>1677</v>
      </c>
      <c r="V876" s="34" t="s">
        <v>1681</v>
      </c>
      <c r="W876" s="139">
        <v>60101040101</v>
      </c>
      <c r="X876" s="140" t="s">
        <v>745</v>
      </c>
    </row>
    <row r="877" spans="1:24" x14ac:dyDescent="0.35">
      <c r="A877" s="34">
        <v>2023</v>
      </c>
      <c r="B877" s="34" t="s">
        <v>477</v>
      </c>
      <c r="C877" s="34" t="s">
        <v>1682</v>
      </c>
      <c r="D877" s="34" t="s">
        <v>478</v>
      </c>
      <c r="E877" s="34" t="s">
        <v>782</v>
      </c>
      <c r="F877" s="34" t="s">
        <v>95</v>
      </c>
      <c r="G877" s="34"/>
      <c r="H877" s="34">
        <v>30.014958</v>
      </c>
      <c r="I877" s="34">
        <v>-94.029087000000004</v>
      </c>
      <c r="J877" s="34"/>
      <c r="K877" s="105">
        <v>110071710882</v>
      </c>
      <c r="L877" s="34">
        <v>2869</v>
      </c>
      <c r="M877" s="48" t="str">
        <f>VLOOKUP(L877, '2017 SIC to NAICS'!A:D, 2)</f>
        <v>Industrial Organic Chemicals, Nec</v>
      </c>
      <c r="N877" s="34">
        <f>VLOOKUP(L877,'2017 SIC to NAICS'!A:D,3)</f>
        <v>325998</v>
      </c>
      <c r="O877" s="34" t="str">
        <f>VLOOKUP(L877,'2017 SIC to NAICS'!A:D,4)</f>
        <v>All Other Miscellaneous Chemical Product and Preparation Manufacturing</v>
      </c>
      <c r="P877" s="36" t="s">
        <v>748</v>
      </c>
      <c r="Q877" s="137" t="s">
        <v>749</v>
      </c>
      <c r="R877" s="45" t="s">
        <v>41</v>
      </c>
      <c r="S877" s="138">
        <f>COUNTIFS('Raw Non-zero DMR Data'!$A:$A, A877, 'Raw Non-zero DMR Data'!$C:$C, U877, 'Raw Non-zero DMR Data'!$V:$V, V877)</f>
        <v>1</v>
      </c>
      <c r="T877" s="34">
        <f>SUMIFS('Raw Non-zero DMR Data'!$X:$X, 'Raw Non-zero DMR Data'!$A:$A, A877, 'Raw Non-zero DMR Data'!$C:$C, U877, 'Raw Non-zero DMR Data'!V:V, V877)</f>
        <v>7.5969492E-2</v>
      </c>
      <c r="U877" s="34" t="s">
        <v>1682</v>
      </c>
      <c r="V877" s="34" t="s">
        <v>1683</v>
      </c>
      <c r="W877" s="139">
        <v>120200030407</v>
      </c>
      <c r="X877" s="140" t="s">
        <v>1684</v>
      </c>
    </row>
    <row r="878" spans="1:24" x14ac:dyDescent="0.35">
      <c r="A878" s="34">
        <v>2022</v>
      </c>
      <c r="B878" s="34" t="s">
        <v>282</v>
      </c>
      <c r="C878" s="34" t="s">
        <v>861</v>
      </c>
      <c r="D878" s="34" t="s">
        <v>283</v>
      </c>
      <c r="E878" s="34" t="s">
        <v>862</v>
      </c>
      <c r="F878" s="34" t="s">
        <v>95</v>
      </c>
      <c r="G878" s="34"/>
      <c r="H878" s="34">
        <v>30.311361000000002</v>
      </c>
      <c r="I878" s="34">
        <v>-95.387083000000004</v>
      </c>
      <c r="J878" s="34"/>
      <c r="K878" s="105">
        <v>110000748095</v>
      </c>
      <c r="L878" s="34">
        <v>2869</v>
      </c>
      <c r="M878" s="48" t="str">
        <f>VLOOKUP(L878, '2017 SIC to NAICS'!A:D, 2)</f>
        <v>Industrial Organic Chemicals, Nec</v>
      </c>
      <c r="N878" s="34">
        <f>VLOOKUP(L878,'2017 SIC to NAICS'!A:D,3)</f>
        <v>325998</v>
      </c>
      <c r="O878" s="34" t="str">
        <f>VLOOKUP(L878,'2017 SIC to NAICS'!A:D,4)</f>
        <v>All Other Miscellaneous Chemical Product and Preparation Manufacturing</v>
      </c>
      <c r="P878" s="36" t="s">
        <v>748</v>
      </c>
      <c r="Q878" s="137" t="s">
        <v>749</v>
      </c>
      <c r="R878" s="45" t="s">
        <v>41</v>
      </c>
      <c r="S878" s="138">
        <f>COUNTIFS('Raw Non-zero DMR Data'!$A:$A, A878, 'Raw Non-zero DMR Data'!$C:$C, U878, 'Raw Non-zero DMR Data'!$V:$V, V878)</f>
        <v>1</v>
      </c>
      <c r="T878" s="34">
        <f>SUMIFS('Raw Non-zero DMR Data'!$X:$X, 'Raw Non-zero DMR Data'!$A:$A, A878, 'Raw Non-zero DMR Data'!$C:$C, U878, 'Raw Non-zero DMR Data'!V:V, V878)</f>
        <v>0.2071375</v>
      </c>
      <c r="U878" s="34" t="s">
        <v>861</v>
      </c>
      <c r="V878" s="34" t="s">
        <v>863</v>
      </c>
      <c r="W878" s="139">
        <v>120401010403</v>
      </c>
      <c r="X878" s="140" t="s">
        <v>751</v>
      </c>
    </row>
    <row r="879" spans="1:24" x14ac:dyDescent="0.35">
      <c r="A879" s="34">
        <v>2023</v>
      </c>
      <c r="B879" s="34" t="s">
        <v>532</v>
      </c>
      <c r="C879" s="34" t="s">
        <v>1685</v>
      </c>
      <c r="D879" s="34" t="s">
        <v>94</v>
      </c>
      <c r="E879" s="34" t="s">
        <v>747</v>
      </c>
      <c r="F879" s="34" t="s">
        <v>95</v>
      </c>
      <c r="G879" s="34"/>
      <c r="H879" s="34">
        <v>29.706247999999999</v>
      </c>
      <c r="I879" s="34">
        <v>-95.251079000000004</v>
      </c>
      <c r="J879" s="34"/>
      <c r="K879" s="105">
        <v>110000461107</v>
      </c>
      <c r="L879" s="34">
        <v>2869</v>
      </c>
      <c r="M879" s="48" t="str">
        <f>VLOOKUP(L879, '2017 SIC to NAICS'!A:D, 2)</f>
        <v>Industrial Organic Chemicals, Nec</v>
      </c>
      <c r="N879" s="34">
        <f>VLOOKUP(L879,'2017 SIC to NAICS'!A:D,3)</f>
        <v>325998</v>
      </c>
      <c r="O879" s="34" t="str">
        <f>VLOOKUP(L879,'2017 SIC to NAICS'!A:D,4)</f>
        <v>All Other Miscellaneous Chemical Product and Preparation Manufacturing</v>
      </c>
      <c r="P879" s="36" t="s">
        <v>748</v>
      </c>
      <c r="Q879" s="137" t="s">
        <v>749</v>
      </c>
      <c r="R879" s="45" t="s">
        <v>41</v>
      </c>
      <c r="S879" s="138">
        <f>COUNTIFS('Raw Non-zero DMR Data'!$A:$A, A879, 'Raw Non-zero DMR Data'!$C:$C, U879, 'Raw Non-zero DMR Data'!$V:$V, V879)</f>
        <v>1</v>
      </c>
      <c r="T879" s="34">
        <f>SUMIFS('Raw Non-zero DMR Data'!$X:$X, 'Raw Non-zero DMR Data'!$A:$A, A879, 'Raw Non-zero DMR Data'!$C:$C, U879, 'Raw Non-zero DMR Data'!V:V, V879)</f>
        <v>3.3141999999999998E-2</v>
      </c>
      <c r="U879" s="34" t="s">
        <v>1685</v>
      </c>
      <c r="V879" s="34" t="s">
        <v>787</v>
      </c>
      <c r="W879" s="139">
        <v>120401040502</v>
      </c>
      <c r="X879" s="140" t="s">
        <v>751</v>
      </c>
    </row>
    <row r="880" spans="1:24" x14ac:dyDescent="0.35">
      <c r="A880" s="34">
        <v>2019</v>
      </c>
      <c r="B880" s="34" t="s">
        <v>146</v>
      </c>
      <c r="C880" s="34" t="s">
        <v>784</v>
      </c>
      <c r="D880" s="34" t="s">
        <v>94</v>
      </c>
      <c r="E880" s="34" t="s">
        <v>747</v>
      </c>
      <c r="F880" s="34" t="s">
        <v>95</v>
      </c>
      <c r="G880" s="34"/>
      <c r="H880" s="34">
        <v>29.718139000000001</v>
      </c>
      <c r="I880" s="34">
        <v>-95.268749999999997</v>
      </c>
      <c r="J880" s="34"/>
      <c r="K880" s="105">
        <v>110000460901</v>
      </c>
      <c r="L880" s="34">
        <v>2819</v>
      </c>
      <c r="M880" s="48" t="str">
        <f>VLOOKUP(L880, '2017 SIC to NAICS'!A:D, 2)</f>
        <v>Industrial Inorganic Chemicals, Nec</v>
      </c>
      <c r="N880" s="34">
        <f>VLOOKUP(L880,'2017 SIC to NAICS'!A:D,3)</f>
        <v>331313</v>
      </c>
      <c r="O880" s="34" t="str">
        <f>VLOOKUP(L880,'2017 SIC to NAICS'!A:D,4)</f>
        <v>Alumina Refining and Primary Aluminum
Production</v>
      </c>
      <c r="P880" s="36" t="s">
        <v>785</v>
      </c>
      <c r="Q880" s="137" t="s">
        <v>786</v>
      </c>
      <c r="R880" s="45" t="s">
        <v>41</v>
      </c>
      <c r="S880" s="138">
        <f>COUNTIFS('Raw Non-zero DMR Data'!$A:$A, A880, 'Raw Non-zero DMR Data'!$C:$C, U880, 'Raw Non-zero DMR Data'!$V:$V, V880)</f>
        <v>1</v>
      </c>
      <c r="T880" s="34">
        <f>SUMIFS('Raw Non-zero DMR Data'!$X:$X, 'Raw Non-zero DMR Data'!$A:$A, A880, 'Raw Non-zero DMR Data'!$C:$C, U880, 'Raw Non-zero DMR Data'!V:V, V880)</f>
        <v>9.8608799999999999</v>
      </c>
      <c r="U880" s="34" t="s">
        <v>784</v>
      </c>
      <c r="V880" s="34" t="s">
        <v>787</v>
      </c>
      <c r="W880" s="139">
        <v>120401040502</v>
      </c>
      <c r="X880" s="140" t="s">
        <v>788</v>
      </c>
    </row>
    <row r="881" spans="1:24" x14ac:dyDescent="0.35">
      <c r="A881" s="34">
        <v>2020</v>
      </c>
      <c r="B881" s="34" t="s">
        <v>146</v>
      </c>
      <c r="C881" s="34" t="s">
        <v>784</v>
      </c>
      <c r="D881" s="34" t="s">
        <v>94</v>
      </c>
      <c r="E881" s="34" t="s">
        <v>747</v>
      </c>
      <c r="F881" s="34" t="s">
        <v>95</v>
      </c>
      <c r="G881" s="34"/>
      <c r="H881" s="34">
        <v>29.718139000000001</v>
      </c>
      <c r="I881" s="34">
        <v>-95.268749999999997</v>
      </c>
      <c r="J881" s="34"/>
      <c r="K881" s="105">
        <v>110000460901</v>
      </c>
      <c r="L881" s="34">
        <v>2819</v>
      </c>
      <c r="M881" s="48" t="str">
        <f>VLOOKUP(L881, '2017 SIC to NAICS'!A:D, 2)</f>
        <v>Industrial Inorganic Chemicals, Nec</v>
      </c>
      <c r="N881" s="34">
        <f>VLOOKUP(L881,'2017 SIC to NAICS'!A:D,3)</f>
        <v>331313</v>
      </c>
      <c r="O881" s="34" t="str">
        <f>VLOOKUP(L881,'2017 SIC to NAICS'!A:D,4)</f>
        <v>Alumina Refining and Primary Aluminum
Production</v>
      </c>
      <c r="P881" s="36" t="s">
        <v>785</v>
      </c>
      <c r="Q881" s="137" t="s">
        <v>786</v>
      </c>
      <c r="R881" s="45" t="s">
        <v>41</v>
      </c>
      <c r="S881" s="138">
        <f>COUNTIFS('Raw Non-zero DMR Data'!$A:$A, A881, 'Raw Non-zero DMR Data'!$C:$C, U881, 'Raw Non-zero DMR Data'!$V:$V, V881)</f>
        <v>1</v>
      </c>
      <c r="T881" s="34">
        <f>SUMIFS('Raw Non-zero DMR Data'!$X:$X, 'Raw Non-zero DMR Data'!$A:$A, A881, 'Raw Non-zero DMR Data'!$C:$C, U881, 'Raw Non-zero DMR Data'!V:V, V881)</f>
        <v>9.9426000000000005</v>
      </c>
      <c r="U881" s="34" t="s">
        <v>784</v>
      </c>
      <c r="V881" s="34" t="s">
        <v>787</v>
      </c>
      <c r="W881" s="139">
        <v>120401040502</v>
      </c>
      <c r="X881" s="140" t="s">
        <v>788</v>
      </c>
    </row>
    <row r="882" spans="1:24" x14ac:dyDescent="0.35">
      <c r="A882" s="34">
        <v>2021</v>
      </c>
      <c r="B882" s="34" t="s">
        <v>146</v>
      </c>
      <c r="C882" s="34" t="s">
        <v>784</v>
      </c>
      <c r="D882" s="34" t="s">
        <v>94</v>
      </c>
      <c r="E882" s="34" t="s">
        <v>747</v>
      </c>
      <c r="F882" s="34" t="s">
        <v>95</v>
      </c>
      <c r="G882" s="34"/>
      <c r="H882" s="34">
        <v>29.718139000000001</v>
      </c>
      <c r="I882" s="34">
        <v>-95.268749999999997</v>
      </c>
      <c r="J882" s="34"/>
      <c r="K882" s="105">
        <v>110000460901</v>
      </c>
      <c r="L882" s="34">
        <v>2819</v>
      </c>
      <c r="M882" s="48" t="str">
        <f>VLOOKUP(L882, '2017 SIC to NAICS'!A:D, 2)</f>
        <v>Industrial Inorganic Chemicals, Nec</v>
      </c>
      <c r="N882" s="34">
        <f>VLOOKUP(L882,'2017 SIC to NAICS'!A:D,3)</f>
        <v>331313</v>
      </c>
      <c r="O882" s="34" t="str">
        <f>VLOOKUP(L882,'2017 SIC to NAICS'!A:D,4)</f>
        <v>Alumina Refining and Primary Aluminum
Production</v>
      </c>
      <c r="P882" s="36" t="s">
        <v>785</v>
      </c>
      <c r="Q882" s="137" t="s">
        <v>786</v>
      </c>
      <c r="R882" s="45" t="s">
        <v>41</v>
      </c>
      <c r="S882" s="138">
        <f>COUNTIFS('Raw Non-zero DMR Data'!$A:$A, A882, 'Raw Non-zero DMR Data'!$C:$C, U882, 'Raw Non-zero DMR Data'!$V:$V, V882)</f>
        <v>1</v>
      </c>
      <c r="T882" s="34">
        <f>SUMIFS('Raw Non-zero DMR Data'!$X:$X, 'Raw Non-zero DMR Data'!$A:$A, A882, 'Raw Non-zero DMR Data'!$C:$C, U882, 'Raw Non-zero DMR Data'!V:V, V882)</f>
        <v>10.77796</v>
      </c>
      <c r="U882" s="34" t="s">
        <v>784</v>
      </c>
      <c r="V882" s="34" t="s">
        <v>787</v>
      </c>
      <c r="W882" s="139">
        <v>120401040502</v>
      </c>
      <c r="X882" s="140" t="s">
        <v>788</v>
      </c>
    </row>
    <row r="883" spans="1:24" x14ac:dyDescent="0.35">
      <c r="A883" s="34">
        <v>2020</v>
      </c>
      <c r="B883" s="34" t="s">
        <v>420</v>
      </c>
      <c r="C883" s="34" t="s">
        <v>1686</v>
      </c>
      <c r="D883" s="34" t="s">
        <v>421</v>
      </c>
      <c r="E883" s="34" t="s">
        <v>1687</v>
      </c>
      <c r="F883" s="34" t="s">
        <v>95</v>
      </c>
      <c r="G883" s="34"/>
      <c r="H883" s="34">
        <v>29.726493000000001</v>
      </c>
      <c r="I883" s="34">
        <v>-95.089771999999996</v>
      </c>
      <c r="J883" s="34"/>
      <c r="K883" s="105">
        <v>110045651344</v>
      </c>
      <c r="L883" s="34">
        <v>2821</v>
      </c>
      <c r="M883" s="48" t="str">
        <f>VLOOKUP(L883, '2017 SIC to NAICS'!A:D, 2)</f>
        <v>Plastics Materials and Resins</v>
      </c>
      <c r="N883" s="34">
        <f>VLOOKUP(L883,'2017 SIC to NAICS'!A:D,3)</f>
        <v>325211</v>
      </c>
      <c r="O883" s="34" t="str">
        <f>VLOOKUP(L883,'2017 SIC to NAICS'!A:D,4)</f>
        <v>Plastics Material and Resin Manufacturing</v>
      </c>
      <c r="P883" s="36" t="s">
        <v>796</v>
      </c>
      <c r="Q883" s="137" t="s">
        <v>797</v>
      </c>
      <c r="R883" s="45" t="s">
        <v>41</v>
      </c>
      <c r="S883" s="138">
        <f>COUNTIFS('Raw Non-zero DMR Data'!$A:$A, A883, 'Raw Non-zero DMR Data'!$C:$C, U883, 'Raw Non-zero DMR Data'!$V:$V, V883)</f>
        <v>1</v>
      </c>
      <c r="T883" s="34">
        <f>SUMIFS('Raw Non-zero DMR Data'!$X:$X, 'Raw Non-zero DMR Data'!$A:$A, A883, 'Raw Non-zero DMR Data'!$C:$C, U883, 'Raw Non-zero DMR Data'!V:V, V883)</f>
        <v>0.16571</v>
      </c>
      <c r="U883" s="34" t="s">
        <v>1686</v>
      </c>
      <c r="V883" s="34" t="s">
        <v>1688</v>
      </c>
      <c r="W883" s="139">
        <v>120401040703</v>
      </c>
      <c r="X883" s="140" t="s">
        <v>1689</v>
      </c>
    </row>
    <row r="884" spans="1:24" x14ac:dyDescent="0.35">
      <c r="A884" s="34">
        <v>2019</v>
      </c>
      <c r="B884" s="34" t="s">
        <v>104</v>
      </c>
      <c r="C884" s="34" t="s">
        <v>1690</v>
      </c>
      <c r="D884" s="34" t="s">
        <v>105</v>
      </c>
      <c r="E884" s="34" t="s">
        <v>1691</v>
      </c>
      <c r="F884" s="34" t="s">
        <v>95</v>
      </c>
      <c r="G884" s="34"/>
      <c r="H884" s="34">
        <v>27.523085999999999</v>
      </c>
      <c r="I884" s="34">
        <v>-97.832245</v>
      </c>
      <c r="J884" s="34"/>
      <c r="K884" s="105">
        <v>110034247580</v>
      </c>
      <c r="L884" s="34">
        <v>4952</v>
      </c>
      <c r="M884" s="48" t="str">
        <f>VLOOKUP(L884, '2017 SIC to NAICS'!A:D, 2)</f>
        <v>Sewerage Systems</v>
      </c>
      <c r="N884" s="34">
        <f>VLOOKUP(L884,'2017 SIC to NAICS'!A:D,3)</f>
        <v>221320</v>
      </c>
      <c r="O884" s="34" t="str">
        <f>VLOOKUP(L884,'2017 SIC to NAICS'!A:D,4)</f>
        <v>Sewage Treatment Facilities</v>
      </c>
      <c r="P884" s="36" t="s">
        <v>742</v>
      </c>
      <c r="Q884" s="137" t="s">
        <v>743</v>
      </c>
      <c r="R884" s="45" t="s">
        <v>38</v>
      </c>
      <c r="S884" s="138">
        <f>COUNTIFS('Raw Non-zero DMR Data'!$A:$A, A884, 'Raw Non-zero DMR Data'!$C:$C, U884, 'Raw Non-zero DMR Data'!$V:$V, V884)</f>
        <v>1</v>
      </c>
      <c r="T884" s="34">
        <f>SUMIFS('Raw Non-zero DMR Data'!$X:$X, 'Raw Non-zero DMR Data'!$A:$A, A884, 'Raw Non-zero DMR Data'!$C:$C, U884, 'Raw Non-zero DMR Data'!V:V, V884)</f>
        <v>0.36670749504</v>
      </c>
      <c r="U884" s="34" t="s">
        <v>1690</v>
      </c>
      <c r="V884" s="34" t="s">
        <v>1692</v>
      </c>
      <c r="W884" s="139">
        <v>121102040409</v>
      </c>
      <c r="X884" s="140" t="s">
        <v>745</v>
      </c>
    </row>
    <row r="885" spans="1:24" x14ac:dyDescent="0.35">
      <c r="A885" s="34">
        <v>2020</v>
      </c>
      <c r="B885" s="34" t="s">
        <v>104</v>
      </c>
      <c r="C885" s="34" t="s">
        <v>1690</v>
      </c>
      <c r="D885" s="34" t="s">
        <v>105</v>
      </c>
      <c r="E885" s="34" t="s">
        <v>1691</v>
      </c>
      <c r="F885" s="34" t="s">
        <v>95</v>
      </c>
      <c r="G885" s="34"/>
      <c r="H885" s="34">
        <v>27.523085999999999</v>
      </c>
      <c r="I885" s="34">
        <v>-97.832245</v>
      </c>
      <c r="J885" s="34"/>
      <c r="K885" s="105">
        <v>110034247580</v>
      </c>
      <c r="L885" s="34">
        <v>4952</v>
      </c>
      <c r="M885" s="48" t="str">
        <f>VLOOKUP(L885, '2017 SIC to NAICS'!A:D, 2)</f>
        <v>Sewerage Systems</v>
      </c>
      <c r="N885" s="34">
        <f>VLOOKUP(L885,'2017 SIC to NAICS'!A:D,3)</f>
        <v>221320</v>
      </c>
      <c r="O885" s="34" t="str">
        <f>VLOOKUP(L885,'2017 SIC to NAICS'!A:D,4)</f>
        <v>Sewage Treatment Facilities</v>
      </c>
      <c r="P885" s="36" t="s">
        <v>742</v>
      </c>
      <c r="Q885" s="137" t="s">
        <v>743</v>
      </c>
      <c r="R885" s="45" t="s">
        <v>38</v>
      </c>
      <c r="S885" s="138">
        <f>COUNTIFS('Raw Non-zero DMR Data'!$A:$A, A885, 'Raw Non-zero DMR Data'!$C:$C, U885, 'Raw Non-zero DMR Data'!$V:$V, V885)</f>
        <v>1</v>
      </c>
      <c r="T885" s="34">
        <f>SUMIFS('Raw Non-zero DMR Data'!$X:$X, 'Raw Non-zero DMR Data'!$A:$A, A885, 'Raw Non-zero DMR Data'!$C:$C, U885, 'Raw Non-zero DMR Data'!V:V, V885)</f>
        <v>121.42451097999999</v>
      </c>
      <c r="U885" s="34" t="s">
        <v>1690</v>
      </c>
      <c r="V885" s="34" t="s">
        <v>1692</v>
      </c>
      <c r="W885" s="139">
        <v>121102040409</v>
      </c>
      <c r="X885" s="140" t="s">
        <v>745</v>
      </c>
    </row>
    <row r="886" spans="1:24" x14ac:dyDescent="0.35">
      <c r="A886" s="34">
        <v>2021</v>
      </c>
      <c r="B886" s="34" t="s">
        <v>104</v>
      </c>
      <c r="C886" s="34" t="s">
        <v>1690</v>
      </c>
      <c r="D886" s="34" t="s">
        <v>105</v>
      </c>
      <c r="E886" s="34" t="s">
        <v>1691</v>
      </c>
      <c r="F886" s="34" t="s">
        <v>95</v>
      </c>
      <c r="G886" s="34"/>
      <c r="H886" s="34">
        <v>27.523085999999999</v>
      </c>
      <c r="I886" s="34">
        <v>-97.832245</v>
      </c>
      <c r="J886" s="34"/>
      <c r="K886" s="105">
        <v>110034247580</v>
      </c>
      <c r="L886" s="34">
        <v>4952</v>
      </c>
      <c r="M886" s="48" t="str">
        <f>VLOOKUP(L886, '2017 SIC to NAICS'!A:D, 2)</f>
        <v>Sewerage Systems</v>
      </c>
      <c r="N886" s="34">
        <f>VLOOKUP(L886,'2017 SIC to NAICS'!A:D,3)</f>
        <v>221320</v>
      </c>
      <c r="O886" s="34" t="str">
        <f>VLOOKUP(L886,'2017 SIC to NAICS'!A:D,4)</f>
        <v>Sewage Treatment Facilities</v>
      </c>
      <c r="P886" s="36" t="s">
        <v>742</v>
      </c>
      <c r="Q886" s="137" t="s">
        <v>743</v>
      </c>
      <c r="R886" s="45" t="s">
        <v>38</v>
      </c>
      <c r="S886" s="138">
        <f>COUNTIFS('Raw Non-zero DMR Data'!$A:$A, A886, 'Raw Non-zero DMR Data'!$C:$C, U886, 'Raw Non-zero DMR Data'!$V:$V, V886)</f>
        <v>1</v>
      </c>
      <c r="T886" s="34">
        <f>SUMIFS('Raw Non-zero DMR Data'!$X:$X, 'Raw Non-zero DMR Data'!$A:$A, A886, 'Raw Non-zero DMR Data'!$C:$C, U886, 'Raw Non-zero DMR Data'!V:V, V886)</f>
        <v>0.43568291599999998</v>
      </c>
      <c r="U886" s="34" t="s">
        <v>1690</v>
      </c>
      <c r="V886" s="34" t="s">
        <v>1692</v>
      </c>
      <c r="W886" s="139">
        <v>121102040409</v>
      </c>
      <c r="X886" s="140" t="s">
        <v>745</v>
      </c>
    </row>
    <row r="887" spans="1:24" x14ac:dyDescent="0.35">
      <c r="A887" s="144">
        <v>2022</v>
      </c>
      <c r="B887" s="144" t="s">
        <v>104</v>
      </c>
      <c r="C887" s="34" t="s">
        <v>1690</v>
      </c>
      <c r="D887" s="144" t="s">
        <v>105</v>
      </c>
      <c r="E887" s="144" t="s">
        <v>1691</v>
      </c>
      <c r="F887" s="144" t="s">
        <v>95</v>
      </c>
      <c r="G887" s="144"/>
      <c r="H887" s="144">
        <v>27.523085999999999</v>
      </c>
      <c r="I887" s="144">
        <v>-97.832245</v>
      </c>
      <c r="J887" s="144"/>
      <c r="K887" s="145">
        <v>110034247580</v>
      </c>
      <c r="L887" s="144">
        <v>4952</v>
      </c>
      <c r="M887" s="146" t="str">
        <f>VLOOKUP(L887, '2017 SIC to NAICS'!A:D, 2)</f>
        <v>Sewerage Systems</v>
      </c>
      <c r="N887" s="144">
        <f>VLOOKUP(L887,'2017 SIC to NAICS'!A:D,3)</f>
        <v>221320</v>
      </c>
      <c r="O887" s="144" t="str">
        <f>VLOOKUP(L887,'2017 SIC to NAICS'!A:D,4)</f>
        <v>Sewage Treatment Facilities</v>
      </c>
      <c r="P887" s="147" t="s">
        <v>742</v>
      </c>
      <c r="Q887" s="148" t="s">
        <v>743</v>
      </c>
      <c r="R887" s="45" t="s">
        <v>38</v>
      </c>
      <c r="S887" s="138">
        <f>COUNTIFS('Raw Non-zero DMR Data'!$A:$A, A887, 'Raw Non-zero DMR Data'!$C:$C, U887, 'Raw Non-zero DMR Data'!$V:$V, V887)</f>
        <v>1</v>
      </c>
      <c r="T887" s="34">
        <f>SUMIFS('Raw Non-zero DMR Data'!$X:$X, 'Raw Non-zero DMR Data'!$A:$A, A887, 'Raw Non-zero DMR Data'!$C:$C, U887, 'Raw Non-zero DMR Data'!V:V, V887)</f>
        <v>26769.313364384001</v>
      </c>
      <c r="U887" s="144" t="s">
        <v>1690</v>
      </c>
      <c r="V887" s="144" t="s">
        <v>1692</v>
      </c>
      <c r="W887" s="149">
        <v>121102040409</v>
      </c>
      <c r="X887" s="150" t="s">
        <v>1693</v>
      </c>
    </row>
    <row r="888" spans="1:24" x14ac:dyDescent="0.35">
      <c r="A888" s="34">
        <v>2023</v>
      </c>
      <c r="B888" s="34" t="s">
        <v>104</v>
      </c>
      <c r="C888" s="34" t="s">
        <v>1690</v>
      </c>
      <c r="D888" s="34" t="s">
        <v>105</v>
      </c>
      <c r="E888" s="34" t="s">
        <v>1691</v>
      </c>
      <c r="F888" s="34" t="s">
        <v>95</v>
      </c>
      <c r="G888" s="34"/>
      <c r="H888" s="34">
        <v>27.523085999999999</v>
      </c>
      <c r="I888" s="34">
        <v>-97.832245</v>
      </c>
      <c r="J888" s="34"/>
      <c r="K888" s="105">
        <v>110034247580</v>
      </c>
      <c r="L888" s="34">
        <v>4952</v>
      </c>
      <c r="M888" s="48" t="str">
        <f>VLOOKUP(L888, '2017 SIC to NAICS'!A:D, 2)</f>
        <v>Sewerage Systems</v>
      </c>
      <c r="N888" s="34">
        <f>VLOOKUP(L888,'2017 SIC to NAICS'!A:D,3)</f>
        <v>221320</v>
      </c>
      <c r="O888" s="34" t="str">
        <f>VLOOKUP(L888,'2017 SIC to NAICS'!A:D,4)</f>
        <v>Sewage Treatment Facilities</v>
      </c>
      <c r="P888" s="36" t="s">
        <v>742</v>
      </c>
      <c r="Q888" s="137" t="s">
        <v>743</v>
      </c>
      <c r="R888" s="45" t="s">
        <v>38</v>
      </c>
      <c r="S888" s="138">
        <f>COUNTIFS('Raw Non-zero DMR Data'!$A:$A, A888, 'Raw Non-zero DMR Data'!$C:$C, U888, 'Raw Non-zero DMR Data'!$V:$V, V888)</f>
        <v>1</v>
      </c>
      <c r="T888" s="34">
        <f>SUMIFS('Raw Non-zero DMR Data'!$X:$X, 'Raw Non-zero DMR Data'!$A:$A, A888, 'Raw Non-zero DMR Data'!$C:$C, U888, 'Raw Non-zero DMR Data'!V:V, V888)</f>
        <v>0.36065533</v>
      </c>
      <c r="U888" s="34" t="s">
        <v>1690</v>
      </c>
      <c r="V888" s="34" t="s">
        <v>1692</v>
      </c>
      <c r="W888" s="139">
        <v>121102040409</v>
      </c>
      <c r="X888" s="140" t="s">
        <v>745</v>
      </c>
    </row>
    <row r="889" spans="1:24" x14ac:dyDescent="0.35">
      <c r="A889" s="34">
        <v>2020</v>
      </c>
      <c r="B889" s="34" t="s">
        <v>593</v>
      </c>
      <c r="C889" s="34" t="s">
        <v>1694</v>
      </c>
      <c r="D889" s="34" t="s">
        <v>594</v>
      </c>
      <c r="E889" s="34" t="s">
        <v>1695</v>
      </c>
      <c r="F889" s="34" t="s">
        <v>95</v>
      </c>
      <c r="G889" s="34"/>
      <c r="H889" s="34">
        <v>29.458400000000001</v>
      </c>
      <c r="I889" s="34">
        <v>-95.330399999999997</v>
      </c>
      <c r="J889" s="34"/>
      <c r="K889" s="105">
        <v>110000599479</v>
      </c>
      <c r="L889" s="34">
        <v>2869</v>
      </c>
      <c r="M889" s="48" t="str">
        <f>VLOOKUP(L889, '2017 SIC to NAICS'!A:D, 2)</f>
        <v>Industrial Organic Chemicals, Nec</v>
      </c>
      <c r="N889" s="34">
        <f>VLOOKUP(L889,'2017 SIC to NAICS'!A:D,3)</f>
        <v>325998</v>
      </c>
      <c r="O889" s="34" t="str">
        <f>VLOOKUP(L889,'2017 SIC to NAICS'!A:D,4)</f>
        <v>All Other Miscellaneous Chemical Product and Preparation Manufacturing</v>
      </c>
      <c r="P889" s="36" t="s">
        <v>748</v>
      </c>
      <c r="Q889" s="137" t="s">
        <v>749</v>
      </c>
      <c r="R889" s="45" t="s">
        <v>41</v>
      </c>
      <c r="S889" s="138">
        <f>COUNTIFS('Raw Non-zero DMR Data'!$A:$A, A889, 'Raw Non-zero DMR Data'!$C:$C, U889, 'Raw Non-zero DMR Data'!$V:$V, V889)</f>
        <v>1</v>
      </c>
      <c r="T889" s="34">
        <f>SUMIFS('Raw Non-zero DMR Data'!$X:$X, 'Raw Non-zero DMR Data'!$A:$A, A889, 'Raw Non-zero DMR Data'!$C:$C, U889, 'Raw Non-zero DMR Data'!V:V, V889)</f>
        <v>1.4913900000000001E-2</v>
      </c>
      <c r="U889" s="34" t="s">
        <v>1694</v>
      </c>
      <c r="V889" s="34" t="s">
        <v>1696</v>
      </c>
      <c r="W889" s="139">
        <v>120402040400</v>
      </c>
      <c r="X889" s="140" t="s">
        <v>751</v>
      </c>
    </row>
    <row r="890" spans="1:24" x14ac:dyDescent="0.35">
      <c r="A890" s="34">
        <v>2021</v>
      </c>
      <c r="B890" s="34" t="s">
        <v>593</v>
      </c>
      <c r="C890" s="34" t="s">
        <v>1694</v>
      </c>
      <c r="D890" s="34" t="s">
        <v>594</v>
      </c>
      <c r="E890" s="34" t="s">
        <v>1695</v>
      </c>
      <c r="F890" s="34" t="s">
        <v>95</v>
      </c>
      <c r="G890" s="34"/>
      <c r="H890" s="34">
        <v>29.458400000000001</v>
      </c>
      <c r="I890" s="34">
        <v>-95.330399999999997</v>
      </c>
      <c r="J890" s="34"/>
      <c r="K890" s="105">
        <v>110000599479</v>
      </c>
      <c r="L890" s="34">
        <v>2869</v>
      </c>
      <c r="M890" s="48" t="str">
        <f>VLOOKUP(L890, '2017 SIC to NAICS'!A:D, 2)</f>
        <v>Industrial Organic Chemicals, Nec</v>
      </c>
      <c r="N890" s="34">
        <f>VLOOKUP(L890,'2017 SIC to NAICS'!A:D,3)</f>
        <v>325998</v>
      </c>
      <c r="O890" s="34" t="str">
        <f>VLOOKUP(L890,'2017 SIC to NAICS'!A:D,4)</f>
        <v>All Other Miscellaneous Chemical Product and Preparation Manufacturing</v>
      </c>
      <c r="P890" s="36" t="s">
        <v>748</v>
      </c>
      <c r="Q890" s="137" t="s">
        <v>749</v>
      </c>
      <c r="R890" s="45" t="s">
        <v>41</v>
      </c>
      <c r="S890" s="138">
        <f>COUNTIFS('Raw Non-zero DMR Data'!$A:$A, A890, 'Raw Non-zero DMR Data'!$C:$C, U890, 'Raw Non-zero DMR Data'!$V:$V, V890)</f>
        <v>1</v>
      </c>
      <c r="T890" s="34">
        <f>SUMIFS('Raw Non-zero DMR Data'!$X:$X, 'Raw Non-zero DMR Data'!$A:$A, A890, 'Raw Non-zero DMR Data'!$C:$C, U890, 'Raw Non-zero DMR Data'!V:V, V890)</f>
        <v>1.4913900000000001E-2</v>
      </c>
      <c r="U890" s="34" t="s">
        <v>1694</v>
      </c>
      <c r="V890" s="34" t="s">
        <v>1696</v>
      </c>
      <c r="W890" s="139">
        <v>120402040400</v>
      </c>
      <c r="X890" s="140" t="s">
        <v>751</v>
      </c>
    </row>
    <row r="891" spans="1:24" x14ac:dyDescent="0.35">
      <c r="A891" s="34">
        <v>2022</v>
      </c>
      <c r="B891" s="34" t="s">
        <v>593</v>
      </c>
      <c r="C891" s="34" t="s">
        <v>1694</v>
      </c>
      <c r="D891" s="34" t="s">
        <v>594</v>
      </c>
      <c r="E891" s="34" t="s">
        <v>1695</v>
      </c>
      <c r="F891" s="34" t="s">
        <v>95</v>
      </c>
      <c r="G891" s="34"/>
      <c r="H891" s="34">
        <v>29.458400000000001</v>
      </c>
      <c r="I891" s="34">
        <v>-95.330399999999997</v>
      </c>
      <c r="J891" s="34"/>
      <c r="K891" s="105">
        <v>110000599479</v>
      </c>
      <c r="L891" s="34">
        <v>2869</v>
      </c>
      <c r="M891" s="48" t="str">
        <f>VLOOKUP(L891, '2017 SIC to NAICS'!A:D, 2)</f>
        <v>Industrial Organic Chemicals, Nec</v>
      </c>
      <c r="N891" s="34">
        <f>VLOOKUP(L891,'2017 SIC to NAICS'!A:D,3)</f>
        <v>325998</v>
      </c>
      <c r="O891" s="34" t="str">
        <f>VLOOKUP(L891,'2017 SIC to NAICS'!A:D,4)</f>
        <v>All Other Miscellaneous Chemical Product and Preparation Manufacturing</v>
      </c>
      <c r="P891" s="36" t="s">
        <v>748</v>
      </c>
      <c r="Q891" s="137" t="s">
        <v>749</v>
      </c>
      <c r="R891" s="45" t="s">
        <v>41</v>
      </c>
      <c r="S891" s="138">
        <f>COUNTIFS('Raw Non-zero DMR Data'!$A:$A, A891, 'Raw Non-zero DMR Data'!$C:$C, U891, 'Raw Non-zero DMR Data'!$V:$V, V891)</f>
        <v>1</v>
      </c>
      <c r="T891" s="34">
        <f>SUMIFS('Raw Non-zero DMR Data'!$X:$X, 'Raw Non-zero DMR Data'!$A:$A, A891, 'Raw Non-zero DMR Data'!$C:$C, U891, 'Raw Non-zero DMR Data'!V:V, V891)</f>
        <v>1.4913900000000001E-2</v>
      </c>
      <c r="U891" s="34" t="s">
        <v>1694</v>
      </c>
      <c r="V891" s="34" t="s">
        <v>1696</v>
      </c>
      <c r="W891" s="139">
        <v>120402040400</v>
      </c>
      <c r="X891" s="140" t="s">
        <v>751</v>
      </c>
    </row>
    <row r="892" spans="1:24" x14ac:dyDescent="0.35">
      <c r="A892" s="34">
        <v>2023</v>
      </c>
      <c r="B892" s="34" t="s">
        <v>593</v>
      </c>
      <c r="C892" s="34" t="s">
        <v>1694</v>
      </c>
      <c r="D892" s="34" t="s">
        <v>594</v>
      </c>
      <c r="E892" s="34" t="s">
        <v>1695</v>
      </c>
      <c r="F892" s="34" t="s">
        <v>95</v>
      </c>
      <c r="G892" s="34"/>
      <c r="H892" s="34">
        <v>29.458400000000001</v>
      </c>
      <c r="I892" s="34">
        <v>-95.330399999999997</v>
      </c>
      <c r="J892" s="34"/>
      <c r="K892" s="105">
        <v>110000599479</v>
      </c>
      <c r="L892" s="34">
        <v>2869</v>
      </c>
      <c r="M892" s="48" t="str">
        <f>VLOOKUP(L892, '2017 SIC to NAICS'!A:D, 2)</f>
        <v>Industrial Organic Chemicals, Nec</v>
      </c>
      <c r="N892" s="34">
        <f>VLOOKUP(L892,'2017 SIC to NAICS'!A:D,3)</f>
        <v>325998</v>
      </c>
      <c r="O892" s="34" t="str">
        <f>VLOOKUP(L892,'2017 SIC to NAICS'!A:D,4)</f>
        <v>All Other Miscellaneous Chemical Product and Preparation Manufacturing</v>
      </c>
      <c r="P892" s="36" t="s">
        <v>748</v>
      </c>
      <c r="Q892" s="137" t="s">
        <v>749</v>
      </c>
      <c r="R892" s="45" t="s">
        <v>41</v>
      </c>
      <c r="S892" s="138">
        <f>COUNTIFS('Raw Non-zero DMR Data'!$A:$A, A892, 'Raw Non-zero DMR Data'!$C:$C, U892, 'Raw Non-zero DMR Data'!$V:$V, V892)</f>
        <v>1</v>
      </c>
      <c r="T892" s="34">
        <f>SUMIFS('Raw Non-zero DMR Data'!$X:$X, 'Raw Non-zero DMR Data'!$A:$A, A892, 'Raw Non-zero DMR Data'!$C:$C, U892, 'Raw Non-zero DMR Data'!V:V, V892)</f>
        <v>1.4913900000000001E-2</v>
      </c>
      <c r="U892" s="34" t="s">
        <v>1694</v>
      </c>
      <c r="V892" s="34" t="s">
        <v>1696</v>
      </c>
      <c r="W892" s="139">
        <v>120402040400</v>
      </c>
      <c r="X892" s="140" t="s">
        <v>751</v>
      </c>
    </row>
    <row r="893" spans="1:24" x14ac:dyDescent="0.35">
      <c r="A893" s="34">
        <v>2020</v>
      </c>
      <c r="B893" s="34" t="s">
        <v>453</v>
      </c>
      <c r="C893" s="34" t="s">
        <v>1697</v>
      </c>
      <c r="D893" s="34" t="s">
        <v>421</v>
      </c>
      <c r="E893" s="34" t="s">
        <v>747</v>
      </c>
      <c r="F893" s="34" t="s">
        <v>95</v>
      </c>
      <c r="G893" s="34"/>
      <c r="H893" s="34">
        <v>29.704027</v>
      </c>
      <c r="I893" s="34">
        <v>-95.079931999999999</v>
      </c>
      <c r="J893" s="34"/>
      <c r="K893" s="105">
        <v>110000463631</v>
      </c>
      <c r="L893" s="34">
        <v>2821</v>
      </c>
      <c r="M893" s="48" t="str">
        <f>VLOOKUP(L893, '2017 SIC to NAICS'!A:D, 2)</f>
        <v>Plastics Materials and Resins</v>
      </c>
      <c r="N893" s="34">
        <f>VLOOKUP(L893,'2017 SIC to NAICS'!A:D,3)</f>
        <v>325211</v>
      </c>
      <c r="O893" s="34" t="str">
        <f>VLOOKUP(L893,'2017 SIC to NAICS'!A:D,4)</f>
        <v>Plastics Material and Resin Manufacturing</v>
      </c>
      <c r="P893" s="36" t="s">
        <v>796</v>
      </c>
      <c r="Q893" s="137" t="s">
        <v>797</v>
      </c>
      <c r="R893" s="45" t="s">
        <v>41</v>
      </c>
      <c r="S893" s="138">
        <f>COUNTIFS('Raw Non-zero DMR Data'!$A:$A, A893, 'Raw Non-zero DMR Data'!$C:$C, U893, 'Raw Non-zero DMR Data'!$V:$V, V893)</f>
        <v>1</v>
      </c>
      <c r="T893" s="34">
        <f>SUMIFS('Raw Non-zero DMR Data'!$X:$X, 'Raw Non-zero DMR Data'!$A:$A, A893, 'Raw Non-zero DMR Data'!$C:$C, U893, 'Raw Non-zero DMR Data'!V:V, V893)</f>
        <v>0.1110257</v>
      </c>
      <c r="U893" s="34" t="s">
        <v>1697</v>
      </c>
      <c r="V893" s="34" t="s">
        <v>750</v>
      </c>
      <c r="W893" s="139">
        <v>120401040706</v>
      </c>
      <c r="X893" s="140" t="s">
        <v>751</v>
      </c>
    </row>
    <row r="894" spans="1:24" x14ac:dyDescent="0.35">
      <c r="A894" s="34">
        <v>2019</v>
      </c>
      <c r="B894" s="34" t="s">
        <v>649</v>
      </c>
      <c r="C894" s="34" t="s">
        <v>1698</v>
      </c>
      <c r="D894" s="34" t="s">
        <v>421</v>
      </c>
      <c r="E894" s="34" t="s">
        <v>747</v>
      </c>
      <c r="F894" s="34" t="s">
        <v>95</v>
      </c>
      <c r="G894" s="34"/>
      <c r="H894" s="34">
        <v>29.726065999999999</v>
      </c>
      <c r="I894" s="34">
        <v>-95.079583999999997</v>
      </c>
      <c r="J894" s="34"/>
      <c r="K894" s="105">
        <v>110000463677</v>
      </c>
      <c r="L894" s="34">
        <v>2821</v>
      </c>
      <c r="M894" s="48" t="str">
        <f>VLOOKUP(L894, '2017 SIC to NAICS'!A:D, 2)</f>
        <v>Plastics Materials and Resins</v>
      </c>
      <c r="N894" s="34">
        <f>VLOOKUP(L894,'2017 SIC to NAICS'!A:D,3)</f>
        <v>325211</v>
      </c>
      <c r="O894" s="34" t="str">
        <f>VLOOKUP(L894,'2017 SIC to NAICS'!A:D,4)</f>
        <v>Plastics Material and Resin Manufacturing</v>
      </c>
      <c r="P894" s="36" t="s">
        <v>796</v>
      </c>
      <c r="Q894" s="137" t="s">
        <v>797</v>
      </c>
      <c r="R894" s="45" t="s">
        <v>41</v>
      </c>
      <c r="S894" s="138">
        <f>COUNTIFS('Raw Non-zero DMR Data'!$A:$A, A894, 'Raw Non-zero DMR Data'!$C:$C, U894, 'Raw Non-zero DMR Data'!$V:$V, V894)</f>
        <v>1</v>
      </c>
      <c r="T894" s="34">
        <f>SUMIFS('Raw Non-zero DMR Data'!$X:$X, 'Raw Non-zero DMR Data'!$A:$A, A894, 'Raw Non-zero DMR Data'!$C:$C, U894, 'Raw Non-zero DMR Data'!V:V, V894)</f>
        <v>1.6405289999999999E-3</v>
      </c>
      <c r="U894" s="34" t="s">
        <v>1698</v>
      </c>
      <c r="V894" s="34" t="s">
        <v>750</v>
      </c>
      <c r="W894" s="139">
        <v>120401040706</v>
      </c>
      <c r="X894" s="140" t="s">
        <v>1699</v>
      </c>
    </row>
    <row r="895" spans="1:24" x14ac:dyDescent="0.35">
      <c r="A895" s="34">
        <v>2020</v>
      </c>
      <c r="B895" s="34" t="s">
        <v>649</v>
      </c>
      <c r="C895" s="34" t="s">
        <v>1698</v>
      </c>
      <c r="D895" s="34" t="s">
        <v>421</v>
      </c>
      <c r="E895" s="34" t="s">
        <v>747</v>
      </c>
      <c r="F895" s="34" t="s">
        <v>95</v>
      </c>
      <c r="G895" s="34"/>
      <c r="H895" s="34">
        <v>29.726065999999999</v>
      </c>
      <c r="I895" s="34">
        <v>-95.079583999999997</v>
      </c>
      <c r="J895" s="34"/>
      <c r="K895" s="105">
        <v>110000463677</v>
      </c>
      <c r="L895" s="34">
        <v>2821</v>
      </c>
      <c r="M895" s="48" t="str">
        <f>VLOOKUP(L895, '2017 SIC to NAICS'!A:D, 2)</f>
        <v>Plastics Materials and Resins</v>
      </c>
      <c r="N895" s="34">
        <f>VLOOKUP(L895,'2017 SIC to NAICS'!A:D,3)</f>
        <v>325211</v>
      </c>
      <c r="O895" s="34" t="str">
        <f>VLOOKUP(L895,'2017 SIC to NAICS'!A:D,4)</f>
        <v>Plastics Material and Resin Manufacturing</v>
      </c>
      <c r="P895" s="36" t="s">
        <v>796</v>
      </c>
      <c r="Q895" s="137" t="s">
        <v>797</v>
      </c>
      <c r="R895" s="45" t="s">
        <v>41</v>
      </c>
      <c r="S895" s="138">
        <f>COUNTIFS('Raw Non-zero DMR Data'!$A:$A, A895, 'Raw Non-zero DMR Data'!$C:$C, U895, 'Raw Non-zero DMR Data'!$V:$V, V895)</f>
        <v>1</v>
      </c>
      <c r="T895" s="34">
        <f>SUMIFS('Raw Non-zero DMR Data'!$X:$X, 'Raw Non-zero DMR Data'!$A:$A, A895, 'Raw Non-zero DMR Data'!$C:$C, U895, 'Raw Non-zero DMR Data'!V:V, V895)</f>
        <v>2.6182179999999998E-3</v>
      </c>
      <c r="U895" s="34" t="s">
        <v>1698</v>
      </c>
      <c r="V895" s="34" t="s">
        <v>750</v>
      </c>
      <c r="W895" s="139">
        <v>120401040706</v>
      </c>
      <c r="X895" s="140" t="s">
        <v>1699</v>
      </c>
    </row>
    <row r="896" spans="1:24" x14ac:dyDescent="0.35">
      <c r="A896" s="34">
        <v>2021</v>
      </c>
      <c r="B896" s="34" t="s">
        <v>649</v>
      </c>
      <c r="C896" s="34" t="s">
        <v>1698</v>
      </c>
      <c r="D896" s="34" t="s">
        <v>421</v>
      </c>
      <c r="E896" s="34" t="s">
        <v>747</v>
      </c>
      <c r="F896" s="34" t="s">
        <v>95</v>
      </c>
      <c r="G896" s="34"/>
      <c r="H896" s="34">
        <v>29.726065999999999</v>
      </c>
      <c r="I896" s="34">
        <v>-95.079583999999997</v>
      </c>
      <c r="J896" s="34"/>
      <c r="K896" s="105">
        <v>110000463677</v>
      </c>
      <c r="L896" s="34">
        <v>2821</v>
      </c>
      <c r="M896" s="48" t="str">
        <f>VLOOKUP(L896, '2017 SIC to NAICS'!A:D, 2)</f>
        <v>Plastics Materials and Resins</v>
      </c>
      <c r="N896" s="34">
        <f>VLOOKUP(L896,'2017 SIC to NAICS'!A:D,3)</f>
        <v>325211</v>
      </c>
      <c r="O896" s="34" t="str">
        <f>VLOOKUP(L896,'2017 SIC to NAICS'!A:D,4)</f>
        <v>Plastics Material and Resin Manufacturing</v>
      </c>
      <c r="P896" s="36" t="s">
        <v>796</v>
      </c>
      <c r="Q896" s="137" t="s">
        <v>797</v>
      </c>
      <c r="R896" s="45" t="s">
        <v>41</v>
      </c>
      <c r="S896" s="138">
        <f>COUNTIFS('Raw Non-zero DMR Data'!$A:$A, A896, 'Raw Non-zero DMR Data'!$C:$C, U896, 'Raw Non-zero DMR Data'!$V:$V, V896)</f>
        <v>1</v>
      </c>
      <c r="T896" s="34">
        <f>SUMIFS('Raw Non-zero DMR Data'!$X:$X, 'Raw Non-zero DMR Data'!$A:$A, A896, 'Raw Non-zero DMR Data'!$C:$C, U896, 'Raw Non-zero DMR Data'!V:V, V896)</f>
        <v>3.0490640000000002E-3</v>
      </c>
      <c r="U896" s="34" t="s">
        <v>1698</v>
      </c>
      <c r="V896" s="34" t="s">
        <v>750</v>
      </c>
      <c r="W896" s="139">
        <v>120401040706</v>
      </c>
      <c r="X896" s="140" t="s">
        <v>1699</v>
      </c>
    </row>
    <row r="897" spans="1:24" x14ac:dyDescent="0.35">
      <c r="A897" s="34">
        <v>2022</v>
      </c>
      <c r="B897" s="34" t="s">
        <v>649</v>
      </c>
      <c r="C897" s="34" t="s">
        <v>1698</v>
      </c>
      <c r="D897" s="34" t="s">
        <v>421</v>
      </c>
      <c r="E897" s="34" t="s">
        <v>747</v>
      </c>
      <c r="F897" s="34" t="s">
        <v>95</v>
      </c>
      <c r="G897" s="34"/>
      <c r="H897" s="34">
        <v>29.726065999999999</v>
      </c>
      <c r="I897" s="34">
        <v>-95.079583999999997</v>
      </c>
      <c r="J897" s="34"/>
      <c r="K897" s="105">
        <v>110000463677</v>
      </c>
      <c r="L897" s="34">
        <v>2821</v>
      </c>
      <c r="M897" s="48" t="str">
        <f>VLOOKUP(L897, '2017 SIC to NAICS'!A:D, 2)</f>
        <v>Plastics Materials and Resins</v>
      </c>
      <c r="N897" s="34">
        <f>VLOOKUP(L897,'2017 SIC to NAICS'!A:D,3)</f>
        <v>325211</v>
      </c>
      <c r="O897" s="34" t="str">
        <f>VLOOKUP(L897,'2017 SIC to NAICS'!A:D,4)</f>
        <v>Plastics Material and Resin Manufacturing</v>
      </c>
      <c r="P897" s="36" t="s">
        <v>796</v>
      </c>
      <c r="Q897" s="137" t="s">
        <v>797</v>
      </c>
      <c r="R897" s="45" t="s">
        <v>41</v>
      </c>
      <c r="S897" s="138">
        <f>COUNTIFS('Raw Non-zero DMR Data'!$A:$A, A897, 'Raw Non-zero DMR Data'!$C:$C, U897, 'Raw Non-zero DMR Data'!$V:$V, V897)</f>
        <v>1</v>
      </c>
      <c r="T897" s="34">
        <f>SUMIFS('Raw Non-zero DMR Data'!$X:$X, 'Raw Non-zero DMR Data'!$A:$A, A897, 'Raw Non-zero DMR Data'!$C:$C, U897, 'Raw Non-zero DMR Data'!V:V, V897)</f>
        <v>3.9438980000000004E-3</v>
      </c>
      <c r="U897" s="34" t="s">
        <v>1698</v>
      </c>
      <c r="V897" s="34" t="s">
        <v>750</v>
      </c>
      <c r="W897" s="139">
        <v>120401040706</v>
      </c>
      <c r="X897" s="140" t="s">
        <v>1699</v>
      </c>
    </row>
    <row r="898" spans="1:24" x14ac:dyDescent="0.35">
      <c r="A898" s="34">
        <v>2023</v>
      </c>
      <c r="B898" s="34" t="s">
        <v>649</v>
      </c>
      <c r="C898" s="34" t="s">
        <v>1698</v>
      </c>
      <c r="D898" s="34" t="s">
        <v>421</v>
      </c>
      <c r="E898" s="34" t="s">
        <v>747</v>
      </c>
      <c r="F898" s="34" t="s">
        <v>95</v>
      </c>
      <c r="G898" s="34"/>
      <c r="H898" s="34">
        <v>29.726065999999999</v>
      </c>
      <c r="I898" s="34">
        <v>-95.079583999999997</v>
      </c>
      <c r="J898" s="34"/>
      <c r="K898" s="105">
        <v>110000463677</v>
      </c>
      <c r="L898" s="34">
        <v>2821</v>
      </c>
      <c r="M898" s="48" t="str">
        <f>VLOOKUP(L898, '2017 SIC to NAICS'!A:D, 2)</f>
        <v>Plastics Materials and Resins</v>
      </c>
      <c r="N898" s="34">
        <f>VLOOKUP(L898,'2017 SIC to NAICS'!A:D,3)</f>
        <v>325211</v>
      </c>
      <c r="O898" s="34" t="str">
        <f>VLOOKUP(L898,'2017 SIC to NAICS'!A:D,4)</f>
        <v>Plastics Material and Resin Manufacturing</v>
      </c>
      <c r="P898" s="36" t="s">
        <v>796</v>
      </c>
      <c r="Q898" s="137" t="s">
        <v>797</v>
      </c>
      <c r="R898" s="45" t="s">
        <v>41</v>
      </c>
      <c r="S898" s="138">
        <f>COUNTIFS('Raw Non-zero DMR Data'!$A:$A, A898, 'Raw Non-zero DMR Data'!$C:$C, U898, 'Raw Non-zero DMR Data'!$V:$V, V898)</f>
        <v>1</v>
      </c>
      <c r="T898" s="34">
        <f>SUMIFS('Raw Non-zero DMR Data'!$X:$X, 'Raw Non-zero DMR Data'!$A:$A, A898, 'Raw Non-zero DMR Data'!$C:$C, U898, 'Raw Non-zero DMR Data'!V:V, V898)</f>
        <v>3.4964810000000001E-3</v>
      </c>
      <c r="U898" s="34" t="s">
        <v>1698</v>
      </c>
      <c r="V898" s="34" t="s">
        <v>750</v>
      </c>
      <c r="W898" s="139">
        <v>120401040706</v>
      </c>
      <c r="X898" s="140" t="s">
        <v>1699</v>
      </c>
    </row>
    <row r="899" spans="1:24" x14ac:dyDescent="0.35">
      <c r="A899" s="34">
        <v>2020</v>
      </c>
      <c r="B899" s="34" t="s">
        <v>367</v>
      </c>
      <c r="C899" s="34" t="s">
        <v>1700</v>
      </c>
      <c r="D899" s="34" t="s">
        <v>94</v>
      </c>
      <c r="E899" s="34" t="s">
        <v>747</v>
      </c>
      <c r="F899" s="34" t="s">
        <v>95</v>
      </c>
      <c r="G899" s="34"/>
      <c r="H899" s="34">
        <v>29.75487</v>
      </c>
      <c r="I899" s="34">
        <v>-95.103269999999995</v>
      </c>
      <c r="J899" s="34"/>
      <c r="K899" s="105">
        <v>110000460983</v>
      </c>
      <c r="L899" s="34">
        <v>2869</v>
      </c>
      <c r="M899" s="48" t="str">
        <f>VLOOKUP(L899, '2017 SIC to NAICS'!A:D, 2)</f>
        <v>Industrial Organic Chemicals, Nec</v>
      </c>
      <c r="N899" s="34">
        <f>VLOOKUP(L899,'2017 SIC to NAICS'!A:D,3)</f>
        <v>325998</v>
      </c>
      <c r="O899" s="34" t="str">
        <f>VLOOKUP(L899,'2017 SIC to NAICS'!A:D,4)</f>
        <v>All Other Miscellaneous Chemical Product and Preparation Manufacturing</v>
      </c>
      <c r="P899" s="36" t="s">
        <v>748</v>
      </c>
      <c r="Q899" s="137" t="s">
        <v>749</v>
      </c>
      <c r="R899" s="45" t="s">
        <v>41</v>
      </c>
      <c r="S899" s="138">
        <f>COUNTIFS('Raw Non-zero DMR Data'!$A:$A, A899, 'Raw Non-zero DMR Data'!$C:$C, U899, 'Raw Non-zero DMR Data'!$V:$V, V899)</f>
        <v>1</v>
      </c>
      <c r="T899" s="34">
        <f>SUMIFS('Raw Non-zero DMR Data'!$X:$X, 'Raw Non-zero DMR Data'!$A:$A, A899, 'Raw Non-zero DMR Data'!$C:$C, U899, 'Raw Non-zero DMR Data'!V:V, V899)</f>
        <v>0.1110257</v>
      </c>
      <c r="U899" s="34" t="s">
        <v>1700</v>
      </c>
      <c r="V899" s="34" t="s">
        <v>1701</v>
      </c>
      <c r="W899" s="139">
        <v>120401040702</v>
      </c>
      <c r="X899" s="140" t="s">
        <v>751</v>
      </c>
    </row>
    <row r="900" spans="1:24" x14ac:dyDescent="0.35">
      <c r="A900" s="34">
        <v>2021</v>
      </c>
      <c r="B900" s="34" t="s">
        <v>367</v>
      </c>
      <c r="C900" s="34" t="s">
        <v>1700</v>
      </c>
      <c r="D900" s="34" t="s">
        <v>94</v>
      </c>
      <c r="E900" s="34" t="s">
        <v>747</v>
      </c>
      <c r="F900" s="34" t="s">
        <v>95</v>
      </c>
      <c r="G900" s="34"/>
      <c r="H900" s="34">
        <v>29.75487</v>
      </c>
      <c r="I900" s="34">
        <v>-95.103269999999995</v>
      </c>
      <c r="J900" s="34"/>
      <c r="K900" s="105">
        <v>110000460983</v>
      </c>
      <c r="L900" s="34">
        <v>2869</v>
      </c>
      <c r="M900" s="48" t="str">
        <f>VLOOKUP(L900, '2017 SIC to NAICS'!A:D, 2)</f>
        <v>Industrial Organic Chemicals, Nec</v>
      </c>
      <c r="N900" s="34">
        <f>VLOOKUP(L900,'2017 SIC to NAICS'!A:D,3)</f>
        <v>325998</v>
      </c>
      <c r="O900" s="34" t="str">
        <f>VLOOKUP(L900,'2017 SIC to NAICS'!A:D,4)</f>
        <v>All Other Miscellaneous Chemical Product and Preparation Manufacturing</v>
      </c>
      <c r="P900" s="36" t="s">
        <v>748</v>
      </c>
      <c r="Q900" s="137" t="s">
        <v>749</v>
      </c>
      <c r="R900" s="45" t="s">
        <v>41</v>
      </c>
      <c r="S900" s="138">
        <f>COUNTIFS('Raw Non-zero DMR Data'!$A:$A, A900, 'Raw Non-zero DMR Data'!$C:$C, U900, 'Raw Non-zero DMR Data'!$V:$V, V900)</f>
        <v>1</v>
      </c>
      <c r="T900" s="34">
        <f>SUMIFS('Raw Non-zero DMR Data'!$X:$X, 'Raw Non-zero DMR Data'!$A:$A, A900, 'Raw Non-zero DMR Data'!$C:$C, U900, 'Raw Non-zero DMR Data'!V:V, V900)</f>
        <v>0.37450460000000002</v>
      </c>
      <c r="U900" s="34" t="s">
        <v>1700</v>
      </c>
      <c r="V900" s="34" t="s">
        <v>1701</v>
      </c>
      <c r="W900" s="139">
        <v>120401040702</v>
      </c>
      <c r="X900" s="140" t="s">
        <v>751</v>
      </c>
    </row>
    <row r="901" spans="1:24" x14ac:dyDescent="0.35">
      <c r="A901" s="34">
        <v>2022</v>
      </c>
      <c r="B901" s="34" t="s">
        <v>367</v>
      </c>
      <c r="C901" s="34" t="s">
        <v>1700</v>
      </c>
      <c r="D901" s="34" t="s">
        <v>94</v>
      </c>
      <c r="E901" s="34" t="s">
        <v>747</v>
      </c>
      <c r="F901" s="34" t="s">
        <v>95</v>
      </c>
      <c r="G901" s="34"/>
      <c r="H901" s="34">
        <v>29.75487</v>
      </c>
      <c r="I901" s="34">
        <v>-95.103269999999995</v>
      </c>
      <c r="J901" s="34"/>
      <c r="K901" s="105">
        <v>110000460983</v>
      </c>
      <c r="L901" s="34">
        <v>2869</v>
      </c>
      <c r="M901" s="48" t="str">
        <f>VLOOKUP(L901, '2017 SIC to NAICS'!A:D, 2)</f>
        <v>Industrial Organic Chemicals, Nec</v>
      </c>
      <c r="N901" s="34">
        <f>VLOOKUP(L901,'2017 SIC to NAICS'!A:D,3)</f>
        <v>325998</v>
      </c>
      <c r="O901" s="34" t="str">
        <f>VLOOKUP(L901,'2017 SIC to NAICS'!A:D,4)</f>
        <v>All Other Miscellaneous Chemical Product and Preparation Manufacturing</v>
      </c>
      <c r="P901" s="36" t="s">
        <v>748</v>
      </c>
      <c r="Q901" s="137" t="s">
        <v>749</v>
      </c>
      <c r="R901" s="45" t="s">
        <v>41</v>
      </c>
      <c r="S901" s="138">
        <f>COUNTIFS('Raw Non-zero DMR Data'!$A:$A, A901, 'Raw Non-zero DMR Data'!$C:$C, U901, 'Raw Non-zero DMR Data'!$V:$V, V901)</f>
        <v>1</v>
      </c>
      <c r="T901" s="34">
        <f>SUMIFS('Raw Non-zero DMR Data'!$X:$X, 'Raw Non-zero DMR Data'!$A:$A, A901, 'Raw Non-zero DMR Data'!$C:$C, U901, 'Raw Non-zero DMR Data'!V:V, V901)</f>
        <v>0.16571</v>
      </c>
      <c r="U901" s="34" t="s">
        <v>1700</v>
      </c>
      <c r="V901" s="34" t="s">
        <v>1701</v>
      </c>
      <c r="W901" s="139">
        <v>120401040702</v>
      </c>
      <c r="X901" s="140" t="s">
        <v>751</v>
      </c>
    </row>
    <row r="902" spans="1:24" x14ac:dyDescent="0.35">
      <c r="A902" s="34">
        <v>2023</v>
      </c>
      <c r="B902" s="34" t="s">
        <v>367</v>
      </c>
      <c r="C902" s="34" t="s">
        <v>1700</v>
      </c>
      <c r="D902" s="34" t="s">
        <v>94</v>
      </c>
      <c r="E902" s="34" t="s">
        <v>747</v>
      </c>
      <c r="F902" s="34" t="s">
        <v>95</v>
      </c>
      <c r="G902" s="34"/>
      <c r="H902" s="34">
        <v>29.75487</v>
      </c>
      <c r="I902" s="34">
        <v>-95.103269999999995</v>
      </c>
      <c r="J902" s="34"/>
      <c r="K902" s="105">
        <v>110000460983</v>
      </c>
      <c r="L902" s="34">
        <v>2869</v>
      </c>
      <c r="M902" s="48" t="str">
        <f>VLOOKUP(L902, '2017 SIC to NAICS'!A:D, 2)</f>
        <v>Industrial Organic Chemicals, Nec</v>
      </c>
      <c r="N902" s="34">
        <f>VLOOKUP(L902,'2017 SIC to NAICS'!A:D,3)</f>
        <v>325998</v>
      </c>
      <c r="O902" s="34" t="str">
        <f>VLOOKUP(L902,'2017 SIC to NAICS'!A:D,4)</f>
        <v>All Other Miscellaneous Chemical Product and Preparation Manufacturing</v>
      </c>
      <c r="P902" s="36" t="s">
        <v>748</v>
      </c>
      <c r="Q902" s="137" t="s">
        <v>749</v>
      </c>
      <c r="R902" s="45" t="s">
        <v>41</v>
      </c>
      <c r="S902" s="138">
        <f>COUNTIFS('Raw Non-zero DMR Data'!$A:$A, A902, 'Raw Non-zero DMR Data'!$C:$C, U902, 'Raw Non-zero DMR Data'!$V:$V, V902)</f>
        <v>1</v>
      </c>
      <c r="T902" s="34">
        <f>SUMIFS('Raw Non-zero DMR Data'!$X:$X, 'Raw Non-zero DMR Data'!$A:$A, A902, 'Raw Non-zero DMR Data'!$C:$C, U902, 'Raw Non-zero DMR Data'!V:V, V902)</f>
        <v>0.198852</v>
      </c>
      <c r="U902" s="34" t="s">
        <v>1700</v>
      </c>
      <c r="V902" s="34" t="s">
        <v>1701</v>
      </c>
      <c r="W902" s="139">
        <v>120401040702</v>
      </c>
      <c r="X902" s="140" t="s">
        <v>751</v>
      </c>
    </row>
    <row r="903" spans="1:24" x14ac:dyDescent="0.35">
      <c r="A903" s="34">
        <v>2022</v>
      </c>
      <c r="B903" s="34" t="s">
        <v>422</v>
      </c>
      <c r="C903" s="34" t="s">
        <v>1702</v>
      </c>
      <c r="D903" s="34" t="s">
        <v>423</v>
      </c>
      <c r="E903" s="34" t="s">
        <v>1703</v>
      </c>
      <c r="F903" s="34" t="s">
        <v>95</v>
      </c>
      <c r="G903" s="34"/>
      <c r="H903" s="34">
        <v>29.857654</v>
      </c>
      <c r="I903" s="34">
        <v>-94.910674</v>
      </c>
      <c r="J903" s="34"/>
      <c r="K903" s="105">
        <v>110056961480</v>
      </c>
      <c r="L903" s="34">
        <v>2869</v>
      </c>
      <c r="M903" s="48" t="str">
        <f>VLOOKUP(L903, '2017 SIC to NAICS'!A:D, 2)</f>
        <v>Industrial Organic Chemicals, Nec</v>
      </c>
      <c r="N903" s="34">
        <f>VLOOKUP(L903,'2017 SIC to NAICS'!A:D,3)</f>
        <v>325998</v>
      </c>
      <c r="O903" s="34" t="str">
        <f>VLOOKUP(L903,'2017 SIC to NAICS'!A:D,4)</f>
        <v>All Other Miscellaneous Chemical Product and Preparation Manufacturing</v>
      </c>
      <c r="P903" s="36" t="s">
        <v>748</v>
      </c>
      <c r="Q903" s="137" t="s">
        <v>749</v>
      </c>
      <c r="R903" s="45" t="s">
        <v>41</v>
      </c>
      <c r="S903" s="138">
        <f>COUNTIFS('Raw Non-zero DMR Data'!$A:$A, A903, 'Raw Non-zero DMR Data'!$C:$C, U903, 'Raw Non-zero DMR Data'!$V:$V, V903)</f>
        <v>1</v>
      </c>
      <c r="T903" s="34">
        <f>SUMIFS('Raw Non-zero DMR Data'!$X:$X, 'Raw Non-zero DMR Data'!$A:$A, A903, 'Raw Non-zero DMR Data'!$C:$C, U903, 'Raw Non-zero DMR Data'!V:V, V903)</f>
        <v>0.16571</v>
      </c>
      <c r="U903" s="34" t="s">
        <v>1702</v>
      </c>
      <c r="V903" s="34" t="s">
        <v>1704</v>
      </c>
      <c r="W903" s="139">
        <v>120402030105</v>
      </c>
      <c r="X903" s="140" t="s">
        <v>1705</v>
      </c>
    </row>
    <row r="904" spans="1:24" x14ac:dyDescent="0.35">
      <c r="A904" s="34">
        <v>2019</v>
      </c>
      <c r="B904" s="34" t="s">
        <v>577</v>
      </c>
      <c r="C904" s="34" t="s">
        <v>1706</v>
      </c>
      <c r="D904" s="34" t="s">
        <v>578</v>
      </c>
      <c r="E904" s="34" t="s">
        <v>1707</v>
      </c>
      <c r="F904" s="34" t="s">
        <v>95</v>
      </c>
      <c r="G904" s="34"/>
      <c r="H904" s="34">
        <v>30.265280000000001</v>
      </c>
      <c r="I904" s="34">
        <v>-97.746499999999997</v>
      </c>
      <c r="J904" s="34"/>
      <c r="K904" s="105">
        <v>110035762822</v>
      </c>
      <c r="L904" s="34">
        <v>6513</v>
      </c>
      <c r="M904" s="48" t="str">
        <f>VLOOKUP(L904, '2017 SIC to NAICS'!A:D, 2)</f>
        <v>Apartment Building Operators</v>
      </c>
      <c r="N904" s="34">
        <f>VLOOKUP(L904,'2017 SIC to NAICS'!A:D,3)</f>
        <v>531110</v>
      </c>
      <c r="O904" s="34" t="str">
        <f>VLOOKUP(L904,'2017 SIC to NAICS'!A:D,4)</f>
        <v>Lessors of Residential Buildings and
Dwellings</v>
      </c>
      <c r="P904" s="36" t="s">
        <v>754</v>
      </c>
      <c r="Q904" s="137" t="s">
        <v>755</v>
      </c>
      <c r="R904" s="45" t="s">
        <v>41</v>
      </c>
      <c r="S904" s="138">
        <f>COUNTIFS('Raw Non-zero DMR Data'!$A:$A, A904, 'Raw Non-zero DMR Data'!$C:$C, U904, 'Raw Non-zero DMR Data'!$V:$V, V904)</f>
        <v>1</v>
      </c>
      <c r="T904" s="34">
        <f>SUMIFS('Raw Non-zero DMR Data'!$X:$X, 'Raw Non-zero DMR Data'!$A:$A, A904, 'Raw Non-zero DMR Data'!$C:$C, U904, 'Raw Non-zero DMR Data'!V:V, V904)</f>
        <v>4.8803840466666599E-3</v>
      </c>
      <c r="U904" s="34" t="s">
        <v>1706</v>
      </c>
      <c r="V904" s="34" t="s">
        <v>1708</v>
      </c>
      <c r="W904" s="139">
        <v>120902050306</v>
      </c>
      <c r="X904" s="140" t="s">
        <v>739</v>
      </c>
    </row>
    <row r="905" spans="1:24" x14ac:dyDescent="0.35">
      <c r="A905" s="34">
        <v>2020</v>
      </c>
      <c r="B905" s="34" t="s">
        <v>577</v>
      </c>
      <c r="C905" s="34" t="s">
        <v>1706</v>
      </c>
      <c r="D905" s="34" t="s">
        <v>578</v>
      </c>
      <c r="E905" s="34" t="s">
        <v>1707</v>
      </c>
      <c r="F905" s="34" t="s">
        <v>95</v>
      </c>
      <c r="G905" s="34"/>
      <c r="H905" s="34">
        <v>30.265280000000001</v>
      </c>
      <c r="I905" s="34">
        <v>-97.746499999999997</v>
      </c>
      <c r="J905" s="34"/>
      <c r="K905" s="105">
        <v>110035762822</v>
      </c>
      <c r="L905" s="34">
        <v>6513</v>
      </c>
      <c r="M905" s="48" t="str">
        <f>VLOOKUP(L905, '2017 SIC to NAICS'!A:D, 2)</f>
        <v>Apartment Building Operators</v>
      </c>
      <c r="N905" s="34">
        <f>VLOOKUP(L905,'2017 SIC to NAICS'!A:D,3)</f>
        <v>531110</v>
      </c>
      <c r="O905" s="34" t="str">
        <f>VLOOKUP(L905,'2017 SIC to NAICS'!A:D,4)</f>
        <v>Lessors of Residential Buildings and
Dwellings</v>
      </c>
      <c r="P905" s="36" t="s">
        <v>754</v>
      </c>
      <c r="Q905" s="137" t="s">
        <v>755</v>
      </c>
      <c r="R905" s="45" t="s">
        <v>41</v>
      </c>
      <c r="S905" s="138">
        <f>COUNTIFS('Raw Non-zero DMR Data'!$A:$A, A905, 'Raw Non-zero DMR Data'!$C:$C, U905, 'Raw Non-zero DMR Data'!$V:$V, V905)</f>
        <v>1</v>
      </c>
      <c r="T905" s="34">
        <f>SUMIFS('Raw Non-zero DMR Data'!$X:$X, 'Raw Non-zero DMR Data'!$A:$A, A905, 'Raw Non-zero DMR Data'!$C:$C, U905, 'Raw Non-zero DMR Data'!V:V, V905)</f>
        <v>3.3921813450000001E-3</v>
      </c>
      <c r="U905" s="34" t="s">
        <v>1706</v>
      </c>
      <c r="V905" s="34" t="s">
        <v>1708</v>
      </c>
      <c r="W905" s="139">
        <v>120902050306</v>
      </c>
      <c r="X905" s="140" t="s">
        <v>739</v>
      </c>
    </row>
    <row r="906" spans="1:24" x14ac:dyDescent="0.35">
      <c r="A906" s="34">
        <v>2021</v>
      </c>
      <c r="B906" s="34" t="s">
        <v>577</v>
      </c>
      <c r="C906" s="34" t="s">
        <v>1706</v>
      </c>
      <c r="D906" s="34" t="s">
        <v>578</v>
      </c>
      <c r="E906" s="34" t="s">
        <v>1707</v>
      </c>
      <c r="F906" s="34" t="s">
        <v>95</v>
      </c>
      <c r="G906" s="34"/>
      <c r="H906" s="34">
        <v>30.265280000000001</v>
      </c>
      <c r="I906" s="34">
        <v>-97.746499999999997</v>
      </c>
      <c r="J906" s="34"/>
      <c r="K906" s="105">
        <v>110035762822</v>
      </c>
      <c r="L906" s="34">
        <v>6513</v>
      </c>
      <c r="M906" s="48" t="str">
        <f>VLOOKUP(L906, '2017 SIC to NAICS'!A:D, 2)</f>
        <v>Apartment Building Operators</v>
      </c>
      <c r="N906" s="34">
        <f>VLOOKUP(L906,'2017 SIC to NAICS'!A:D,3)</f>
        <v>531110</v>
      </c>
      <c r="O906" s="34" t="str">
        <f>VLOOKUP(L906,'2017 SIC to NAICS'!A:D,4)</f>
        <v>Lessors of Residential Buildings and
Dwellings</v>
      </c>
      <c r="P906" s="36" t="s">
        <v>754</v>
      </c>
      <c r="Q906" s="137" t="s">
        <v>755</v>
      </c>
      <c r="R906" s="45" t="s">
        <v>41</v>
      </c>
      <c r="S906" s="138">
        <f>COUNTIFS('Raw Non-zero DMR Data'!$A:$A, A906, 'Raw Non-zero DMR Data'!$C:$C, U906, 'Raw Non-zero DMR Data'!$V:$V, V906)</f>
        <v>1</v>
      </c>
      <c r="T906" s="34">
        <f>SUMIFS('Raw Non-zero DMR Data'!$X:$X, 'Raw Non-zero DMR Data'!$A:$A, A906, 'Raw Non-zero DMR Data'!$C:$C, U906, 'Raw Non-zero DMR Data'!V:V, V906)</f>
        <v>1.8377117464999999E-2</v>
      </c>
      <c r="U906" s="34" t="s">
        <v>1706</v>
      </c>
      <c r="V906" s="34" t="s">
        <v>1708</v>
      </c>
      <c r="W906" s="139">
        <v>120902050306</v>
      </c>
      <c r="X906" s="140" t="s">
        <v>739</v>
      </c>
    </row>
    <row r="907" spans="1:24" x14ac:dyDescent="0.35">
      <c r="A907" s="34">
        <v>2022</v>
      </c>
      <c r="B907" s="34" t="s">
        <v>577</v>
      </c>
      <c r="C907" s="34" t="s">
        <v>1706</v>
      </c>
      <c r="D907" s="34" t="s">
        <v>578</v>
      </c>
      <c r="E907" s="34" t="s">
        <v>1707</v>
      </c>
      <c r="F907" s="34" t="s">
        <v>95</v>
      </c>
      <c r="G907" s="34"/>
      <c r="H907" s="34">
        <v>30.265280000000001</v>
      </c>
      <c r="I907" s="34">
        <v>-97.746499999999997</v>
      </c>
      <c r="J907" s="34"/>
      <c r="K907" s="105">
        <v>110035762822</v>
      </c>
      <c r="L907" s="34">
        <v>6513</v>
      </c>
      <c r="M907" s="48" t="str">
        <f>VLOOKUP(L907, '2017 SIC to NAICS'!A:D, 2)</f>
        <v>Apartment Building Operators</v>
      </c>
      <c r="N907" s="34">
        <f>VLOOKUP(L907,'2017 SIC to NAICS'!A:D,3)</f>
        <v>531110</v>
      </c>
      <c r="O907" s="34" t="str">
        <f>VLOOKUP(L907,'2017 SIC to NAICS'!A:D,4)</f>
        <v>Lessors of Residential Buildings and
Dwellings</v>
      </c>
      <c r="P907" s="36" t="s">
        <v>754</v>
      </c>
      <c r="Q907" s="137" t="s">
        <v>755</v>
      </c>
      <c r="R907" s="45" t="s">
        <v>41</v>
      </c>
      <c r="S907" s="138">
        <f>COUNTIFS('Raw Non-zero DMR Data'!$A:$A, A907, 'Raw Non-zero DMR Data'!$C:$C, U907, 'Raw Non-zero DMR Data'!$V:$V, V907)</f>
        <v>1</v>
      </c>
      <c r="T907" s="34">
        <f>SUMIFS('Raw Non-zero DMR Data'!$X:$X, 'Raw Non-zero DMR Data'!$A:$A, A907, 'Raw Non-zero DMR Data'!$C:$C, U907, 'Raw Non-zero DMR Data'!V:V, V907)</f>
        <v>1.5675206569999999E-2</v>
      </c>
      <c r="U907" s="34" t="s">
        <v>1706</v>
      </c>
      <c r="V907" s="34" t="s">
        <v>1708</v>
      </c>
      <c r="W907" s="139">
        <v>120902050306</v>
      </c>
      <c r="X907" s="140" t="s">
        <v>739</v>
      </c>
    </row>
    <row r="908" spans="1:24" x14ac:dyDescent="0.35">
      <c r="A908" s="34">
        <v>2023</v>
      </c>
      <c r="B908" s="34" t="s">
        <v>577</v>
      </c>
      <c r="C908" s="34" t="s">
        <v>1706</v>
      </c>
      <c r="D908" s="34" t="s">
        <v>578</v>
      </c>
      <c r="E908" s="34" t="s">
        <v>1707</v>
      </c>
      <c r="F908" s="34" t="s">
        <v>95</v>
      </c>
      <c r="G908" s="34"/>
      <c r="H908" s="34">
        <v>30.265280000000001</v>
      </c>
      <c r="I908" s="34">
        <v>-97.746499999999997</v>
      </c>
      <c r="J908" s="34"/>
      <c r="K908" s="105">
        <v>110035762822</v>
      </c>
      <c r="L908" s="34">
        <v>6513</v>
      </c>
      <c r="M908" s="48" t="str">
        <f>VLOOKUP(L908, '2017 SIC to NAICS'!A:D, 2)</f>
        <v>Apartment Building Operators</v>
      </c>
      <c r="N908" s="34">
        <f>VLOOKUP(L908,'2017 SIC to NAICS'!A:D,3)</f>
        <v>531110</v>
      </c>
      <c r="O908" s="34" t="str">
        <f>VLOOKUP(L908,'2017 SIC to NAICS'!A:D,4)</f>
        <v>Lessors of Residential Buildings and
Dwellings</v>
      </c>
      <c r="P908" s="36" t="s">
        <v>754</v>
      </c>
      <c r="Q908" s="137" t="s">
        <v>755</v>
      </c>
      <c r="R908" s="45" t="s">
        <v>41</v>
      </c>
      <c r="S908" s="138">
        <f>COUNTIFS('Raw Non-zero DMR Data'!$A:$A, A908, 'Raw Non-zero DMR Data'!$C:$C, U908, 'Raw Non-zero DMR Data'!$V:$V, V908)</f>
        <v>1</v>
      </c>
      <c r="T908" s="34">
        <f>SUMIFS('Raw Non-zero DMR Data'!$X:$X, 'Raw Non-zero DMR Data'!$A:$A, A908, 'Raw Non-zero DMR Data'!$C:$C, U908, 'Raw Non-zero DMR Data'!V:V, V908)</f>
        <v>1.1077177214999999E-2</v>
      </c>
      <c r="U908" s="34" t="s">
        <v>1706</v>
      </c>
      <c r="V908" s="34" t="s">
        <v>1708</v>
      </c>
      <c r="W908" s="139">
        <v>120902050306</v>
      </c>
      <c r="X908" s="140" t="s">
        <v>739</v>
      </c>
    </row>
    <row r="909" spans="1:24" x14ac:dyDescent="0.35">
      <c r="A909" s="34">
        <v>2019</v>
      </c>
      <c r="B909" s="34" t="s">
        <v>313</v>
      </c>
      <c r="C909" s="34" t="s">
        <v>1709</v>
      </c>
      <c r="D909" s="34" t="s">
        <v>314</v>
      </c>
      <c r="E909" s="34" t="s">
        <v>747</v>
      </c>
      <c r="F909" s="34" t="s">
        <v>95</v>
      </c>
      <c r="G909" s="34"/>
      <c r="H909" s="34">
        <v>29.738610999999999</v>
      </c>
      <c r="I909" s="34">
        <v>-95.166944000000001</v>
      </c>
      <c r="J909" s="34"/>
      <c r="K909" s="105">
        <v>110060340162</v>
      </c>
      <c r="L909" s="34">
        <v>2869</v>
      </c>
      <c r="M909" s="48" t="str">
        <f>VLOOKUP(L909, '2017 SIC to NAICS'!A:D, 2)</f>
        <v>Industrial Organic Chemicals, Nec</v>
      </c>
      <c r="N909" s="34">
        <f>VLOOKUP(L909,'2017 SIC to NAICS'!A:D,3)</f>
        <v>325998</v>
      </c>
      <c r="O909" s="34" t="str">
        <f>VLOOKUP(L909,'2017 SIC to NAICS'!A:D,4)</f>
        <v>All Other Miscellaneous Chemical Product and Preparation Manufacturing</v>
      </c>
      <c r="P909" s="36" t="s">
        <v>748</v>
      </c>
      <c r="Q909" s="137" t="s">
        <v>749</v>
      </c>
      <c r="R909" s="45" t="s">
        <v>41</v>
      </c>
      <c r="S909" s="138">
        <f>COUNTIFS('Raw Non-zero DMR Data'!$A:$A, A909, 'Raw Non-zero DMR Data'!$C:$C, U909, 'Raw Non-zero DMR Data'!$V:$V, V909)</f>
        <v>1</v>
      </c>
      <c r="T909" s="34">
        <f>SUMIFS('Raw Non-zero DMR Data'!$X:$X, 'Raw Non-zero DMR Data'!$A:$A, A909, 'Raw Non-zero DMR Data'!$C:$C, U909, 'Raw Non-zero DMR Data'!V:V, V909)</f>
        <v>0.82891499999999996</v>
      </c>
      <c r="U909" s="34" t="s">
        <v>1709</v>
      </c>
      <c r="V909" s="34" t="s">
        <v>1688</v>
      </c>
      <c r="W909" s="139">
        <v>120401040703</v>
      </c>
      <c r="X909" s="140" t="s">
        <v>751</v>
      </c>
    </row>
    <row r="910" spans="1:24" x14ac:dyDescent="0.35">
      <c r="A910" s="34">
        <v>2020</v>
      </c>
      <c r="B910" s="34" t="s">
        <v>313</v>
      </c>
      <c r="C910" s="34" t="s">
        <v>1709</v>
      </c>
      <c r="D910" s="34" t="s">
        <v>314</v>
      </c>
      <c r="E910" s="34" t="s">
        <v>747</v>
      </c>
      <c r="F910" s="34" t="s">
        <v>95</v>
      </c>
      <c r="G910" s="34"/>
      <c r="H910" s="34">
        <v>29.738610999999999</v>
      </c>
      <c r="I910" s="34">
        <v>-95.166944000000001</v>
      </c>
      <c r="J910" s="34"/>
      <c r="K910" s="105">
        <v>110060340162</v>
      </c>
      <c r="L910" s="34">
        <v>2869</v>
      </c>
      <c r="M910" s="48" t="str">
        <f>VLOOKUP(L910, '2017 SIC to NAICS'!A:D, 2)</f>
        <v>Industrial Organic Chemicals, Nec</v>
      </c>
      <c r="N910" s="34">
        <f>VLOOKUP(L910,'2017 SIC to NAICS'!A:D,3)</f>
        <v>325998</v>
      </c>
      <c r="O910" s="34" t="str">
        <f>VLOOKUP(L910,'2017 SIC to NAICS'!A:D,4)</f>
        <v>All Other Miscellaneous Chemical Product and Preparation Manufacturing</v>
      </c>
      <c r="P910" s="36" t="s">
        <v>748</v>
      </c>
      <c r="Q910" s="137" t="s">
        <v>749</v>
      </c>
      <c r="R910" s="45" t="s">
        <v>41</v>
      </c>
      <c r="S910" s="138">
        <f>COUNTIFS('Raw Non-zero DMR Data'!$A:$A, A910, 'Raw Non-zero DMR Data'!$C:$C, U910, 'Raw Non-zero DMR Data'!$V:$V, V910)</f>
        <v>1</v>
      </c>
      <c r="T910" s="34">
        <f>SUMIFS('Raw Non-zero DMR Data'!$X:$X, 'Raw Non-zero DMR Data'!$A:$A, A910, 'Raw Non-zero DMR Data'!$C:$C, U910, 'Raw Non-zero DMR Data'!V:V, V910)</f>
        <v>0.75983875000000001</v>
      </c>
      <c r="U910" s="34" t="s">
        <v>1709</v>
      </c>
      <c r="V910" s="34" t="s">
        <v>1688</v>
      </c>
      <c r="W910" s="139">
        <v>120401040703</v>
      </c>
      <c r="X910" s="140" t="s">
        <v>751</v>
      </c>
    </row>
    <row r="911" spans="1:24" x14ac:dyDescent="0.35">
      <c r="A911" s="34">
        <v>2021</v>
      </c>
      <c r="B911" s="34" t="s">
        <v>313</v>
      </c>
      <c r="C911" s="34" t="s">
        <v>1709</v>
      </c>
      <c r="D911" s="34" t="s">
        <v>314</v>
      </c>
      <c r="E911" s="34" t="s">
        <v>747</v>
      </c>
      <c r="F911" s="34" t="s">
        <v>95</v>
      </c>
      <c r="G911" s="34"/>
      <c r="H911" s="34">
        <v>29.738610999999999</v>
      </c>
      <c r="I911" s="34">
        <v>-95.166944000000001</v>
      </c>
      <c r="J911" s="34"/>
      <c r="K911" s="105">
        <v>110060340162</v>
      </c>
      <c r="L911" s="34">
        <v>2869</v>
      </c>
      <c r="M911" s="48" t="str">
        <f>VLOOKUP(L911, '2017 SIC to NAICS'!A:D, 2)</f>
        <v>Industrial Organic Chemicals, Nec</v>
      </c>
      <c r="N911" s="34">
        <f>VLOOKUP(L911,'2017 SIC to NAICS'!A:D,3)</f>
        <v>325998</v>
      </c>
      <c r="O911" s="34" t="str">
        <f>VLOOKUP(L911,'2017 SIC to NAICS'!A:D,4)</f>
        <v>All Other Miscellaneous Chemical Product and Preparation Manufacturing</v>
      </c>
      <c r="P911" s="36" t="s">
        <v>748</v>
      </c>
      <c r="Q911" s="137" t="s">
        <v>749</v>
      </c>
      <c r="R911" s="45" t="s">
        <v>41</v>
      </c>
      <c r="S911" s="138">
        <f>COUNTIFS('Raw Non-zero DMR Data'!$A:$A, A911, 'Raw Non-zero DMR Data'!$C:$C, U911, 'Raw Non-zero DMR Data'!$V:$V, V911)</f>
        <v>1</v>
      </c>
      <c r="T911" s="34">
        <f>SUMIFS('Raw Non-zero DMR Data'!$X:$X, 'Raw Non-zero DMR Data'!$A:$A, A911, 'Raw Non-zero DMR Data'!$C:$C, U911, 'Raw Non-zero DMR Data'!V:V, V911)</f>
        <v>0.71839299999999995</v>
      </c>
      <c r="U911" s="34" t="s">
        <v>1709</v>
      </c>
      <c r="V911" s="34" t="s">
        <v>1688</v>
      </c>
      <c r="W911" s="139">
        <v>120401040703</v>
      </c>
      <c r="X911" s="140" t="s">
        <v>751</v>
      </c>
    </row>
    <row r="912" spans="1:24" x14ac:dyDescent="0.35">
      <c r="A912" s="34">
        <v>2022</v>
      </c>
      <c r="B912" s="34" t="s">
        <v>313</v>
      </c>
      <c r="C912" s="34" t="s">
        <v>1709</v>
      </c>
      <c r="D912" s="34" t="s">
        <v>314</v>
      </c>
      <c r="E912" s="34" t="s">
        <v>747</v>
      </c>
      <c r="F912" s="34" t="s">
        <v>95</v>
      </c>
      <c r="G912" s="34"/>
      <c r="H912" s="34">
        <v>29.738610999999999</v>
      </c>
      <c r="I912" s="34">
        <v>-95.166944000000001</v>
      </c>
      <c r="J912" s="34"/>
      <c r="K912" s="105">
        <v>110060340162</v>
      </c>
      <c r="L912" s="34">
        <v>2869</v>
      </c>
      <c r="M912" s="48" t="str">
        <f>VLOOKUP(L912, '2017 SIC to NAICS'!A:D, 2)</f>
        <v>Industrial Organic Chemicals, Nec</v>
      </c>
      <c r="N912" s="34">
        <f>VLOOKUP(L912,'2017 SIC to NAICS'!A:D,3)</f>
        <v>325998</v>
      </c>
      <c r="O912" s="34" t="str">
        <f>VLOOKUP(L912,'2017 SIC to NAICS'!A:D,4)</f>
        <v>All Other Miscellaneous Chemical Product and Preparation Manufacturing</v>
      </c>
      <c r="P912" s="36" t="s">
        <v>748</v>
      </c>
      <c r="Q912" s="137" t="s">
        <v>749</v>
      </c>
      <c r="R912" s="45" t="s">
        <v>41</v>
      </c>
      <c r="S912" s="138">
        <f>COUNTIFS('Raw Non-zero DMR Data'!$A:$A, A912, 'Raw Non-zero DMR Data'!$C:$C, U912, 'Raw Non-zero DMR Data'!$V:$V, V912)</f>
        <v>1</v>
      </c>
      <c r="T912" s="34">
        <f>SUMIFS('Raw Non-zero DMR Data'!$X:$X, 'Raw Non-zero DMR Data'!$A:$A, A912, 'Raw Non-zero DMR Data'!$C:$C, U912, 'Raw Non-zero DMR Data'!V:V, V912)</f>
        <v>0.56642524999999999</v>
      </c>
      <c r="U912" s="34" t="s">
        <v>1709</v>
      </c>
      <c r="V912" s="34" t="s">
        <v>1688</v>
      </c>
      <c r="W912" s="139">
        <v>120401040703</v>
      </c>
      <c r="X912" s="140" t="s">
        <v>751</v>
      </c>
    </row>
    <row r="913" spans="1:24" x14ac:dyDescent="0.35">
      <c r="A913" s="34">
        <v>2023</v>
      </c>
      <c r="B913" s="34" t="s">
        <v>313</v>
      </c>
      <c r="C913" s="34" t="s">
        <v>1709</v>
      </c>
      <c r="D913" s="34" t="s">
        <v>314</v>
      </c>
      <c r="E913" s="34" t="s">
        <v>747</v>
      </c>
      <c r="F913" s="34" t="s">
        <v>95</v>
      </c>
      <c r="G913" s="34"/>
      <c r="H913" s="34">
        <v>29.738610999999999</v>
      </c>
      <c r="I913" s="34">
        <v>-95.166944000000001</v>
      </c>
      <c r="J913" s="34"/>
      <c r="K913" s="105">
        <v>110060340162</v>
      </c>
      <c r="L913" s="34">
        <v>2869</v>
      </c>
      <c r="M913" s="48" t="str">
        <f>VLOOKUP(L913, '2017 SIC to NAICS'!A:D, 2)</f>
        <v>Industrial Organic Chemicals, Nec</v>
      </c>
      <c r="N913" s="34">
        <f>VLOOKUP(L913,'2017 SIC to NAICS'!A:D,3)</f>
        <v>325998</v>
      </c>
      <c r="O913" s="34" t="str">
        <f>VLOOKUP(L913,'2017 SIC to NAICS'!A:D,4)</f>
        <v>All Other Miscellaneous Chemical Product and Preparation Manufacturing</v>
      </c>
      <c r="P913" s="36" t="s">
        <v>748</v>
      </c>
      <c r="Q913" s="137" t="s">
        <v>749</v>
      </c>
      <c r="R913" s="45" t="s">
        <v>41</v>
      </c>
      <c r="S913" s="138">
        <f>COUNTIFS('Raw Non-zero DMR Data'!$A:$A, A913, 'Raw Non-zero DMR Data'!$C:$C, U913, 'Raw Non-zero DMR Data'!$V:$V, V913)</f>
        <v>1</v>
      </c>
      <c r="T913" s="34">
        <f>SUMIFS('Raw Non-zero DMR Data'!$X:$X, 'Raw Non-zero DMR Data'!$A:$A, A913, 'Raw Non-zero DMR Data'!$C:$C, U913, 'Raw Non-zero DMR Data'!V:V, V913)</f>
        <v>6.4240912499999997E-2</v>
      </c>
      <c r="U913" s="34" t="s">
        <v>1709</v>
      </c>
      <c r="V913" s="34" t="s">
        <v>1688</v>
      </c>
      <c r="W913" s="139">
        <v>120401040703</v>
      </c>
      <c r="X913" s="140" t="s">
        <v>751</v>
      </c>
    </row>
    <row r="914" spans="1:24" x14ac:dyDescent="0.35">
      <c r="A914" s="34">
        <v>2019</v>
      </c>
      <c r="B914" s="34" t="s">
        <v>696</v>
      </c>
      <c r="C914" s="34" t="s">
        <v>1710</v>
      </c>
      <c r="D914" s="34" t="s">
        <v>275</v>
      </c>
      <c r="E914" s="34" t="s">
        <v>275</v>
      </c>
      <c r="F914" s="34" t="s">
        <v>276</v>
      </c>
      <c r="G914" s="34"/>
      <c r="H914" s="34">
        <v>38.88223</v>
      </c>
      <c r="I914" s="34">
        <v>-77.112300000000005</v>
      </c>
      <c r="J914" s="34"/>
      <c r="K914" s="105">
        <v>110010844426</v>
      </c>
      <c r="L914" s="34">
        <v>4959</v>
      </c>
      <c r="M914" s="48" t="str">
        <f>VLOOKUP(L914, '2017 SIC to NAICS'!A:D, 2)</f>
        <v>Sanitary Services, Nec</v>
      </c>
      <c r="N914" s="34">
        <f>VLOOKUP(L914,'2017 SIC to NAICS'!A:D,3)</f>
        <v>562998</v>
      </c>
      <c r="O914" s="34" t="str">
        <f>VLOOKUP(L914,'2017 SIC to NAICS'!A:D,4)</f>
        <v>All Other Miscellaneous Waste
Management Services</v>
      </c>
      <c r="P914" s="36" t="s">
        <v>754</v>
      </c>
      <c r="Q914" s="137" t="s">
        <v>755</v>
      </c>
      <c r="R914" s="45" t="s">
        <v>39</v>
      </c>
      <c r="S914" s="138">
        <f>COUNTIFS('Raw Non-zero DMR Data'!$A:$A, A914, 'Raw Non-zero DMR Data'!$C:$C, U914, 'Raw Non-zero DMR Data'!$V:$V, V914)</f>
        <v>1</v>
      </c>
      <c r="T914" s="34">
        <f>SUMIFS('Raw Non-zero DMR Data'!$X:$X, 'Raw Non-zero DMR Data'!$A:$A, A914, 'Raw Non-zero DMR Data'!$C:$C, U914, 'Raw Non-zero DMR Data'!V:V, V914)</f>
        <v>1.114304E-4</v>
      </c>
      <c r="U914" s="34" t="s">
        <v>1710</v>
      </c>
      <c r="V914" s="34" t="s">
        <v>1711</v>
      </c>
      <c r="W914" s="139">
        <v>20700100301</v>
      </c>
      <c r="X914" s="140" t="s">
        <v>1712</v>
      </c>
    </row>
    <row r="915" spans="1:24" x14ac:dyDescent="0.35">
      <c r="A915" s="34">
        <v>2020</v>
      </c>
      <c r="B915" s="34" t="s">
        <v>696</v>
      </c>
      <c r="C915" s="34" t="s">
        <v>1710</v>
      </c>
      <c r="D915" s="34" t="s">
        <v>275</v>
      </c>
      <c r="E915" s="34" t="s">
        <v>275</v>
      </c>
      <c r="F915" s="34" t="s">
        <v>276</v>
      </c>
      <c r="G915" s="34"/>
      <c r="H915" s="34">
        <v>38.88223</v>
      </c>
      <c r="I915" s="34">
        <v>-77.112300000000005</v>
      </c>
      <c r="J915" s="34"/>
      <c r="K915" s="105">
        <v>110010844426</v>
      </c>
      <c r="L915" s="34">
        <v>4959</v>
      </c>
      <c r="M915" s="48" t="str">
        <f>VLOOKUP(L915, '2017 SIC to NAICS'!A:D, 2)</f>
        <v>Sanitary Services, Nec</v>
      </c>
      <c r="N915" s="34">
        <f>VLOOKUP(L915,'2017 SIC to NAICS'!A:D,3)</f>
        <v>562998</v>
      </c>
      <c r="O915" s="34" t="str">
        <f>VLOOKUP(L915,'2017 SIC to NAICS'!A:D,4)</f>
        <v>All Other Miscellaneous Waste
Management Services</v>
      </c>
      <c r="P915" s="36" t="s">
        <v>754</v>
      </c>
      <c r="Q915" s="137" t="s">
        <v>755</v>
      </c>
      <c r="R915" s="45" t="s">
        <v>39</v>
      </c>
      <c r="S915" s="138">
        <f>COUNTIFS('Raw Non-zero DMR Data'!$A:$A, A915, 'Raw Non-zero DMR Data'!$C:$C, U915, 'Raw Non-zero DMR Data'!$V:$V, V915)</f>
        <v>1</v>
      </c>
      <c r="T915" s="34">
        <f>SUMIFS('Raw Non-zero DMR Data'!$X:$X, 'Raw Non-zero DMR Data'!$A:$A, A915, 'Raw Non-zero DMR Data'!$C:$C, U915, 'Raw Non-zero DMR Data'!V:V, V915)</f>
        <v>8.2548957500000006E-5</v>
      </c>
      <c r="U915" s="34" t="s">
        <v>1710</v>
      </c>
      <c r="V915" s="34" t="s">
        <v>1711</v>
      </c>
      <c r="W915" s="139">
        <v>20700100301</v>
      </c>
      <c r="X915" s="140" t="s">
        <v>1712</v>
      </c>
    </row>
    <row r="916" spans="1:24" x14ac:dyDescent="0.35">
      <c r="A916" s="34">
        <v>2021</v>
      </c>
      <c r="B916" s="34" t="s">
        <v>696</v>
      </c>
      <c r="C916" s="34" t="s">
        <v>1710</v>
      </c>
      <c r="D916" s="34" t="s">
        <v>275</v>
      </c>
      <c r="E916" s="34" t="s">
        <v>275</v>
      </c>
      <c r="F916" s="34" t="s">
        <v>276</v>
      </c>
      <c r="G916" s="34"/>
      <c r="H916" s="34">
        <v>38.88223</v>
      </c>
      <c r="I916" s="34">
        <v>-77.112300000000005</v>
      </c>
      <c r="J916" s="34"/>
      <c r="K916" s="105">
        <v>110010844426</v>
      </c>
      <c r="L916" s="34">
        <v>4959</v>
      </c>
      <c r="M916" s="48" t="str">
        <f>VLOOKUP(L916, '2017 SIC to NAICS'!A:D, 2)</f>
        <v>Sanitary Services, Nec</v>
      </c>
      <c r="N916" s="34">
        <f>VLOOKUP(L916,'2017 SIC to NAICS'!A:D,3)</f>
        <v>562998</v>
      </c>
      <c r="O916" s="34" t="str">
        <f>VLOOKUP(L916,'2017 SIC to NAICS'!A:D,4)</f>
        <v>All Other Miscellaneous Waste
Management Services</v>
      </c>
      <c r="P916" s="36" t="s">
        <v>754</v>
      </c>
      <c r="Q916" s="137" t="s">
        <v>755</v>
      </c>
      <c r="R916" s="45" t="s">
        <v>39</v>
      </c>
      <c r="S916" s="138">
        <f>COUNTIFS('Raw Non-zero DMR Data'!$A:$A, A916, 'Raw Non-zero DMR Data'!$C:$C, U916, 'Raw Non-zero DMR Data'!$V:$V, V916)</f>
        <v>1</v>
      </c>
      <c r="T916" s="34">
        <f>SUMIFS('Raw Non-zero DMR Data'!$X:$X, 'Raw Non-zero DMR Data'!$A:$A, A916, 'Raw Non-zero DMR Data'!$C:$C, U916, 'Raw Non-zero DMR Data'!V:V, V916)</f>
        <v>8.2891499999999997E-5</v>
      </c>
      <c r="U916" s="34" t="s">
        <v>1710</v>
      </c>
      <c r="V916" s="34" t="s">
        <v>1711</v>
      </c>
      <c r="W916" s="139">
        <v>20700100301</v>
      </c>
      <c r="X916" s="140" t="s">
        <v>1712</v>
      </c>
    </row>
    <row r="917" spans="1:24" x14ac:dyDescent="0.35">
      <c r="A917" s="34">
        <v>2022</v>
      </c>
      <c r="B917" s="34" t="s">
        <v>696</v>
      </c>
      <c r="C917" s="34" t="s">
        <v>1710</v>
      </c>
      <c r="D917" s="34" t="s">
        <v>275</v>
      </c>
      <c r="E917" s="34" t="s">
        <v>275</v>
      </c>
      <c r="F917" s="34" t="s">
        <v>276</v>
      </c>
      <c r="G917" s="34"/>
      <c r="H917" s="34">
        <v>38.88223</v>
      </c>
      <c r="I917" s="34">
        <v>-77.112300000000005</v>
      </c>
      <c r="J917" s="34"/>
      <c r="K917" s="105">
        <v>110010844426</v>
      </c>
      <c r="L917" s="34">
        <v>4959</v>
      </c>
      <c r="M917" s="48" t="str">
        <f>VLOOKUP(L917, '2017 SIC to NAICS'!A:D, 2)</f>
        <v>Sanitary Services, Nec</v>
      </c>
      <c r="N917" s="34">
        <f>VLOOKUP(L917,'2017 SIC to NAICS'!A:D,3)</f>
        <v>562998</v>
      </c>
      <c r="O917" s="34" t="str">
        <f>VLOOKUP(L917,'2017 SIC to NAICS'!A:D,4)</f>
        <v>All Other Miscellaneous Waste
Management Services</v>
      </c>
      <c r="P917" s="36" t="s">
        <v>754</v>
      </c>
      <c r="Q917" s="137" t="s">
        <v>755</v>
      </c>
      <c r="R917" s="45" t="s">
        <v>39</v>
      </c>
      <c r="S917" s="138">
        <f>COUNTIFS('Raw Non-zero DMR Data'!$A:$A, A917, 'Raw Non-zero DMR Data'!$C:$C, U917, 'Raw Non-zero DMR Data'!$V:$V, V917)</f>
        <v>1</v>
      </c>
      <c r="T917" s="34">
        <f>SUMIFS('Raw Non-zero DMR Data'!$X:$X, 'Raw Non-zero DMR Data'!$A:$A, A917, 'Raw Non-zero DMR Data'!$C:$C, U917, 'Raw Non-zero DMR Data'!V:V, V917)</f>
        <v>3.5822375500000001E-5</v>
      </c>
      <c r="U917" s="34" t="s">
        <v>1710</v>
      </c>
      <c r="V917" s="34" t="s">
        <v>1711</v>
      </c>
      <c r="W917" s="141" t="s">
        <v>1713</v>
      </c>
      <c r="X917" s="140" t="s">
        <v>1712</v>
      </c>
    </row>
    <row r="918" spans="1:24" x14ac:dyDescent="0.35">
      <c r="A918" s="34">
        <v>2023</v>
      </c>
      <c r="B918" s="34" t="s">
        <v>696</v>
      </c>
      <c r="C918" s="34" t="s">
        <v>1710</v>
      </c>
      <c r="D918" s="34" t="s">
        <v>275</v>
      </c>
      <c r="E918" s="34" t="s">
        <v>275</v>
      </c>
      <c r="F918" s="34" t="s">
        <v>276</v>
      </c>
      <c r="G918" s="34"/>
      <c r="H918" s="34">
        <v>38.88223</v>
      </c>
      <c r="I918" s="34">
        <v>-77.112300000000005</v>
      </c>
      <c r="J918" s="34"/>
      <c r="K918" s="105">
        <v>110010844426</v>
      </c>
      <c r="L918" s="34">
        <v>4959</v>
      </c>
      <c r="M918" s="48" t="str">
        <f>VLOOKUP(L918, '2017 SIC to NAICS'!A:D, 2)</f>
        <v>Sanitary Services, Nec</v>
      </c>
      <c r="N918" s="34">
        <f>VLOOKUP(L918,'2017 SIC to NAICS'!A:D,3)</f>
        <v>562998</v>
      </c>
      <c r="O918" s="34" t="str">
        <f>VLOOKUP(L918,'2017 SIC to NAICS'!A:D,4)</f>
        <v>All Other Miscellaneous Waste
Management Services</v>
      </c>
      <c r="P918" s="36" t="s">
        <v>754</v>
      </c>
      <c r="Q918" s="137" t="s">
        <v>755</v>
      </c>
      <c r="R918" s="45" t="s">
        <v>39</v>
      </c>
      <c r="S918" s="138">
        <f>COUNTIFS('Raw Non-zero DMR Data'!$A:$A, A918, 'Raw Non-zero DMR Data'!$C:$C, U918, 'Raw Non-zero DMR Data'!$V:$V, V918)</f>
        <v>1</v>
      </c>
      <c r="T918" s="34">
        <f>SUMIFS('Raw Non-zero DMR Data'!$X:$X, 'Raw Non-zero DMR Data'!$A:$A, A918, 'Raw Non-zero DMR Data'!$C:$C, U918, 'Raw Non-zero DMR Data'!V:V, V918)</f>
        <v>4.1105100000000001E-5</v>
      </c>
      <c r="U918" s="34" t="s">
        <v>1710</v>
      </c>
      <c r="V918" s="34" t="s">
        <v>1711</v>
      </c>
      <c r="W918" s="141" t="s">
        <v>1713</v>
      </c>
      <c r="X918" s="140" t="s">
        <v>1712</v>
      </c>
    </row>
    <row r="919" spans="1:24" x14ac:dyDescent="0.35">
      <c r="A919" s="34">
        <v>2019</v>
      </c>
      <c r="B919" s="34" t="s">
        <v>701</v>
      </c>
      <c r="C919" s="34" t="s">
        <v>1714</v>
      </c>
      <c r="D919" s="34" t="s">
        <v>702</v>
      </c>
      <c r="E919" s="34" t="s">
        <v>1715</v>
      </c>
      <c r="F919" s="34" t="s">
        <v>276</v>
      </c>
      <c r="G919" s="34"/>
      <c r="H919" s="34">
        <v>38.92286</v>
      </c>
      <c r="I919" s="34">
        <v>-77.23057</v>
      </c>
      <c r="J919" s="34"/>
      <c r="K919" s="105">
        <v>110010912281</v>
      </c>
      <c r="L919" s="34">
        <v>6512</v>
      </c>
      <c r="M919" s="48" t="str">
        <f>VLOOKUP(L919, '2017 SIC to NAICS'!A:D, 2)</f>
        <v>Nonresidential Building Operators</v>
      </c>
      <c r="N919" s="34">
        <f>VLOOKUP(L919,'2017 SIC to NAICS'!A:D,3)</f>
        <v>711310</v>
      </c>
      <c r="O919" s="34" t="str">
        <f>VLOOKUP(L919,'2017 SIC to NAICS'!A:D,4)</f>
        <v>Promoters of Performing Arts, Sports, and
Similar Events with Facilities</v>
      </c>
      <c r="P919" s="36" t="s">
        <v>737</v>
      </c>
      <c r="Q919" s="137" t="s">
        <v>737</v>
      </c>
      <c r="R919" s="45" t="s">
        <v>41</v>
      </c>
      <c r="S919" s="138">
        <f>COUNTIFS('Raw Non-zero DMR Data'!$A:$A, A919, 'Raw Non-zero DMR Data'!$C:$C, U919, 'Raw Non-zero DMR Data'!$V:$V, V919)</f>
        <v>1</v>
      </c>
      <c r="T919" s="34">
        <f>SUMIFS('Raw Non-zero DMR Data'!$X:$X, 'Raw Non-zero DMR Data'!$A:$A, A919, 'Raw Non-zero DMR Data'!$C:$C, U919, 'Raw Non-zero DMR Data'!V:V, V919)</f>
        <v>1.0446599999999999E-5</v>
      </c>
      <c r="U919" s="34" t="s">
        <v>1714</v>
      </c>
      <c r="V919" s="34" t="s">
        <v>1716</v>
      </c>
      <c r="W919" s="139">
        <v>20700081004</v>
      </c>
      <c r="X919" s="140" t="s">
        <v>792</v>
      </c>
    </row>
    <row r="920" spans="1:24" x14ac:dyDescent="0.35">
      <c r="A920" s="34">
        <v>2020</v>
      </c>
      <c r="B920" s="34" t="s">
        <v>701</v>
      </c>
      <c r="C920" s="34" t="s">
        <v>1714</v>
      </c>
      <c r="D920" s="34" t="s">
        <v>702</v>
      </c>
      <c r="E920" s="34" t="s">
        <v>1715</v>
      </c>
      <c r="F920" s="34" t="s">
        <v>276</v>
      </c>
      <c r="G920" s="34"/>
      <c r="H920" s="34">
        <v>38.92286</v>
      </c>
      <c r="I920" s="34">
        <v>-77.23057</v>
      </c>
      <c r="J920" s="34"/>
      <c r="K920" s="105">
        <v>110010912281</v>
      </c>
      <c r="L920" s="34">
        <v>6512</v>
      </c>
      <c r="M920" s="48" t="str">
        <f>VLOOKUP(L920, '2017 SIC to NAICS'!A:D, 2)</f>
        <v>Nonresidential Building Operators</v>
      </c>
      <c r="N920" s="34">
        <f>VLOOKUP(L920,'2017 SIC to NAICS'!A:D,3)</f>
        <v>711310</v>
      </c>
      <c r="O920" s="34" t="str">
        <f>VLOOKUP(L920,'2017 SIC to NAICS'!A:D,4)</f>
        <v>Promoters of Performing Arts, Sports, and
Similar Events with Facilities</v>
      </c>
      <c r="P920" s="36" t="s">
        <v>737</v>
      </c>
      <c r="Q920" s="137" t="s">
        <v>737</v>
      </c>
      <c r="R920" s="45" t="s">
        <v>41</v>
      </c>
      <c r="S920" s="138">
        <f>COUNTIFS('Raw Non-zero DMR Data'!$A:$A, A920, 'Raw Non-zero DMR Data'!$C:$C, U920, 'Raw Non-zero DMR Data'!$V:$V, V920)</f>
        <v>1</v>
      </c>
      <c r="T920" s="34">
        <f>SUMIFS('Raw Non-zero DMR Data'!$X:$X, 'Raw Non-zero DMR Data'!$A:$A, A920, 'Raw Non-zero DMR Data'!$C:$C, U920, 'Raw Non-zero DMR Data'!V:V, V920)</f>
        <v>5.1381375000000001E-6</v>
      </c>
      <c r="U920" s="34" t="s">
        <v>1714</v>
      </c>
      <c r="V920" s="34" t="s">
        <v>1716</v>
      </c>
      <c r="W920" s="139">
        <v>20700081004</v>
      </c>
      <c r="X920" s="140" t="s">
        <v>792</v>
      </c>
    </row>
    <row r="921" spans="1:24" x14ac:dyDescent="0.35">
      <c r="A921" s="34">
        <v>2019</v>
      </c>
      <c r="B921" s="34" t="s">
        <v>616</v>
      </c>
      <c r="C921" s="34" t="s">
        <v>1717</v>
      </c>
      <c r="D921" s="34" t="s">
        <v>275</v>
      </c>
      <c r="E921" s="34" t="s">
        <v>1718</v>
      </c>
      <c r="F921" s="34" t="s">
        <v>276</v>
      </c>
      <c r="G921" s="34"/>
      <c r="H921" s="34">
        <v>38.861800000000002</v>
      </c>
      <c r="I921" s="34">
        <v>-77.086969999999994</v>
      </c>
      <c r="J921" s="34"/>
      <c r="K921" s="105">
        <v>110070546877</v>
      </c>
      <c r="L921" s="34">
        <v>1794</v>
      </c>
      <c r="M921" s="48" t="str">
        <f>VLOOKUP(L921, '2017 SIC to NAICS'!A:D, 2)</f>
        <v>Excavation Work</v>
      </c>
      <c r="N921" s="34">
        <f>VLOOKUP(L921,'2017 SIC to NAICS'!A:D,3)</f>
        <v>238910</v>
      </c>
      <c r="O921" s="34" t="str">
        <f>VLOOKUP(L921,'2017 SIC to NAICS'!A:D,4)</f>
        <v>Site Preparation Contractors</v>
      </c>
      <c r="P921" s="36" t="s">
        <v>731</v>
      </c>
      <c r="Q921" s="137" t="s">
        <v>732</v>
      </c>
      <c r="R921" s="45" t="s">
        <v>41</v>
      </c>
      <c r="S921" s="138">
        <f>COUNTIFS('Raw Non-zero DMR Data'!$A:$A, A921, 'Raw Non-zero DMR Data'!$C:$C, U921, 'Raw Non-zero DMR Data'!$V:$V, V921)</f>
        <v>1</v>
      </c>
      <c r="T921" s="34">
        <f>SUMIFS('Raw Non-zero DMR Data'!$X:$X, 'Raw Non-zero DMR Data'!$A:$A, A921, 'Raw Non-zero DMR Data'!$C:$C, U921, 'Raw Non-zero DMR Data'!V:V, V921)</f>
        <v>4.4856072849999999E-4</v>
      </c>
      <c r="U921" s="34" t="s">
        <v>1717</v>
      </c>
      <c r="V921" s="34" t="s">
        <v>1711</v>
      </c>
      <c r="W921" s="139">
        <v>20700100301</v>
      </c>
      <c r="X921" s="140" t="s">
        <v>734</v>
      </c>
    </row>
    <row r="922" spans="1:24" x14ac:dyDescent="0.35">
      <c r="A922" s="34">
        <v>2020</v>
      </c>
      <c r="B922" s="34" t="s">
        <v>616</v>
      </c>
      <c r="C922" s="34" t="s">
        <v>1717</v>
      </c>
      <c r="D922" s="34" t="s">
        <v>275</v>
      </c>
      <c r="E922" s="34" t="s">
        <v>1718</v>
      </c>
      <c r="F922" s="34" t="s">
        <v>276</v>
      </c>
      <c r="G922" s="34"/>
      <c r="H922" s="34">
        <v>38.861800000000002</v>
      </c>
      <c r="I922" s="34">
        <v>-77.086969999999994</v>
      </c>
      <c r="J922" s="34"/>
      <c r="K922" s="105">
        <v>110070546877</v>
      </c>
      <c r="L922" s="34">
        <v>1794</v>
      </c>
      <c r="M922" s="48" t="str">
        <f>VLOOKUP(L922, '2017 SIC to NAICS'!A:D, 2)</f>
        <v>Excavation Work</v>
      </c>
      <c r="N922" s="34">
        <f>VLOOKUP(L922,'2017 SIC to NAICS'!A:D,3)</f>
        <v>238910</v>
      </c>
      <c r="O922" s="34" t="str">
        <f>VLOOKUP(L922,'2017 SIC to NAICS'!A:D,4)</f>
        <v>Site Preparation Contractors</v>
      </c>
      <c r="P922" s="36" t="s">
        <v>731</v>
      </c>
      <c r="Q922" s="137" t="s">
        <v>732</v>
      </c>
      <c r="R922" s="45" t="s">
        <v>41</v>
      </c>
      <c r="S922" s="138">
        <f>COUNTIFS('Raw Non-zero DMR Data'!$A:$A, A922, 'Raw Non-zero DMR Data'!$C:$C, U922, 'Raw Non-zero DMR Data'!$V:$V, V922)</f>
        <v>1</v>
      </c>
      <c r="T922" s="34">
        <f>SUMIFS('Raw Non-zero DMR Data'!$X:$X, 'Raw Non-zero DMR Data'!$A:$A, A922, 'Raw Non-zero DMR Data'!$C:$C, U922, 'Raw Non-zero DMR Data'!V:V, V922)</f>
        <v>5.0372218299999999E-4</v>
      </c>
      <c r="U922" s="34" t="s">
        <v>1717</v>
      </c>
      <c r="V922" s="34" t="s">
        <v>1711</v>
      </c>
      <c r="W922" s="139">
        <v>20700100301</v>
      </c>
      <c r="X922" s="140" t="s">
        <v>734</v>
      </c>
    </row>
    <row r="923" spans="1:24" x14ac:dyDescent="0.35">
      <c r="A923" s="34">
        <v>2021</v>
      </c>
      <c r="B923" s="34" t="s">
        <v>616</v>
      </c>
      <c r="C923" s="34" t="s">
        <v>1717</v>
      </c>
      <c r="D923" s="34" t="s">
        <v>275</v>
      </c>
      <c r="E923" s="34" t="s">
        <v>1718</v>
      </c>
      <c r="F923" s="34" t="s">
        <v>276</v>
      </c>
      <c r="G923" s="34"/>
      <c r="H923" s="34">
        <v>38.861800000000002</v>
      </c>
      <c r="I923" s="34">
        <v>-77.086969999999994</v>
      </c>
      <c r="J923" s="34"/>
      <c r="K923" s="105">
        <v>110070546877</v>
      </c>
      <c r="L923" s="34">
        <v>1794</v>
      </c>
      <c r="M923" s="48" t="str">
        <f>VLOOKUP(L923, '2017 SIC to NAICS'!A:D, 2)</f>
        <v>Excavation Work</v>
      </c>
      <c r="N923" s="34">
        <f>VLOOKUP(L923,'2017 SIC to NAICS'!A:D,3)</f>
        <v>238910</v>
      </c>
      <c r="O923" s="34" t="str">
        <f>VLOOKUP(L923,'2017 SIC to NAICS'!A:D,4)</f>
        <v>Site Preparation Contractors</v>
      </c>
      <c r="P923" s="36" t="s">
        <v>731</v>
      </c>
      <c r="Q923" s="137" t="s">
        <v>732</v>
      </c>
      <c r="R923" s="45" t="s">
        <v>41</v>
      </c>
      <c r="S923" s="138">
        <f>COUNTIFS('Raw Non-zero DMR Data'!$A:$A, A923, 'Raw Non-zero DMR Data'!$C:$C, U923, 'Raw Non-zero DMR Data'!$V:$V, V923)</f>
        <v>1</v>
      </c>
      <c r="T923" s="34">
        <f>SUMIFS('Raw Non-zero DMR Data'!$X:$X, 'Raw Non-zero DMR Data'!$A:$A, A923, 'Raw Non-zero DMR Data'!$C:$C, U923, 'Raw Non-zero DMR Data'!V:V, V923)</f>
        <v>2.8654940529999998E-4</v>
      </c>
      <c r="U923" s="34" t="s">
        <v>1717</v>
      </c>
      <c r="V923" s="34" t="s">
        <v>1711</v>
      </c>
      <c r="W923" s="139">
        <v>20700100301</v>
      </c>
      <c r="X923" s="140" t="s">
        <v>734</v>
      </c>
    </row>
    <row r="924" spans="1:24" x14ac:dyDescent="0.35">
      <c r="A924" s="34">
        <v>2022</v>
      </c>
      <c r="B924" s="34" t="s">
        <v>616</v>
      </c>
      <c r="C924" s="34" t="s">
        <v>1717</v>
      </c>
      <c r="D924" s="34" t="s">
        <v>275</v>
      </c>
      <c r="E924" s="34" t="s">
        <v>1718</v>
      </c>
      <c r="F924" s="34" t="s">
        <v>276</v>
      </c>
      <c r="G924" s="34"/>
      <c r="H924" s="34">
        <v>38.861800000000002</v>
      </c>
      <c r="I924" s="34">
        <v>-77.086969999999994</v>
      </c>
      <c r="J924" s="34"/>
      <c r="K924" s="105">
        <v>110070546877</v>
      </c>
      <c r="L924" s="34">
        <v>1794</v>
      </c>
      <c r="M924" s="48" t="str">
        <f>VLOOKUP(L924, '2017 SIC to NAICS'!A:D, 2)</f>
        <v>Excavation Work</v>
      </c>
      <c r="N924" s="34">
        <f>VLOOKUP(L924,'2017 SIC to NAICS'!A:D,3)</f>
        <v>238910</v>
      </c>
      <c r="O924" s="34" t="str">
        <f>VLOOKUP(L924,'2017 SIC to NAICS'!A:D,4)</f>
        <v>Site Preparation Contractors</v>
      </c>
      <c r="P924" s="36" t="s">
        <v>731</v>
      </c>
      <c r="Q924" s="137" t="s">
        <v>732</v>
      </c>
      <c r="R924" s="45" t="s">
        <v>41</v>
      </c>
      <c r="S924" s="138">
        <f>COUNTIFS('Raw Non-zero DMR Data'!$A:$A, A924, 'Raw Non-zero DMR Data'!$C:$C, U924, 'Raw Non-zero DMR Data'!$V:$V, V924)</f>
        <v>1</v>
      </c>
      <c r="T924" s="34">
        <f>SUMIFS('Raw Non-zero DMR Data'!$X:$X, 'Raw Non-zero DMR Data'!$A:$A, A924, 'Raw Non-zero DMR Data'!$C:$C, U924, 'Raw Non-zero DMR Data'!V:V, V924)</f>
        <v>2.9379204064999999E-4</v>
      </c>
      <c r="U924" s="34" t="s">
        <v>1717</v>
      </c>
      <c r="V924" s="34" t="s">
        <v>1711</v>
      </c>
      <c r="W924" s="141" t="s">
        <v>1713</v>
      </c>
      <c r="X924" s="140" t="s">
        <v>734</v>
      </c>
    </row>
    <row r="925" spans="1:24" x14ac:dyDescent="0.35">
      <c r="A925" s="34">
        <v>2023</v>
      </c>
      <c r="B925" s="34" t="s">
        <v>616</v>
      </c>
      <c r="C925" s="34" t="s">
        <v>1717</v>
      </c>
      <c r="D925" s="34" t="s">
        <v>275</v>
      </c>
      <c r="E925" s="34" t="s">
        <v>1718</v>
      </c>
      <c r="F925" s="34" t="s">
        <v>276</v>
      </c>
      <c r="G925" s="34"/>
      <c r="H925" s="34">
        <v>38.861800000000002</v>
      </c>
      <c r="I925" s="34">
        <v>-77.086969999999994</v>
      </c>
      <c r="J925" s="34"/>
      <c r="K925" s="105">
        <v>110070546877</v>
      </c>
      <c r="L925" s="34">
        <v>1794</v>
      </c>
      <c r="M925" s="48" t="str">
        <f>VLOOKUP(L925, '2017 SIC to NAICS'!A:D, 2)</f>
        <v>Excavation Work</v>
      </c>
      <c r="N925" s="34">
        <f>VLOOKUP(L925,'2017 SIC to NAICS'!A:D,3)</f>
        <v>238910</v>
      </c>
      <c r="O925" s="34" t="str">
        <f>VLOOKUP(L925,'2017 SIC to NAICS'!A:D,4)</f>
        <v>Site Preparation Contractors</v>
      </c>
      <c r="P925" s="36" t="s">
        <v>731</v>
      </c>
      <c r="Q925" s="137" t="s">
        <v>732</v>
      </c>
      <c r="R925" s="45" t="s">
        <v>41</v>
      </c>
      <c r="S925" s="138">
        <f>COUNTIFS('Raw Non-zero DMR Data'!$A:$A, A925, 'Raw Non-zero DMR Data'!$C:$C, U925, 'Raw Non-zero DMR Data'!$V:$V, V925)</f>
        <v>1</v>
      </c>
      <c r="T925" s="34">
        <f>SUMIFS('Raw Non-zero DMR Data'!$X:$X, 'Raw Non-zero DMR Data'!$A:$A, A925, 'Raw Non-zero DMR Data'!$C:$C, U925, 'Raw Non-zero DMR Data'!V:V, V925)</f>
        <v>8.9960658580500001E-3</v>
      </c>
      <c r="U925" s="34" t="s">
        <v>1717</v>
      </c>
      <c r="V925" s="34" t="s">
        <v>1711</v>
      </c>
      <c r="W925" s="141" t="s">
        <v>1713</v>
      </c>
      <c r="X925" s="140" t="s">
        <v>734</v>
      </c>
    </row>
    <row r="926" spans="1:24" x14ac:dyDescent="0.35">
      <c r="A926" s="34">
        <v>2019</v>
      </c>
      <c r="B926" s="34" t="s">
        <v>501</v>
      </c>
      <c r="C926" s="34" t="s">
        <v>1719</v>
      </c>
      <c r="D926" s="34" t="s">
        <v>502</v>
      </c>
      <c r="E926" s="34" t="s">
        <v>1720</v>
      </c>
      <c r="F926" s="34" t="s">
        <v>276</v>
      </c>
      <c r="G926" s="34"/>
      <c r="H926" s="34">
        <v>38.400409000000003</v>
      </c>
      <c r="I926" s="34">
        <v>-78.895222000000004</v>
      </c>
      <c r="J926" s="34"/>
      <c r="K926" s="105">
        <v>110070544905</v>
      </c>
      <c r="L926" s="34">
        <v>4953</v>
      </c>
      <c r="M926" s="48" t="str">
        <f>VLOOKUP(L926, '2017 SIC to NAICS'!A:D, 2)</f>
        <v>Refuse Systems</v>
      </c>
      <c r="N926" s="34">
        <f>VLOOKUP(L926,'2017 SIC to NAICS'!A:D,3)</f>
        <v>562920</v>
      </c>
      <c r="O926" s="34" t="str">
        <f>VLOOKUP(L926,'2017 SIC to NAICS'!A:D,4)</f>
        <v>Materials Recovery Facilities</v>
      </c>
      <c r="P926" s="36" t="s">
        <v>754</v>
      </c>
      <c r="Q926" s="137" t="s">
        <v>755</v>
      </c>
      <c r="R926" s="45" t="s">
        <v>40</v>
      </c>
      <c r="S926" s="138">
        <f>COUNTIFS('Raw Non-zero DMR Data'!$A:$A, A926, 'Raw Non-zero DMR Data'!$C:$C, U926, 'Raw Non-zero DMR Data'!$V:$V, V926)</f>
        <v>1</v>
      </c>
      <c r="T926" s="34">
        <f>SUMIFS('Raw Non-zero DMR Data'!$X:$X, 'Raw Non-zero DMR Data'!$A:$A, A926, 'Raw Non-zero DMR Data'!$C:$C, U926, 'Raw Non-zero DMR Data'!V:V, V926)</f>
        <v>5.3779437450000002E-2</v>
      </c>
      <c r="U926" s="34" t="s">
        <v>1719</v>
      </c>
      <c r="V926" s="34" t="s">
        <v>1721</v>
      </c>
      <c r="W926" s="139">
        <v>20700050602</v>
      </c>
      <c r="X926" s="140" t="s">
        <v>745</v>
      </c>
    </row>
    <row r="927" spans="1:24" x14ac:dyDescent="0.35">
      <c r="A927" s="34">
        <v>2020</v>
      </c>
      <c r="B927" s="34" t="s">
        <v>501</v>
      </c>
      <c r="C927" s="34" t="s">
        <v>1719</v>
      </c>
      <c r="D927" s="34" t="s">
        <v>502</v>
      </c>
      <c r="E927" s="34" t="s">
        <v>1720</v>
      </c>
      <c r="F927" s="34" t="s">
        <v>276</v>
      </c>
      <c r="G927" s="34"/>
      <c r="H927" s="34">
        <v>38.400409000000003</v>
      </c>
      <c r="I927" s="34">
        <v>-78.895222000000004</v>
      </c>
      <c r="J927" s="34"/>
      <c r="K927" s="105">
        <v>110070544905</v>
      </c>
      <c r="L927" s="34">
        <v>4953</v>
      </c>
      <c r="M927" s="48" t="str">
        <f>VLOOKUP(L927, '2017 SIC to NAICS'!A:D, 2)</f>
        <v>Refuse Systems</v>
      </c>
      <c r="N927" s="34">
        <f>VLOOKUP(L927,'2017 SIC to NAICS'!A:D,3)</f>
        <v>562920</v>
      </c>
      <c r="O927" s="34" t="str">
        <f>VLOOKUP(L927,'2017 SIC to NAICS'!A:D,4)</f>
        <v>Materials Recovery Facilities</v>
      </c>
      <c r="P927" s="36" t="s">
        <v>754</v>
      </c>
      <c r="Q927" s="137" t="s">
        <v>755</v>
      </c>
      <c r="R927" s="45" t="s">
        <v>40</v>
      </c>
      <c r="S927" s="138">
        <f>COUNTIFS('Raw Non-zero DMR Data'!$A:$A, A927, 'Raw Non-zero DMR Data'!$C:$C, U927, 'Raw Non-zero DMR Data'!$V:$V, V927)</f>
        <v>1</v>
      </c>
      <c r="T927" s="34">
        <f>SUMIFS('Raw Non-zero DMR Data'!$X:$X, 'Raw Non-zero DMR Data'!$A:$A, A927, 'Raw Non-zero DMR Data'!$C:$C, U927, 'Raw Non-zero DMR Data'!V:V, V927)</f>
        <v>3.4539836577000001E-2</v>
      </c>
      <c r="U927" s="34" t="s">
        <v>1719</v>
      </c>
      <c r="V927" s="34" t="s">
        <v>1721</v>
      </c>
      <c r="W927" s="139">
        <v>20700050602</v>
      </c>
      <c r="X927" s="140" t="s">
        <v>745</v>
      </c>
    </row>
    <row r="928" spans="1:24" x14ac:dyDescent="0.35">
      <c r="A928" s="34">
        <v>2021</v>
      </c>
      <c r="B928" s="34" t="s">
        <v>501</v>
      </c>
      <c r="C928" s="34" t="s">
        <v>1719</v>
      </c>
      <c r="D928" s="34" t="s">
        <v>502</v>
      </c>
      <c r="E928" s="34" t="s">
        <v>1720</v>
      </c>
      <c r="F928" s="34" t="s">
        <v>276</v>
      </c>
      <c r="G928" s="34"/>
      <c r="H928" s="34">
        <v>38.400409000000003</v>
      </c>
      <c r="I928" s="34">
        <v>-78.895222000000004</v>
      </c>
      <c r="J928" s="34"/>
      <c r="K928" s="105">
        <v>110070544905</v>
      </c>
      <c r="L928" s="34">
        <v>4953</v>
      </c>
      <c r="M928" s="48" t="str">
        <f>VLOOKUP(L928, '2017 SIC to NAICS'!A:D, 2)</f>
        <v>Refuse Systems</v>
      </c>
      <c r="N928" s="34">
        <f>VLOOKUP(L928,'2017 SIC to NAICS'!A:D,3)</f>
        <v>562920</v>
      </c>
      <c r="O928" s="34" t="str">
        <f>VLOOKUP(L928,'2017 SIC to NAICS'!A:D,4)</f>
        <v>Materials Recovery Facilities</v>
      </c>
      <c r="P928" s="36" t="s">
        <v>754</v>
      </c>
      <c r="Q928" s="137" t="s">
        <v>755</v>
      </c>
      <c r="R928" s="45" t="s">
        <v>40</v>
      </c>
      <c r="S928" s="138">
        <f>COUNTIFS('Raw Non-zero DMR Data'!$A:$A, A928, 'Raw Non-zero DMR Data'!$C:$C, U928, 'Raw Non-zero DMR Data'!$V:$V, V928)</f>
        <v>1</v>
      </c>
      <c r="T928" s="34">
        <f>SUMIFS('Raw Non-zero DMR Data'!$X:$X, 'Raw Non-zero DMR Data'!$A:$A, A928, 'Raw Non-zero DMR Data'!$C:$C, U928, 'Raw Non-zero DMR Data'!V:V, V928)</f>
        <v>4.26682258935E-2</v>
      </c>
      <c r="U928" s="34" t="s">
        <v>1719</v>
      </c>
      <c r="V928" s="34" t="s">
        <v>1721</v>
      </c>
      <c r="W928" s="139">
        <v>20700050602</v>
      </c>
      <c r="X928" s="140" t="s">
        <v>745</v>
      </c>
    </row>
    <row r="929" spans="1:24" x14ac:dyDescent="0.35">
      <c r="A929" s="34">
        <v>2022</v>
      </c>
      <c r="B929" s="34" t="s">
        <v>501</v>
      </c>
      <c r="C929" s="34" t="s">
        <v>1719</v>
      </c>
      <c r="D929" s="34" t="s">
        <v>502</v>
      </c>
      <c r="E929" s="34" t="s">
        <v>1720</v>
      </c>
      <c r="F929" s="34" t="s">
        <v>276</v>
      </c>
      <c r="G929" s="34"/>
      <c r="H929" s="34">
        <v>38.400409000000003</v>
      </c>
      <c r="I929" s="34">
        <v>-78.895222000000004</v>
      </c>
      <c r="J929" s="34"/>
      <c r="K929" s="105">
        <v>110070544905</v>
      </c>
      <c r="L929" s="34">
        <v>4953</v>
      </c>
      <c r="M929" s="48" t="str">
        <f>VLOOKUP(L929, '2017 SIC to NAICS'!A:D, 2)</f>
        <v>Refuse Systems</v>
      </c>
      <c r="N929" s="34">
        <f>VLOOKUP(L929,'2017 SIC to NAICS'!A:D,3)</f>
        <v>562920</v>
      </c>
      <c r="O929" s="34" t="str">
        <f>VLOOKUP(L929,'2017 SIC to NAICS'!A:D,4)</f>
        <v>Materials Recovery Facilities</v>
      </c>
      <c r="P929" s="36" t="s">
        <v>754</v>
      </c>
      <c r="Q929" s="137" t="s">
        <v>755</v>
      </c>
      <c r="R929" s="45" t="s">
        <v>40</v>
      </c>
      <c r="S929" s="138">
        <f>COUNTIFS('Raw Non-zero DMR Data'!$A:$A, A929, 'Raw Non-zero DMR Data'!$C:$C, U929, 'Raw Non-zero DMR Data'!$V:$V, V929)</f>
        <v>1</v>
      </c>
      <c r="T929" s="34">
        <f>SUMIFS('Raw Non-zero DMR Data'!$X:$X, 'Raw Non-zero DMR Data'!$A:$A, A929, 'Raw Non-zero DMR Data'!$C:$C, U929, 'Raw Non-zero DMR Data'!V:V, V929)</f>
        <v>3.9431016452999998E-2</v>
      </c>
      <c r="U929" s="34" t="s">
        <v>1719</v>
      </c>
      <c r="V929" s="34" t="s">
        <v>1721</v>
      </c>
      <c r="W929" s="141" t="s">
        <v>1722</v>
      </c>
      <c r="X929" s="140" t="s">
        <v>745</v>
      </c>
    </row>
    <row r="930" spans="1:24" x14ac:dyDescent="0.35">
      <c r="A930" s="34">
        <v>2023</v>
      </c>
      <c r="B930" s="34" t="s">
        <v>501</v>
      </c>
      <c r="C930" s="34" t="s">
        <v>1719</v>
      </c>
      <c r="D930" s="34" t="s">
        <v>502</v>
      </c>
      <c r="E930" s="34" t="s">
        <v>1720</v>
      </c>
      <c r="F930" s="34" t="s">
        <v>276</v>
      </c>
      <c r="G930" s="34"/>
      <c r="H930" s="34">
        <v>38.400409000000003</v>
      </c>
      <c r="I930" s="34">
        <v>-78.895222000000004</v>
      </c>
      <c r="J930" s="34"/>
      <c r="K930" s="105">
        <v>110070544905</v>
      </c>
      <c r="L930" s="34">
        <v>4953</v>
      </c>
      <c r="M930" s="48" t="str">
        <f>VLOOKUP(L930, '2017 SIC to NAICS'!A:D, 2)</f>
        <v>Refuse Systems</v>
      </c>
      <c r="N930" s="34">
        <f>VLOOKUP(L930,'2017 SIC to NAICS'!A:D,3)</f>
        <v>562920</v>
      </c>
      <c r="O930" s="34" t="str">
        <f>VLOOKUP(L930,'2017 SIC to NAICS'!A:D,4)</f>
        <v>Materials Recovery Facilities</v>
      </c>
      <c r="P930" s="36" t="s">
        <v>754</v>
      </c>
      <c r="Q930" s="137" t="s">
        <v>755</v>
      </c>
      <c r="R930" s="45" t="s">
        <v>40</v>
      </c>
      <c r="S930" s="138">
        <f>COUNTIFS('Raw Non-zero DMR Data'!$A:$A, A930, 'Raw Non-zero DMR Data'!$C:$C, U930, 'Raw Non-zero DMR Data'!$V:$V, V930)</f>
        <v>1</v>
      </c>
      <c r="T930" s="34">
        <f>SUMIFS('Raw Non-zero DMR Data'!$X:$X, 'Raw Non-zero DMR Data'!$A:$A, A930, 'Raw Non-zero DMR Data'!$C:$C, U930, 'Raw Non-zero DMR Data'!V:V, V930)</f>
        <v>1.6071896523E-2</v>
      </c>
      <c r="U930" s="34" t="s">
        <v>1719</v>
      </c>
      <c r="V930" s="34" t="s">
        <v>1721</v>
      </c>
      <c r="W930" s="141" t="s">
        <v>1722</v>
      </c>
      <c r="X930" s="140" t="s">
        <v>745</v>
      </c>
    </row>
    <row r="931" spans="1:24" x14ac:dyDescent="0.35">
      <c r="A931" s="34">
        <v>2019</v>
      </c>
      <c r="B931" s="34" t="s">
        <v>614</v>
      </c>
      <c r="C931" s="34" t="s">
        <v>1723</v>
      </c>
      <c r="D931" s="34" t="s">
        <v>615</v>
      </c>
      <c r="E931" s="34" t="s">
        <v>1482</v>
      </c>
      <c r="F931" s="34" t="s">
        <v>276</v>
      </c>
      <c r="G931" s="34"/>
      <c r="H931" s="34">
        <v>38.814979999999998</v>
      </c>
      <c r="I931" s="34">
        <v>-78.2834</v>
      </c>
      <c r="J931" s="34"/>
      <c r="K931" s="105">
        <v>110054919406</v>
      </c>
      <c r="L931" s="34">
        <v>4953</v>
      </c>
      <c r="M931" s="48" t="str">
        <f>VLOOKUP(L931, '2017 SIC to NAICS'!A:D, 2)</f>
        <v>Refuse Systems</v>
      </c>
      <c r="N931" s="34">
        <f>VLOOKUP(L931,'2017 SIC to NAICS'!A:D,3)</f>
        <v>562920</v>
      </c>
      <c r="O931" s="34" t="str">
        <f>VLOOKUP(L931,'2017 SIC to NAICS'!A:D,4)</f>
        <v>Materials Recovery Facilities</v>
      </c>
      <c r="P931" s="36" t="s">
        <v>754</v>
      </c>
      <c r="Q931" s="137" t="s">
        <v>755</v>
      </c>
      <c r="R931" s="45" t="s">
        <v>40</v>
      </c>
      <c r="S931" s="138">
        <f>COUNTIFS('Raw Non-zero DMR Data'!$A:$A, A931, 'Raw Non-zero DMR Data'!$C:$C, U931, 'Raw Non-zero DMR Data'!$V:$V, V931)</f>
        <v>1</v>
      </c>
      <c r="T931" s="34">
        <f>SUMIFS('Raw Non-zero DMR Data'!$X:$X, 'Raw Non-zero DMR Data'!$A:$A, A931, 'Raw Non-zero DMR Data'!$C:$C, U931, 'Raw Non-zero DMR Data'!V:V, V931)</f>
        <v>1.301522747199E-3</v>
      </c>
      <c r="U931" s="34" t="s">
        <v>1723</v>
      </c>
      <c r="V931" s="34" t="s">
        <v>1724</v>
      </c>
      <c r="W931" s="139">
        <v>20700051002</v>
      </c>
      <c r="X931" s="140" t="s">
        <v>745</v>
      </c>
    </row>
    <row r="932" spans="1:24" x14ac:dyDescent="0.35">
      <c r="A932" s="34">
        <v>2020</v>
      </c>
      <c r="B932" s="34" t="s">
        <v>614</v>
      </c>
      <c r="C932" s="34" t="s">
        <v>1723</v>
      </c>
      <c r="D932" s="34" t="s">
        <v>615</v>
      </c>
      <c r="E932" s="34" t="s">
        <v>1482</v>
      </c>
      <c r="F932" s="34" t="s">
        <v>276</v>
      </c>
      <c r="G932" s="34"/>
      <c r="H932" s="34">
        <v>38.814979999999998</v>
      </c>
      <c r="I932" s="34">
        <v>-78.2834</v>
      </c>
      <c r="J932" s="34"/>
      <c r="K932" s="105">
        <v>110054919406</v>
      </c>
      <c r="L932" s="34">
        <v>4953</v>
      </c>
      <c r="M932" s="48" t="str">
        <f>VLOOKUP(L932, '2017 SIC to NAICS'!A:D, 2)</f>
        <v>Refuse Systems</v>
      </c>
      <c r="N932" s="34">
        <f>VLOOKUP(L932,'2017 SIC to NAICS'!A:D,3)</f>
        <v>562920</v>
      </c>
      <c r="O932" s="34" t="str">
        <f>VLOOKUP(L932,'2017 SIC to NAICS'!A:D,4)</f>
        <v>Materials Recovery Facilities</v>
      </c>
      <c r="P932" s="36" t="s">
        <v>754</v>
      </c>
      <c r="Q932" s="137" t="s">
        <v>755</v>
      </c>
      <c r="R932" s="45" t="s">
        <v>40</v>
      </c>
      <c r="S932" s="138">
        <f>COUNTIFS('Raw Non-zero DMR Data'!$A:$A, A932, 'Raw Non-zero DMR Data'!$C:$C, U932, 'Raw Non-zero DMR Data'!$V:$V, V932)</f>
        <v>1</v>
      </c>
      <c r="T932" s="34">
        <f>SUMIFS('Raw Non-zero DMR Data'!$X:$X, 'Raw Non-zero DMR Data'!$A:$A, A932, 'Raw Non-zero DMR Data'!$C:$C, U932, 'Raw Non-zero DMR Data'!V:V, V932)</f>
        <v>8.8570873575000001E-4</v>
      </c>
      <c r="U932" s="34" t="s">
        <v>1723</v>
      </c>
      <c r="V932" s="34" t="s">
        <v>1724</v>
      </c>
      <c r="W932" s="139">
        <v>20700051002</v>
      </c>
      <c r="X932" s="140" t="s">
        <v>745</v>
      </c>
    </row>
    <row r="933" spans="1:24" x14ac:dyDescent="0.35">
      <c r="A933" s="34">
        <v>2021</v>
      </c>
      <c r="B933" s="34" t="s">
        <v>614</v>
      </c>
      <c r="C933" s="34" t="s">
        <v>1723</v>
      </c>
      <c r="D933" s="34" t="s">
        <v>615</v>
      </c>
      <c r="E933" s="34" t="s">
        <v>1482</v>
      </c>
      <c r="F933" s="34" t="s">
        <v>276</v>
      </c>
      <c r="G933" s="34"/>
      <c r="H933" s="34">
        <v>38.814979999999998</v>
      </c>
      <c r="I933" s="34">
        <v>-78.2834</v>
      </c>
      <c r="J933" s="34"/>
      <c r="K933" s="105">
        <v>110054919406</v>
      </c>
      <c r="L933" s="34">
        <v>4953</v>
      </c>
      <c r="M933" s="48" t="str">
        <f>VLOOKUP(L933, '2017 SIC to NAICS'!A:D, 2)</f>
        <v>Refuse Systems</v>
      </c>
      <c r="N933" s="34">
        <f>VLOOKUP(L933,'2017 SIC to NAICS'!A:D,3)</f>
        <v>562920</v>
      </c>
      <c r="O933" s="34" t="str">
        <f>VLOOKUP(L933,'2017 SIC to NAICS'!A:D,4)</f>
        <v>Materials Recovery Facilities</v>
      </c>
      <c r="P933" s="36" t="s">
        <v>754</v>
      </c>
      <c r="Q933" s="137" t="s">
        <v>755</v>
      </c>
      <c r="R933" s="45" t="s">
        <v>40</v>
      </c>
      <c r="S933" s="138">
        <f>COUNTIFS('Raw Non-zero DMR Data'!$A:$A, A933, 'Raw Non-zero DMR Data'!$C:$C, U933, 'Raw Non-zero DMR Data'!$V:$V, V933)</f>
        <v>1</v>
      </c>
      <c r="T933" s="34">
        <f>SUMIFS('Raw Non-zero DMR Data'!$X:$X, 'Raw Non-zero DMR Data'!$A:$A, A933, 'Raw Non-zero DMR Data'!$C:$C, U933, 'Raw Non-zero DMR Data'!V:V, V933)</f>
        <v>7.0008173774999995E-4</v>
      </c>
      <c r="U933" s="34" t="s">
        <v>1723</v>
      </c>
      <c r="V933" s="34" t="s">
        <v>1724</v>
      </c>
      <c r="W933" s="139">
        <v>20700051002</v>
      </c>
      <c r="X933" s="140" t="s">
        <v>745</v>
      </c>
    </row>
    <row r="934" spans="1:24" x14ac:dyDescent="0.35">
      <c r="A934" s="34">
        <v>2022</v>
      </c>
      <c r="B934" s="34" t="s">
        <v>614</v>
      </c>
      <c r="C934" s="34" t="s">
        <v>1723</v>
      </c>
      <c r="D934" s="34" t="s">
        <v>615</v>
      </c>
      <c r="E934" s="34" t="s">
        <v>1482</v>
      </c>
      <c r="F934" s="34" t="s">
        <v>276</v>
      </c>
      <c r="G934" s="34"/>
      <c r="H934" s="34">
        <v>38.814979999999998</v>
      </c>
      <c r="I934" s="34">
        <v>-78.2834</v>
      </c>
      <c r="J934" s="34"/>
      <c r="K934" s="105">
        <v>110054919406</v>
      </c>
      <c r="L934" s="34">
        <v>4953</v>
      </c>
      <c r="M934" s="48" t="str">
        <f>VLOOKUP(L934, '2017 SIC to NAICS'!A:D, 2)</f>
        <v>Refuse Systems</v>
      </c>
      <c r="N934" s="34">
        <f>VLOOKUP(L934,'2017 SIC to NAICS'!A:D,3)</f>
        <v>562920</v>
      </c>
      <c r="O934" s="34" t="str">
        <f>VLOOKUP(L934,'2017 SIC to NAICS'!A:D,4)</f>
        <v>Materials Recovery Facilities</v>
      </c>
      <c r="P934" s="36" t="s">
        <v>754</v>
      </c>
      <c r="Q934" s="137" t="s">
        <v>755</v>
      </c>
      <c r="R934" s="45" t="s">
        <v>40</v>
      </c>
      <c r="S934" s="138">
        <f>COUNTIFS('Raw Non-zero DMR Data'!$A:$A, A934, 'Raw Non-zero DMR Data'!$C:$C, U934, 'Raw Non-zero DMR Data'!$V:$V, V934)</f>
        <v>1</v>
      </c>
      <c r="T934" s="34">
        <f>SUMIFS('Raw Non-zero DMR Data'!$X:$X, 'Raw Non-zero DMR Data'!$A:$A, A934, 'Raw Non-zero DMR Data'!$C:$C, U934, 'Raw Non-zero DMR Data'!V:V, V934)</f>
        <v>2.2509001193459998E-3</v>
      </c>
      <c r="U934" s="34" t="s">
        <v>1723</v>
      </c>
      <c r="V934" s="34" t="s">
        <v>1724</v>
      </c>
      <c r="W934" s="141" t="s">
        <v>1725</v>
      </c>
      <c r="X934" s="140" t="s">
        <v>745</v>
      </c>
    </row>
    <row r="935" spans="1:24" x14ac:dyDescent="0.35">
      <c r="A935" s="34">
        <v>2023</v>
      </c>
      <c r="B935" s="34" t="s">
        <v>614</v>
      </c>
      <c r="C935" s="34" t="s">
        <v>1723</v>
      </c>
      <c r="D935" s="34" t="s">
        <v>615</v>
      </c>
      <c r="E935" s="34" t="s">
        <v>1482</v>
      </c>
      <c r="F935" s="34" t="s">
        <v>276</v>
      </c>
      <c r="G935" s="34"/>
      <c r="H935" s="34">
        <v>38.814979999999998</v>
      </c>
      <c r="I935" s="34">
        <v>-78.2834</v>
      </c>
      <c r="J935" s="34"/>
      <c r="K935" s="105">
        <v>110054919406</v>
      </c>
      <c r="L935" s="34">
        <v>4953</v>
      </c>
      <c r="M935" s="48" t="str">
        <f>VLOOKUP(L935, '2017 SIC to NAICS'!A:D, 2)</f>
        <v>Refuse Systems</v>
      </c>
      <c r="N935" s="34">
        <f>VLOOKUP(L935,'2017 SIC to NAICS'!A:D,3)</f>
        <v>562920</v>
      </c>
      <c r="O935" s="34" t="str">
        <f>VLOOKUP(L935,'2017 SIC to NAICS'!A:D,4)</f>
        <v>Materials Recovery Facilities</v>
      </c>
      <c r="P935" s="36" t="s">
        <v>754</v>
      </c>
      <c r="Q935" s="137" t="s">
        <v>755</v>
      </c>
      <c r="R935" s="45" t="s">
        <v>40</v>
      </c>
      <c r="S935" s="138">
        <f>COUNTIFS('Raw Non-zero DMR Data'!$A:$A, A935, 'Raw Non-zero DMR Data'!$C:$C, U935, 'Raw Non-zero DMR Data'!$V:$V, V935)</f>
        <v>1</v>
      </c>
      <c r="T935" s="34">
        <f>SUMIFS('Raw Non-zero DMR Data'!$X:$X, 'Raw Non-zero DMR Data'!$A:$A, A935, 'Raw Non-zero DMR Data'!$C:$C, U935, 'Raw Non-zero DMR Data'!V:V, V935)</f>
        <v>9.2350309624999998E-3</v>
      </c>
      <c r="U935" s="34" t="s">
        <v>1723</v>
      </c>
      <c r="V935" s="34" t="s">
        <v>1724</v>
      </c>
      <c r="W935" s="141" t="s">
        <v>1725</v>
      </c>
      <c r="X935" s="140" t="s">
        <v>745</v>
      </c>
    </row>
    <row r="936" spans="1:24" x14ac:dyDescent="0.35">
      <c r="A936" s="34">
        <v>2019</v>
      </c>
      <c r="B936" s="34" t="s">
        <v>524</v>
      </c>
      <c r="C936" s="34" t="s">
        <v>1726</v>
      </c>
      <c r="D936" s="34" t="s">
        <v>275</v>
      </c>
      <c r="E936" s="34" t="s">
        <v>1718</v>
      </c>
      <c r="F936" s="34" t="s">
        <v>276</v>
      </c>
      <c r="G936" s="34"/>
      <c r="H936" s="34">
        <v>38.882449999999999</v>
      </c>
      <c r="I936" s="34">
        <v>-77.108000000000004</v>
      </c>
      <c r="J936" s="34"/>
      <c r="K936" s="105">
        <v>110070549382</v>
      </c>
      <c r="L936" s="34">
        <v>1794</v>
      </c>
      <c r="M936" s="48" t="str">
        <f>VLOOKUP(L936, '2017 SIC to NAICS'!A:D, 2)</f>
        <v>Excavation Work</v>
      </c>
      <c r="N936" s="34">
        <f>VLOOKUP(L936,'2017 SIC to NAICS'!A:D,3)</f>
        <v>238910</v>
      </c>
      <c r="O936" s="34" t="str">
        <f>VLOOKUP(L936,'2017 SIC to NAICS'!A:D,4)</f>
        <v>Site Preparation Contractors</v>
      </c>
      <c r="P936" s="36" t="s">
        <v>731</v>
      </c>
      <c r="Q936" s="137" t="s">
        <v>732</v>
      </c>
      <c r="R936" s="45" t="s">
        <v>41</v>
      </c>
      <c r="S936" s="138">
        <f>COUNTIFS('Raw Non-zero DMR Data'!$A:$A, A936, 'Raw Non-zero DMR Data'!$C:$C, U936, 'Raw Non-zero DMR Data'!$V:$V, V936)</f>
        <v>1</v>
      </c>
      <c r="T936" s="34">
        <f>SUMIFS('Raw Non-zero DMR Data'!$X:$X, 'Raw Non-zero DMR Data'!$A:$A, A936, 'Raw Non-zero DMR Data'!$C:$C, U936, 'Raw Non-zero DMR Data'!V:V, V936)</f>
        <v>4.1026647272727201E-2</v>
      </c>
      <c r="U936" s="34" t="s">
        <v>1726</v>
      </c>
      <c r="V936" s="34" t="s">
        <v>1727</v>
      </c>
      <c r="W936" s="139">
        <v>20700100103</v>
      </c>
      <c r="X936" s="140" t="s">
        <v>734</v>
      </c>
    </row>
    <row r="937" spans="1:24" x14ac:dyDescent="0.35">
      <c r="A937" s="34">
        <v>2020</v>
      </c>
      <c r="B937" s="34" t="s">
        <v>524</v>
      </c>
      <c r="C937" s="34" t="s">
        <v>1726</v>
      </c>
      <c r="D937" s="34" t="s">
        <v>275</v>
      </c>
      <c r="E937" s="34" t="s">
        <v>1718</v>
      </c>
      <c r="F937" s="34" t="s">
        <v>276</v>
      </c>
      <c r="G937" s="34"/>
      <c r="H937" s="34">
        <v>38.882449999999999</v>
      </c>
      <c r="I937" s="34">
        <v>-77.108000000000004</v>
      </c>
      <c r="J937" s="34"/>
      <c r="K937" s="105">
        <v>110070549382</v>
      </c>
      <c r="L937" s="34">
        <v>1794</v>
      </c>
      <c r="M937" s="48" t="str">
        <f>VLOOKUP(L937, '2017 SIC to NAICS'!A:D, 2)</f>
        <v>Excavation Work</v>
      </c>
      <c r="N937" s="34">
        <f>VLOOKUP(L937,'2017 SIC to NAICS'!A:D,3)</f>
        <v>238910</v>
      </c>
      <c r="O937" s="34" t="str">
        <f>VLOOKUP(L937,'2017 SIC to NAICS'!A:D,4)</f>
        <v>Site Preparation Contractors</v>
      </c>
      <c r="P937" s="36" t="s">
        <v>731</v>
      </c>
      <c r="Q937" s="137" t="s">
        <v>732</v>
      </c>
      <c r="R937" s="45" t="s">
        <v>41</v>
      </c>
      <c r="S937" s="138">
        <f>COUNTIFS('Raw Non-zero DMR Data'!$A:$A, A937, 'Raw Non-zero DMR Data'!$C:$C, U937, 'Raw Non-zero DMR Data'!$V:$V, V937)</f>
        <v>1</v>
      </c>
      <c r="T937" s="34">
        <f>SUMIFS('Raw Non-zero DMR Data'!$X:$X, 'Raw Non-zero DMR Data'!$A:$A, A937, 'Raw Non-zero DMR Data'!$C:$C, U937, 'Raw Non-zero DMR Data'!V:V, V937)</f>
        <v>1.7600250000000001E-5</v>
      </c>
      <c r="U937" s="34" t="s">
        <v>1726</v>
      </c>
      <c r="V937" s="34" t="s">
        <v>1727</v>
      </c>
      <c r="W937" s="139">
        <v>20700100103</v>
      </c>
      <c r="X937" s="140" t="s">
        <v>734</v>
      </c>
    </row>
    <row r="938" spans="1:24" x14ac:dyDescent="0.35">
      <c r="A938" s="34">
        <v>2019</v>
      </c>
      <c r="B938" s="34" t="s">
        <v>401</v>
      </c>
      <c r="C938" s="34" t="s">
        <v>1728</v>
      </c>
      <c r="D938" s="34" t="s">
        <v>402</v>
      </c>
      <c r="E938" s="34" t="s">
        <v>1729</v>
      </c>
      <c r="F938" s="34" t="s">
        <v>276</v>
      </c>
      <c r="G938" s="34"/>
      <c r="H938" s="34">
        <v>38.890925000000003</v>
      </c>
      <c r="I938" s="34">
        <v>-77.184034999999994</v>
      </c>
      <c r="J938" s="34"/>
      <c r="K938" s="105">
        <v>110070548118</v>
      </c>
      <c r="L938" s="34">
        <v>1794</v>
      </c>
      <c r="M938" s="48" t="str">
        <f>VLOOKUP(L938, '2017 SIC to NAICS'!A:D, 2)</f>
        <v>Excavation Work</v>
      </c>
      <c r="N938" s="34">
        <f>VLOOKUP(L938,'2017 SIC to NAICS'!A:D,3)</f>
        <v>238910</v>
      </c>
      <c r="O938" s="34" t="str">
        <f>VLOOKUP(L938,'2017 SIC to NAICS'!A:D,4)</f>
        <v>Site Preparation Contractors</v>
      </c>
      <c r="P938" s="36" t="s">
        <v>731</v>
      </c>
      <c r="Q938" s="137" t="s">
        <v>732</v>
      </c>
      <c r="R938" s="45" t="s">
        <v>41</v>
      </c>
      <c r="S938" s="138">
        <f>COUNTIFS('Raw Non-zero DMR Data'!$A:$A, A938, 'Raw Non-zero DMR Data'!$C:$C, U938, 'Raw Non-zero DMR Data'!$V:$V, V938)</f>
        <v>1</v>
      </c>
      <c r="T938" s="34">
        <f>SUMIFS('Raw Non-zero DMR Data'!$X:$X, 'Raw Non-zero DMR Data'!$A:$A, A938, 'Raw Non-zero DMR Data'!$C:$C, U938, 'Raw Non-zero DMR Data'!V:V, V938)</f>
        <v>0.22186534499999999</v>
      </c>
      <c r="U938" s="34" t="s">
        <v>1728</v>
      </c>
      <c r="V938" s="34" t="s">
        <v>1730</v>
      </c>
      <c r="W938" s="139">
        <v>20700100302</v>
      </c>
      <c r="X938" s="140" t="s">
        <v>734</v>
      </c>
    </row>
    <row r="939" spans="1:24" x14ac:dyDescent="0.35">
      <c r="A939" s="34">
        <v>2020</v>
      </c>
      <c r="B939" s="34" t="s">
        <v>401</v>
      </c>
      <c r="C939" s="34" t="s">
        <v>1728</v>
      </c>
      <c r="D939" s="34" t="s">
        <v>402</v>
      </c>
      <c r="E939" s="34" t="s">
        <v>1729</v>
      </c>
      <c r="F939" s="34" t="s">
        <v>276</v>
      </c>
      <c r="G939" s="34"/>
      <c r="H939" s="34">
        <v>38.890925000000003</v>
      </c>
      <c r="I939" s="34">
        <v>-77.184034999999994</v>
      </c>
      <c r="J939" s="34"/>
      <c r="K939" s="105">
        <v>110070548118</v>
      </c>
      <c r="L939" s="34">
        <v>1794</v>
      </c>
      <c r="M939" s="48" t="str">
        <f>VLOOKUP(L939, '2017 SIC to NAICS'!A:D, 2)</f>
        <v>Excavation Work</v>
      </c>
      <c r="N939" s="34">
        <f>VLOOKUP(L939,'2017 SIC to NAICS'!A:D,3)</f>
        <v>238910</v>
      </c>
      <c r="O939" s="34" t="str">
        <f>VLOOKUP(L939,'2017 SIC to NAICS'!A:D,4)</f>
        <v>Site Preparation Contractors</v>
      </c>
      <c r="P939" s="36" t="s">
        <v>731</v>
      </c>
      <c r="Q939" s="137" t="s">
        <v>732</v>
      </c>
      <c r="R939" s="45" t="s">
        <v>41</v>
      </c>
      <c r="S939" s="138">
        <f>COUNTIFS('Raw Non-zero DMR Data'!$A:$A, A939, 'Raw Non-zero DMR Data'!$C:$C, U939, 'Raw Non-zero DMR Data'!$V:$V, V939)</f>
        <v>1</v>
      </c>
      <c r="T939" s="34">
        <f>SUMIFS('Raw Non-zero DMR Data'!$X:$X, 'Raw Non-zero DMR Data'!$A:$A, A939, 'Raw Non-zero DMR Data'!$C:$C, U939, 'Raw Non-zero DMR Data'!V:V, V939)</f>
        <v>8.4481200000000006E-2</v>
      </c>
      <c r="U939" s="34" t="s">
        <v>1728</v>
      </c>
      <c r="V939" s="34" t="s">
        <v>1730</v>
      </c>
      <c r="W939" s="139">
        <v>20700100302</v>
      </c>
      <c r="X939" s="140" t="s">
        <v>734</v>
      </c>
    </row>
    <row r="940" spans="1:24" x14ac:dyDescent="0.35">
      <c r="A940" s="34">
        <v>2019</v>
      </c>
      <c r="B940" s="34" t="s">
        <v>274</v>
      </c>
      <c r="C940" s="34" t="s">
        <v>1731</v>
      </c>
      <c r="D940" s="34" t="s">
        <v>275</v>
      </c>
      <c r="E940" s="34" t="s">
        <v>1718</v>
      </c>
      <c r="F940" s="34" t="s">
        <v>276</v>
      </c>
      <c r="G940" s="34"/>
      <c r="H940" s="34">
        <v>38.845162999999999</v>
      </c>
      <c r="I940" s="34">
        <v>-77.050687999999994</v>
      </c>
      <c r="J940" s="34"/>
      <c r="K940" s="105">
        <v>110070545578</v>
      </c>
      <c r="L940" s="34">
        <v>1794</v>
      </c>
      <c r="M940" s="48" t="str">
        <f>VLOOKUP(L940, '2017 SIC to NAICS'!A:D, 2)</f>
        <v>Excavation Work</v>
      </c>
      <c r="N940" s="34">
        <f>VLOOKUP(L940,'2017 SIC to NAICS'!A:D,3)</f>
        <v>238910</v>
      </c>
      <c r="O940" s="34" t="str">
        <f>VLOOKUP(L940,'2017 SIC to NAICS'!A:D,4)</f>
        <v>Site Preparation Contractors</v>
      </c>
      <c r="P940" s="36" t="s">
        <v>731</v>
      </c>
      <c r="Q940" s="137" t="s">
        <v>732</v>
      </c>
      <c r="R940" s="45" t="s">
        <v>41</v>
      </c>
      <c r="S940" s="138">
        <f>COUNTIFS('Raw Non-zero DMR Data'!$A:$A, A940, 'Raw Non-zero DMR Data'!$C:$C, U940, 'Raw Non-zero DMR Data'!$V:$V, V940)</f>
        <v>1</v>
      </c>
      <c r="T940" s="34">
        <f>SUMIFS('Raw Non-zero DMR Data'!$X:$X, 'Raw Non-zero DMR Data'!$A:$A, A940, 'Raw Non-zero DMR Data'!$C:$C, U940, 'Raw Non-zero DMR Data'!V:V, V940)</f>
        <v>1.50403096764375</v>
      </c>
      <c r="U940" s="34" t="s">
        <v>1731</v>
      </c>
      <c r="V940" s="34" t="s">
        <v>1711</v>
      </c>
      <c r="W940" s="139">
        <v>20700100301</v>
      </c>
      <c r="X940" s="140" t="s">
        <v>734</v>
      </c>
    </row>
    <row r="941" spans="1:24" x14ac:dyDescent="0.35">
      <c r="A941" s="34">
        <v>2020</v>
      </c>
      <c r="B941" s="34" t="s">
        <v>274</v>
      </c>
      <c r="C941" s="34" t="s">
        <v>1731</v>
      </c>
      <c r="D941" s="34" t="s">
        <v>275</v>
      </c>
      <c r="E941" s="34" t="s">
        <v>1718</v>
      </c>
      <c r="F941" s="34" t="s">
        <v>276</v>
      </c>
      <c r="G941" s="34"/>
      <c r="H941" s="34">
        <v>38.845162999999999</v>
      </c>
      <c r="I941" s="34">
        <v>-77.050687999999994</v>
      </c>
      <c r="J941" s="34"/>
      <c r="K941" s="105">
        <v>110070545578</v>
      </c>
      <c r="L941" s="34">
        <v>1794</v>
      </c>
      <c r="M941" s="48" t="str">
        <f>VLOOKUP(L941, '2017 SIC to NAICS'!A:D, 2)</f>
        <v>Excavation Work</v>
      </c>
      <c r="N941" s="34">
        <f>VLOOKUP(L941,'2017 SIC to NAICS'!A:D,3)</f>
        <v>238910</v>
      </c>
      <c r="O941" s="34" t="str">
        <f>VLOOKUP(L941,'2017 SIC to NAICS'!A:D,4)</f>
        <v>Site Preparation Contractors</v>
      </c>
      <c r="P941" s="36" t="s">
        <v>731</v>
      </c>
      <c r="Q941" s="137" t="s">
        <v>732</v>
      </c>
      <c r="R941" s="45" t="s">
        <v>41</v>
      </c>
      <c r="S941" s="138">
        <f>COUNTIFS('Raw Non-zero DMR Data'!$A:$A, A941, 'Raw Non-zero DMR Data'!$C:$C, U941, 'Raw Non-zero DMR Data'!$V:$V, V941)</f>
        <v>1</v>
      </c>
      <c r="T941" s="34">
        <f>SUMIFS('Raw Non-zero DMR Data'!$X:$X, 'Raw Non-zero DMR Data'!$A:$A, A941, 'Raw Non-zero DMR Data'!$C:$C, U941, 'Raw Non-zero DMR Data'!V:V, V941)</f>
        <v>1.8057090037500001E-2</v>
      </c>
      <c r="U941" s="34" t="s">
        <v>1731</v>
      </c>
      <c r="V941" s="34" t="s">
        <v>1711</v>
      </c>
      <c r="W941" s="139">
        <v>20700100301</v>
      </c>
      <c r="X941" s="140" t="s">
        <v>734</v>
      </c>
    </row>
    <row r="942" spans="1:24" x14ac:dyDescent="0.35">
      <c r="A942" s="34">
        <v>2019</v>
      </c>
      <c r="B942" s="34" t="s">
        <v>665</v>
      </c>
      <c r="C942" s="34" t="s">
        <v>1732</v>
      </c>
      <c r="D942" s="34" t="s">
        <v>396</v>
      </c>
      <c r="E942" s="34" t="s">
        <v>1733</v>
      </c>
      <c r="F942" s="34" t="s">
        <v>276</v>
      </c>
      <c r="G942" s="34"/>
      <c r="H942" s="34">
        <v>38.840600000000002</v>
      </c>
      <c r="I942" s="34">
        <v>-77.068200000000004</v>
      </c>
      <c r="J942" s="34"/>
      <c r="K942" s="105">
        <v>110070598729</v>
      </c>
      <c r="L942" s="34">
        <v>1794</v>
      </c>
      <c r="M942" s="48" t="str">
        <f>VLOOKUP(L942, '2017 SIC to NAICS'!A:D, 2)</f>
        <v>Excavation Work</v>
      </c>
      <c r="N942" s="34">
        <f>VLOOKUP(L942,'2017 SIC to NAICS'!A:D,3)</f>
        <v>238910</v>
      </c>
      <c r="O942" s="34" t="str">
        <f>VLOOKUP(L942,'2017 SIC to NAICS'!A:D,4)</f>
        <v>Site Preparation Contractors</v>
      </c>
      <c r="P942" s="36" t="s">
        <v>731</v>
      </c>
      <c r="Q942" s="137" t="s">
        <v>732</v>
      </c>
      <c r="R942" s="45" t="s">
        <v>41</v>
      </c>
      <c r="S942" s="138">
        <f>COUNTIFS('Raw Non-zero DMR Data'!$A:$A, A942, 'Raw Non-zero DMR Data'!$C:$C, U942, 'Raw Non-zero DMR Data'!$V:$V, V942)</f>
        <v>1</v>
      </c>
      <c r="T942" s="34">
        <f>SUMIFS('Raw Non-zero DMR Data'!$X:$X, 'Raw Non-zero DMR Data'!$A:$A, A942, 'Raw Non-zero DMR Data'!$C:$C, U942, 'Raw Non-zero DMR Data'!V:V, V942)</f>
        <v>1.42196394E-4</v>
      </c>
      <c r="U942" s="34" t="s">
        <v>1732</v>
      </c>
      <c r="V942" s="34" t="s">
        <v>1711</v>
      </c>
      <c r="W942" s="139">
        <v>20700100301</v>
      </c>
      <c r="X942" s="140" t="s">
        <v>734</v>
      </c>
    </row>
    <row r="943" spans="1:24" x14ac:dyDescent="0.35">
      <c r="A943" s="34">
        <v>2020</v>
      </c>
      <c r="B943" s="34" t="s">
        <v>665</v>
      </c>
      <c r="C943" s="34" t="s">
        <v>1732</v>
      </c>
      <c r="D943" s="34" t="s">
        <v>396</v>
      </c>
      <c r="E943" s="34" t="s">
        <v>1733</v>
      </c>
      <c r="F943" s="34" t="s">
        <v>276</v>
      </c>
      <c r="G943" s="34"/>
      <c r="H943" s="34">
        <v>38.840600000000002</v>
      </c>
      <c r="I943" s="34">
        <v>-77.068200000000004</v>
      </c>
      <c r="J943" s="34"/>
      <c r="K943" s="105">
        <v>110070598729</v>
      </c>
      <c r="L943" s="34">
        <v>1794</v>
      </c>
      <c r="M943" s="48" t="str">
        <f>VLOOKUP(L943, '2017 SIC to NAICS'!A:D, 2)</f>
        <v>Excavation Work</v>
      </c>
      <c r="N943" s="34">
        <f>VLOOKUP(L943,'2017 SIC to NAICS'!A:D,3)</f>
        <v>238910</v>
      </c>
      <c r="O943" s="34" t="str">
        <f>VLOOKUP(L943,'2017 SIC to NAICS'!A:D,4)</f>
        <v>Site Preparation Contractors</v>
      </c>
      <c r="P943" s="36" t="s">
        <v>731</v>
      </c>
      <c r="Q943" s="137" t="s">
        <v>732</v>
      </c>
      <c r="R943" s="45" t="s">
        <v>41</v>
      </c>
      <c r="S943" s="138">
        <f>COUNTIFS('Raw Non-zero DMR Data'!$A:$A, A943, 'Raw Non-zero DMR Data'!$C:$C, U943, 'Raw Non-zero DMR Data'!$V:$V, V943)</f>
        <v>1</v>
      </c>
      <c r="T943" s="34">
        <f>SUMIFS('Raw Non-zero DMR Data'!$X:$X, 'Raw Non-zero DMR Data'!$A:$A, A943, 'Raw Non-zero DMR Data'!$C:$C, U943, 'Raw Non-zero DMR Data'!V:V, V943)</f>
        <v>1.59854176E-3</v>
      </c>
      <c r="U943" s="34" t="s">
        <v>1732</v>
      </c>
      <c r="V943" s="34" t="s">
        <v>1711</v>
      </c>
      <c r="W943" s="139">
        <v>20700100301</v>
      </c>
      <c r="X943" s="140" t="s">
        <v>734</v>
      </c>
    </row>
    <row r="944" spans="1:24" x14ac:dyDescent="0.35">
      <c r="A944" s="34">
        <v>2021</v>
      </c>
      <c r="B944" s="34" t="s">
        <v>665</v>
      </c>
      <c r="C944" s="34" t="s">
        <v>1732</v>
      </c>
      <c r="D944" s="34" t="s">
        <v>396</v>
      </c>
      <c r="E944" s="34" t="s">
        <v>1733</v>
      </c>
      <c r="F944" s="34" t="s">
        <v>276</v>
      </c>
      <c r="G944" s="34"/>
      <c r="H944" s="34">
        <v>38.840600000000002</v>
      </c>
      <c r="I944" s="34">
        <v>-77.068200000000004</v>
      </c>
      <c r="J944" s="34"/>
      <c r="K944" s="105">
        <v>110070598729</v>
      </c>
      <c r="L944" s="34">
        <v>1794</v>
      </c>
      <c r="M944" s="48" t="str">
        <f>VLOOKUP(L944, '2017 SIC to NAICS'!A:D, 2)</f>
        <v>Excavation Work</v>
      </c>
      <c r="N944" s="34">
        <f>VLOOKUP(L944,'2017 SIC to NAICS'!A:D,3)</f>
        <v>238910</v>
      </c>
      <c r="O944" s="34" t="str">
        <f>VLOOKUP(L944,'2017 SIC to NAICS'!A:D,4)</f>
        <v>Site Preparation Contractors</v>
      </c>
      <c r="P944" s="36" t="s">
        <v>731</v>
      </c>
      <c r="Q944" s="137" t="s">
        <v>732</v>
      </c>
      <c r="R944" s="45" t="s">
        <v>41</v>
      </c>
      <c r="S944" s="138">
        <f>COUNTIFS('Raw Non-zero DMR Data'!$A:$A, A944, 'Raw Non-zero DMR Data'!$C:$C, U944, 'Raw Non-zero DMR Data'!$V:$V, V944)</f>
        <v>1</v>
      </c>
      <c r="T944" s="34">
        <f>SUMIFS('Raw Non-zero DMR Data'!$X:$X, 'Raw Non-zero DMR Data'!$A:$A, A944, 'Raw Non-zero DMR Data'!$C:$C, U944, 'Raw Non-zero DMR Data'!V:V, V944)</f>
        <v>9.9821805000000001E-5</v>
      </c>
      <c r="U944" s="34" t="s">
        <v>1732</v>
      </c>
      <c r="V944" s="34" t="s">
        <v>1711</v>
      </c>
      <c r="W944" s="139">
        <v>20700100301</v>
      </c>
      <c r="X944" s="140" t="s">
        <v>734</v>
      </c>
    </row>
    <row r="945" spans="1:24" x14ac:dyDescent="0.35">
      <c r="A945" s="34">
        <v>2019</v>
      </c>
      <c r="B945" s="34" t="s">
        <v>571</v>
      </c>
      <c r="C945" s="34" t="s">
        <v>1734</v>
      </c>
      <c r="D945" s="34" t="s">
        <v>572</v>
      </c>
      <c r="E945" s="34" t="s">
        <v>1735</v>
      </c>
      <c r="F945" s="34" t="s">
        <v>276</v>
      </c>
      <c r="G945" s="34"/>
      <c r="H945" s="34">
        <v>38.920251999999998</v>
      </c>
      <c r="I945" s="34">
        <v>-77.231944999999996</v>
      </c>
      <c r="J945" s="34"/>
      <c r="K945" s="105">
        <v>110070684897</v>
      </c>
      <c r="L945" s="34">
        <v>1794</v>
      </c>
      <c r="M945" s="48" t="str">
        <f>VLOOKUP(L945, '2017 SIC to NAICS'!A:D, 2)</f>
        <v>Excavation Work</v>
      </c>
      <c r="N945" s="34">
        <f>VLOOKUP(L945,'2017 SIC to NAICS'!A:D,3)</f>
        <v>238910</v>
      </c>
      <c r="O945" s="34" t="str">
        <f>VLOOKUP(L945,'2017 SIC to NAICS'!A:D,4)</f>
        <v>Site Preparation Contractors</v>
      </c>
      <c r="P945" s="36" t="s">
        <v>731</v>
      </c>
      <c r="Q945" s="137" t="s">
        <v>732</v>
      </c>
      <c r="R945" s="45" t="s">
        <v>41</v>
      </c>
      <c r="S945" s="138">
        <f>COUNTIFS('Raw Non-zero DMR Data'!$A:$A, A945, 'Raw Non-zero DMR Data'!$C:$C, U945, 'Raw Non-zero DMR Data'!$V:$V, V945)</f>
        <v>1</v>
      </c>
      <c r="T945" s="34">
        <f>SUMIFS('Raw Non-zero DMR Data'!$X:$X, 'Raw Non-zero DMR Data'!$A:$A, A945, 'Raw Non-zero DMR Data'!$C:$C, U945, 'Raw Non-zero DMR Data'!V:V, V945)</f>
        <v>1.0137744000000001E-2</v>
      </c>
      <c r="U945" s="34" t="s">
        <v>1734</v>
      </c>
      <c r="V945" s="34" t="s">
        <v>1716</v>
      </c>
      <c r="W945" s="139">
        <v>20700081004</v>
      </c>
      <c r="X945" s="140" t="s">
        <v>734</v>
      </c>
    </row>
    <row r="946" spans="1:24" x14ac:dyDescent="0.35">
      <c r="A946" s="34">
        <v>2020</v>
      </c>
      <c r="B946" s="34" t="s">
        <v>571</v>
      </c>
      <c r="C946" s="34" t="s">
        <v>1734</v>
      </c>
      <c r="D946" s="34" t="s">
        <v>572</v>
      </c>
      <c r="E946" s="34" t="s">
        <v>1735</v>
      </c>
      <c r="F946" s="34" t="s">
        <v>276</v>
      </c>
      <c r="G946" s="34"/>
      <c r="H946" s="34">
        <v>38.920251999999998</v>
      </c>
      <c r="I946" s="34">
        <v>-77.231944999999996</v>
      </c>
      <c r="J946" s="34"/>
      <c r="K946" s="105">
        <v>110070684897</v>
      </c>
      <c r="L946" s="34">
        <v>1794</v>
      </c>
      <c r="M946" s="48" t="str">
        <f>VLOOKUP(L946, '2017 SIC to NAICS'!A:D, 2)</f>
        <v>Excavation Work</v>
      </c>
      <c r="N946" s="34">
        <f>VLOOKUP(L946,'2017 SIC to NAICS'!A:D,3)</f>
        <v>238910</v>
      </c>
      <c r="O946" s="34" t="str">
        <f>VLOOKUP(L946,'2017 SIC to NAICS'!A:D,4)</f>
        <v>Site Preparation Contractors</v>
      </c>
      <c r="P946" s="36" t="s">
        <v>731</v>
      </c>
      <c r="Q946" s="137" t="s">
        <v>732</v>
      </c>
      <c r="R946" s="45" t="s">
        <v>41</v>
      </c>
      <c r="S946" s="138">
        <f>COUNTIFS('Raw Non-zero DMR Data'!$A:$A, A946, 'Raw Non-zero DMR Data'!$C:$C, U946, 'Raw Non-zero DMR Data'!$V:$V, V946)</f>
        <v>1</v>
      </c>
      <c r="T946" s="34">
        <f>SUMIFS('Raw Non-zero DMR Data'!$X:$X, 'Raw Non-zero DMR Data'!$A:$A, A946, 'Raw Non-zero DMR Data'!$C:$C, U946, 'Raw Non-zero DMR Data'!V:V, V946)</f>
        <v>1.9963328727272699E-2</v>
      </c>
      <c r="U946" s="34" t="s">
        <v>1734</v>
      </c>
      <c r="V946" s="34" t="s">
        <v>1716</v>
      </c>
      <c r="W946" s="139">
        <v>20700081004</v>
      </c>
      <c r="X946" s="140" t="s">
        <v>734</v>
      </c>
    </row>
    <row r="947" spans="1:24" x14ac:dyDescent="0.35">
      <c r="A947" s="34">
        <v>2021</v>
      </c>
      <c r="B947" s="34" t="s">
        <v>571</v>
      </c>
      <c r="C947" s="34" t="s">
        <v>1734</v>
      </c>
      <c r="D947" s="34" t="s">
        <v>572</v>
      </c>
      <c r="E947" s="34" t="s">
        <v>1735</v>
      </c>
      <c r="F947" s="34" t="s">
        <v>276</v>
      </c>
      <c r="G947" s="34"/>
      <c r="H947" s="34">
        <v>38.920251999999998</v>
      </c>
      <c r="I947" s="34">
        <v>-77.231944999999996</v>
      </c>
      <c r="J947" s="34"/>
      <c r="K947" s="105">
        <v>110070684897</v>
      </c>
      <c r="L947" s="34">
        <v>1794</v>
      </c>
      <c r="M947" s="48" t="str">
        <f>VLOOKUP(L947, '2017 SIC to NAICS'!A:D, 2)</f>
        <v>Excavation Work</v>
      </c>
      <c r="N947" s="34">
        <f>VLOOKUP(L947,'2017 SIC to NAICS'!A:D,3)</f>
        <v>238910</v>
      </c>
      <c r="O947" s="34" t="str">
        <f>VLOOKUP(L947,'2017 SIC to NAICS'!A:D,4)</f>
        <v>Site Preparation Contractors</v>
      </c>
      <c r="P947" s="36" t="s">
        <v>731</v>
      </c>
      <c r="Q947" s="137" t="s">
        <v>732</v>
      </c>
      <c r="R947" s="45" t="s">
        <v>41</v>
      </c>
      <c r="S947" s="138">
        <f>COUNTIFS('Raw Non-zero DMR Data'!$A:$A, A947, 'Raw Non-zero DMR Data'!$C:$C, U947, 'Raw Non-zero DMR Data'!$V:$V, V947)</f>
        <v>1</v>
      </c>
      <c r="T947" s="34">
        <f>SUMIFS('Raw Non-zero DMR Data'!$X:$X, 'Raw Non-zero DMR Data'!$A:$A, A947, 'Raw Non-zero DMR Data'!$C:$C, U947, 'Raw Non-zero DMR Data'!V:V, V947)</f>
        <v>6.9788700550000001E-3</v>
      </c>
      <c r="U947" s="34" t="s">
        <v>1734</v>
      </c>
      <c r="V947" s="34" t="s">
        <v>1716</v>
      </c>
      <c r="W947" s="139">
        <v>20700081004</v>
      </c>
      <c r="X947" s="140" t="s">
        <v>734</v>
      </c>
    </row>
    <row r="948" spans="1:24" x14ac:dyDescent="0.35">
      <c r="A948" s="34">
        <v>2022</v>
      </c>
      <c r="B948" s="34" t="s">
        <v>571</v>
      </c>
      <c r="C948" s="34" t="s">
        <v>1734</v>
      </c>
      <c r="D948" s="34" t="s">
        <v>572</v>
      </c>
      <c r="E948" s="34" t="s">
        <v>1735</v>
      </c>
      <c r="F948" s="34" t="s">
        <v>276</v>
      </c>
      <c r="G948" s="34"/>
      <c r="H948" s="34">
        <v>38.920251999999998</v>
      </c>
      <c r="I948" s="34">
        <v>-77.231944999999996</v>
      </c>
      <c r="J948" s="34"/>
      <c r="K948" s="105">
        <v>110070684897</v>
      </c>
      <c r="L948" s="34">
        <v>1794</v>
      </c>
      <c r="M948" s="48" t="str">
        <f>VLOOKUP(L948, '2017 SIC to NAICS'!A:D, 2)</f>
        <v>Excavation Work</v>
      </c>
      <c r="N948" s="34">
        <f>VLOOKUP(L948,'2017 SIC to NAICS'!A:D,3)</f>
        <v>238910</v>
      </c>
      <c r="O948" s="34" t="str">
        <f>VLOOKUP(L948,'2017 SIC to NAICS'!A:D,4)</f>
        <v>Site Preparation Contractors</v>
      </c>
      <c r="P948" s="36" t="s">
        <v>731</v>
      </c>
      <c r="Q948" s="137" t="s">
        <v>732</v>
      </c>
      <c r="R948" s="45" t="s">
        <v>41</v>
      </c>
      <c r="S948" s="138">
        <f>COUNTIFS('Raw Non-zero DMR Data'!$A:$A, A948, 'Raw Non-zero DMR Data'!$C:$C, U948, 'Raw Non-zero DMR Data'!$V:$V, V948)</f>
        <v>1</v>
      </c>
      <c r="T948" s="34">
        <f>SUMIFS('Raw Non-zero DMR Data'!$X:$X, 'Raw Non-zero DMR Data'!$A:$A, A948, 'Raw Non-zero DMR Data'!$C:$C, U948, 'Raw Non-zero DMR Data'!V:V, V948)</f>
        <v>5.1380845099999999E-3</v>
      </c>
      <c r="U948" s="34" t="s">
        <v>1734</v>
      </c>
      <c r="V948" s="34" t="s">
        <v>1716</v>
      </c>
      <c r="W948" s="141" t="s">
        <v>1736</v>
      </c>
      <c r="X948" s="140" t="s">
        <v>734</v>
      </c>
    </row>
    <row r="949" spans="1:24" x14ac:dyDescent="0.35">
      <c r="A949" s="34">
        <v>2023</v>
      </c>
      <c r="B949" s="34" t="s">
        <v>571</v>
      </c>
      <c r="C949" s="34" t="s">
        <v>1734</v>
      </c>
      <c r="D949" s="34" t="s">
        <v>572</v>
      </c>
      <c r="E949" s="34" t="s">
        <v>1735</v>
      </c>
      <c r="F949" s="34" t="s">
        <v>276</v>
      </c>
      <c r="G949" s="34"/>
      <c r="H949" s="34">
        <v>38.920251999999998</v>
      </c>
      <c r="I949" s="34">
        <v>-77.231944999999996</v>
      </c>
      <c r="J949" s="34"/>
      <c r="K949" s="105">
        <v>110070684897</v>
      </c>
      <c r="L949" s="34">
        <v>1794</v>
      </c>
      <c r="M949" s="48" t="str">
        <f>VLOOKUP(L949, '2017 SIC to NAICS'!A:D, 2)</f>
        <v>Excavation Work</v>
      </c>
      <c r="N949" s="34">
        <f>VLOOKUP(L949,'2017 SIC to NAICS'!A:D,3)</f>
        <v>238910</v>
      </c>
      <c r="O949" s="34" t="str">
        <f>VLOOKUP(L949,'2017 SIC to NAICS'!A:D,4)</f>
        <v>Site Preparation Contractors</v>
      </c>
      <c r="P949" s="36" t="s">
        <v>731</v>
      </c>
      <c r="Q949" s="137" t="s">
        <v>732</v>
      </c>
      <c r="R949" s="45" t="s">
        <v>41</v>
      </c>
      <c r="S949" s="138">
        <f>COUNTIFS('Raw Non-zero DMR Data'!$A:$A, A949, 'Raw Non-zero DMR Data'!$C:$C, U949, 'Raw Non-zero DMR Data'!$V:$V, V949)</f>
        <v>1</v>
      </c>
      <c r="T949" s="34">
        <f>SUMIFS('Raw Non-zero DMR Data'!$X:$X, 'Raw Non-zero DMR Data'!$A:$A, A949, 'Raw Non-zero DMR Data'!$C:$C, U949, 'Raw Non-zero DMR Data'!V:V, V949)</f>
        <v>4.3259948672727203E-3</v>
      </c>
      <c r="U949" s="34" t="s">
        <v>1734</v>
      </c>
      <c r="V949" s="34" t="s">
        <v>1716</v>
      </c>
      <c r="W949" s="141" t="s">
        <v>1736</v>
      </c>
      <c r="X949" s="140" t="s">
        <v>734</v>
      </c>
    </row>
    <row r="950" spans="1:24" x14ac:dyDescent="0.35">
      <c r="A950" s="34">
        <v>2020</v>
      </c>
      <c r="B950" s="34" t="s">
        <v>395</v>
      </c>
      <c r="C950" s="34" t="s">
        <v>1737</v>
      </c>
      <c r="D950" s="34" t="s">
        <v>396</v>
      </c>
      <c r="E950" s="34" t="s">
        <v>1733</v>
      </c>
      <c r="F950" s="34" t="s">
        <v>276</v>
      </c>
      <c r="G950" s="34"/>
      <c r="H950" s="34">
        <v>38.810879999999997</v>
      </c>
      <c r="I950" s="34">
        <v>-77.042289999999994</v>
      </c>
      <c r="J950" s="34"/>
      <c r="K950" s="105">
        <v>110070885683</v>
      </c>
      <c r="L950" s="34">
        <v>1794</v>
      </c>
      <c r="M950" s="48" t="str">
        <f>VLOOKUP(L950, '2017 SIC to NAICS'!A:D, 2)</f>
        <v>Excavation Work</v>
      </c>
      <c r="N950" s="34">
        <f>VLOOKUP(L950,'2017 SIC to NAICS'!A:D,3)</f>
        <v>238910</v>
      </c>
      <c r="O950" s="34" t="str">
        <f>VLOOKUP(L950,'2017 SIC to NAICS'!A:D,4)</f>
        <v>Site Preparation Contractors</v>
      </c>
      <c r="P950" s="36" t="s">
        <v>731</v>
      </c>
      <c r="Q950" s="137" t="s">
        <v>732</v>
      </c>
      <c r="R950" s="45" t="s">
        <v>41</v>
      </c>
      <c r="S950" s="138">
        <f>COUNTIFS('Raw Non-zero DMR Data'!$A:$A, A950, 'Raw Non-zero DMR Data'!$C:$C, U950, 'Raw Non-zero DMR Data'!$V:$V, V950)</f>
        <v>1</v>
      </c>
      <c r="T950" s="34">
        <f>SUMIFS('Raw Non-zero DMR Data'!$X:$X, 'Raw Non-zero DMR Data'!$A:$A, A950, 'Raw Non-zero DMR Data'!$C:$C, U950, 'Raw Non-zero DMR Data'!V:V, V950)</f>
        <v>0.24413116692299999</v>
      </c>
      <c r="U950" s="34" t="s">
        <v>1737</v>
      </c>
      <c r="V950" s="34" t="s">
        <v>1711</v>
      </c>
      <c r="W950" s="139">
        <v>20700100301</v>
      </c>
      <c r="X950" s="140" t="s">
        <v>734</v>
      </c>
    </row>
    <row r="951" spans="1:24" x14ac:dyDescent="0.35">
      <c r="A951" s="34">
        <v>2020</v>
      </c>
      <c r="B951" s="34" t="s">
        <v>676</v>
      </c>
      <c r="C951" s="34" t="s">
        <v>1738</v>
      </c>
      <c r="D951" s="34" t="s">
        <v>396</v>
      </c>
      <c r="E951" s="34" t="s">
        <v>1733</v>
      </c>
      <c r="F951" s="34" t="s">
        <v>276</v>
      </c>
      <c r="G951" s="34"/>
      <c r="H951" s="34">
        <v>38.803499000000002</v>
      </c>
      <c r="I951" s="34">
        <v>-77.069463999999996</v>
      </c>
      <c r="J951" s="34"/>
      <c r="K951" s="105">
        <v>110070884090</v>
      </c>
      <c r="L951" s="34">
        <v>1794</v>
      </c>
      <c r="M951" s="48" t="str">
        <f>VLOOKUP(L951, '2017 SIC to NAICS'!A:D, 2)</f>
        <v>Excavation Work</v>
      </c>
      <c r="N951" s="34">
        <f>VLOOKUP(L951,'2017 SIC to NAICS'!A:D,3)</f>
        <v>238910</v>
      </c>
      <c r="O951" s="34" t="str">
        <f>VLOOKUP(L951,'2017 SIC to NAICS'!A:D,4)</f>
        <v>Site Preparation Contractors</v>
      </c>
      <c r="P951" s="36" t="s">
        <v>731</v>
      </c>
      <c r="Q951" s="137" t="s">
        <v>732</v>
      </c>
      <c r="R951" s="45" t="s">
        <v>41</v>
      </c>
      <c r="S951" s="138">
        <f>COUNTIFS('Raw Non-zero DMR Data'!$A:$A, A951, 'Raw Non-zero DMR Data'!$C:$C, U951, 'Raw Non-zero DMR Data'!$V:$V, V951)</f>
        <v>1</v>
      </c>
      <c r="T951" s="34">
        <f>SUMIFS('Raw Non-zero DMR Data'!$X:$X, 'Raw Non-zero DMR Data'!$A:$A, A951, 'Raw Non-zero DMR Data'!$C:$C, U951, 'Raw Non-zero DMR Data'!V:V, V951)</f>
        <v>1.0046147E-3</v>
      </c>
      <c r="U951" s="34" t="s">
        <v>1738</v>
      </c>
      <c r="V951" s="34" t="s">
        <v>1730</v>
      </c>
      <c r="W951" s="139">
        <v>20700100302</v>
      </c>
      <c r="X951" s="140" t="s">
        <v>734</v>
      </c>
    </row>
    <row r="952" spans="1:24" x14ac:dyDescent="0.35">
      <c r="A952" s="34">
        <v>2020</v>
      </c>
      <c r="B952" s="34" t="s">
        <v>430</v>
      </c>
      <c r="C952" s="34" t="s">
        <v>1739</v>
      </c>
      <c r="D952" s="34" t="s">
        <v>275</v>
      </c>
      <c r="E952" s="34" t="s">
        <v>1718</v>
      </c>
      <c r="F952" s="34" t="s">
        <v>276</v>
      </c>
      <c r="G952" s="34"/>
      <c r="H952" s="34">
        <v>38.86157</v>
      </c>
      <c r="I952" s="34">
        <v>-77.053929999999994</v>
      </c>
      <c r="J952" s="34"/>
      <c r="K952" s="105">
        <v>110070882213</v>
      </c>
      <c r="L952" s="34">
        <v>7521</v>
      </c>
      <c r="M952" s="48" t="str">
        <f>VLOOKUP(L952, '2017 SIC to NAICS'!A:D, 2)</f>
        <v>Automobile Parking</v>
      </c>
      <c r="N952" s="34">
        <f>VLOOKUP(L952,'2017 SIC to NAICS'!A:D,3)</f>
        <v>812930</v>
      </c>
      <c r="O952" s="34" t="str">
        <f>VLOOKUP(L952,'2017 SIC to NAICS'!A:D,4)</f>
        <v>Parking Lots and Garages</v>
      </c>
      <c r="P952" s="36" t="s">
        <v>737</v>
      </c>
      <c r="Q952" s="137" t="s">
        <v>737</v>
      </c>
      <c r="R952" s="45" t="s">
        <v>41</v>
      </c>
      <c r="S952" s="138">
        <f>COUNTIFS('Raw Non-zero DMR Data'!$A:$A, A952, 'Raw Non-zero DMR Data'!$C:$C, U952, 'Raw Non-zero DMR Data'!$V:$V, V952)</f>
        <v>1</v>
      </c>
      <c r="T952" s="34">
        <f>SUMIFS('Raw Non-zero DMR Data'!$X:$X, 'Raw Non-zero DMR Data'!$A:$A, A952, 'Raw Non-zero DMR Data'!$C:$C, U952, 'Raw Non-zero DMR Data'!V:V, V952)</f>
        <v>0.155423897088</v>
      </c>
      <c r="U952" s="34" t="s">
        <v>1739</v>
      </c>
      <c r="V952" s="34" t="s">
        <v>1727</v>
      </c>
      <c r="W952" s="139">
        <v>20700100103</v>
      </c>
      <c r="X952" s="140" t="s">
        <v>792</v>
      </c>
    </row>
    <row r="953" spans="1:24" x14ac:dyDescent="0.35">
      <c r="A953" s="34">
        <v>2021</v>
      </c>
      <c r="B953" s="34" t="s">
        <v>430</v>
      </c>
      <c r="C953" s="34" t="s">
        <v>1739</v>
      </c>
      <c r="D953" s="34" t="s">
        <v>275</v>
      </c>
      <c r="E953" s="34" t="s">
        <v>1718</v>
      </c>
      <c r="F953" s="34" t="s">
        <v>276</v>
      </c>
      <c r="G953" s="34"/>
      <c r="H953" s="34">
        <v>38.86157</v>
      </c>
      <c r="I953" s="34">
        <v>-77.053929999999994</v>
      </c>
      <c r="J953" s="34"/>
      <c r="K953" s="105">
        <v>110070882213</v>
      </c>
      <c r="L953" s="34">
        <v>7521</v>
      </c>
      <c r="M953" s="48" t="str">
        <f>VLOOKUP(L953, '2017 SIC to NAICS'!A:D, 2)</f>
        <v>Automobile Parking</v>
      </c>
      <c r="N953" s="34">
        <f>VLOOKUP(L953,'2017 SIC to NAICS'!A:D,3)</f>
        <v>812930</v>
      </c>
      <c r="O953" s="34" t="str">
        <f>VLOOKUP(L953,'2017 SIC to NAICS'!A:D,4)</f>
        <v>Parking Lots and Garages</v>
      </c>
      <c r="P953" s="36" t="s">
        <v>737</v>
      </c>
      <c r="Q953" s="137" t="s">
        <v>737</v>
      </c>
      <c r="R953" s="45" t="s">
        <v>41</v>
      </c>
      <c r="S953" s="138">
        <f>COUNTIFS('Raw Non-zero DMR Data'!$A:$A, A953, 'Raw Non-zero DMR Data'!$C:$C, U953, 'Raw Non-zero DMR Data'!$V:$V, V953)</f>
        <v>1</v>
      </c>
      <c r="T953" s="34">
        <f>SUMIFS('Raw Non-zero DMR Data'!$X:$X, 'Raw Non-zero DMR Data'!$A:$A, A953, 'Raw Non-zero DMR Data'!$C:$C, U953, 'Raw Non-zero DMR Data'!V:V, V953)</f>
        <v>3.7453331999999999E-2</v>
      </c>
      <c r="U953" s="34" t="s">
        <v>1739</v>
      </c>
      <c r="V953" s="34" t="s">
        <v>1727</v>
      </c>
      <c r="W953" s="139">
        <v>20700100103</v>
      </c>
      <c r="X953" s="140" t="s">
        <v>792</v>
      </c>
    </row>
    <row r="954" spans="1:24" x14ac:dyDescent="0.35">
      <c r="A954" s="34">
        <v>2021</v>
      </c>
      <c r="B954" s="34" t="s">
        <v>579</v>
      </c>
      <c r="C954" s="34" t="s">
        <v>1740</v>
      </c>
      <c r="D954" s="34" t="s">
        <v>275</v>
      </c>
      <c r="E954" s="34" t="s">
        <v>1718</v>
      </c>
      <c r="F954" s="34" t="s">
        <v>276</v>
      </c>
      <c r="G954" s="34"/>
      <c r="H954" s="34">
        <v>38.8568</v>
      </c>
      <c r="I954" s="34">
        <v>-77.049700000000001</v>
      </c>
      <c r="J954" s="34"/>
      <c r="K954" s="105">
        <v>110070884188</v>
      </c>
      <c r="L954" s="34">
        <v>1794</v>
      </c>
      <c r="M954" s="48" t="str">
        <f>VLOOKUP(L954, '2017 SIC to NAICS'!A:D, 2)</f>
        <v>Excavation Work</v>
      </c>
      <c r="N954" s="34">
        <f>VLOOKUP(L954,'2017 SIC to NAICS'!A:D,3)</f>
        <v>238910</v>
      </c>
      <c r="O954" s="34" t="str">
        <f>VLOOKUP(L954,'2017 SIC to NAICS'!A:D,4)</f>
        <v>Site Preparation Contractors</v>
      </c>
      <c r="P954" s="36" t="s">
        <v>731</v>
      </c>
      <c r="Q954" s="137" t="s">
        <v>732</v>
      </c>
      <c r="R954" s="45" t="s">
        <v>41</v>
      </c>
      <c r="S954" s="138">
        <f>COUNTIFS('Raw Non-zero DMR Data'!$A:$A, A954, 'Raw Non-zero DMR Data'!$C:$C, U954, 'Raw Non-zero DMR Data'!$V:$V, V954)</f>
        <v>1</v>
      </c>
      <c r="T954" s="34">
        <f>SUMIFS('Raw Non-zero DMR Data'!$X:$X, 'Raw Non-zero DMR Data'!$A:$A, A954, 'Raw Non-zero DMR Data'!$C:$C, U954, 'Raw Non-zero DMR Data'!V:V, V954)</f>
        <v>1.7495784E-2</v>
      </c>
      <c r="U954" s="34" t="s">
        <v>1740</v>
      </c>
      <c r="V954" s="34" t="s">
        <v>1727</v>
      </c>
      <c r="W954" s="139">
        <v>20700100103</v>
      </c>
      <c r="X954" s="140" t="s">
        <v>734</v>
      </c>
    </row>
    <row r="955" spans="1:24" x14ac:dyDescent="0.35">
      <c r="A955" s="34">
        <v>2022</v>
      </c>
      <c r="B955" s="34" t="s">
        <v>579</v>
      </c>
      <c r="C955" s="34" t="s">
        <v>1740</v>
      </c>
      <c r="D955" s="34" t="s">
        <v>275</v>
      </c>
      <c r="E955" s="34" t="s">
        <v>1718</v>
      </c>
      <c r="F955" s="34" t="s">
        <v>276</v>
      </c>
      <c r="G955" s="34"/>
      <c r="H955" s="34">
        <v>38.8568</v>
      </c>
      <c r="I955" s="34">
        <v>-77.049700000000001</v>
      </c>
      <c r="J955" s="34"/>
      <c r="K955" s="105">
        <v>110070884188</v>
      </c>
      <c r="L955" s="34">
        <v>1794</v>
      </c>
      <c r="M955" s="48" t="str">
        <f>VLOOKUP(L955, '2017 SIC to NAICS'!A:D, 2)</f>
        <v>Excavation Work</v>
      </c>
      <c r="N955" s="34">
        <f>VLOOKUP(L955,'2017 SIC to NAICS'!A:D,3)</f>
        <v>238910</v>
      </c>
      <c r="O955" s="34" t="str">
        <f>VLOOKUP(L955,'2017 SIC to NAICS'!A:D,4)</f>
        <v>Site Preparation Contractors</v>
      </c>
      <c r="P955" s="36" t="s">
        <v>731</v>
      </c>
      <c r="Q955" s="137" t="s">
        <v>732</v>
      </c>
      <c r="R955" s="45" t="s">
        <v>41</v>
      </c>
      <c r="S955" s="138">
        <f>COUNTIFS('Raw Non-zero DMR Data'!$A:$A, A955, 'Raw Non-zero DMR Data'!$C:$C, U955, 'Raw Non-zero DMR Data'!$V:$V, V955)</f>
        <v>1</v>
      </c>
      <c r="T955" s="34">
        <f>SUMIFS('Raw Non-zero DMR Data'!$X:$X, 'Raw Non-zero DMR Data'!$A:$A, A955, 'Raw Non-zero DMR Data'!$C:$C, U955, 'Raw Non-zero DMR Data'!V:V, V955)</f>
        <v>1.4470812E-2</v>
      </c>
      <c r="U955" s="34" t="s">
        <v>1740</v>
      </c>
      <c r="V955" s="34" t="s">
        <v>1727</v>
      </c>
      <c r="W955" s="141" t="s">
        <v>1741</v>
      </c>
      <c r="X955" s="140" t="s">
        <v>734</v>
      </c>
    </row>
    <row r="956" spans="1:24" x14ac:dyDescent="0.35">
      <c r="A956" s="34">
        <v>2022</v>
      </c>
      <c r="B956" s="34" t="s">
        <v>644</v>
      </c>
      <c r="C956" s="34" t="s">
        <v>1742</v>
      </c>
      <c r="D956" s="34" t="s">
        <v>645</v>
      </c>
      <c r="E956" s="34" t="s">
        <v>1743</v>
      </c>
      <c r="F956" s="34" t="s">
        <v>276</v>
      </c>
      <c r="G956" s="34"/>
      <c r="H956" s="34">
        <v>36.847490000000001</v>
      </c>
      <c r="I956" s="34">
        <v>-76.026436000000004</v>
      </c>
      <c r="J956" s="34"/>
      <c r="K956" s="105">
        <v>110070884760</v>
      </c>
      <c r="L956" s="34">
        <v>1799</v>
      </c>
      <c r="M956" s="48" t="str">
        <f>VLOOKUP(L956, '2017 SIC to NAICS'!A:D, 2)</f>
        <v>Special Trade Contractors, Nec</v>
      </c>
      <c r="N956" s="34">
        <f>VLOOKUP(L956,'2017 SIC to NAICS'!A:D,3)</f>
        <v>562910</v>
      </c>
      <c r="O956" s="34" t="str">
        <f>VLOOKUP(L956,'2017 SIC to NAICS'!A:D,4)</f>
        <v>Remediation Services</v>
      </c>
      <c r="P956" s="36" t="s">
        <v>754</v>
      </c>
      <c r="Q956" s="137" t="s">
        <v>755</v>
      </c>
      <c r="R956" s="45" t="s">
        <v>41</v>
      </c>
      <c r="S956" s="138">
        <f>COUNTIFS('Raw Non-zero DMR Data'!$A:$A, A956, 'Raw Non-zero DMR Data'!$C:$C, U956, 'Raw Non-zero DMR Data'!$V:$V, V956)</f>
        <v>1</v>
      </c>
      <c r="T956" s="34">
        <f>SUMIFS('Raw Non-zero DMR Data'!$X:$X, 'Raw Non-zero DMR Data'!$A:$A, A956, 'Raw Non-zero DMR Data'!$C:$C, U956, 'Raw Non-zero DMR Data'!V:V, V956)</f>
        <v>4.2405722345454496E-3</v>
      </c>
      <c r="U956" s="34" t="s">
        <v>1742</v>
      </c>
      <c r="V956" s="34" t="s">
        <v>1744</v>
      </c>
      <c r="W956" s="141" t="s">
        <v>1745</v>
      </c>
      <c r="X956" s="140" t="s">
        <v>739</v>
      </c>
    </row>
    <row r="957" spans="1:24" x14ac:dyDescent="0.35">
      <c r="A957" s="34">
        <v>2020</v>
      </c>
      <c r="B957" s="34" t="s">
        <v>397</v>
      </c>
      <c r="C957" s="34" t="s">
        <v>1746</v>
      </c>
      <c r="D957" s="34" t="s">
        <v>396</v>
      </c>
      <c r="E957" s="34" t="s">
        <v>1733</v>
      </c>
      <c r="F957" s="34" t="s">
        <v>276</v>
      </c>
      <c r="G957" s="34"/>
      <c r="H957" s="34">
        <v>38.828830000000004</v>
      </c>
      <c r="I957" s="34">
        <v>-77.049679999999995</v>
      </c>
      <c r="J957" s="34"/>
      <c r="K957" s="105">
        <v>110070884091</v>
      </c>
      <c r="L957" s="34">
        <v>1794</v>
      </c>
      <c r="M957" s="48" t="str">
        <f>VLOOKUP(L957, '2017 SIC to NAICS'!A:D, 2)</f>
        <v>Excavation Work</v>
      </c>
      <c r="N957" s="34">
        <f>VLOOKUP(L957,'2017 SIC to NAICS'!A:D,3)</f>
        <v>238910</v>
      </c>
      <c r="O957" s="34" t="str">
        <f>VLOOKUP(L957,'2017 SIC to NAICS'!A:D,4)</f>
        <v>Site Preparation Contractors</v>
      </c>
      <c r="P957" s="36" t="s">
        <v>731</v>
      </c>
      <c r="Q957" s="137" t="s">
        <v>732</v>
      </c>
      <c r="R957" s="45" t="s">
        <v>41</v>
      </c>
      <c r="S957" s="138">
        <f>COUNTIFS('Raw Non-zero DMR Data'!$A:$A, A957, 'Raw Non-zero DMR Data'!$C:$C, U957, 'Raw Non-zero DMR Data'!$V:$V, V957)</f>
        <v>1</v>
      </c>
      <c r="T957" s="34">
        <f>SUMIFS('Raw Non-zero DMR Data'!$X:$X, 'Raw Non-zero DMR Data'!$A:$A, A957, 'Raw Non-zero DMR Data'!$C:$C, U957, 'Raw Non-zero DMR Data'!V:V, V957)</f>
        <v>0.24077142000000001</v>
      </c>
      <c r="U957" s="34" t="s">
        <v>1746</v>
      </c>
      <c r="V957" s="34" t="s">
        <v>1711</v>
      </c>
      <c r="W957" s="139">
        <v>20700100301</v>
      </c>
      <c r="X957" s="140" t="s">
        <v>734</v>
      </c>
    </row>
    <row r="958" spans="1:24" x14ac:dyDescent="0.35">
      <c r="A958" s="34">
        <v>2021</v>
      </c>
      <c r="B958" s="34" t="s">
        <v>397</v>
      </c>
      <c r="C958" s="34" t="s">
        <v>1746</v>
      </c>
      <c r="D958" s="34" t="s">
        <v>396</v>
      </c>
      <c r="E958" s="34" t="s">
        <v>1733</v>
      </c>
      <c r="F958" s="34" t="s">
        <v>276</v>
      </c>
      <c r="G958" s="34"/>
      <c r="H958" s="34">
        <v>38.828830000000004</v>
      </c>
      <c r="I958" s="34">
        <v>-77.049679999999995</v>
      </c>
      <c r="J958" s="34"/>
      <c r="K958" s="105">
        <v>110070884091</v>
      </c>
      <c r="L958" s="34">
        <v>1794</v>
      </c>
      <c r="M958" s="48" t="str">
        <f>VLOOKUP(L958, '2017 SIC to NAICS'!A:D, 2)</f>
        <v>Excavation Work</v>
      </c>
      <c r="N958" s="34">
        <f>VLOOKUP(L958,'2017 SIC to NAICS'!A:D,3)</f>
        <v>238910</v>
      </c>
      <c r="O958" s="34" t="str">
        <f>VLOOKUP(L958,'2017 SIC to NAICS'!A:D,4)</f>
        <v>Site Preparation Contractors</v>
      </c>
      <c r="P958" s="36" t="s">
        <v>731</v>
      </c>
      <c r="Q958" s="137" t="s">
        <v>732</v>
      </c>
      <c r="R958" s="45" t="s">
        <v>41</v>
      </c>
      <c r="S958" s="138">
        <f>COUNTIFS('Raw Non-zero DMR Data'!$A:$A, A958, 'Raw Non-zero DMR Data'!$C:$C, U958, 'Raw Non-zero DMR Data'!$V:$V, V958)</f>
        <v>1</v>
      </c>
      <c r="T958" s="34">
        <f>SUMIFS('Raw Non-zero DMR Data'!$X:$X, 'Raw Non-zero DMR Data'!$A:$A, A958, 'Raw Non-zero DMR Data'!$C:$C, U958, 'Raw Non-zero DMR Data'!V:V, V958)</f>
        <v>0.1216229678325</v>
      </c>
      <c r="U958" s="34" t="s">
        <v>1746</v>
      </c>
      <c r="V958" s="34" t="s">
        <v>1711</v>
      </c>
      <c r="W958" s="139">
        <v>20700100301</v>
      </c>
      <c r="X958" s="140" t="s">
        <v>734</v>
      </c>
    </row>
    <row r="959" spans="1:24" x14ac:dyDescent="0.35">
      <c r="A959" s="34">
        <v>2022</v>
      </c>
      <c r="B959" s="34" t="s">
        <v>397</v>
      </c>
      <c r="C959" s="34" t="s">
        <v>1746</v>
      </c>
      <c r="D959" s="34" t="s">
        <v>396</v>
      </c>
      <c r="E959" s="34" t="s">
        <v>1733</v>
      </c>
      <c r="F959" s="34" t="s">
        <v>276</v>
      </c>
      <c r="G959" s="34"/>
      <c r="H959" s="34">
        <v>38.828830000000004</v>
      </c>
      <c r="I959" s="34">
        <v>-77.049679999999995</v>
      </c>
      <c r="J959" s="34"/>
      <c r="K959" s="105">
        <v>110070884091</v>
      </c>
      <c r="L959" s="34">
        <v>1794</v>
      </c>
      <c r="M959" s="48" t="str">
        <f>VLOOKUP(L959, '2017 SIC to NAICS'!A:D, 2)</f>
        <v>Excavation Work</v>
      </c>
      <c r="N959" s="34">
        <f>VLOOKUP(L959,'2017 SIC to NAICS'!A:D,3)</f>
        <v>238910</v>
      </c>
      <c r="O959" s="34" t="str">
        <f>VLOOKUP(L959,'2017 SIC to NAICS'!A:D,4)</f>
        <v>Site Preparation Contractors</v>
      </c>
      <c r="P959" s="36" t="s">
        <v>731</v>
      </c>
      <c r="Q959" s="137" t="s">
        <v>732</v>
      </c>
      <c r="R959" s="45" t="s">
        <v>41</v>
      </c>
      <c r="S959" s="138">
        <f>COUNTIFS('Raw Non-zero DMR Data'!$A:$A, A959, 'Raw Non-zero DMR Data'!$C:$C, U959, 'Raw Non-zero DMR Data'!$V:$V, V959)</f>
        <v>1</v>
      </c>
      <c r="T959" s="34">
        <f>SUMIFS('Raw Non-zero DMR Data'!$X:$X, 'Raw Non-zero DMR Data'!$A:$A, A959, 'Raw Non-zero DMR Data'!$C:$C, U959, 'Raw Non-zero DMR Data'!V:V, V959)</f>
        <v>2.4698140461428501E-4</v>
      </c>
      <c r="U959" s="34" t="s">
        <v>1746</v>
      </c>
      <c r="V959" s="34" t="s">
        <v>1711</v>
      </c>
      <c r="W959" s="141" t="s">
        <v>1713</v>
      </c>
      <c r="X959" s="140" t="s">
        <v>734</v>
      </c>
    </row>
    <row r="960" spans="1:24" x14ac:dyDescent="0.35">
      <c r="A960" s="34">
        <v>2021</v>
      </c>
      <c r="B960" s="34" t="s">
        <v>525</v>
      </c>
      <c r="C960" s="34" t="s">
        <v>1747</v>
      </c>
      <c r="D960" s="34" t="s">
        <v>396</v>
      </c>
      <c r="E960" s="34" t="s">
        <v>1733</v>
      </c>
      <c r="F960" s="34" t="s">
        <v>276</v>
      </c>
      <c r="G960" s="34"/>
      <c r="H960" s="34">
        <v>38.840083999999997</v>
      </c>
      <c r="I960" s="34">
        <v>-77.048516000000006</v>
      </c>
      <c r="J960" s="34"/>
      <c r="K960" s="105">
        <v>110070949081</v>
      </c>
      <c r="L960" s="34">
        <v>1794</v>
      </c>
      <c r="M960" s="48" t="str">
        <f>VLOOKUP(L960, '2017 SIC to NAICS'!A:D, 2)</f>
        <v>Excavation Work</v>
      </c>
      <c r="N960" s="34">
        <f>VLOOKUP(L960,'2017 SIC to NAICS'!A:D,3)</f>
        <v>238910</v>
      </c>
      <c r="O960" s="34" t="str">
        <f>VLOOKUP(L960,'2017 SIC to NAICS'!A:D,4)</f>
        <v>Site Preparation Contractors</v>
      </c>
      <c r="P960" s="36" t="s">
        <v>731</v>
      </c>
      <c r="Q960" s="137" t="s">
        <v>732</v>
      </c>
      <c r="R960" s="45" t="s">
        <v>41</v>
      </c>
      <c r="S960" s="138">
        <f>COUNTIFS('Raw Non-zero DMR Data'!$A:$A, A960, 'Raw Non-zero DMR Data'!$C:$C, U960, 'Raw Non-zero DMR Data'!$V:$V, V960)</f>
        <v>1</v>
      </c>
      <c r="T960" s="34">
        <f>SUMIFS('Raw Non-zero DMR Data'!$X:$X, 'Raw Non-zero DMR Data'!$A:$A, A960, 'Raw Non-zero DMR Data'!$C:$C, U960, 'Raw Non-zero DMR Data'!V:V, V960)</f>
        <v>3.0301628571428499E-2</v>
      </c>
      <c r="U960" s="34" t="s">
        <v>1747</v>
      </c>
      <c r="V960" s="34" t="s">
        <v>1711</v>
      </c>
      <c r="W960" s="139">
        <v>20700100301</v>
      </c>
      <c r="X960" s="140" t="s">
        <v>734</v>
      </c>
    </row>
    <row r="961" spans="1:24" x14ac:dyDescent="0.35">
      <c r="A961" s="34">
        <v>2022</v>
      </c>
      <c r="B961" s="34" t="s">
        <v>525</v>
      </c>
      <c r="C961" s="34" t="s">
        <v>1747</v>
      </c>
      <c r="D961" s="34" t="s">
        <v>396</v>
      </c>
      <c r="E961" s="34" t="s">
        <v>1733</v>
      </c>
      <c r="F961" s="34" t="s">
        <v>276</v>
      </c>
      <c r="G961" s="34"/>
      <c r="H961" s="34">
        <v>38.840083999999997</v>
      </c>
      <c r="I961" s="34">
        <v>-77.048516000000006</v>
      </c>
      <c r="J961" s="34"/>
      <c r="K961" s="105">
        <v>110070949081</v>
      </c>
      <c r="L961" s="34">
        <v>1794</v>
      </c>
      <c r="M961" s="48" t="str">
        <f>VLOOKUP(L961, '2017 SIC to NAICS'!A:D, 2)</f>
        <v>Excavation Work</v>
      </c>
      <c r="N961" s="34">
        <f>VLOOKUP(L961,'2017 SIC to NAICS'!A:D,3)</f>
        <v>238910</v>
      </c>
      <c r="O961" s="34" t="str">
        <f>VLOOKUP(L961,'2017 SIC to NAICS'!A:D,4)</f>
        <v>Site Preparation Contractors</v>
      </c>
      <c r="P961" s="36" t="s">
        <v>731</v>
      </c>
      <c r="Q961" s="137" t="s">
        <v>732</v>
      </c>
      <c r="R961" s="45" t="s">
        <v>41</v>
      </c>
      <c r="S961" s="138">
        <f>COUNTIFS('Raw Non-zero DMR Data'!$A:$A, A961, 'Raw Non-zero DMR Data'!$C:$C, U961, 'Raw Non-zero DMR Data'!$V:$V, V961)</f>
        <v>1</v>
      </c>
      <c r="T961" s="34">
        <f>SUMIFS('Raw Non-zero DMR Data'!$X:$X, 'Raw Non-zero DMR Data'!$A:$A, A961, 'Raw Non-zero DMR Data'!$C:$C, U961, 'Raw Non-zero DMR Data'!V:V, V961)</f>
        <v>3.7160940750000003E-2</v>
      </c>
      <c r="U961" s="34" t="s">
        <v>1747</v>
      </c>
      <c r="V961" s="34" t="s">
        <v>1711</v>
      </c>
      <c r="W961" s="141" t="s">
        <v>1713</v>
      </c>
      <c r="X961" s="140" t="s">
        <v>734</v>
      </c>
    </row>
    <row r="962" spans="1:24" x14ac:dyDescent="0.35">
      <c r="A962" s="34">
        <v>2021</v>
      </c>
      <c r="B962" s="34" t="s">
        <v>613</v>
      </c>
      <c r="C962" s="34" t="s">
        <v>1748</v>
      </c>
      <c r="D962" s="34" t="s">
        <v>396</v>
      </c>
      <c r="E962" s="34" t="s">
        <v>1715</v>
      </c>
      <c r="F962" s="34" t="s">
        <v>276</v>
      </c>
      <c r="G962" s="34"/>
      <c r="H962" s="34">
        <v>38.741570000000003</v>
      </c>
      <c r="I962" s="34">
        <v>-77.086209999999994</v>
      </c>
      <c r="J962" s="34"/>
      <c r="K962" s="105">
        <v>110055415732</v>
      </c>
      <c r="L962" s="34">
        <v>1794</v>
      </c>
      <c r="M962" s="48" t="str">
        <f>VLOOKUP(L962, '2017 SIC to NAICS'!A:D, 2)</f>
        <v>Excavation Work</v>
      </c>
      <c r="N962" s="34">
        <f>VLOOKUP(L962,'2017 SIC to NAICS'!A:D,3)</f>
        <v>238910</v>
      </c>
      <c r="O962" s="34" t="str">
        <f>VLOOKUP(L962,'2017 SIC to NAICS'!A:D,4)</f>
        <v>Site Preparation Contractors</v>
      </c>
      <c r="P962" s="36" t="s">
        <v>731</v>
      </c>
      <c r="Q962" s="137" t="s">
        <v>732</v>
      </c>
      <c r="R962" s="45" t="s">
        <v>41</v>
      </c>
      <c r="S962" s="138">
        <f>COUNTIFS('Raw Non-zero DMR Data'!$A:$A, A962, 'Raw Non-zero DMR Data'!$C:$C, U962, 'Raw Non-zero DMR Data'!$V:$V, V962)</f>
        <v>1</v>
      </c>
      <c r="T962" s="34">
        <f>SUMIFS('Raw Non-zero DMR Data'!$X:$X, 'Raw Non-zero DMR Data'!$A:$A, A962, 'Raw Non-zero DMR Data'!$C:$C, U962, 'Raw Non-zero DMR Data'!V:V, V962)</f>
        <v>9.3201840000000005E-3</v>
      </c>
      <c r="U962" s="34" t="s">
        <v>1748</v>
      </c>
      <c r="V962" s="34" t="s">
        <v>1749</v>
      </c>
      <c r="W962" s="139">
        <v>20700100307</v>
      </c>
      <c r="X962" s="140" t="s">
        <v>734</v>
      </c>
    </row>
    <row r="963" spans="1:24" x14ac:dyDescent="0.35">
      <c r="A963" s="34">
        <v>2022</v>
      </c>
      <c r="B963" s="34" t="s">
        <v>681</v>
      </c>
      <c r="C963" s="34" t="s">
        <v>1750</v>
      </c>
      <c r="D963" s="34" t="s">
        <v>645</v>
      </c>
      <c r="E963" s="34" t="s">
        <v>1743</v>
      </c>
      <c r="F963" s="34" t="s">
        <v>276</v>
      </c>
      <c r="G963" s="34"/>
      <c r="H963" s="34">
        <v>36.840694999999997</v>
      </c>
      <c r="I963" s="34">
        <v>-75.984082999999998</v>
      </c>
      <c r="J963" s="34"/>
      <c r="K963" s="105">
        <v>110071076435</v>
      </c>
      <c r="L963" s="34">
        <v>1799</v>
      </c>
      <c r="M963" s="48" t="str">
        <f>VLOOKUP(L963, '2017 SIC to NAICS'!A:D, 2)</f>
        <v>Special Trade Contractors, Nec</v>
      </c>
      <c r="N963" s="34">
        <f>VLOOKUP(L963,'2017 SIC to NAICS'!A:D,3)</f>
        <v>562910</v>
      </c>
      <c r="O963" s="34" t="str">
        <f>VLOOKUP(L963,'2017 SIC to NAICS'!A:D,4)</f>
        <v>Remediation Services</v>
      </c>
      <c r="P963" s="36" t="s">
        <v>754</v>
      </c>
      <c r="Q963" s="137" t="s">
        <v>755</v>
      </c>
      <c r="R963" s="45" t="s">
        <v>41</v>
      </c>
      <c r="S963" s="138">
        <f>COUNTIFS('Raw Non-zero DMR Data'!$A:$A, A963, 'Raw Non-zero DMR Data'!$C:$C, U963, 'Raw Non-zero DMR Data'!$V:$V, V963)</f>
        <v>1</v>
      </c>
      <c r="T963" s="34">
        <f>SUMIFS('Raw Non-zero DMR Data'!$X:$X, 'Raw Non-zero DMR Data'!$A:$A, A963, 'Raw Non-zero DMR Data'!$C:$C, U963, 'Raw Non-zero DMR Data'!V:V, V963)</f>
        <v>6.1416356249999996E-4</v>
      </c>
      <c r="U963" s="34" t="s">
        <v>1750</v>
      </c>
      <c r="V963" s="34" t="s">
        <v>1751</v>
      </c>
      <c r="W963" s="141" t="s">
        <v>1752</v>
      </c>
      <c r="X963" s="140" t="s">
        <v>739</v>
      </c>
    </row>
    <row r="964" spans="1:24" x14ac:dyDescent="0.35">
      <c r="A964" s="34">
        <v>2023</v>
      </c>
      <c r="B964" s="34" t="s">
        <v>681</v>
      </c>
      <c r="C964" s="34" t="s">
        <v>1750</v>
      </c>
      <c r="D964" s="34" t="s">
        <v>645</v>
      </c>
      <c r="E964" s="34" t="s">
        <v>1743</v>
      </c>
      <c r="F964" s="34" t="s">
        <v>276</v>
      </c>
      <c r="G964" s="34"/>
      <c r="H964" s="34">
        <v>36.840694999999997</v>
      </c>
      <c r="I964" s="34">
        <v>-75.984082999999998</v>
      </c>
      <c r="J964" s="34"/>
      <c r="K964" s="105">
        <v>110071076435</v>
      </c>
      <c r="L964" s="34">
        <v>1799</v>
      </c>
      <c r="M964" s="48" t="str">
        <f>VLOOKUP(L964, '2017 SIC to NAICS'!A:D, 2)</f>
        <v>Special Trade Contractors, Nec</v>
      </c>
      <c r="N964" s="34">
        <f>VLOOKUP(L964,'2017 SIC to NAICS'!A:D,3)</f>
        <v>562910</v>
      </c>
      <c r="O964" s="34" t="str">
        <f>VLOOKUP(L964,'2017 SIC to NAICS'!A:D,4)</f>
        <v>Remediation Services</v>
      </c>
      <c r="P964" s="36" t="s">
        <v>754</v>
      </c>
      <c r="Q964" s="137" t="s">
        <v>755</v>
      </c>
      <c r="R964" s="45" t="s">
        <v>41</v>
      </c>
      <c r="S964" s="138">
        <f>COUNTIFS('Raw Non-zero DMR Data'!$A:$A, A964, 'Raw Non-zero DMR Data'!$C:$C, U964, 'Raw Non-zero DMR Data'!$V:$V, V964)</f>
        <v>1</v>
      </c>
      <c r="T964" s="34">
        <f>SUMIFS('Raw Non-zero DMR Data'!$X:$X, 'Raw Non-zero DMR Data'!$A:$A, A964, 'Raw Non-zero DMR Data'!$C:$C, U964, 'Raw Non-zero DMR Data'!V:V, V964)</f>
        <v>5.0529749999999997E-6</v>
      </c>
      <c r="U964" s="34" t="s">
        <v>1750</v>
      </c>
      <c r="V964" s="34" t="s">
        <v>1751</v>
      </c>
      <c r="W964" s="141" t="s">
        <v>1752</v>
      </c>
      <c r="X964" s="140" t="s">
        <v>739</v>
      </c>
    </row>
    <row r="965" spans="1:24" x14ac:dyDescent="0.35">
      <c r="A965" s="34">
        <v>2021</v>
      </c>
      <c r="B965" s="34" t="s">
        <v>698</v>
      </c>
      <c r="C965" s="34" t="s">
        <v>1753</v>
      </c>
      <c r="D965" s="34" t="s">
        <v>275</v>
      </c>
      <c r="E965" s="34" t="s">
        <v>1718</v>
      </c>
      <c r="F965" s="34" t="s">
        <v>276</v>
      </c>
      <c r="G965" s="34"/>
      <c r="H965" s="34">
        <v>38.862986999999997</v>
      </c>
      <c r="I965" s="34">
        <v>-77.085927999999996</v>
      </c>
      <c r="J965" s="34"/>
      <c r="K965" s="105">
        <v>110071065066</v>
      </c>
      <c r="L965" s="34">
        <v>5999</v>
      </c>
      <c r="M965" s="48" t="str">
        <f>VLOOKUP(L965, '2017 SIC to NAICS'!A:D, 2)</f>
        <v>Miscellaneous Retail Stores, Nec</v>
      </c>
      <c r="N965" s="34">
        <f>VLOOKUP(L965,'2017 SIC to NAICS'!A:D,3)</f>
        <v>453998</v>
      </c>
      <c r="O965" s="34" t="str">
        <f>VLOOKUP(L965,'2017 SIC to NAICS'!A:D,4)</f>
        <v>All Other Miscellaneous Store Retailers
(except Tobacco Stores)</v>
      </c>
      <c r="P965" s="36" t="s">
        <v>765</v>
      </c>
      <c r="Q965" s="137" t="s">
        <v>766</v>
      </c>
      <c r="R965" s="45" t="s">
        <v>41</v>
      </c>
      <c r="S965" s="138">
        <f>COUNTIFS('Raw Non-zero DMR Data'!$A:$A, A965, 'Raw Non-zero DMR Data'!$C:$C, U965, 'Raw Non-zero DMR Data'!$V:$V, V965)</f>
        <v>1</v>
      </c>
      <c r="T965" s="34">
        <f>SUMIFS('Raw Non-zero DMR Data'!$X:$X, 'Raw Non-zero DMR Data'!$A:$A, A965, 'Raw Non-zero DMR Data'!$C:$C, U965, 'Raw Non-zero DMR Data'!V:V, V965)</f>
        <v>4.8750800000000001E-5</v>
      </c>
      <c r="U965" s="34" t="s">
        <v>1753</v>
      </c>
      <c r="V965" s="34" t="s">
        <v>1711</v>
      </c>
      <c r="W965" s="139">
        <v>20700100301</v>
      </c>
      <c r="X965" s="140" t="s">
        <v>792</v>
      </c>
    </row>
    <row r="966" spans="1:24" x14ac:dyDescent="0.35">
      <c r="A966" s="34">
        <v>2022</v>
      </c>
      <c r="B966" s="34" t="s">
        <v>698</v>
      </c>
      <c r="C966" s="34" t="s">
        <v>1753</v>
      </c>
      <c r="D966" s="34" t="s">
        <v>275</v>
      </c>
      <c r="E966" s="34" t="s">
        <v>1718</v>
      </c>
      <c r="F966" s="34" t="s">
        <v>276</v>
      </c>
      <c r="G966" s="34"/>
      <c r="H966" s="34">
        <v>38.862986999999997</v>
      </c>
      <c r="I966" s="34">
        <v>-77.085927999999996</v>
      </c>
      <c r="J966" s="34"/>
      <c r="K966" s="105">
        <v>110071065066</v>
      </c>
      <c r="L966" s="34">
        <v>5999</v>
      </c>
      <c r="M966" s="48" t="str">
        <f>VLOOKUP(L966, '2017 SIC to NAICS'!A:D, 2)</f>
        <v>Miscellaneous Retail Stores, Nec</v>
      </c>
      <c r="N966" s="34">
        <f>VLOOKUP(L966,'2017 SIC to NAICS'!A:D,3)</f>
        <v>453998</v>
      </c>
      <c r="O966" s="34" t="str">
        <f>VLOOKUP(L966,'2017 SIC to NAICS'!A:D,4)</f>
        <v>All Other Miscellaneous Store Retailers
(except Tobacco Stores)</v>
      </c>
      <c r="P966" s="36" t="s">
        <v>765</v>
      </c>
      <c r="Q966" s="137" t="s">
        <v>766</v>
      </c>
      <c r="R966" s="45" t="s">
        <v>41</v>
      </c>
      <c r="S966" s="138">
        <f>COUNTIFS('Raw Non-zero DMR Data'!$A:$A, A966, 'Raw Non-zero DMR Data'!$C:$C, U966, 'Raw Non-zero DMR Data'!$V:$V, V966)</f>
        <v>1</v>
      </c>
      <c r="T966" s="34">
        <f>SUMIFS('Raw Non-zero DMR Data'!$X:$X, 'Raw Non-zero DMR Data'!$A:$A, A966, 'Raw Non-zero DMR Data'!$C:$C, U966, 'Raw Non-zero DMR Data'!V:V, V966)</f>
        <v>4.0272399999999997E-5</v>
      </c>
      <c r="U966" s="34" t="s">
        <v>1753</v>
      </c>
      <c r="V966" s="34" t="s">
        <v>1711</v>
      </c>
      <c r="W966" s="141" t="s">
        <v>1713</v>
      </c>
      <c r="X966" s="140" t="s">
        <v>792</v>
      </c>
    </row>
    <row r="967" spans="1:24" x14ac:dyDescent="0.35">
      <c r="A967" s="34">
        <v>2022</v>
      </c>
      <c r="B967" s="34" t="s">
        <v>602</v>
      </c>
      <c r="C967" s="34" t="s">
        <v>1754</v>
      </c>
      <c r="D967" s="34" t="s">
        <v>396</v>
      </c>
      <c r="E967" s="34" t="s">
        <v>1733</v>
      </c>
      <c r="F967" s="34" t="s">
        <v>276</v>
      </c>
      <c r="G967" s="34"/>
      <c r="H967" s="34">
        <v>38.818069999999999</v>
      </c>
      <c r="I967" s="34">
        <v>-77.049329999999998</v>
      </c>
      <c r="J967" s="34"/>
      <c r="K967" s="105">
        <v>110071181280</v>
      </c>
      <c r="L967" s="34">
        <v>1794</v>
      </c>
      <c r="M967" s="48" t="str">
        <f>VLOOKUP(L967, '2017 SIC to NAICS'!A:D, 2)</f>
        <v>Excavation Work</v>
      </c>
      <c r="N967" s="34">
        <f>VLOOKUP(L967,'2017 SIC to NAICS'!A:D,3)</f>
        <v>238910</v>
      </c>
      <c r="O967" s="34" t="str">
        <f>VLOOKUP(L967,'2017 SIC to NAICS'!A:D,4)</f>
        <v>Site Preparation Contractors</v>
      </c>
      <c r="P967" s="36" t="s">
        <v>731</v>
      </c>
      <c r="Q967" s="137" t="s">
        <v>732</v>
      </c>
      <c r="R967" s="45" t="s">
        <v>41</v>
      </c>
      <c r="S967" s="138">
        <f>COUNTIFS('Raw Non-zero DMR Data'!$A:$A, A967, 'Raw Non-zero DMR Data'!$C:$C, U967, 'Raw Non-zero DMR Data'!$V:$V, V967)</f>
        <v>1</v>
      </c>
      <c r="T967" s="34">
        <f>SUMIFS('Raw Non-zero DMR Data'!$X:$X, 'Raw Non-zero DMR Data'!$A:$A, A967, 'Raw Non-zero DMR Data'!$C:$C, U967, 'Raw Non-zero DMR Data'!V:V, V967)</f>
        <v>1.2488039750000001E-2</v>
      </c>
      <c r="U967" s="34" t="s">
        <v>1754</v>
      </c>
      <c r="V967" s="34" t="s">
        <v>1730</v>
      </c>
      <c r="W967" s="141" t="s">
        <v>1755</v>
      </c>
      <c r="X967" s="140" t="s">
        <v>734</v>
      </c>
    </row>
    <row r="968" spans="1:24" x14ac:dyDescent="0.35">
      <c r="A968" s="34">
        <v>2023</v>
      </c>
      <c r="B968" s="34" t="s">
        <v>697</v>
      </c>
      <c r="C968" s="34" t="s">
        <v>1756</v>
      </c>
      <c r="D968" s="34" t="s">
        <v>275</v>
      </c>
      <c r="E968" s="34" t="s">
        <v>1718</v>
      </c>
      <c r="F968" s="34" t="s">
        <v>276</v>
      </c>
      <c r="G968" s="34"/>
      <c r="H968" s="34">
        <v>38.85615</v>
      </c>
      <c r="I968" s="34">
        <v>-77.051146000000003</v>
      </c>
      <c r="J968" s="34"/>
      <c r="K968" s="105">
        <v>110071347994</v>
      </c>
      <c r="L968" s="34">
        <v>1794</v>
      </c>
      <c r="M968" s="48" t="str">
        <f>VLOOKUP(L968, '2017 SIC to NAICS'!A:D, 2)</f>
        <v>Excavation Work</v>
      </c>
      <c r="N968" s="34">
        <f>VLOOKUP(L968,'2017 SIC to NAICS'!A:D,3)</f>
        <v>238910</v>
      </c>
      <c r="O968" s="34" t="str">
        <f>VLOOKUP(L968,'2017 SIC to NAICS'!A:D,4)</f>
        <v>Site Preparation Contractors</v>
      </c>
      <c r="P968" s="36" t="s">
        <v>731</v>
      </c>
      <c r="Q968" s="137" t="s">
        <v>732</v>
      </c>
      <c r="R968" s="45" t="s">
        <v>41</v>
      </c>
      <c r="S968" s="138">
        <f>COUNTIFS('Raw Non-zero DMR Data'!$A:$A, A968, 'Raw Non-zero DMR Data'!$C:$C, U968, 'Raw Non-zero DMR Data'!$V:$V, V968)</f>
        <v>1</v>
      </c>
      <c r="T968" s="34">
        <f>SUMIFS('Raw Non-zero DMR Data'!$X:$X, 'Raw Non-zero DMR Data'!$A:$A, A968, 'Raw Non-zero DMR Data'!$C:$C, U968, 'Raw Non-zero DMR Data'!V:V, V968)</f>
        <v>9.3678750000000005E-5</v>
      </c>
      <c r="U968" s="34" t="s">
        <v>1756</v>
      </c>
      <c r="V968" s="34" t="s">
        <v>1727</v>
      </c>
      <c r="W968" s="141" t="s">
        <v>1741</v>
      </c>
      <c r="X968" s="140" t="s">
        <v>734</v>
      </c>
    </row>
    <row r="969" spans="1:24" x14ac:dyDescent="0.35">
      <c r="A969" s="34">
        <v>2023</v>
      </c>
      <c r="B969" s="34" t="s">
        <v>637</v>
      </c>
      <c r="C969" s="34" t="s">
        <v>1757</v>
      </c>
      <c r="D969" s="34" t="s">
        <v>638</v>
      </c>
      <c r="E969" s="34" t="s">
        <v>1758</v>
      </c>
      <c r="F969" s="34" t="s">
        <v>276</v>
      </c>
      <c r="G969" s="34"/>
      <c r="H969" s="34">
        <v>38.899099999999997</v>
      </c>
      <c r="I969" s="34">
        <v>-77.269300000000001</v>
      </c>
      <c r="J969" s="34"/>
      <c r="K969" s="105">
        <v>110071428198</v>
      </c>
      <c r="L969" s="34">
        <v>6519</v>
      </c>
      <c r="M969" s="48" t="str">
        <f>VLOOKUP(L969, '2017 SIC to NAICS'!A:D, 2)</f>
        <v>Real Property Lessors, Nec</v>
      </c>
      <c r="N969" s="34">
        <f>VLOOKUP(L969,'2017 SIC to NAICS'!A:D,3)</f>
        <v>531190</v>
      </c>
      <c r="O969" s="34" t="str">
        <f>VLOOKUP(L969,'2017 SIC to NAICS'!A:D,4)</f>
        <v>Lessors of Other Real Estate Property</v>
      </c>
      <c r="P969" s="36" t="s">
        <v>754</v>
      </c>
      <c r="Q969" s="137" t="s">
        <v>755</v>
      </c>
      <c r="R969" s="45" t="s">
        <v>41</v>
      </c>
      <c r="S969" s="138">
        <f>COUNTIFS('Raw Non-zero DMR Data'!$A:$A, A969, 'Raw Non-zero DMR Data'!$C:$C, U969, 'Raw Non-zero DMR Data'!$V:$V, V969)</f>
        <v>1</v>
      </c>
      <c r="T969" s="34">
        <f>SUMIFS('Raw Non-zero DMR Data'!$X:$X, 'Raw Non-zero DMR Data'!$A:$A, A969, 'Raw Non-zero DMR Data'!$C:$C, U969, 'Raw Non-zero DMR Data'!V:V, V969)</f>
        <v>5.3597838524699999E-3</v>
      </c>
      <c r="U969" s="34" t="s">
        <v>1757</v>
      </c>
      <c r="V969" s="34" t="s">
        <v>1716</v>
      </c>
      <c r="W969" s="141" t="s">
        <v>1736</v>
      </c>
      <c r="X969" s="140" t="s">
        <v>739</v>
      </c>
    </row>
    <row r="970" spans="1:24" x14ac:dyDescent="0.35">
      <c r="A970" s="34">
        <v>2023</v>
      </c>
      <c r="B970" s="34" t="s">
        <v>546</v>
      </c>
      <c r="C970" s="34" t="s">
        <v>1759</v>
      </c>
      <c r="D970" s="34" t="s">
        <v>402</v>
      </c>
      <c r="E970" s="34" t="s">
        <v>1729</v>
      </c>
      <c r="F970" s="34" t="s">
        <v>276</v>
      </c>
      <c r="G970" s="34"/>
      <c r="H970" s="34">
        <v>38.884332000000001</v>
      </c>
      <c r="I970" s="34">
        <v>-77.174546000000007</v>
      </c>
      <c r="J970" s="34"/>
      <c r="K970" s="105">
        <v>110071426611</v>
      </c>
      <c r="L970" s="34">
        <v>1794</v>
      </c>
      <c r="M970" s="48" t="str">
        <f>VLOOKUP(L970, '2017 SIC to NAICS'!A:D, 2)</f>
        <v>Excavation Work</v>
      </c>
      <c r="N970" s="34">
        <f>VLOOKUP(L970,'2017 SIC to NAICS'!A:D,3)</f>
        <v>238910</v>
      </c>
      <c r="O970" s="34" t="str">
        <f>VLOOKUP(L970,'2017 SIC to NAICS'!A:D,4)</f>
        <v>Site Preparation Contractors</v>
      </c>
      <c r="P970" s="36" t="s">
        <v>731</v>
      </c>
      <c r="Q970" s="137" t="s">
        <v>732</v>
      </c>
      <c r="R970" s="45" t="s">
        <v>41</v>
      </c>
      <c r="S970" s="138">
        <f>COUNTIFS('Raw Non-zero DMR Data'!$A:$A, A970, 'Raw Non-zero DMR Data'!$C:$C, U970, 'Raw Non-zero DMR Data'!$V:$V, V970)</f>
        <v>1</v>
      </c>
      <c r="T970" s="34">
        <f>SUMIFS('Raw Non-zero DMR Data'!$X:$X, 'Raw Non-zero DMR Data'!$A:$A, A970, 'Raw Non-zero DMR Data'!$C:$C, U970, 'Raw Non-zero DMR Data'!V:V, V970)</f>
        <v>2.8831967142857101E-2</v>
      </c>
      <c r="U970" s="34" t="s">
        <v>1759</v>
      </c>
      <c r="V970" s="34" t="s">
        <v>1730</v>
      </c>
      <c r="W970" s="141" t="s">
        <v>1755</v>
      </c>
      <c r="X970" s="140" t="s">
        <v>734</v>
      </c>
    </row>
    <row r="971" spans="1:24" x14ac:dyDescent="0.35">
      <c r="A971" s="34">
        <v>2023</v>
      </c>
      <c r="B971" s="34" t="s">
        <v>675</v>
      </c>
      <c r="C971" s="34" t="s">
        <v>1760</v>
      </c>
      <c r="D971" s="34" t="s">
        <v>402</v>
      </c>
      <c r="E971" s="34" t="s">
        <v>1758</v>
      </c>
      <c r="F971" s="34" t="s">
        <v>276</v>
      </c>
      <c r="G971" s="34"/>
      <c r="H971" s="34">
        <v>38.848126999999998</v>
      </c>
      <c r="I971" s="34">
        <v>-77.132767999999999</v>
      </c>
      <c r="J971" s="34"/>
      <c r="K971" s="105">
        <v>110071427202</v>
      </c>
      <c r="L971" s="34">
        <v>1794</v>
      </c>
      <c r="M971" s="48" t="str">
        <f>VLOOKUP(L971, '2017 SIC to NAICS'!A:D, 2)</f>
        <v>Excavation Work</v>
      </c>
      <c r="N971" s="34">
        <f>VLOOKUP(L971,'2017 SIC to NAICS'!A:D,3)</f>
        <v>238910</v>
      </c>
      <c r="O971" s="34" t="str">
        <f>VLOOKUP(L971,'2017 SIC to NAICS'!A:D,4)</f>
        <v>Site Preparation Contractors</v>
      </c>
      <c r="P971" s="36" t="s">
        <v>731</v>
      </c>
      <c r="Q971" s="137" t="s">
        <v>732</v>
      </c>
      <c r="R971" s="45" t="s">
        <v>41</v>
      </c>
      <c r="S971" s="138">
        <f>COUNTIFS('Raw Non-zero DMR Data'!$A:$A, A971, 'Raw Non-zero DMR Data'!$C:$C, U971, 'Raw Non-zero DMR Data'!$V:$V, V971)</f>
        <v>1</v>
      </c>
      <c r="T971" s="34">
        <f>SUMIFS('Raw Non-zero DMR Data'!$X:$X, 'Raw Non-zero DMR Data'!$A:$A, A971, 'Raw Non-zero DMR Data'!$C:$C, U971, 'Raw Non-zero DMR Data'!V:V, V971)</f>
        <v>1.0137744E-3</v>
      </c>
      <c r="U971" s="34" t="s">
        <v>1760</v>
      </c>
      <c r="V971" s="34" t="s">
        <v>1730</v>
      </c>
      <c r="W971" s="141" t="s">
        <v>1755</v>
      </c>
      <c r="X971" s="140" t="s">
        <v>734</v>
      </c>
    </row>
    <row r="972" spans="1:24" x14ac:dyDescent="0.35">
      <c r="A972" s="34">
        <v>2019</v>
      </c>
      <c r="B972" s="34" t="s">
        <v>329</v>
      </c>
      <c r="C972" s="34" t="s">
        <v>1761</v>
      </c>
      <c r="D972" s="34" t="s">
        <v>330</v>
      </c>
      <c r="E972" s="34" t="s">
        <v>1762</v>
      </c>
      <c r="F972" s="34" t="s">
        <v>331</v>
      </c>
      <c r="G972" s="34"/>
      <c r="H972" s="34">
        <v>44.548050000000003</v>
      </c>
      <c r="I972" s="34">
        <v>-71.990520000000004</v>
      </c>
      <c r="J972" s="34"/>
      <c r="K972" s="105">
        <v>110010910700</v>
      </c>
      <c r="L972" s="34"/>
      <c r="M972" s="48" t="e">
        <f>VLOOKUP(L972, '2017 SIC to NAICS'!A:D, 2)</f>
        <v>#N/A</v>
      </c>
      <c r="N972" s="34" t="e">
        <f>VLOOKUP(L972,'2017 SIC to NAICS'!A:D,3)</f>
        <v>#N/A</v>
      </c>
      <c r="O972" s="34" t="e">
        <f>VLOOKUP(L972,'2017 SIC to NAICS'!A:D,4)</f>
        <v>#N/A</v>
      </c>
      <c r="P972" s="36" t="s">
        <v>737</v>
      </c>
      <c r="Q972" s="137" t="s">
        <v>737</v>
      </c>
      <c r="R972" s="45" t="s">
        <v>38</v>
      </c>
      <c r="S972" s="138">
        <f>COUNTIFS('Raw Non-zero DMR Data'!$A:$A, A972, 'Raw Non-zero DMR Data'!$C:$C, U972, 'Raw Non-zero DMR Data'!$V:$V, V972)</f>
        <v>1</v>
      </c>
      <c r="T972" s="34">
        <f>SUMIFS('Raw Non-zero DMR Data'!$X:$X, 'Raw Non-zero DMR Data'!$A:$A, A972, 'Raw Non-zero DMR Data'!$C:$C, U972, 'Raw Non-zero DMR Data'!V:V, V972)</f>
        <v>0.70401000000000002</v>
      </c>
      <c r="U972" s="34" t="s">
        <v>1761</v>
      </c>
      <c r="V972" s="34" t="s">
        <v>1763</v>
      </c>
      <c r="W972" s="139">
        <v>10801020102</v>
      </c>
      <c r="X972" s="140" t="s">
        <v>739</v>
      </c>
    </row>
    <row r="973" spans="1:24" x14ac:dyDescent="0.35">
      <c r="A973" s="34">
        <v>2020</v>
      </c>
      <c r="B973" s="34" t="s">
        <v>329</v>
      </c>
      <c r="C973" s="34" t="s">
        <v>1761</v>
      </c>
      <c r="D973" s="34" t="s">
        <v>330</v>
      </c>
      <c r="E973" s="34" t="s">
        <v>1762</v>
      </c>
      <c r="F973" s="34" t="s">
        <v>331</v>
      </c>
      <c r="G973" s="34"/>
      <c r="H973" s="34">
        <v>44.548050000000003</v>
      </c>
      <c r="I973" s="34">
        <v>-71.990520000000004</v>
      </c>
      <c r="J973" s="34"/>
      <c r="K973" s="105">
        <v>110010910700</v>
      </c>
      <c r="L973" s="34"/>
      <c r="M973" s="48" t="e">
        <f>VLOOKUP(L973, '2017 SIC to NAICS'!A:D, 2)</f>
        <v>#N/A</v>
      </c>
      <c r="N973" s="34" t="e">
        <f>VLOOKUP(L973,'2017 SIC to NAICS'!A:D,3)</f>
        <v>#N/A</v>
      </c>
      <c r="O973" s="34" t="e">
        <f>VLOOKUP(L973,'2017 SIC to NAICS'!A:D,4)</f>
        <v>#N/A</v>
      </c>
      <c r="P973" s="36" t="s">
        <v>737</v>
      </c>
      <c r="Q973" s="137" t="s">
        <v>737</v>
      </c>
      <c r="R973" s="45" t="s">
        <v>38</v>
      </c>
      <c r="S973" s="138">
        <f>COUNTIFS('Raw Non-zero DMR Data'!$A:$A, A973, 'Raw Non-zero DMR Data'!$C:$C, U973, 'Raw Non-zero DMR Data'!$V:$V, V973)</f>
        <v>1</v>
      </c>
      <c r="T973" s="34">
        <f>SUMIFS('Raw Non-zero DMR Data'!$X:$X, 'Raw Non-zero DMR Data'!$A:$A, A973, 'Raw Non-zero DMR Data'!$C:$C, U973, 'Raw Non-zero DMR Data'!V:V, V973)</f>
        <v>7.0401000000000003E-4</v>
      </c>
      <c r="U973" s="34" t="s">
        <v>1761</v>
      </c>
      <c r="V973" s="34" t="s">
        <v>1763</v>
      </c>
      <c r="W973" s="139">
        <v>10801020102</v>
      </c>
      <c r="X973" s="140" t="s">
        <v>739</v>
      </c>
    </row>
    <row r="974" spans="1:24" x14ac:dyDescent="0.35">
      <c r="A974" s="34">
        <v>2021</v>
      </c>
      <c r="B974" s="34" t="s">
        <v>329</v>
      </c>
      <c r="C974" s="34" t="s">
        <v>1761</v>
      </c>
      <c r="D974" s="34" t="s">
        <v>330</v>
      </c>
      <c r="E974" s="34" t="s">
        <v>1762</v>
      </c>
      <c r="F974" s="34" t="s">
        <v>331</v>
      </c>
      <c r="G974" s="34"/>
      <c r="H974" s="34">
        <v>44.548050000000003</v>
      </c>
      <c r="I974" s="34">
        <v>-71.990520000000004</v>
      </c>
      <c r="J974" s="34"/>
      <c r="K974" s="105">
        <v>110010910700</v>
      </c>
      <c r="L974" s="34"/>
      <c r="M974" s="48" t="e">
        <f>VLOOKUP(L974, '2017 SIC to NAICS'!A:D, 2)</f>
        <v>#N/A</v>
      </c>
      <c r="N974" s="34" t="e">
        <f>VLOOKUP(L974,'2017 SIC to NAICS'!A:D,3)</f>
        <v>#N/A</v>
      </c>
      <c r="O974" s="34" t="e">
        <f>VLOOKUP(L974,'2017 SIC to NAICS'!A:D,4)</f>
        <v>#N/A</v>
      </c>
      <c r="P974" s="36" t="s">
        <v>737</v>
      </c>
      <c r="Q974" s="137" t="s">
        <v>737</v>
      </c>
      <c r="R974" s="45" t="s">
        <v>38</v>
      </c>
      <c r="S974" s="138">
        <f>COUNTIFS('Raw Non-zero DMR Data'!$A:$A, A974, 'Raw Non-zero DMR Data'!$C:$C, U974, 'Raw Non-zero DMR Data'!$V:$V, V974)</f>
        <v>1</v>
      </c>
      <c r="T974" s="34">
        <f>SUMIFS('Raw Non-zero DMR Data'!$X:$X, 'Raw Non-zero DMR Data'!$A:$A, A974, 'Raw Non-zero DMR Data'!$C:$C, U974, 'Raw Non-zero DMR Data'!V:V, V974)</f>
        <v>5.2990000000000003E-4</v>
      </c>
      <c r="U974" s="34" t="s">
        <v>1761</v>
      </c>
      <c r="V974" s="34" t="s">
        <v>1763</v>
      </c>
      <c r="W974" s="139">
        <v>10801020102</v>
      </c>
      <c r="X974" s="140" t="s">
        <v>739</v>
      </c>
    </row>
    <row r="975" spans="1:24" x14ac:dyDescent="0.35">
      <c r="A975" s="34">
        <v>2022</v>
      </c>
      <c r="B975" s="34" t="s">
        <v>329</v>
      </c>
      <c r="C975" s="34" t="s">
        <v>1761</v>
      </c>
      <c r="D975" s="34" t="s">
        <v>330</v>
      </c>
      <c r="E975" s="34" t="s">
        <v>1762</v>
      </c>
      <c r="F975" s="34" t="s">
        <v>331</v>
      </c>
      <c r="G975" s="34"/>
      <c r="H975" s="34">
        <v>44.548050000000003</v>
      </c>
      <c r="I975" s="34">
        <v>-71.990520000000004</v>
      </c>
      <c r="J975" s="34"/>
      <c r="K975" s="105">
        <v>110010910700</v>
      </c>
      <c r="L975" s="34"/>
      <c r="M975" s="48" t="e">
        <f>VLOOKUP(L975, '2017 SIC to NAICS'!A:D, 2)</f>
        <v>#N/A</v>
      </c>
      <c r="N975" s="34" t="e">
        <f>VLOOKUP(L975,'2017 SIC to NAICS'!A:D,3)</f>
        <v>#N/A</v>
      </c>
      <c r="O975" s="34" t="e">
        <f>VLOOKUP(L975,'2017 SIC to NAICS'!A:D,4)</f>
        <v>#N/A</v>
      </c>
      <c r="P975" s="36" t="s">
        <v>737</v>
      </c>
      <c r="Q975" s="137" t="s">
        <v>737</v>
      </c>
      <c r="R975" s="45" t="s">
        <v>38</v>
      </c>
      <c r="S975" s="138">
        <f>COUNTIFS('Raw Non-zero DMR Data'!$A:$A, A975, 'Raw Non-zero DMR Data'!$C:$C, U975, 'Raw Non-zero DMR Data'!$V:$V, V975)</f>
        <v>1</v>
      </c>
      <c r="T975" s="34">
        <f>SUMIFS('Raw Non-zero DMR Data'!$X:$X, 'Raw Non-zero DMR Data'!$A:$A, A975, 'Raw Non-zero DMR Data'!$C:$C, U975, 'Raw Non-zero DMR Data'!V:V, V975)</f>
        <v>5.8667500000000004E-4</v>
      </c>
      <c r="U975" s="34" t="s">
        <v>1761</v>
      </c>
      <c r="V975" s="34" t="s">
        <v>1763</v>
      </c>
      <c r="W975" s="141" t="s">
        <v>1764</v>
      </c>
      <c r="X975" s="140" t="s">
        <v>739</v>
      </c>
    </row>
    <row r="976" spans="1:24" x14ac:dyDescent="0.35">
      <c r="A976" s="34">
        <v>2019</v>
      </c>
      <c r="B976" s="34" t="s">
        <v>495</v>
      </c>
      <c r="C976" s="34" t="s">
        <v>1765</v>
      </c>
      <c r="D976" s="34" t="s">
        <v>496</v>
      </c>
      <c r="E976" s="34" t="s">
        <v>1766</v>
      </c>
      <c r="F976" s="34" t="s">
        <v>350</v>
      </c>
      <c r="G976" s="34"/>
      <c r="H976" s="34">
        <v>39.599829999999997</v>
      </c>
      <c r="I976" s="34">
        <v>-79.97148</v>
      </c>
      <c r="J976" s="34"/>
      <c r="K976" s="105">
        <v>110000572782</v>
      </c>
      <c r="L976" s="34">
        <v>2869</v>
      </c>
      <c r="M976" s="48" t="str">
        <f>VLOOKUP(L976, '2017 SIC to NAICS'!A:D, 2)</f>
        <v>Industrial Organic Chemicals, Nec</v>
      </c>
      <c r="N976" s="34">
        <f>VLOOKUP(L976,'2017 SIC to NAICS'!A:D,3)</f>
        <v>325998</v>
      </c>
      <c r="O976" s="34" t="str">
        <f>VLOOKUP(L976,'2017 SIC to NAICS'!A:D,4)</f>
        <v>All Other Miscellaneous Chemical Product and Preparation Manufacturing</v>
      </c>
      <c r="P976" s="36" t="s">
        <v>748</v>
      </c>
      <c r="Q976" s="137" t="s">
        <v>749</v>
      </c>
      <c r="R976" s="45" t="s">
        <v>41</v>
      </c>
      <c r="S976" s="138">
        <f>COUNTIFS('Raw Non-zero DMR Data'!$A:$A, A976, 'Raw Non-zero DMR Data'!$C:$C, U976, 'Raw Non-zero DMR Data'!$V:$V, V976)</f>
        <v>1</v>
      </c>
      <c r="T976" s="34">
        <f>SUMIFS('Raw Non-zero DMR Data'!$X:$X, 'Raw Non-zero DMR Data'!$A:$A, A976, 'Raw Non-zero DMR Data'!$C:$C, U976, 'Raw Non-zero DMR Data'!V:V, V976)</f>
        <v>5.7998500000000001E-2</v>
      </c>
      <c r="U976" s="34" t="s">
        <v>1765</v>
      </c>
      <c r="V976" s="34" t="s">
        <v>1767</v>
      </c>
      <c r="W976" s="139">
        <v>50200030307</v>
      </c>
      <c r="X976" s="140" t="s">
        <v>751</v>
      </c>
    </row>
    <row r="977" spans="1:24" x14ac:dyDescent="0.35">
      <c r="A977" s="34">
        <v>2019</v>
      </c>
      <c r="B977" s="34" t="s">
        <v>348</v>
      </c>
      <c r="C977" s="34" t="s">
        <v>1768</v>
      </c>
      <c r="D977" s="34" t="s">
        <v>349</v>
      </c>
      <c r="E977" s="34" t="s">
        <v>1769</v>
      </c>
      <c r="F977" s="34" t="s">
        <v>350</v>
      </c>
      <c r="G977" s="34"/>
      <c r="H977" s="34">
        <v>39.719476999999998</v>
      </c>
      <c r="I977" s="34">
        <v>-80.827316999999994</v>
      </c>
      <c r="J977" s="34"/>
      <c r="K977" s="105">
        <v>110000608030</v>
      </c>
      <c r="L977" s="34">
        <v>2869</v>
      </c>
      <c r="M977" s="48" t="str">
        <f>VLOOKUP(L977, '2017 SIC to NAICS'!A:D, 2)</f>
        <v>Industrial Organic Chemicals, Nec</v>
      </c>
      <c r="N977" s="34">
        <f>VLOOKUP(L977,'2017 SIC to NAICS'!A:D,3)</f>
        <v>325998</v>
      </c>
      <c r="O977" s="34" t="str">
        <f>VLOOKUP(L977,'2017 SIC to NAICS'!A:D,4)</f>
        <v>All Other Miscellaneous Chemical Product and Preparation Manufacturing</v>
      </c>
      <c r="P977" s="36" t="s">
        <v>748</v>
      </c>
      <c r="Q977" s="137" t="s">
        <v>749</v>
      </c>
      <c r="R977" s="45" t="s">
        <v>41</v>
      </c>
      <c r="S977" s="138">
        <f>COUNTIFS('Raw Non-zero DMR Data'!$A:$A, A977, 'Raw Non-zero DMR Data'!$C:$C, U977, 'Raw Non-zero DMR Data'!$V:$V, V977)</f>
        <v>1</v>
      </c>
      <c r="T977" s="34">
        <f>SUMIFS('Raw Non-zero DMR Data'!$X:$X, 'Raw Non-zero DMR Data'!$A:$A, A977, 'Raw Non-zero DMR Data'!$C:$C, U977, 'Raw Non-zero DMR Data'!V:V, V977)</f>
        <v>0.62128992000000005</v>
      </c>
      <c r="U977" s="34" t="s">
        <v>1768</v>
      </c>
      <c r="V977" s="34" t="s">
        <v>1770</v>
      </c>
      <c r="W977" s="139">
        <v>50302011004</v>
      </c>
      <c r="X977" s="140" t="s">
        <v>1771</v>
      </c>
    </row>
    <row r="978" spans="1:24" x14ac:dyDescent="0.35">
      <c r="A978" s="34">
        <v>2020</v>
      </c>
      <c r="B978" s="34" t="s">
        <v>348</v>
      </c>
      <c r="C978" s="34" t="s">
        <v>1768</v>
      </c>
      <c r="D978" s="34" t="s">
        <v>349</v>
      </c>
      <c r="E978" s="34" t="s">
        <v>1769</v>
      </c>
      <c r="F978" s="34" t="s">
        <v>350</v>
      </c>
      <c r="G978" s="34"/>
      <c r="H978" s="34">
        <v>39.719476999999998</v>
      </c>
      <c r="I978" s="34">
        <v>-80.827316999999994</v>
      </c>
      <c r="J978" s="34"/>
      <c r="K978" s="105">
        <v>110000608030</v>
      </c>
      <c r="L978" s="34">
        <v>2869</v>
      </c>
      <c r="M978" s="48" t="str">
        <f>VLOOKUP(L978, '2017 SIC to NAICS'!A:D, 2)</f>
        <v>Industrial Organic Chemicals, Nec</v>
      </c>
      <c r="N978" s="34">
        <f>VLOOKUP(L978,'2017 SIC to NAICS'!A:D,3)</f>
        <v>325998</v>
      </c>
      <c r="O978" s="34" t="str">
        <f>VLOOKUP(L978,'2017 SIC to NAICS'!A:D,4)</f>
        <v>All Other Miscellaneous Chemical Product and Preparation Manufacturing</v>
      </c>
      <c r="P978" s="36" t="s">
        <v>748</v>
      </c>
      <c r="Q978" s="137" t="s">
        <v>749</v>
      </c>
      <c r="R978" s="45" t="s">
        <v>41</v>
      </c>
      <c r="S978" s="138">
        <f>COUNTIFS('Raw Non-zero DMR Data'!$A:$A, A978, 'Raw Non-zero DMR Data'!$C:$C, U978, 'Raw Non-zero DMR Data'!$V:$V, V978)</f>
        <v>1</v>
      </c>
      <c r="T978" s="34">
        <f>SUMIFS('Raw Non-zero DMR Data'!$X:$X, 'Raw Non-zero DMR Data'!$A:$A, A978, 'Raw Non-zero DMR Data'!$C:$C, U978, 'Raw Non-zero DMR Data'!V:V, V978)</f>
        <v>0.33210099999999998</v>
      </c>
      <c r="U978" s="34" t="s">
        <v>1768</v>
      </c>
      <c r="V978" s="34" t="s">
        <v>1770</v>
      </c>
      <c r="W978" s="139">
        <v>50302011004</v>
      </c>
      <c r="X978" s="140" t="s">
        <v>1771</v>
      </c>
    </row>
  </sheetData>
  <sheetProtection sheet="1" objects="1" scenarios="1" formatCells="0" formatColumns="0" formatRows="0" sort="0" autoFilter="0"/>
  <autoFilter ref="A1:X978" xr:uid="{0F6ED165-09A3-401C-9451-C18CB7A35EBD}"/>
  <sortState xmlns:xlrd2="http://schemas.microsoft.com/office/spreadsheetml/2017/richdata2" ref="A2:X983">
    <sortCondition descending="1" ref="S2:S983"/>
    <sortCondition ref="C2:C983"/>
    <sortCondition ref="A2:A983"/>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AF2C4-2ABC-4237-826F-DC92C80DF1CE}">
  <sheetPr codeName="Sheet8">
    <tabColor rgb="FF5B9BD5"/>
  </sheetPr>
  <dimension ref="A1:X13"/>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RowHeight="14.5" x14ac:dyDescent="0.35"/>
  <cols>
    <col min="1" max="1" width="12.1796875" style="11" customWidth="1"/>
    <col min="2" max="2" width="53.7265625" style="11" bestFit="1" customWidth="1"/>
    <col min="3" max="3" width="21.81640625" style="11" bestFit="1" customWidth="1"/>
    <col min="4" max="4" width="15.54296875" style="11" bestFit="1" customWidth="1"/>
    <col min="5" max="6" width="8.7265625" style="11"/>
    <col min="7" max="7" width="11.453125" style="11" customWidth="1"/>
    <col min="8" max="8" width="13.81640625" style="11" customWidth="1"/>
    <col min="9" max="9" width="21.453125" style="11" customWidth="1"/>
    <col min="10" max="10" width="15.81640625" style="11" bestFit="1" customWidth="1"/>
    <col min="11" max="11" width="12.1796875" style="11" customWidth="1"/>
    <col min="12" max="12" width="10.54296875" style="11" customWidth="1"/>
    <col min="13" max="13" width="81.1796875" style="11" bestFit="1" customWidth="1"/>
    <col min="14" max="14" width="65.26953125" style="11" customWidth="1"/>
    <col min="15" max="15" width="108.7265625" style="11" bestFit="1" customWidth="1"/>
    <col min="16" max="16" width="26.1796875" style="11" bestFit="1" customWidth="1"/>
    <col min="17" max="17" width="26.1796875" style="11" customWidth="1"/>
    <col min="18" max="19" width="16.453125" style="11" customWidth="1"/>
    <col min="20" max="21" width="20.453125" style="11" customWidth="1"/>
    <col min="22" max="23" width="16.81640625" style="11" customWidth="1"/>
    <col min="24" max="24" width="241.26953125" style="11" bestFit="1" customWidth="1"/>
    <col min="25" max="16384" width="8.7265625" style="11"/>
  </cols>
  <sheetData>
    <row r="1" spans="1:24" s="154" customFormat="1" ht="58.5" thickBot="1" x14ac:dyDescent="0.4">
      <c r="A1" s="151" t="s">
        <v>711</v>
      </c>
      <c r="B1" s="86" t="s">
        <v>70</v>
      </c>
      <c r="C1" s="86" t="s">
        <v>1772</v>
      </c>
      <c r="D1" s="86" t="s">
        <v>71</v>
      </c>
      <c r="E1" s="86" t="s">
        <v>72</v>
      </c>
      <c r="F1" s="86" t="s">
        <v>1773</v>
      </c>
      <c r="G1" s="86" t="s">
        <v>705</v>
      </c>
      <c r="H1" s="86" t="s">
        <v>706</v>
      </c>
      <c r="I1" s="86" t="s">
        <v>73</v>
      </c>
      <c r="J1" s="87" t="s">
        <v>74</v>
      </c>
      <c r="K1" s="86" t="s">
        <v>1774</v>
      </c>
      <c r="L1" s="86" t="s">
        <v>1775</v>
      </c>
      <c r="M1" s="121" t="s">
        <v>1776</v>
      </c>
      <c r="N1" s="121" t="s">
        <v>1777</v>
      </c>
      <c r="O1" s="152" t="s">
        <v>26</v>
      </c>
      <c r="P1" s="152" t="s">
        <v>708</v>
      </c>
      <c r="Q1" s="152" t="s">
        <v>709</v>
      </c>
      <c r="R1" s="86" t="s">
        <v>1778</v>
      </c>
      <c r="S1" s="86" t="s">
        <v>1779</v>
      </c>
      <c r="T1" s="86" t="s">
        <v>1780</v>
      </c>
      <c r="U1" s="86" t="s">
        <v>1781</v>
      </c>
      <c r="V1" s="86" t="s">
        <v>1782</v>
      </c>
      <c r="W1" s="86" t="s">
        <v>1783</v>
      </c>
      <c r="X1" s="153" t="s">
        <v>1784</v>
      </c>
    </row>
    <row r="2" spans="1:24" x14ac:dyDescent="0.35">
      <c r="A2" s="34">
        <v>2023</v>
      </c>
      <c r="B2" s="34" t="s">
        <v>93</v>
      </c>
      <c r="C2" s="34" t="s">
        <v>1785</v>
      </c>
      <c r="D2" s="34" t="s">
        <v>94</v>
      </c>
      <c r="E2" s="34" t="s">
        <v>95</v>
      </c>
      <c r="F2" s="34">
        <v>77054</v>
      </c>
      <c r="G2" s="34">
        <v>29.671271000000001</v>
      </c>
      <c r="H2" s="34">
        <v>-95.404606999999999</v>
      </c>
      <c r="I2" s="34" t="s">
        <v>96</v>
      </c>
      <c r="J2" s="105">
        <v>110000861755</v>
      </c>
      <c r="K2" s="34" t="s">
        <v>1786</v>
      </c>
      <c r="L2" s="34">
        <v>325211</v>
      </c>
      <c r="M2" s="140" t="s">
        <v>1787</v>
      </c>
      <c r="N2" s="34" t="e">
        <f>VLOOKUP(L2,#REF!,3)</f>
        <v>#REF!</v>
      </c>
      <c r="O2" s="34" t="s">
        <v>37</v>
      </c>
      <c r="P2" s="34" t="str">
        <f t="shared" ref="P2:P13" si="0">IF(AND(R2 = 500, T2 = 500), "Direct and/or Indirect", IF(AND(S2 &gt; 0, U2 &gt; 0), "Direct and Indirect", IF(S2 &gt; 0, "Direct", "Indirect")))</f>
        <v>Direct and/or Indirect</v>
      </c>
      <c r="Q2" s="34" t="s">
        <v>710</v>
      </c>
      <c r="R2" s="34">
        <v>500</v>
      </c>
      <c r="S2" s="34">
        <f t="shared" ref="S2:S13" si="1">CONVERT(R2,"lbm","g")/1000</f>
        <v>226.79618500000001</v>
      </c>
      <c r="T2" s="34">
        <v>500</v>
      </c>
      <c r="U2" s="34">
        <f t="shared" ref="U2:U13" si="2">CONVERT(T2,"lbm","g")/1000</f>
        <v>226.79618500000001</v>
      </c>
      <c r="V2" s="34">
        <v>500</v>
      </c>
      <c r="W2" s="34">
        <f t="shared" ref="W2:W13" si="3">CONVERT(V2,"lbm","g")/1000</f>
        <v>226.79618500000001</v>
      </c>
      <c r="X2" s="34" t="s">
        <v>1788</v>
      </c>
    </row>
    <row r="3" spans="1:24" x14ac:dyDescent="0.35">
      <c r="A3" s="34">
        <v>2019</v>
      </c>
      <c r="B3" s="34" t="s">
        <v>97</v>
      </c>
      <c r="C3" s="34" t="s">
        <v>1789</v>
      </c>
      <c r="D3" s="34" t="s">
        <v>98</v>
      </c>
      <c r="E3" s="34" t="s">
        <v>95</v>
      </c>
      <c r="F3" s="34">
        <v>77541</v>
      </c>
      <c r="G3" s="34">
        <v>28.969389</v>
      </c>
      <c r="H3" s="34">
        <v>-95.379527999999993</v>
      </c>
      <c r="I3" s="34" t="s">
        <v>99</v>
      </c>
      <c r="J3" s="105">
        <v>110066943605</v>
      </c>
      <c r="K3" s="34" t="s">
        <v>1790</v>
      </c>
      <c r="L3" s="34">
        <v>325199</v>
      </c>
      <c r="M3" s="140" t="s">
        <v>873</v>
      </c>
      <c r="N3" s="34" t="e">
        <f>VLOOKUP(L3,#REF!,3)</f>
        <v>#REF!</v>
      </c>
      <c r="O3" s="140" t="s">
        <v>1791</v>
      </c>
      <c r="P3" s="34" t="str">
        <f t="shared" si="0"/>
        <v>Indirect</v>
      </c>
      <c r="Q3" s="34" t="s">
        <v>710</v>
      </c>
      <c r="R3" s="34">
        <v>0</v>
      </c>
      <c r="S3" s="34">
        <f t="shared" si="1"/>
        <v>0</v>
      </c>
      <c r="T3" s="34">
        <v>0</v>
      </c>
      <c r="U3" s="34">
        <f t="shared" si="2"/>
        <v>0</v>
      </c>
      <c r="V3" s="34">
        <v>81</v>
      </c>
      <c r="W3" s="34">
        <f t="shared" si="3"/>
        <v>36.74098197</v>
      </c>
      <c r="X3" s="34" t="s">
        <v>1792</v>
      </c>
    </row>
    <row r="4" spans="1:24" x14ac:dyDescent="0.35">
      <c r="A4" s="34">
        <v>2020</v>
      </c>
      <c r="B4" s="34" t="s">
        <v>97</v>
      </c>
      <c r="C4" s="34" t="s">
        <v>1789</v>
      </c>
      <c r="D4" s="34" t="s">
        <v>98</v>
      </c>
      <c r="E4" s="34" t="s">
        <v>95</v>
      </c>
      <c r="F4" s="34">
        <v>77541</v>
      </c>
      <c r="G4" s="34">
        <v>28.969389</v>
      </c>
      <c r="H4" s="34">
        <v>-95.379527999999993</v>
      </c>
      <c r="I4" s="34" t="s">
        <v>99</v>
      </c>
      <c r="J4" s="105">
        <v>110066943605</v>
      </c>
      <c r="K4" s="34" t="s">
        <v>1790</v>
      </c>
      <c r="L4" s="34">
        <v>325199</v>
      </c>
      <c r="M4" s="140" t="s">
        <v>873</v>
      </c>
      <c r="N4" s="34" t="e">
        <f>VLOOKUP(L4,#REF!,3)</f>
        <v>#REF!</v>
      </c>
      <c r="O4" s="140" t="s">
        <v>1791</v>
      </c>
      <c r="P4" s="34" t="str">
        <f t="shared" si="0"/>
        <v>Indirect</v>
      </c>
      <c r="Q4" s="34" t="s">
        <v>710</v>
      </c>
      <c r="R4" s="34">
        <v>0</v>
      </c>
      <c r="S4" s="34">
        <f t="shared" si="1"/>
        <v>0</v>
      </c>
      <c r="T4" s="34">
        <v>0</v>
      </c>
      <c r="U4" s="34">
        <f t="shared" si="2"/>
        <v>0</v>
      </c>
      <c r="V4" s="34">
        <v>79</v>
      </c>
      <c r="W4" s="34">
        <f t="shared" si="3"/>
        <v>35.833797230000002</v>
      </c>
      <c r="X4" s="34" t="s">
        <v>1788</v>
      </c>
    </row>
    <row r="5" spans="1:24" x14ac:dyDescent="0.35">
      <c r="A5" s="34">
        <v>2021</v>
      </c>
      <c r="B5" s="34" t="s">
        <v>97</v>
      </c>
      <c r="C5" s="34" t="s">
        <v>1789</v>
      </c>
      <c r="D5" s="34" t="s">
        <v>98</v>
      </c>
      <c r="E5" s="34" t="s">
        <v>95</v>
      </c>
      <c r="F5" s="34">
        <v>77541</v>
      </c>
      <c r="G5" s="34">
        <v>28.969389</v>
      </c>
      <c r="H5" s="34">
        <v>-95.379527999999993</v>
      </c>
      <c r="I5" s="34" t="s">
        <v>99</v>
      </c>
      <c r="J5" s="105">
        <v>110066943605</v>
      </c>
      <c r="K5" s="34" t="s">
        <v>1790</v>
      </c>
      <c r="L5" s="34">
        <v>325199</v>
      </c>
      <c r="M5" s="140" t="s">
        <v>873</v>
      </c>
      <c r="N5" s="34" t="e">
        <f>VLOOKUP(L5,#REF!,3)</f>
        <v>#REF!</v>
      </c>
      <c r="O5" s="140" t="s">
        <v>1791</v>
      </c>
      <c r="P5" s="34" t="str">
        <f t="shared" si="0"/>
        <v>Indirect</v>
      </c>
      <c r="Q5" s="34" t="s">
        <v>710</v>
      </c>
      <c r="R5" s="34">
        <v>0</v>
      </c>
      <c r="S5" s="34">
        <f t="shared" si="1"/>
        <v>0</v>
      </c>
      <c r="T5" s="34">
        <v>0</v>
      </c>
      <c r="U5" s="34">
        <f t="shared" si="2"/>
        <v>0</v>
      </c>
      <c r="V5" s="34">
        <v>80</v>
      </c>
      <c r="W5" s="34">
        <f t="shared" si="3"/>
        <v>36.287389600000004</v>
      </c>
      <c r="X5" s="34" t="s">
        <v>1792</v>
      </c>
    </row>
    <row r="6" spans="1:24" x14ac:dyDescent="0.35">
      <c r="A6" s="34">
        <v>2022</v>
      </c>
      <c r="B6" s="34" t="s">
        <v>97</v>
      </c>
      <c r="C6" s="34" t="s">
        <v>1789</v>
      </c>
      <c r="D6" s="34" t="s">
        <v>98</v>
      </c>
      <c r="E6" s="34" t="s">
        <v>95</v>
      </c>
      <c r="F6" s="34">
        <v>77541</v>
      </c>
      <c r="G6" s="34">
        <v>28.969389</v>
      </c>
      <c r="H6" s="34">
        <v>-95.379527999999993</v>
      </c>
      <c r="I6" s="34" t="s">
        <v>99</v>
      </c>
      <c r="J6" s="105">
        <v>110066943605</v>
      </c>
      <c r="K6" s="34" t="s">
        <v>1790</v>
      </c>
      <c r="L6" s="34">
        <v>325199</v>
      </c>
      <c r="M6" s="140" t="s">
        <v>873</v>
      </c>
      <c r="N6" s="34" t="e">
        <f>VLOOKUP(L6,#REF!,3)</f>
        <v>#REF!</v>
      </c>
      <c r="O6" s="140" t="s">
        <v>1791</v>
      </c>
      <c r="P6" s="34" t="str">
        <f t="shared" si="0"/>
        <v>Indirect</v>
      </c>
      <c r="Q6" s="34" t="s">
        <v>710</v>
      </c>
      <c r="R6" s="34">
        <v>0</v>
      </c>
      <c r="S6" s="34">
        <f t="shared" si="1"/>
        <v>0</v>
      </c>
      <c r="T6" s="34">
        <v>0</v>
      </c>
      <c r="U6" s="34">
        <f t="shared" si="2"/>
        <v>0</v>
      </c>
      <c r="V6" s="34">
        <v>67</v>
      </c>
      <c r="W6" s="34">
        <f t="shared" si="3"/>
        <v>30.390688789999999</v>
      </c>
      <c r="X6" s="34" t="s">
        <v>1792</v>
      </c>
    </row>
    <row r="7" spans="1:24" x14ac:dyDescent="0.35">
      <c r="A7" s="34">
        <v>2023</v>
      </c>
      <c r="B7" s="34" t="s">
        <v>97</v>
      </c>
      <c r="C7" s="34" t="s">
        <v>1789</v>
      </c>
      <c r="D7" s="34" t="s">
        <v>98</v>
      </c>
      <c r="E7" s="34" t="s">
        <v>95</v>
      </c>
      <c r="F7" s="34">
        <v>77541</v>
      </c>
      <c r="G7" s="34">
        <v>28.969389</v>
      </c>
      <c r="H7" s="34">
        <v>-95.379527999999993</v>
      </c>
      <c r="I7" s="34" t="s">
        <v>99</v>
      </c>
      <c r="J7" s="105">
        <v>110066943605</v>
      </c>
      <c r="K7" s="34" t="s">
        <v>1790</v>
      </c>
      <c r="L7" s="34">
        <v>325199</v>
      </c>
      <c r="M7" s="140" t="s">
        <v>873</v>
      </c>
      <c r="N7" s="34" t="e">
        <f>VLOOKUP(L7,#REF!,3)</f>
        <v>#REF!</v>
      </c>
      <c r="O7" s="140" t="s">
        <v>1791</v>
      </c>
      <c r="P7" s="34" t="str">
        <f t="shared" si="0"/>
        <v>Indirect</v>
      </c>
      <c r="Q7" s="34" t="s">
        <v>710</v>
      </c>
      <c r="R7" s="34">
        <v>0</v>
      </c>
      <c r="S7" s="34">
        <f t="shared" si="1"/>
        <v>0</v>
      </c>
      <c r="T7" s="34">
        <v>0</v>
      </c>
      <c r="U7" s="34">
        <f t="shared" si="2"/>
        <v>0</v>
      </c>
      <c r="V7" s="34">
        <v>46</v>
      </c>
      <c r="W7" s="34">
        <f t="shared" si="3"/>
        <v>20.86524902</v>
      </c>
      <c r="X7" s="34" t="s">
        <v>1788</v>
      </c>
    </row>
    <row r="8" spans="1:24" x14ac:dyDescent="0.35">
      <c r="A8" s="34">
        <v>2020</v>
      </c>
      <c r="B8" s="34" t="s">
        <v>100</v>
      </c>
      <c r="C8" s="34" t="s">
        <v>1793</v>
      </c>
      <c r="D8" s="34" t="s">
        <v>101</v>
      </c>
      <c r="E8" s="34" t="s">
        <v>102</v>
      </c>
      <c r="F8" s="34">
        <v>92011</v>
      </c>
      <c r="G8" s="34">
        <v>33.119149999999998</v>
      </c>
      <c r="H8" s="34">
        <v>-117.28344</v>
      </c>
      <c r="I8" s="34" t="s">
        <v>103</v>
      </c>
      <c r="J8" s="105">
        <v>110000478509</v>
      </c>
      <c r="K8" s="34" t="s">
        <v>1790</v>
      </c>
      <c r="L8" s="34">
        <v>325998</v>
      </c>
      <c r="M8" s="140" t="s">
        <v>1794</v>
      </c>
      <c r="N8" s="34" t="e">
        <f>VLOOKUP(L8,#REF!,3)</f>
        <v>#REF!</v>
      </c>
      <c r="O8" s="34" t="s">
        <v>37</v>
      </c>
      <c r="P8" s="34" t="str">
        <f t="shared" si="0"/>
        <v>Indirect</v>
      </c>
      <c r="Q8" s="34" t="s">
        <v>710</v>
      </c>
      <c r="R8" s="34">
        <v>0</v>
      </c>
      <c r="S8" s="34">
        <f t="shared" si="1"/>
        <v>0</v>
      </c>
      <c r="T8" s="34">
        <v>1</v>
      </c>
      <c r="U8" s="34">
        <f t="shared" si="2"/>
        <v>0.45359237000000002</v>
      </c>
      <c r="V8" s="34">
        <v>0</v>
      </c>
      <c r="W8" s="34">
        <f t="shared" si="3"/>
        <v>0</v>
      </c>
      <c r="X8" s="34" t="s">
        <v>1792</v>
      </c>
    </row>
    <row r="9" spans="1:24" x14ac:dyDescent="0.35">
      <c r="A9" s="34">
        <v>2021</v>
      </c>
      <c r="B9" s="34" t="s">
        <v>100</v>
      </c>
      <c r="C9" s="34" t="s">
        <v>1793</v>
      </c>
      <c r="D9" s="34" t="s">
        <v>101</v>
      </c>
      <c r="E9" s="34" t="s">
        <v>102</v>
      </c>
      <c r="F9" s="34">
        <v>92011</v>
      </c>
      <c r="G9" s="34">
        <v>33.119149999999998</v>
      </c>
      <c r="H9" s="34">
        <v>-117.28344</v>
      </c>
      <c r="I9" s="34" t="s">
        <v>103</v>
      </c>
      <c r="J9" s="105">
        <v>110000478509</v>
      </c>
      <c r="K9" s="34" t="s">
        <v>1790</v>
      </c>
      <c r="L9" s="34">
        <v>325998</v>
      </c>
      <c r="M9" s="140" t="s">
        <v>1794</v>
      </c>
      <c r="N9" s="34" t="e">
        <f>VLOOKUP(L9,#REF!,3)</f>
        <v>#REF!</v>
      </c>
      <c r="O9" s="34" t="s">
        <v>37</v>
      </c>
      <c r="P9" s="34" t="str">
        <f t="shared" si="0"/>
        <v>Indirect</v>
      </c>
      <c r="Q9" s="34" t="s">
        <v>710</v>
      </c>
      <c r="R9" s="34">
        <v>0</v>
      </c>
      <c r="S9" s="34">
        <f t="shared" si="1"/>
        <v>0</v>
      </c>
      <c r="T9" s="34">
        <v>1</v>
      </c>
      <c r="U9" s="34">
        <f t="shared" si="2"/>
        <v>0.45359237000000002</v>
      </c>
      <c r="V9" s="34">
        <v>0</v>
      </c>
      <c r="W9" s="34">
        <f t="shared" si="3"/>
        <v>0</v>
      </c>
      <c r="X9" s="34" t="s">
        <v>1792</v>
      </c>
    </row>
    <row r="10" spans="1:24" x14ac:dyDescent="0.35">
      <c r="A10" s="34">
        <v>2019</v>
      </c>
      <c r="B10" s="34" t="s">
        <v>89</v>
      </c>
      <c r="C10" s="34" t="s">
        <v>1795</v>
      </c>
      <c r="D10" s="34" t="s">
        <v>90</v>
      </c>
      <c r="E10" s="34" t="s">
        <v>91</v>
      </c>
      <c r="F10" s="34">
        <v>70669</v>
      </c>
      <c r="G10" s="34">
        <v>30.223500000000001</v>
      </c>
      <c r="H10" s="34">
        <v>-93.286900000000003</v>
      </c>
      <c r="I10" s="34" t="s">
        <v>92</v>
      </c>
      <c r="J10" s="105">
        <v>110000494894</v>
      </c>
      <c r="K10" s="34" t="s">
        <v>1790</v>
      </c>
      <c r="L10" s="34">
        <v>221112</v>
      </c>
      <c r="M10" s="140" t="s">
        <v>1796</v>
      </c>
      <c r="N10" s="34" t="e">
        <f>VLOOKUP(L10,#REF!,3)</f>
        <v>#REF!</v>
      </c>
      <c r="O10" s="140" t="s">
        <v>35</v>
      </c>
      <c r="P10" s="34" t="str">
        <f t="shared" si="0"/>
        <v>Direct</v>
      </c>
      <c r="Q10" s="34" t="s">
        <v>710</v>
      </c>
      <c r="R10" s="34">
        <v>13</v>
      </c>
      <c r="S10" s="34">
        <f t="shared" si="1"/>
        <v>5.8967008100000005</v>
      </c>
      <c r="T10" s="34">
        <v>0</v>
      </c>
      <c r="U10" s="34">
        <f t="shared" si="2"/>
        <v>0</v>
      </c>
      <c r="V10" s="34">
        <v>0</v>
      </c>
      <c r="W10" s="34">
        <f t="shared" si="3"/>
        <v>0</v>
      </c>
      <c r="X10" s="34" t="s">
        <v>1792</v>
      </c>
    </row>
    <row r="11" spans="1:24" x14ac:dyDescent="0.35">
      <c r="A11" s="34">
        <v>2020</v>
      </c>
      <c r="B11" s="34" t="s">
        <v>89</v>
      </c>
      <c r="C11" s="34" t="s">
        <v>1795</v>
      </c>
      <c r="D11" s="34" t="s">
        <v>90</v>
      </c>
      <c r="E11" s="34" t="s">
        <v>91</v>
      </c>
      <c r="F11" s="34">
        <v>70669</v>
      </c>
      <c r="G11" s="34">
        <v>30.223500000000001</v>
      </c>
      <c r="H11" s="34">
        <v>-93.286900000000003</v>
      </c>
      <c r="I11" s="34" t="s">
        <v>92</v>
      </c>
      <c r="J11" s="105">
        <v>110000494894</v>
      </c>
      <c r="K11" s="34" t="s">
        <v>1790</v>
      </c>
      <c r="L11" s="34">
        <v>325180</v>
      </c>
      <c r="M11" s="140" t="s">
        <v>1797</v>
      </c>
      <c r="N11" s="34" t="e">
        <f>VLOOKUP(L11,#REF!,3)</f>
        <v>#REF!</v>
      </c>
      <c r="O11" s="140" t="s">
        <v>35</v>
      </c>
      <c r="P11" s="34" t="str">
        <f t="shared" si="0"/>
        <v>Direct</v>
      </c>
      <c r="Q11" s="34" t="s">
        <v>710</v>
      </c>
      <c r="R11" s="34">
        <v>33</v>
      </c>
      <c r="S11" s="34">
        <f t="shared" si="1"/>
        <v>14.968548210000002</v>
      </c>
      <c r="T11" s="34">
        <v>0</v>
      </c>
      <c r="U11" s="34">
        <f t="shared" si="2"/>
        <v>0</v>
      </c>
      <c r="V11" s="34">
        <v>0</v>
      </c>
      <c r="W11" s="34">
        <f t="shared" si="3"/>
        <v>0</v>
      </c>
      <c r="X11" s="34" t="s">
        <v>1788</v>
      </c>
    </row>
    <row r="12" spans="1:24" x14ac:dyDescent="0.35">
      <c r="A12" s="34">
        <v>2021</v>
      </c>
      <c r="B12" s="34" t="s">
        <v>89</v>
      </c>
      <c r="C12" s="34" t="s">
        <v>1795</v>
      </c>
      <c r="D12" s="34" t="s">
        <v>90</v>
      </c>
      <c r="E12" s="34" t="s">
        <v>91</v>
      </c>
      <c r="F12" s="34">
        <v>70669</v>
      </c>
      <c r="G12" s="34">
        <v>30.223500000000001</v>
      </c>
      <c r="H12" s="34">
        <v>-93.286900000000003</v>
      </c>
      <c r="I12" s="34" t="s">
        <v>92</v>
      </c>
      <c r="J12" s="105">
        <v>110000494894</v>
      </c>
      <c r="K12" s="34" t="s">
        <v>1790</v>
      </c>
      <c r="L12" s="34">
        <v>221112</v>
      </c>
      <c r="M12" s="140" t="s">
        <v>1796</v>
      </c>
      <c r="N12" s="34" t="e">
        <f>VLOOKUP(L12,#REF!,3)</f>
        <v>#REF!</v>
      </c>
      <c r="O12" s="140" t="s">
        <v>35</v>
      </c>
      <c r="P12" s="34" t="str">
        <f t="shared" si="0"/>
        <v>Direct</v>
      </c>
      <c r="Q12" s="34" t="s">
        <v>710</v>
      </c>
      <c r="R12" s="34">
        <v>30</v>
      </c>
      <c r="S12" s="34">
        <f t="shared" si="1"/>
        <v>13.607771100000001</v>
      </c>
      <c r="T12" s="34">
        <v>0</v>
      </c>
      <c r="U12" s="34">
        <f t="shared" si="2"/>
        <v>0</v>
      </c>
      <c r="V12" s="34">
        <v>0</v>
      </c>
      <c r="W12" s="34">
        <f t="shared" si="3"/>
        <v>0</v>
      </c>
      <c r="X12" s="34" t="s">
        <v>1792</v>
      </c>
    </row>
    <row r="13" spans="1:24" x14ac:dyDescent="0.35">
      <c r="A13" s="34">
        <v>2022</v>
      </c>
      <c r="B13" s="34" t="s">
        <v>89</v>
      </c>
      <c r="C13" s="34" t="s">
        <v>1795</v>
      </c>
      <c r="D13" s="34" t="s">
        <v>90</v>
      </c>
      <c r="E13" s="34" t="s">
        <v>91</v>
      </c>
      <c r="F13" s="34">
        <v>70669</v>
      </c>
      <c r="G13" s="34">
        <v>30.223500000000001</v>
      </c>
      <c r="H13" s="34">
        <v>-93.286900000000003</v>
      </c>
      <c r="I13" s="34" t="s">
        <v>92</v>
      </c>
      <c r="J13" s="105">
        <v>110000494894</v>
      </c>
      <c r="K13" s="34" t="s">
        <v>1790</v>
      </c>
      <c r="L13" s="34">
        <v>325180</v>
      </c>
      <c r="M13" s="140" t="s">
        <v>1797</v>
      </c>
      <c r="N13" s="34" t="e">
        <f>VLOOKUP(L13,#REF!,3)</f>
        <v>#REF!</v>
      </c>
      <c r="O13" s="140" t="s">
        <v>35</v>
      </c>
      <c r="P13" s="34" t="str">
        <f t="shared" si="0"/>
        <v>Direct</v>
      </c>
      <c r="Q13" s="34" t="s">
        <v>710</v>
      </c>
      <c r="R13" s="34">
        <v>24</v>
      </c>
      <c r="S13" s="34">
        <f t="shared" si="1"/>
        <v>10.886216879999999</v>
      </c>
      <c r="T13" s="34">
        <v>0</v>
      </c>
      <c r="U13" s="34">
        <f t="shared" si="2"/>
        <v>0</v>
      </c>
      <c r="V13" s="34">
        <v>0</v>
      </c>
      <c r="W13" s="34">
        <f t="shared" si="3"/>
        <v>0</v>
      </c>
      <c r="X13" s="34" t="s">
        <v>1788</v>
      </c>
    </row>
  </sheetData>
  <sheetProtection sheet="1" objects="1" scenarios="1" formatCells="0" formatColumns="0" formatRows="0" sort="0" autoFilter="0"/>
  <autoFilter ref="A1:W1600" xr:uid="{33FAF2C4-2ABC-4237-826F-DC92C80DF1C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AF087-9F02-427D-BCCE-3E1AFE251C94}">
  <sheetPr codeName="Sheet9">
    <tabColor theme="9"/>
  </sheetPr>
  <dimension ref="A1:S140"/>
  <sheetViews>
    <sheetView workbookViewId="0">
      <pane ySplit="2" topLeftCell="A3" activePane="bottomLeft" state="frozen"/>
      <selection pane="bottomLeft" sqref="A1:G1"/>
    </sheetView>
  </sheetViews>
  <sheetFormatPr defaultRowHeight="14.5" x14ac:dyDescent="0.35"/>
  <cols>
    <col min="1" max="1" width="20.1796875" style="11" bestFit="1" customWidth="1"/>
    <col min="2" max="2" width="17.7265625" style="11" customWidth="1"/>
    <col min="3" max="3" width="34.81640625" style="11" customWidth="1"/>
    <col min="4" max="4" width="42.54296875" style="39" customWidth="1"/>
    <col min="5" max="5" width="16.26953125" style="11" customWidth="1"/>
    <col min="6" max="6" width="7.1796875" style="11" hidden="1" customWidth="1"/>
    <col min="7" max="10" width="23.453125" style="11" customWidth="1"/>
    <col min="11" max="11" width="19.54296875" style="11" bestFit="1" customWidth="1"/>
    <col min="12" max="12" width="63.81640625" style="11" bestFit="1" customWidth="1"/>
    <col min="13" max="13" width="17.54296875" style="11" bestFit="1" customWidth="1"/>
    <col min="14" max="14" width="44.81640625" style="39" customWidth="1"/>
    <col min="15" max="15" width="32.81640625" style="11" bestFit="1" customWidth="1"/>
    <col min="16" max="16" width="13.81640625" style="11" customWidth="1"/>
    <col min="17" max="19" width="8.7265625" style="11"/>
    <col min="20" max="20" width="9.1796875" style="11" bestFit="1" customWidth="1"/>
    <col min="21" max="16384" width="8.7265625" style="11"/>
  </cols>
  <sheetData>
    <row r="1" spans="1:16" ht="15" thickBot="1" x14ac:dyDescent="0.4">
      <c r="A1" s="5" t="s">
        <v>1905</v>
      </c>
      <c r="B1" s="6"/>
      <c r="C1" s="6"/>
      <c r="D1" s="6"/>
      <c r="E1" s="6"/>
      <c r="F1" s="6"/>
      <c r="G1" s="6"/>
      <c r="H1" s="4"/>
      <c r="I1" s="4"/>
      <c r="J1" s="7" t="s">
        <v>1906</v>
      </c>
      <c r="K1" s="8"/>
      <c r="L1" s="8"/>
      <c r="M1" s="8"/>
      <c r="N1" s="8"/>
      <c r="O1" s="8"/>
      <c r="P1" s="9"/>
    </row>
    <row r="2" spans="1:16" s="39" customFormat="1" ht="58" x14ac:dyDescent="0.35">
      <c r="A2" s="155" t="s">
        <v>711</v>
      </c>
      <c r="B2" s="156" t="s">
        <v>1907</v>
      </c>
      <c r="C2" s="156" t="s">
        <v>1908</v>
      </c>
      <c r="D2" s="157" t="s">
        <v>1909</v>
      </c>
      <c r="E2" s="157" t="s">
        <v>1910</v>
      </c>
      <c r="F2" s="157" t="s">
        <v>1911</v>
      </c>
      <c r="G2" s="157" t="s">
        <v>1912</v>
      </c>
      <c r="H2" s="157" t="s">
        <v>28</v>
      </c>
      <c r="I2" s="158" t="s">
        <v>1913</v>
      </c>
      <c r="J2" s="159" t="s">
        <v>711</v>
      </c>
      <c r="K2" s="160" t="s">
        <v>1907</v>
      </c>
      <c r="L2" s="160" t="s">
        <v>1914</v>
      </c>
      <c r="M2" s="161" t="s">
        <v>1915</v>
      </c>
      <c r="N2" s="160" t="s">
        <v>1916</v>
      </c>
      <c r="O2" s="161" t="s">
        <v>1917</v>
      </c>
      <c r="P2" s="162" t="s">
        <v>1918</v>
      </c>
    </row>
    <row r="3" spans="1:16" ht="15" thickBot="1" x14ac:dyDescent="0.4">
      <c r="A3" s="11">
        <v>2019</v>
      </c>
      <c r="B3" s="11" t="s">
        <v>99</v>
      </c>
      <c r="C3" s="11" t="s">
        <v>97</v>
      </c>
      <c r="D3" s="11" t="s">
        <v>1919</v>
      </c>
      <c r="E3" s="163">
        <v>110008170237</v>
      </c>
      <c r="G3" s="11">
        <v>81</v>
      </c>
      <c r="H3" s="164">
        <f>VLOOKUP(B3,'Facility Water Discharges'!$H:$N, 7, FALSE)</f>
        <v>350</v>
      </c>
      <c r="I3" s="165">
        <f>G3/H3</f>
        <v>0.23142857142857143</v>
      </c>
      <c r="J3" s="11">
        <v>2020</v>
      </c>
      <c r="K3" s="11" t="s">
        <v>103</v>
      </c>
      <c r="L3" s="11" t="s">
        <v>100</v>
      </c>
      <c r="M3" s="163">
        <v>110000478509</v>
      </c>
      <c r="N3" s="11" t="s">
        <v>1920</v>
      </c>
      <c r="O3" s="163">
        <v>110000520632</v>
      </c>
      <c r="P3" s="11">
        <v>1</v>
      </c>
    </row>
    <row r="4" spans="1:16" ht="15" thickBot="1" x14ac:dyDescent="0.4">
      <c r="A4" s="11">
        <v>2020</v>
      </c>
      <c r="B4" s="11" t="s">
        <v>99</v>
      </c>
      <c r="C4" s="11" t="s">
        <v>97</v>
      </c>
      <c r="D4" s="11" t="s">
        <v>1919</v>
      </c>
      <c r="E4" s="163">
        <v>110008170237</v>
      </c>
      <c r="G4" s="11">
        <v>79</v>
      </c>
      <c r="H4" s="164">
        <f>VLOOKUP(B4,'Facility Water Discharges'!$H:$N, 7, FALSE)</f>
        <v>350</v>
      </c>
      <c r="I4" s="166">
        <f>G4/H4</f>
        <v>0.2257142857142857</v>
      </c>
      <c r="J4" s="11">
        <v>2021</v>
      </c>
      <c r="K4" s="11" t="s">
        <v>103</v>
      </c>
      <c r="L4" s="11" t="s">
        <v>100</v>
      </c>
      <c r="M4" s="163">
        <v>110000478509</v>
      </c>
      <c r="N4" s="11" t="s">
        <v>1920</v>
      </c>
      <c r="O4" s="163">
        <v>110000520632</v>
      </c>
      <c r="P4" s="11">
        <v>1</v>
      </c>
    </row>
    <row r="5" spans="1:16" ht="15" thickBot="1" x14ac:dyDescent="0.4">
      <c r="A5" s="11">
        <v>2021</v>
      </c>
      <c r="B5" s="11" t="s">
        <v>99</v>
      </c>
      <c r="C5" s="11" t="s">
        <v>97</v>
      </c>
      <c r="D5" s="11" t="s">
        <v>1919</v>
      </c>
      <c r="E5" s="163">
        <v>110008170237</v>
      </c>
      <c r="G5" s="11">
        <v>80</v>
      </c>
      <c r="H5" s="164">
        <f>VLOOKUP(B5,'Facility Water Discharges'!$H:$N, 7, FALSE)</f>
        <v>350</v>
      </c>
      <c r="I5" s="166">
        <f t="shared" ref="I5:I7" si="0">G5/H5</f>
        <v>0.22857142857142856</v>
      </c>
      <c r="M5" s="163"/>
      <c r="N5" s="11"/>
    </row>
    <row r="6" spans="1:16" ht="15" thickBot="1" x14ac:dyDescent="0.4">
      <c r="A6" s="11">
        <v>2022</v>
      </c>
      <c r="B6" s="11" t="s">
        <v>99</v>
      </c>
      <c r="C6" s="11" t="s">
        <v>97</v>
      </c>
      <c r="D6" s="11" t="s">
        <v>1919</v>
      </c>
      <c r="E6" s="163">
        <v>110008170237</v>
      </c>
      <c r="G6" s="11">
        <v>67</v>
      </c>
      <c r="H6" s="164">
        <f>VLOOKUP(B6,'Facility Water Discharges'!$H:$N, 7, FALSE)</f>
        <v>350</v>
      </c>
      <c r="I6" s="166">
        <f t="shared" si="0"/>
        <v>0.19142857142857142</v>
      </c>
      <c r="M6" s="163"/>
      <c r="N6" s="11"/>
      <c r="O6" s="163"/>
    </row>
    <row r="7" spans="1:16" ht="15" thickBot="1" x14ac:dyDescent="0.4">
      <c r="A7" s="11">
        <v>2023</v>
      </c>
      <c r="B7" s="11" t="s">
        <v>99</v>
      </c>
      <c r="C7" s="11" t="s">
        <v>97</v>
      </c>
      <c r="D7" s="11" t="s">
        <v>1919</v>
      </c>
      <c r="E7" s="163">
        <v>110008170237</v>
      </c>
      <c r="G7" s="11">
        <v>46</v>
      </c>
      <c r="H7" s="164">
        <f>VLOOKUP(B7,'Facility Water Discharges'!$H:$N, 7, FALSE)</f>
        <v>350</v>
      </c>
      <c r="I7" s="166">
        <f t="shared" si="0"/>
        <v>0.13142857142857142</v>
      </c>
      <c r="M7" s="163"/>
      <c r="N7" s="11"/>
      <c r="O7" s="163"/>
    </row>
    <row r="23" spans="15:15" x14ac:dyDescent="0.35">
      <c r="O23" s="11" t="s">
        <v>1904</v>
      </c>
    </row>
    <row r="140" spans="19:19" x14ac:dyDescent="0.35">
      <c r="S140" s="11" t="s">
        <v>1904</v>
      </c>
    </row>
  </sheetData>
  <sheetProtection sheet="1" objects="1" scenarios="1" formatCells="0" formatColumns="0" formatRows="0" sort="0" autoFilter="0"/>
  <autoFilter ref="A1:S140" xr:uid="{3ECAF087-9F02-427D-BCCE-3E1AFE251C94}">
    <filterColumn colId="0" showButton="0"/>
    <filterColumn colId="1" showButton="0"/>
    <filterColumn colId="2" showButton="0"/>
    <filterColumn colId="3" showButton="0"/>
    <filterColumn colId="4" showButton="0"/>
    <filterColumn colId="5" showButton="0"/>
    <filterColumn colId="9" showButton="0"/>
    <filterColumn colId="10" showButton="0"/>
    <filterColumn colId="11" showButton="0"/>
    <filterColumn colId="12" showButton="0"/>
    <filterColumn colId="13" showButton="0"/>
    <filterColumn colId="14" showButton="0"/>
  </autoFilter>
  <mergeCells count="2">
    <mergeCell ref="A1:G1"/>
    <mergeCell ref="J1:P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Coverage xmlns="http://schemas.microsoft.com/sharepoint/v3/fields" xsi:nil="true"/>
    <Record xmlns="4ffa91fb-a0ff-4ac5-b2db-65c790d184a4">Shared</Record>
    <EPA_x0020_Office xmlns="4ffa91fb-a0ff-4ac5-b2db-65c790d184a4" xsi:nil="true"/>
    <Document_x0020_Creation_x0020_Date xmlns="4ffa91fb-a0ff-4ac5-b2db-65c790d184a4">2025-12-03T19:13:11+00:00</Document_x0020_Creation_x0020_Date>
    <EPA_x0020_Related_x0020_Documents xmlns="4ffa91fb-a0ff-4ac5-b2db-65c790d184a4" xsi:nil="true"/>
    <_Source xmlns="http://schemas.microsoft.com/sharepoint/v3/fields" xsi:nil="true"/>
    <CategoryDescription xmlns="http://schemas.microsoft.com/sharepoint.v3" xsi:nil="true"/>
    <EPA_x0020_Contributor xmlns="4ffa91fb-a0ff-4ac5-b2db-65c790d184a4">
      <UserInfo>
        <DisplayName/>
        <AccountId xsi:nil="true"/>
        <AccountType/>
      </UserInfo>
    </EPA_x0020_Contributor>
    <TaxKeywordTaxHTField xmlns="4ffa91fb-a0ff-4ac5-b2db-65c790d184a4">
      <Terms xmlns="http://schemas.microsoft.com/office/infopath/2007/PartnerControls">
        <TermInfo xmlns="http://schemas.microsoft.com/office/infopath/2007/PartnerControls">
          <TermName xmlns="http://schemas.microsoft.com/office/infopath/2007/PartnerControls">water</TermName>
          <TermId xmlns="http://schemas.microsoft.com/office/infopath/2007/PartnerControls">11111111-1111-1111-1111-111111111111</TermId>
        </TermInfo>
        <TermInfo xmlns="http://schemas.microsoft.com/office/infopath/2007/PartnerControls">
          <TermName xmlns="http://schemas.microsoft.com/office/infopath/2007/PartnerControls">trans-1</TermName>
          <TermId xmlns="http://schemas.microsoft.com/office/infopath/2007/PartnerControls">3bd1ca93-0ea3-47d7-9577-5c84a0904703</TermId>
        </TermInfo>
        <TermInfo xmlns="http://schemas.microsoft.com/office/infopath/2007/PartnerControls">
          <TermName xmlns="http://schemas.microsoft.com/office/infopath/2007/PartnerControls">2-Dichloroethylene</TermName>
          <TermId xmlns="http://schemas.microsoft.com/office/infopath/2007/PartnerControls">843fbadb-1231-4ab9-833b-3a6af9331804</TermId>
        </TermInfo>
        <TermInfo xmlns="http://schemas.microsoft.com/office/infopath/2007/PartnerControls">
          <TermName xmlns="http://schemas.microsoft.com/office/infopath/2007/PartnerControls">risk assessment</TermName>
          <TermId xmlns="http://schemas.microsoft.com/office/infopath/2007/PartnerControls">11111111-1111-1111-1111-111111111111</TermId>
        </TermInfo>
        <TermInfo xmlns="http://schemas.microsoft.com/office/infopath/2007/PartnerControls">
          <TermName xmlns="http://schemas.microsoft.com/office/infopath/2007/PartnerControls">environmental release</TermName>
          <TermId xmlns="http://schemas.microsoft.com/office/infopath/2007/PartnerControls">59544114-b52c-4fcc-9dbf-fb79dfd5d018</TermId>
        </TermInfo>
      </Terms>
    </TaxKeywordTaxHTField>
    <Rights xmlns="4ffa91fb-a0ff-4ac5-b2db-65c790d184a4" xsi:nil="true"/>
    <Identifier xmlns="4ffa91fb-a0ff-4ac5-b2db-65c790d184a4" xsi:nil="true"/>
    <_ip_UnifiedCompliancePolicyUIAction xmlns="http://schemas.microsoft.com/sharepoint/v3" xsi:nil="true"/>
    <Creator xmlns="4ffa91fb-a0ff-4ac5-b2db-65c790d184a4">
      <UserInfo>
        <DisplayName/>
        <AccountId xsi:nil="true"/>
        <AccountType/>
      </UserInfo>
    </Creator>
    <_ip_UnifiedCompliancePolicyProperties xmlns="http://schemas.microsoft.com/sharepoint/v3" xsi:nil="true"/>
    <Language xmlns="http://schemas.microsoft.com/sharepoint/v3">English</Language>
    <j747ac98061d40f0aa7bd47e1db5675d xmlns="4ffa91fb-a0ff-4ac5-b2db-65c790d184a4">
      <Terms xmlns="http://schemas.microsoft.com/office/infopath/2007/PartnerControls"/>
    </j747ac98061d40f0aa7bd47e1db5675d>
    <SharedWithUsers xmlns="fecc2597-e8fd-4279-ac06-bd7c891938be">
      <UserInfo>
        <DisplayName>Vuilleumier, Kevin</DisplayName>
        <AccountId>77</AccountId>
        <AccountType/>
      </UserInfo>
      <UserInfo>
        <DisplayName>Merilis, Giorvanni (he/him/his)</DisplayName>
        <AccountId>145</AccountId>
        <AccountType/>
      </UserInfo>
      <UserInfo>
        <DisplayName>Shifflett, Shawn (he/him/his)</DisplayName>
        <AccountId>119</AccountId>
        <AccountType/>
      </UserInfo>
      <UserInfo>
        <DisplayName>Choudhary, Rehan</DisplayName>
        <AccountId>10</AccountId>
        <AccountType/>
      </UserInfo>
      <UserInfo>
        <DisplayName>Bohaty, Rochelle</DisplayName>
        <AccountId>179</AccountId>
        <AccountType/>
      </UserInfo>
      <UserInfo>
        <DisplayName>Hollinshead, Whitney</DisplayName>
        <AccountId>20</AccountId>
        <AccountType/>
      </UserInfo>
      <UserInfo>
        <DisplayName>Todd, Jason</DisplayName>
        <AccountId>146</AccountId>
        <AccountType/>
      </UserInfo>
      <UserInfo>
        <DisplayName>Orentas, Nerija</DisplayName>
        <AccountId>78</AccountId>
        <AccountType/>
      </UserInfo>
    </SharedWithUsers>
    <lcf76f155ced4ddcb4097134ff3c332f xmlns="ead8da0f-3542-4e50-96c8-f1f698624e86">
      <Terms xmlns="http://schemas.microsoft.com/office/infopath/2007/PartnerControls"/>
    </lcf76f155ced4ddcb4097134ff3c332f>
    <TaxCatchAll xmlns="4ffa91fb-a0ff-4ac5-b2db-65c790d184a4">
      <Value>1313</Value>
      <Value>1115</Value>
      <Value>2096</Value>
      <Value>1058</Value>
      <Value>1190</Value>
    </TaxCatchAll>
    <e3f09c3df709400db2417a7161762d62 xmlns="4ffa91fb-a0ff-4ac5-b2db-65c790d184a4">
      <Terms xmlns="http://schemas.microsoft.com/office/infopath/2007/PartnerControls"/>
    </e3f09c3df709400db2417a7161762d62>
    <External_x0020_Contributor xmlns="4ffa91fb-a0ff-4ac5-b2db-65c790d184a4" xsi:nil="true"/>
  </documentManagement>
</p:properties>
</file>

<file path=customXml/item2.xml>��< ? x m l   v e r s i o n = " 1 . 0 "   e n c o d i n g = " u t f - 1 6 " ? > < D a t a M a s h u p   x m l n s = " h t t p : / / s c h e m a s . m i c r o s o f t . c o m / D a t a M a s h u p " > A A A A A B M D A A B Q S w M E F A A C A A g A S H Q 1 V W p 7 9 T q j A A A A 9 g A A A B I A H A B D b 2 5 m a W c v U G F j a 2 F n Z S 5 4 b W w g o h g A K K A U A A A A A A A A A A A A A A A A A A A A A A A A A A A A h Y + x D o I w F E V / h X S n L X X Q k E c Z X C U x I R r X B i o 0 w s P Q Y v k 3 B z / J X x C j q J v j P f c M 9 9 6 v N 0 j H t g k u u r e m w 4 R E l J N A Y 9 G V B q u E D O 4 Y r k g q Y a u K k 6 p 0 M M l o 4 9 G W C a m d O 8 e M e e + p X 9 C u r 5 j g P G K H b J M X t W 4 V + c j m v x w a t E 5 h o Y m E / W u M F D T i S y r 4 t A n Y D C E z + B X E 1 D 3 b H w j r o X F D r 6 X G c J c D m y O w 9 w f 5 A F B L A w Q U A A I A C A B I d D V 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H Q 1 V S i K R 7 g O A A A A E Q A A A B M A H A B G b 3 J t d W x h c y 9 T Z W N 0 a W 9 u M S 5 t I K I Y A C i g F A A A A A A A A A A A A A A A A A A A A A A A A A A A A C t O T S 7 J z M 9 T C I b Q h t Y A U E s B A i 0 A F A A C A A g A S H Q 1 V W p 7 9 T q j A A A A 9 g A A A B I A A A A A A A A A A A A A A A A A A A A A A E N v b m Z p Z y 9 Q Y W N r Y W d l L n h t b F B L A Q I t A B Q A A g A I A E h 0 N V U P y u m r p A A A A O k A A A A T A A A A A A A A A A A A A A A A A O 8 A A A B b Q 2 9 u d G V u d F 9 U e X B l c 1 0 u e G 1 s U E s B A i 0 A F A A C A A g A S H Q 1 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P U 4 9 r C o T W V H i L u f d u / 3 v i Y A A A A A A g A A A A A A E G Y A A A A B A A A g A A A A c q P S U 9 X W M 2 T L w p C F W q W Z c T i 9 F D P g q 3 b B W 9 e a / K p r y 3 0 A A A A A D o A A A A A C A A A g A A A A e 7 W F + t / 5 b N V v 9 M I 8 7 m e i A I P v e y + g z 5 2 1 l K Q F S Y f M a 8 p Q A A A A W r N N c F 4 O W e Q C b R m S 5 e q Q K u + 2 O 0 J s v 4 y D l G D Z h X A J 7 F L v E 3 C 4 i j p 8 B S s 4 o h K l 7 v k C u y 6 7 Z j p j V m t 0 K v Z M P p V q n q 1 0 V 2 b R G T e B K 2 o b / c L O f a d A A A A A l o 0 D E M o q u x U l P C a E q T o a j F q P J N W u h N 8 2 s F P K h U W 7 6 z x / 2 r k r 0 Q m d 1 F E / X 0 z X o k g C Z i O g S 6 c V g A 0 v i x a 6 f P x L A 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D723352F79007E408EFF44D6142FFCE2" ma:contentTypeVersion="21" ma:contentTypeDescription="Create a new document." ma:contentTypeScope="" ma:versionID="f7663de67ef2afa6df94d55ff7e56796">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fecc2597-e8fd-4279-ac06-bd7c891938be" xmlns:ns6="ead8da0f-3542-4e50-96c8-f1f698624e86" targetNamespace="http://schemas.microsoft.com/office/2006/metadata/properties" ma:root="true" ma:fieldsID="02cccc19423a0cd6fa028e0a1e544b83" ns1:_="" ns2:_="" ns3:_="" ns4:_="" ns5:_="" ns6:_="">
    <xsd:import namespace="http://schemas.microsoft.com/sharepoint/v3"/>
    <xsd:import namespace="4ffa91fb-a0ff-4ac5-b2db-65c790d184a4"/>
    <xsd:import namespace="http://schemas.microsoft.com/sharepoint.v3"/>
    <xsd:import namespace="http://schemas.microsoft.com/sharepoint/v3/fields"/>
    <xsd:import namespace="fecc2597-e8fd-4279-ac06-bd7c891938be"/>
    <xsd:import namespace="ead8da0f-3542-4e50-96c8-f1f698624e86"/>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2:e3f09c3df709400db2417a7161762d62" minOccurs="0"/>
                <xsd:element ref="ns5:SharedWithUsers" minOccurs="0"/>
                <xsd:element ref="ns5:SharedWithDetails"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1:_ip_UnifiedCompliancePolicyProperties" minOccurs="0"/>
                <xsd:element ref="ns1:_ip_UnifiedCompliancePolicyUIAction" minOccurs="0"/>
                <xsd:element ref="ns6:lcf76f155ced4ddcb4097134ff3c332f" minOccurs="0"/>
                <xsd:element ref="ns6:MediaServiceObjectDetectorVersions" minOccurs="0"/>
                <xsd:element ref="ns6:MediaServiceSearchProperties" minOccurs="0"/>
                <xsd:element ref="ns6:MediaServiceDateTaken"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ma:readOnly="false">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160cad11-562a-4490-8456-b2fd6f157897}" ma:internalName="TaxCatchAllLabel" ma:readOnly="true" ma:showField="CatchAllDataLabel"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160cad11-562a-4490-8456-b2fd6f157897}" ma:internalName="TaxCatchAll" ma:showField="CatchAllData" ma:web="fecc2597-e8fd-4279-ac06-bd7c891938be">
      <xsd:complexType>
        <xsd:complexContent>
          <xsd:extension base="dms:MultiChoiceLookup">
            <xsd:sequence>
              <xsd:element name="Value" type="dms:Lookup" maxOccurs="unbounded" minOccurs="0" nillable="true"/>
            </xsd:sequence>
          </xsd:extension>
        </xsd:complexContent>
      </xsd:complexType>
    </xsd:element>
    <xsd:element name="e3f09c3df709400db2417a7161762d62" ma:index="28" nillable="true" ma:taxonomy="true" ma:internalName="e3f09c3df709400db2417a7161762d62" ma:taxonomyFieldName="EPA_x0020_Subject" ma:displayName="EPA Subject" ma:readOnly="false" ma:default="" ma:fieldId="{e3f09c3d-f709-400d-b241-7a7161762d62}" ma:taxonomyMulti="true" ma:sspId="29f62856-1543-49d4-a736-4569d363f533" ma:termSetId="7a3d4ae0-7e62-45a2-a406-c6a8a6a8eee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cc2597-e8fd-4279-ac06-bd7c891938be"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d8da0f-3542-4e50-96c8-f1f698624e86"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lcf76f155ced4ddcb4097134ff3c332f" ma:index="40"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element name="MediaServiceDateTaken" ma:index="43" nillable="true" ma:displayName="MediaServiceDateTaken" ma:description="" ma:hidden="true" ma:indexed="true" ma:internalName="MediaServiceDateTaken" ma:readOnly="true">
      <xsd:simpleType>
        <xsd:restriction base="dms:Text"/>
      </xsd:simpleType>
    </xsd:element>
    <xsd:element name="MediaServiceLocation" ma:index="44" nillable="true" ma:displayName="Location" ma:description="" ma:indexed="true" ma:internalName="MediaServiceLocation" ma:readOnly="true">
      <xsd:simpleType>
        <xsd:restriction base="dms:Text"/>
      </xsd:simpleType>
    </xsd:element>
    <xsd:element name="MediaLengthInSeconds" ma:index="4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29f62856-1543-49d4-a736-4569d363f533" ContentTypeId="0x0101" PreviousValue="fals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DF5D43-5F46-458B-9F39-56A39C1F1ADB}">
  <ds:schemaRefs>
    <ds:schemaRef ds:uri="http://schemas.microsoft.com/office/2006/metadata/properties"/>
    <ds:schemaRef ds:uri="http://schemas.microsoft.com/office/infopath/2007/PartnerControls"/>
    <ds:schemaRef ds:uri="http://schemas.microsoft.com/sharepoint/v3/fields"/>
    <ds:schemaRef ds:uri="4ffa91fb-a0ff-4ac5-b2db-65c790d184a4"/>
    <ds:schemaRef ds:uri="http://schemas.microsoft.com/sharepoint.v3"/>
    <ds:schemaRef ds:uri="http://schemas.microsoft.com/sharepoint/v3"/>
    <ds:schemaRef ds:uri="fecc2597-e8fd-4279-ac06-bd7c891938be"/>
    <ds:schemaRef ds:uri="ead8da0f-3542-4e50-96c8-f1f698624e86"/>
  </ds:schemaRefs>
</ds:datastoreItem>
</file>

<file path=customXml/itemProps2.xml><?xml version="1.0" encoding="utf-8"?>
<ds:datastoreItem xmlns:ds="http://schemas.openxmlformats.org/officeDocument/2006/customXml" ds:itemID="{D6842BCC-89DB-4B35-89A6-75435ACAEA28}">
  <ds:schemaRefs>
    <ds:schemaRef ds:uri="http://schemas.microsoft.com/DataMashup"/>
  </ds:schemaRefs>
</ds:datastoreItem>
</file>

<file path=customXml/itemProps3.xml><?xml version="1.0" encoding="utf-8"?>
<ds:datastoreItem xmlns:ds="http://schemas.openxmlformats.org/officeDocument/2006/customXml" ds:itemID="{AF33A4CD-DD78-445E-BC16-76C5CF8E50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fecc2597-e8fd-4279-ac06-bd7c891938be"/>
    <ds:schemaRef ds:uri="ead8da0f-3542-4e50-96c8-f1f698624e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D269F1A-8B7B-4B10-9DAA-81A20D5397D5}">
  <ds:schemaRefs>
    <ds:schemaRef ds:uri="Microsoft.SharePoint.Taxonomy.ContentTypeSync"/>
  </ds:schemaRefs>
</ds:datastoreItem>
</file>

<file path=customXml/itemProps5.xml><?xml version="1.0" encoding="utf-8"?>
<ds:datastoreItem xmlns:ds="http://schemas.openxmlformats.org/officeDocument/2006/customXml" ds:itemID="{05BA2307-5207-4AC5-9B66-D9E0AD71BF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vt:lpstr>
      <vt:lpstr>ReadMe</vt:lpstr>
      <vt:lpstr>TRI and DMR OES Summary</vt:lpstr>
      <vt:lpstr>Total Annual Releases</vt:lpstr>
      <vt:lpstr>Facility Water Discharges</vt:lpstr>
      <vt:lpstr>Facility Summary_Water</vt:lpstr>
      <vt:lpstr>Processed Non-zero DMR Data</vt:lpstr>
      <vt:lpstr>Processed Non-zero TRI Data</vt:lpstr>
      <vt:lpstr>Off-site Locations</vt:lpstr>
      <vt:lpstr>Raw TRI Data</vt:lpstr>
      <vt:lpstr>Raw Non-zero DMR Data</vt:lpstr>
      <vt:lpstr>Form A Recent Reporting</vt:lpstr>
      <vt:lpstr>COU.OES Summary</vt:lpstr>
      <vt:lpstr>NAICS OES crosswalk</vt:lpstr>
      <vt:lpstr>2017 - 2022 NAICS</vt:lpstr>
      <vt:lpstr>TRI Crosswalk codes</vt:lpstr>
      <vt:lpstr>2017 SIC to NAICS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Water Releases for trans-1,2-Dichloroethylene</dc:title>
  <dc:subject>Draft Risk Evaluation for trans-1,2-Dichloroethylene</dc:subject>
  <dc:creator/>
  <cp:keywords>trans-1,2-Dichloroethylene; risk assessment; environmental release; water</cp:keywords>
  <dc:description/>
  <cp:lastModifiedBy/>
  <cp:revision>1</cp:revision>
  <dcterms:created xsi:type="dcterms:W3CDTF">2026-07-30T15:07:54Z</dcterms:created>
  <dcterms:modified xsi:type="dcterms:W3CDTF">2026-07-30T16:29:01Z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1313;#water|11111111-1111-1111-1111-111111111111;#2096;#trans-1|3bd1ca93-0ea3-47d7-9577-5c84a0904703;#1115;#2-Dichloroethylene|843fbadb-1231-4ab9-833b-3a6af9331804;#1058;#risk assessment|11111111-1111-1111-1111-111111111111;#1190;#environmental release|59544114-b52c-4fcc-9dbf-fb79dfd5d018</vt:lpwstr>
  </property>
  <property fmtid="{D5CDD505-2E9C-101B-9397-08002B2CF9AE}" pid="3" name="Order">
    <vt:r8>621300</vt:r8>
  </property>
  <property fmtid="{D5CDD505-2E9C-101B-9397-08002B2CF9AE}" pid="4" name="Document_x0020_Type">
    <vt:lpwstr/>
  </property>
  <property fmtid="{D5CDD505-2E9C-101B-9397-08002B2CF9AE}" pid="5" name="MediaServiceImageTags">
    <vt:lpwstr/>
  </property>
  <property fmtid="{D5CDD505-2E9C-101B-9397-08002B2CF9AE}" pid="6" name="xd_ProgID">
    <vt:lpwstr/>
  </property>
  <property fmtid="{D5CDD505-2E9C-101B-9397-08002B2CF9AE}" pid="7" name="ContentTypeId">
    <vt:lpwstr>0x010100D723352F79007E408EFF44D6142FFCE2</vt:lpwstr>
  </property>
  <property fmtid="{D5CDD505-2E9C-101B-9397-08002B2CF9AE}" pid="8" name="ComplianceAssetId">
    <vt:lpwstr/>
  </property>
  <property fmtid="{D5CDD505-2E9C-101B-9397-08002B2CF9AE}" pid="9" name="TemplateUrl">
    <vt:lpwstr/>
  </property>
  <property fmtid="{D5CDD505-2E9C-101B-9397-08002B2CF9AE}" pid="10" name="EPA Subject">
    <vt:lpwstr/>
  </property>
  <property fmtid="{D5CDD505-2E9C-101B-9397-08002B2CF9AE}" pid="11" name="_ExtendedDescription">
    <vt:lpwstr/>
  </property>
  <property fmtid="{D5CDD505-2E9C-101B-9397-08002B2CF9AE}" pid="12" name="EPA_x0020_Subject">
    <vt:lpwstr/>
  </property>
  <property fmtid="{D5CDD505-2E9C-101B-9397-08002B2CF9AE}" pid="13" name="TriggerFlowInfo">
    <vt:lpwstr/>
  </property>
  <property fmtid="{D5CDD505-2E9C-101B-9397-08002B2CF9AE}" pid="14" name="Document Type">
    <vt:lpwstr/>
  </property>
  <property fmtid="{D5CDD505-2E9C-101B-9397-08002B2CF9AE}" pid="15" name="xd_Signature">
    <vt:bool>false</vt:bool>
  </property>
  <property fmtid="{D5CDD505-2E9C-101B-9397-08002B2CF9AE}" pid="16" name="Status">
    <vt:lpwstr>In Progress</vt:lpwstr>
  </property>
</Properties>
</file>